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1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716" windowHeight="8088" tabRatio="665" activeTab="4"/>
  </bookViews>
  <sheets>
    <sheet name="Summary" sheetId="1" r:id="rId1"/>
    <sheet name="SharingAgrmt" sheetId="2" r:id="rId2"/>
    <sheet name="CCFMODEL" sheetId="3" r:id="rId3"/>
    <sheet name="CALC" sheetId="4" r:id="rId4"/>
    <sheet name="CURVES" sheetId="5" r:id="rId5"/>
    <sheet name="O&amp;M" sheetId="6" r:id="rId6"/>
    <sheet name="Sensitivities" sheetId="7" state="hidden" r:id="rId7"/>
    <sheet name="Iterbox" sheetId="8" state="hidden" r:id="rId8"/>
    <sheet name="InpBox" sheetId="9" state="hidden" r:id="rId9"/>
    <sheet name="GoToBox" sheetId="10" state="hidden" r:id="rId10"/>
    <sheet name="PrintBox" sheetId="11" state="hidden" r:id="rId11"/>
  </sheets>
  <definedNames>
    <definedName name="_Order1" hidden="1">255</definedName>
    <definedName name="_Order2" hidden="1">0</definedName>
    <definedName name="AecoUpdate">#REF!</definedName>
    <definedName name="AMORT">CCFMODEL!$I$600</definedName>
    <definedName name="ASSET_SALES">CCFMODEL!$A$648:$X$661</definedName>
    <definedName name="AvailDays">CALC!$AX$17:$BA$292</definedName>
    <definedName name="BasisIndex">#REF!</definedName>
    <definedName name="BasisNumber">#REF!</definedName>
    <definedName name="BasisTable">CURVES!$AQ$40:$AR$316</definedName>
    <definedName name="BegDate">#REF!</definedName>
    <definedName name="BegMonth">#REF!</definedName>
    <definedName name="BegYear">#REF!</definedName>
    <definedName name="BigTable">CURVES!$K$9:$AL$287</definedName>
    <definedName name="BrentUpdate">#REF!</definedName>
    <definedName name="BS">CCFMODEL!$A$397:$AC$440</definedName>
    <definedName name="CalcMode">#REF!</definedName>
    <definedName name="CAP_TFF_FEES">CCFMODEL!$A$442:$AC$511</definedName>
    <definedName name="_CAP1">CCFMODEL!$A$442:$X$462</definedName>
    <definedName name="_CAP2">CCFMODEL!$A$451:$X$463</definedName>
    <definedName name="CapPrice">CCFMODEL!$G$843</definedName>
    <definedName name="CASH">CCFMODEL!$I$392:$AF$394</definedName>
    <definedName name="CASH1">CCFMODEL!$I$392:$I$394</definedName>
    <definedName name="CASH2">CCFMODEL!$G$392:$G$394</definedName>
    <definedName name="CASHA">CCFMODEL!$I$392</definedName>
    <definedName name="CASHB">CCFMODEL!$I$393</definedName>
    <definedName name="CASHC">CCFMODEL!$I$394</definedName>
    <definedName name="CashFlowDates">CCFMODEL!$J$828:$AH$828</definedName>
    <definedName name="CBidOfferVolSpreadFlag">#REF!</definedName>
    <definedName name="CBuySell">#REF!</definedName>
    <definedName name="CCapVolCurve">#REF!</definedName>
    <definedName name="CFloorVolCurve">#REF!</definedName>
    <definedName name="CombineTakesFlag">#REF!</definedName>
    <definedName name="CorrPeakOffPeak">#REF!</definedName>
    <definedName name="CorrPeakOffPeakOver">#REF!</definedName>
    <definedName name="CorrPeakOffPeakOverFlag">#REF!</definedName>
    <definedName name="CorrPowerGas">#REF!</definedName>
    <definedName name="CorrPowerGasOver">#REF!</definedName>
    <definedName name="CorrPowerGasOverFlag">#REF!</definedName>
    <definedName name="CPriceCurve">#REF!</definedName>
    <definedName name="CSpec">#REF!</definedName>
    <definedName name="curr2" localSheetId="2">CCFMODEL!$D$135</definedName>
    <definedName name="CurveDate">#REF!</definedName>
    <definedName name="CustomHoFlag">#REF!</definedName>
    <definedName name="CustomHoPeriod">#REF!</definedName>
    <definedName name="CustomMFFlag">#REF!</definedName>
    <definedName name="CustomMFPeriod">#REF!</definedName>
    <definedName name="CustomSaFlag">#REF!</definedName>
    <definedName name="CustomSaPeriod">#REF!</definedName>
    <definedName name="CustomSuFlag">#REF!</definedName>
    <definedName name="CustomSuPeriod">#REF!</definedName>
    <definedName name="CVolSmile">#REF!</definedName>
    <definedName name="CVolType">#REF!</definedName>
    <definedName name="DailyScalarsTable">CURVES!#REF!</definedName>
    <definedName name="DateToday">#REF!</definedName>
    <definedName name="Debt_Sched">CCFMODEL!$A$597:$X$619</definedName>
    <definedName name="Debt_Term">#REF!</definedName>
    <definedName name="DEBTSCHED_THRU_TAXAS">CCFMODEL!$A$597:$AC$670</definedName>
    <definedName name="DEFREV">CCFMODEL!$I$445:$AF$446</definedName>
    <definedName name="DEFREV1">CCFMODEL!$I$445:$I$446</definedName>
    <definedName name="DEFREV2">CCFMODEL!$G$445:$G$446</definedName>
    <definedName name="DEFREVA">CCFMODEL!$I$445</definedName>
    <definedName name="DEFREVB">CCFMODEL!$I$446</definedName>
    <definedName name="DiffOptVolume">#REF!</definedName>
    <definedName name="DiffOptVolumeFlag">#REF!</definedName>
    <definedName name="DiffOptVolumeHourlyOver">#REF!</definedName>
    <definedName name="DiffOptVolumeMonthlyOver">#REF!</definedName>
    <definedName name="DILUTION">CCFMODEL!$A$768:$S$781</definedName>
    <definedName name="DiscountedCashFlows">CCFMODEL!$J$840:$AH$840</definedName>
    <definedName name="driftswitch">#REF!</definedName>
    <definedName name="EmbeddedOrigination">#REF!</definedName>
    <definedName name="EndDate">#REF!</definedName>
    <definedName name="FASB">CCFMODEL!$A$793:$AC$824</definedName>
    <definedName name="FINFEE1A">CCFMODEL!$I$334</definedName>
    <definedName name="FINFEE2A">CCFMODEL!$J$334</definedName>
    <definedName name="FirmHol">#REF!</definedName>
    <definedName name="FirmSat">#REF!</definedName>
    <definedName name="FirmSun">#REF!</definedName>
    <definedName name="FirmWeek">#REF!</definedName>
    <definedName name="FundsFlow">CCFMODEL!$A$478:$X$498</definedName>
    <definedName name="GasFirstMonth">CURVES!$AW$6</definedName>
    <definedName name="GasPriceCurve">#REF!</definedName>
    <definedName name="GasSwitch">#REF!</definedName>
    <definedName name="GasTable">CURVES!$AW$6:$BQ$283</definedName>
    <definedName name="GasTransportPercent">#REF!</definedName>
    <definedName name="GasUpdate">#REF!</definedName>
    <definedName name="GasVolAsPercentOfNYMEX">#REF!</definedName>
    <definedName name="GasVolCurve">#REF!</definedName>
    <definedName name="GasVolOver">#REF!</definedName>
    <definedName name="GasVolSpread">#REF!</definedName>
    <definedName name="HeatRateOffPeak" localSheetId="6">HeatRatePeak*#REF!</definedName>
    <definedName name="HeatRatePeak">#REF!</definedName>
    <definedName name="HeatRatePreUpgrade">#REF!</definedName>
    <definedName name="Holidays">CALC!$F$17:$F$292</definedName>
    <definedName name="INCTAX">CCFMODEL!$A$673:$AC$715</definedName>
    <definedName name="INPUT">CCFMODEL!$A$464:$S$672</definedName>
    <definedName name="INT">CCFMODEL!$A$620:$S$634</definedName>
    <definedName name="INTEXP">CCFMODEL!$K$336:$AF$336</definedName>
    <definedName name="INTEXP1">CCFMODEL!$I$336</definedName>
    <definedName name="INTEXP1A">CCFMODEL!$I$335</definedName>
    <definedName name="INTEXP2">CCFMODEL!$J$336</definedName>
    <definedName name="INTEXP2A">CCFMODEL!$J$335</definedName>
    <definedName name="INTINC">CCFMODEL!$J$331:$AF$331</definedName>
    <definedName name="INTINC1">CCFMODEL!$I$331</definedName>
    <definedName name="INTINC1A">CCFMODEL!$I$330</definedName>
    <definedName name="INTINC2">CCFMODEL!$J$331</definedName>
    <definedName name="INTINC2A">CCFMODEL!$J$330</definedName>
    <definedName name="IRFirstMonth">CURVES!#REF!</definedName>
    <definedName name="IRTable">CURVES!#REF!</definedName>
    <definedName name="IS">CCFMODEL!$A$314:$AC$353</definedName>
    <definedName name="iterprec">CCFMODEL!$B$2</definedName>
    <definedName name="iterx">CCFMODEL!$A$2</definedName>
    <definedName name="K">CCFMODEL!$I$444:$AF$449</definedName>
    <definedName name="KA">CCFMODEL!$I$444:$I$449</definedName>
    <definedName name="KB">CCFMODEL!$F$444:$F$449</definedName>
    <definedName name="LastDateOfMonthlyVol">CURVES!$U$2</definedName>
    <definedName name="LiquidityDiscount">#REF!</definedName>
    <definedName name="MaxMWTable">#REF!</definedName>
    <definedName name="MonthKnockOutTable">#REF!</definedName>
    <definedName name="MostExpFlag">#REF!</definedName>
    <definedName name="OBuySell">#REF!</definedName>
    <definedName name="OCallPut">#REF!</definedName>
    <definedName name="OffPeakPeriod">#REF!</definedName>
    <definedName name="OilSwitch">#REF!</definedName>
    <definedName name="OilUpdate">#REF!</definedName>
    <definedName name="OImpVol">#REF!</definedName>
    <definedName name="OmicronIndex">#REF!</definedName>
    <definedName name="OmicronNumber">#REF!</definedName>
    <definedName name="OPCO">CCFMODEL!$A$4:$AC$292</definedName>
    <definedName name="OPENBS">CCFMODEL!$A$513:$S$554</definedName>
    <definedName name="OPENBS_WC">CCFMODEL!$A$513:$AC$596</definedName>
    <definedName name="OPriceCurve">#REF!</definedName>
    <definedName name="OptExpDateShift">#REF!</definedName>
    <definedName name="OptHol">#REF!</definedName>
    <definedName name="OptSat">#REF!</definedName>
    <definedName name="OptSun">#REF!</definedName>
    <definedName name="OptWeek">#REF!</definedName>
    <definedName name="OrderedPrices">#REF!</definedName>
    <definedName name="OrderedPricesSat">#REF!</definedName>
    <definedName name="OrderedPricesSun">#REF!</definedName>
    <definedName name="OrderedScalars">#REF!</definedName>
    <definedName name="OTake">#REF!</definedName>
    <definedName name="Other_Inc">CCFMODEL!$A$637:$S$645</definedName>
    <definedName name="output" localSheetId="2">CCFMODEL!$E$296:$Y$306</definedName>
    <definedName name="OVolCurve">#REF!</definedName>
    <definedName name="OVolOverDailyOffPeak">#REF!</definedName>
    <definedName name="OVolOverDailyPeak">#REF!</definedName>
    <definedName name="OVolOverMonthlyOffPeak">#REF!</definedName>
    <definedName name="OVolOverMonthlyPeak">#REF!</definedName>
    <definedName name="OVolSmile">#REF!</definedName>
    <definedName name="OVolType">#REF!</definedName>
    <definedName name="PaloScalars">#REF!</definedName>
    <definedName name="PeakEnd">CURVES!#REF!</definedName>
    <definedName name="PeakPeriod">#REF!</definedName>
    <definedName name="PeakStart">CURVES!#REF!</definedName>
    <definedName name="PlannedOutages">CALC!$BC$17:$BC$292</definedName>
    <definedName name="Plantstart">#REF!</definedName>
    <definedName name="PositionBasis">CURVES!#REF!</definedName>
    <definedName name="PositionRegion">CURVES!$B$3</definedName>
    <definedName name="PriceEsc">#REF!</definedName>
    <definedName name="PriceEscType">#REF!</definedName>
    <definedName name="PriceTable">CURVES!$B$40:$I$316</definedName>
    <definedName name="_xlnm.Print_Area" localSheetId="3">CALC!$C$12:$HP$61</definedName>
    <definedName name="_xlnm.Print_Area" localSheetId="2">CCFMODEL!$A$397:$U$438</definedName>
    <definedName name="_xlnm.Print_Area" localSheetId="6">Sensitivities!$A$1:$J$55</definedName>
    <definedName name="_xlnm.Print_Area" localSheetId="1">SharingAgrmt!$A$5:$W$52</definedName>
    <definedName name="_xlnm.Print_Area" localSheetId="0">Summary!$B$3:$O$120</definedName>
    <definedName name="_xlnm.Print_Titles" localSheetId="3">CALC!$C:$C</definedName>
    <definedName name="_xlnm.Print_Titles" localSheetId="2">CCFMODEL!$4:$5</definedName>
    <definedName name="_xlnm.Print_Titles" localSheetId="6">Sensitivities!$A:$A</definedName>
    <definedName name="_xlnm.Print_Titles" localSheetId="1">SharingAgrmt!$2:$4</definedName>
    <definedName name="PV_RACCapPrice">CCFMODEL!$G$841</definedName>
    <definedName name="RankOffPeak">#REF!</definedName>
    <definedName name="RankPeak">#REF!</definedName>
    <definedName name="REFERENCE_DATE">#REF!</definedName>
    <definedName name="RegionIndex">#REF!</definedName>
    <definedName name="RegionNumber">#REF!</definedName>
    <definedName name="REPAY">CCFMODEL!$A$597:$S$619</definedName>
    <definedName name="S_U">CCFMODEL!$A$358:$AC$395</definedName>
    <definedName name="SBuySell">#REF!</definedName>
    <definedName name="ScalarsOrderedOffPeak">#REF!</definedName>
    <definedName name="ScalarsOrderedPeak">#REF!</definedName>
    <definedName name="shiftswitch2">#REF!</definedName>
    <definedName name="SOBuySell">#REF!</definedName>
    <definedName name="SOCallPut">#REF!</definedName>
    <definedName name="SOPriceCurve">#REF!</definedName>
    <definedName name="SpreadOptionGasMargin">#REF!</definedName>
    <definedName name="SpreadOptionPowerMargin">#REF!+#REF!</definedName>
    <definedName name="SpreadOptionPowerMargin_2">#REF!+#REF!</definedName>
    <definedName name="STake">#REF!</definedName>
    <definedName name="stub" localSheetId="2">CCFMODEL!$C$472</definedName>
    <definedName name="TakeType">#REF!</definedName>
    <definedName name="TAX">CCFMODEL!$A$664:$S$668</definedName>
    <definedName name="TDATE">CCFMODEL!$C$467</definedName>
    <definedName name="TIT" localSheetId="2">CCFMODEL!$F$5</definedName>
    <definedName name="TRANSACTION_FEES">CCFMODEL!$A$501:$T$510</definedName>
    <definedName name="val">CCFMODEL!$A$718:$AC$768</definedName>
    <definedName name="ValDate">CCFMODEL!$G$842</definedName>
    <definedName name="VolSmileBook">CURVES!#REF!</definedName>
    <definedName name="VolSmileModel">CURVES!#REF!</definedName>
    <definedName name="VolTableMonthlyOffPeak">CURVES!$O$36:$R$54</definedName>
    <definedName name="VolTableMonthlyPeak">CURVES!$O$10:$R$28</definedName>
    <definedName name="VolTableYearlyOffPeak">CURVES!$Y$36:$AB$59</definedName>
    <definedName name="VolTableYearlyPeak">CURVES!$Y$10:$AB$33</definedName>
    <definedName name="Volume">#REF!</definedName>
    <definedName name="VolumeEsc">#REF!</definedName>
    <definedName name="VolumeEscType">#REF!</definedName>
    <definedName name="VolumeHourlyOver">#REF!</definedName>
    <definedName name="VolumeMonthlyOver">#REF!</definedName>
    <definedName name="VolumeMonthlyOverFlag">#REF!</definedName>
    <definedName name="waitime">CCFMODEL!$A$3</definedName>
    <definedName name="WC">CCFMODEL!$A$558:$S$596</definedName>
    <definedName name="WeekDef">#REF!</definedName>
    <definedName name="ZA0" localSheetId="3">"Crystal Ball Data : Ver. 4.0.3"</definedName>
    <definedName name="ZA0" localSheetId="2">"Crystal Ball Data : Ver. 4.0.3"</definedName>
    <definedName name="ZA0" localSheetId="0">"Crystal Ball Data : Ver. 4.0.3"</definedName>
    <definedName name="ZA0">"Crystal Ball Data : Ver. 4.0"</definedName>
    <definedName name="ZA0A" localSheetId="2">479+842</definedName>
    <definedName name="ZA0A" localSheetId="0">480+843</definedName>
    <definedName name="ZA0A">479+842</definedName>
    <definedName name="ZA0C" localSheetId="2">0+0</definedName>
    <definedName name="ZA0C">0+0</definedName>
    <definedName name="ZA0D" localSheetId="2">0+0</definedName>
    <definedName name="ZA0F" localSheetId="3">3+110</definedName>
    <definedName name="ZA0F" localSheetId="2">28+138</definedName>
    <definedName name="ZA0F">2+109</definedName>
    <definedName name="ZA0T" localSheetId="3">44745718+0</definedName>
    <definedName name="ZA0T" localSheetId="2">53451203+0</definedName>
    <definedName name="ZA0T" localSheetId="0">1146558113+0</definedName>
    <definedName name="ZA0T">43347870+0</definedName>
    <definedName name="_ZA843" localSheetId="0">Summary!$Z$56+"dZ56"+16929+0.5+1</definedName>
    <definedName name="_ZF110" localSheetId="3">CALC!$HW$41+"MrktRev"+""+33+33+440+0+0+0+0+4+3+"-"+"+"+2.6+50+2</definedName>
    <definedName name="_ZF112" localSheetId="2">CCFMODEL!$J$834+"2000"+""+1+1+441+0+0+0+0+4+3+"-"+"+"+2.6+50+2</definedName>
    <definedName name="_ZF113" localSheetId="2">CCFMODEL!$K$834+"2001"+""+1+1+441+0+0+0+0+4+3+"-"+"+"+2.6+50+2</definedName>
    <definedName name="_ZF114" localSheetId="2">CCFMODEL!$L$834+"2002"+""+1+1+441+0+0+0+0+4+3+"-"+"+"+2.6+50+2</definedName>
    <definedName name="_ZF115" localSheetId="2">CCFMODEL!$M$834+"2003"+""+1+1+441+0+0+0+0+4+3+"-"+"+"+2.6+50+2</definedName>
    <definedName name="_ZF116" localSheetId="2">CCFMODEL!$N$834+"2004"+""+1+1+441+0+0+0+0+4+3+"-"+"+"+2.6+50+2</definedName>
    <definedName name="_ZF117" localSheetId="2">CCFMODEL!$O$834+"2005"+""+1+1+441+0+0+0+0+4+3+"-"+"+"+2.6+50+2</definedName>
    <definedName name="_ZF118" localSheetId="2">CCFMODEL!$P$834+"2006"+""+1+1+441+0+0+0+0+4+3+"-"+"+"+2.6+50+2</definedName>
    <definedName name="_ZF119" localSheetId="2">CCFMODEL!$Q$834+"2007"+""+1+1+441+0+0+0+0+4+3+"-"+"+"+2.6+50+2</definedName>
    <definedName name="_ZF120" localSheetId="2">CCFMODEL!$R$834+"2008"+""+1+1+441+0+0+0+0+4+3+"-"+"+"+2.6+50+2</definedName>
    <definedName name="_ZF121" localSheetId="2">CCFMODEL!$S$834+"2009"+""+1+1+441+0+0+0+0+4+3+"-"+"+"+2.6+50+2</definedName>
    <definedName name="_ZF122" localSheetId="2">CCFMODEL!$T$834+"2010"+""+1+1+441+0+0+0+0+4+3+"-"+"+"+2.6+50+2</definedName>
    <definedName name="_ZF123" localSheetId="2">CCFMODEL!$U$834+"2011"+""+1+1+441+0+0+0+0+4+3+"-"+"+"+2.6+50+2</definedName>
    <definedName name="_ZF124" localSheetId="2">CCFMODEL!$V$834+"2012"+""+1+1+441+0+0+0+0+4+3+"-"+"+"+2.6+50+2</definedName>
    <definedName name="_ZF125" localSheetId="2">CCFMODEL!$W$834+"2013"+""+1+1+441+0+0+0+0+4+3+"-"+"+"+2.6+50+2</definedName>
    <definedName name="_ZF126" localSheetId="2">CCFMODEL!$X$834+"2014"+""+1+1+441+0+0+0+0+4+3+"-"+"+"+2.6+50+2</definedName>
    <definedName name="_ZF127" localSheetId="2">CCFMODEL!$Y$834+"2015"+""+1+1+441+0+0+0+0+4+3+"-"+"+"+2.6+50+2</definedName>
    <definedName name="_ZF128" localSheetId="2">CCFMODEL!$Z$834+"2016"+""+1+1+441+0+0+0+0+4+3+"-"+"+"+2.6+50+2</definedName>
    <definedName name="_ZF129" localSheetId="2">CCFMODEL!$AA$834+"2017"+""+1+1+441+0+0+0+0+4+3+"-"+"+"+2.6+50+2</definedName>
    <definedName name="_ZF130" localSheetId="2">CCFMODEL!$AB$834+"2018"+""+1+1+441+0+0+0+0+4+3+"-"+"+"+2.6+50+2</definedName>
    <definedName name="_ZF131" localSheetId="2">CCFMODEL!$AC$834+"2019"+""+1+1+441+0+0+0+0+4+3+"-"+"+"+2.6+50+2</definedName>
    <definedName name="_ZF132" localSheetId="2">CCFMODEL!$AD$834+"2020"+""+1+1+441+0+0+0+0+4+3+"-"+"+"+2.6+50+2</definedName>
    <definedName name="_ZF133" localSheetId="2">CCFMODEL!$AE$834+"2021"+""+1+1+441+0+0+0+0+4+3+"-"+"+"+2.6+50+2</definedName>
    <definedName name="_ZF134" localSheetId="2">CCFMODEL!$AF$834+"2022"+""+1+1+441+0+0+0+0+4+3+"-"+"+"+2.6+50+2</definedName>
    <definedName name="_ZF136" localSheetId="2">CCFMODEL!$G$841+"PV"+""+33+33+441+0+0+0+0+4+3+"-"+"+"+2.6+50+2</definedName>
    <definedName name="_ZF137" localSheetId="2">CCFMODEL!$AG$834+"AG834"+""+16417+33+441+0+0+0+0+4+3+"-"+"+"+2.6+50+2</definedName>
    <definedName name="_ZF138" localSheetId="2">CCFMODEL!$AH$834+"AH834"+""+16417+33+441+0+0+0+0+4+3+"-"+"+"+2.6+50+2</definedName>
  </definedNames>
  <calcPr calcId="0" calcMode="manual" fullCalcOnLoad="1" iterate="1"/>
</workbook>
</file>

<file path=xl/calcChain.xml><?xml version="1.0" encoding="utf-8"?>
<calcChain xmlns="http://schemas.openxmlformats.org/spreadsheetml/2006/main">
  <c r="EP6" i="4" l="1"/>
  <c r="EP7" i="4"/>
  <c r="EP8" i="4"/>
  <c r="EU8" i="4"/>
  <c r="EP9" i="4"/>
  <c r="EU9" i="4"/>
  <c r="HT9" i="4"/>
  <c r="EP10" i="4"/>
  <c r="EU10" i="4"/>
  <c r="EX10" i="4"/>
  <c r="GH10" i="4"/>
  <c r="M12" i="4"/>
  <c r="CK13" i="4"/>
  <c r="GE15" i="4"/>
  <c r="F16" i="4"/>
  <c r="FH16" i="4"/>
  <c r="FI16" i="4"/>
  <c r="FJ16" i="4"/>
  <c r="FL16" i="4"/>
  <c r="FM16" i="4"/>
  <c r="FV16" i="4"/>
  <c r="FW16" i="4"/>
  <c r="FX16" i="4"/>
  <c r="FY16" i="4"/>
  <c r="FZ16" i="4"/>
  <c r="GQ16" i="4"/>
  <c r="GR16" i="4"/>
  <c r="GS16" i="4"/>
  <c r="GT16" i="4"/>
  <c r="GU16" i="4"/>
  <c r="GV16" i="4"/>
  <c r="GW16" i="4"/>
  <c r="GY16" i="4"/>
  <c r="GZ16" i="4"/>
  <c r="HA16" i="4"/>
  <c r="HJ16" i="4"/>
  <c r="HK16" i="4"/>
  <c r="HL16" i="4"/>
  <c r="HM16" i="4"/>
  <c r="A17" i="4"/>
  <c r="B17" i="4"/>
  <c r="C17" i="4"/>
  <c r="D17" i="4"/>
  <c r="E17" i="4"/>
  <c r="F17" i="4"/>
  <c r="J17" i="4"/>
  <c r="K17" i="4"/>
  <c r="L17" i="4"/>
  <c r="AX17" i="4"/>
  <c r="AY17" i="4"/>
  <c r="AZ17" i="4"/>
  <c r="BB17" i="4"/>
  <c r="BC17" i="4"/>
  <c r="BT17" i="4"/>
  <c r="BU17" i="4"/>
  <c r="BV17" i="4"/>
  <c r="BW17" i="4"/>
  <c r="EC17" i="4"/>
  <c r="ED17" i="4"/>
  <c r="EE17" i="4"/>
  <c r="EF17" i="4"/>
  <c r="EG17" i="4"/>
  <c r="EL17" i="4"/>
  <c r="EM17" i="4"/>
  <c r="EN17" i="4"/>
  <c r="EO17" i="4"/>
  <c r="EP17" i="4"/>
  <c r="EQ17" i="4"/>
  <c r="EV17" i="4"/>
  <c r="EX17" i="4"/>
  <c r="EY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F17" i="4"/>
  <c r="GG17" i="4"/>
  <c r="GJ17" i="4"/>
  <c r="GK17" i="4"/>
  <c r="GM17" i="4"/>
  <c r="GN17" i="4"/>
  <c r="GP17" i="4"/>
  <c r="HJ17" i="4"/>
  <c r="HK17" i="4"/>
  <c r="HL17" i="4"/>
  <c r="HM17" i="4"/>
  <c r="HN17" i="4"/>
  <c r="HO17" i="4"/>
  <c r="HP17" i="4"/>
  <c r="HR17" i="4"/>
  <c r="HS17" i="4"/>
  <c r="HT17" i="4"/>
  <c r="HU17" i="4"/>
  <c r="HV17" i="4"/>
  <c r="HW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A18" i="4"/>
  <c r="B18" i="4"/>
  <c r="C18" i="4"/>
  <c r="D18" i="4"/>
  <c r="E18" i="4"/>
  <c r="F18" i="4"/>
  <c r="I18" i="4"/>
  <c r="J18" i="4"/>
  <c r="K18" i="4"/>
  <c r="L18" i="4"/>
  <c r="AX18" i="4"/>
  <c r="AY18" i="4"/>
  <c r="AZ18" i="4"/>
  <c r="BB18" i="4"/>
  <c r="BC18" i="4"/>
  <c r="BT18" i="4"/>
  <c r="BU18" i="4"/>
  <c r="BV18" i="4"/>
  <c r="BW18" i="4"/>
  <c r="EC18" i="4"/>
  <c r="ED18" i="4"/>
  <c r="EE18" i="4"/>
  <c r="EF18" i="4"/>
  <c r="EG18" i="4"/>
  <c r="EL18" i="4"/>
  <c r="EM18" i="4"/>
  <c r="EN18" i="4"/>
  <c r="EO18" i="4"/>
  <c r="EP18" i="4"/>
  <c r="EQ18" i="4"/>
  <c r="EV18" i="4"/>
  <c r="EX18" i="4"/>
  <c r="EY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F18" i="4"/>
  <c r="GG18" i="4"/>
  <c r="GJ18" i="4"/>
  <c r="GK18" i="4"/>
  <c r="GM18" i="4"/>
  <c r="GN18" i="4"/>
  <c r="GP18" i="4"/>
  <c r="HJ18" i="4"/>
  <c r="HK18" i="4"/>
  <c r="HL18" i="4"/>
  <c r="HM18" i="4"/>
  <c r="HN18" i="4"/>
  <c r="HO18" i="4"/>
  <c r="HP18" i="4"/>
  <c r="HR18" i="4"/>
  <c r="HS18" i="4"/>
  <c r="HT18" i="4"/>
  <c r="HY18" i="4"/>
  <c r="ID18" i="4"/>
  <c r="IE18" i="4"/>
  <c r="IF18" i="4"/>
  <c r="IG18" i="4"/>
  <c r="II18" i="4"/>
  <c r="IJ18" i="4"/>
  <c r="IK18" i="4"/>
  <c r="IL18" i="4"/>
  <c r="A19" i="4"/>
  <c r="B19" i="4"/>
  <c r="C19" i="4"/>
  <c r="D19" i="4"/>
  <c r="E19" i="4"/>
  <c r="F19" i="4"/>
  <c r="I19" i="4"/>
  <c r="J19" i="4"/>
  <c r="K19" i="4"/>
  <c r="L19" i="4"/>
  <c r="AX19" i="4"/>
  <c r="AY19" i="4"/>
  <c r="AZ19" i="4"/>
  <c r="BB19" i="4"/>
  <c r="BC19" i="4"/>
  <c r="BT19" i="4"/>
  <c r="BU19" i="4"/>
  <c r="BV19" i="4"/>
  <c r="BW19" i="4"/>
  <c r="EC19" i="4"/>
  <c r="ED19" i="4"/>
  <c r="EE19" i="4"/>
  <c r="EF19" i="4"/>
  <c r="EG19" i="4"/>
  <c r="EL19" i="4"/>
  <c r="EM19" i="4"/>
  <c r="EN19" i="4"/>
  <c r="EO19" i="4"/>
  <c r="EP19" i="4"/>
  <c r="EQ19" i="4"/>
  <c r="EV19" i="4"/>
  <c r="EX19" i="4"/>
  <c r="EY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F19" i="4"/>
  <c r="GG19" i="4"/>
  <c r="GJ19" i="4"/>
  <c r="GK19" i="4"/>
  <c r="GM19" i="4"/>
  <c r="GN19" i="4"/>
  <c r="GP19" i="4"/>
  <c r="HJ19" i="4"/>
  <c r="HK19" i="4"/>
  <c r="HL19" i="4"/>
  <c r="HM19" i="4"/>
  <c r="HN19" i="4"/>
  <c r="HO19" i="4"/>
  <c r="HP19" i="4"/>
  <c r="HR19" i="4"/>
  <c r="HS19" i="4"/>
  <c r="HT19" i="4"/>
  <c r="HY19" i="4"/>
  <c r="ID19" i="4"/>
  <c r="IE19" i="4"/>
  <c r="IF19" i="4"/>
  <c r="IG19" i="4"/>
  <c r="II19" i="4"/>
  <c r="IJ19" i="4"/>
  <c r="IK19" i="4"/>
  <c r="IL19" i="4"/>
  <c r="A20" i="4"/>
  <c r="B20" i="4"/>
  <c r="C20" i="4"/>
  <c r="D20" i="4"/>
  <c r="E20" i="4"/>
  <c r="F20" i="4"/>
  <c r="I20" i="4"/>
  <c r="J20" i="4"/>
  <c r="K20" i="4"/>
  <c r="L20" i="4"/>
  <c r="AX20" i="4"/>
  <c r="AY20" i="4"/>
  <c r="AZ20" i="4"/>
  <c r="BB20" i="4"/>
  <c r="BC20" i="4"/>
  <c r="BT20" i="4"/>
  <c r="BU20" i="4"/>
  <c r="BV20" i="4"/>
  <c r="BW20" i="4"/>
  <c r="EC20" i="4"/>
  <c r="ED20" i="4"/>
  <c r="EE20" i="4"/>
  <c r="EF20" i="4"/>
  <c r="EG20" i="4"/>
  <c r="EL20" i="4"/>
  <c r="EM20" i="4"/>
  <c r="EN20" i="4"/>
  <c r="EO20" i="4"/>
  <c r="EP20" i="4"/>
  <c r="EQ20" i="4"/>
  <c r="EV20" i="4"/>
  <c r="EX20" i="4"/>
  <c r="EY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F20" i="4"/>
  <c r="GG20" i="4"/>
  <c r="GJ20" i="4"/>
  <c r="GK20" i="4"/>
  <c r="GM20" i="4"/>
  <c r="GN20" i="4"/>
  <c r="GP20" i="4"/>
  <c r="HJ20" i="4"/>
  <c r="HK20" i="4"/>
  <c r="HL20" i="4"/>
  <c r="HM20" i="4"/>
  <c r="HN20" i="4"/>
  <c r="HO20" i="4"/>
  <c r="HP20" i="4"/>
  <c r="HR20" i="4"/>
  <c r="HS20" i="4"/>
  <c r="HT20" i="4"/>
  <c r="HY20" i="4"/>
  <c r="ID20" i="4"/>
  <c r="IE20" i="4"/>
  <c r="IF20" i="4"/>
  <c r="IG20" i="4"/>
  <c r="II20" i="4"/>
  <c r="IJ20" i="4"/>
  <c r="IK20" i="4"/>
  <c r="IL20" i="4"/>
  <c r="A21" i="4"/>
  <c r="B21" i="4"/>
  <c r="C21" i="4"/>
  <c r="D21" i="4"/>
  <c r="E21" i="4"/>
  <c r="F21" i="4"/>
  <c r="I21" i="4"/>
  <c r="J21" i="4"/>
  <c r="K21" i="4"/>
  <c r="L21" i="4"/>
  <c r="AX21" i="4"/>
  <c r="AY21" i="4"/>
  <c r="AZ21" i="4"/>
  <c r="BB21" i="4"/>
  <c r="BC21" i="4"/>
  <c r="BT21" i="4"/>
  <c r="BU21" i="4"/>
  <c r="BV21" i="4"/>
  <c r="BW21" i="4"/>
  <c r="EC21" i="4"/>
  <c r="ED21" i="4"/>
  <c r="EE21" i="4"/>
  <c r="EF21" i="4"/>
  <c r="EG21" i="4"/>
  <c r="EL21" i="4"/>
  <c r="EM21" i="4"/>
  <c r="EN21" i="4"/>
  <c r="EO21" i="4"/>
  <c r="EP21" i="4"/>
  <c r="EQ21" i="4"/>
  <c r="EV21" i="4"/>
  <c r="EX21" i="4"/>
  <c r="EY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F21" i="4"/>
  <c r="GG21" i="4"/>
  <c r="GJ21" i="4"/>
  <c r="GK21" i="4"/>
  <c r="GM21" i="4"/>
  <c r="GN21" i="4"/>
  <c r="GP21" i="4"/>
  <c r="HJ21" i="4"/>
  <c r="HK21" i="4"/>
  <c r="HL21" i="4"/>
  <c r="HM21" i="4"/>
  <c r="HN21" i="4"/>
  <c r="HO21" i="4"/>
  <c r="HP21" i="4"/>
  <c r="HR21" i="4"/>
  <c r="HS21" i="4"/>
  <c r="HT21" i="4"/>
  <c r="HY21" i="4"/>
  <c r="ID21" i="4"/>
  <c r="IE21" i="4"/>
  <c r="IF21" i="4"/>
  <c r="IG21" i="4"/>
  <c r="II21" i="4"/>
  <c r="IJ21" i="4"/>
  <c r="IK21" i="4"/>
  <c r="IL21" i="4"/>
  <c r="A22" i="4"/>
  <c r="B22" i="4"/>
  <c r="C22" i="4"/>
  <c r="D22" i="4"/>
  <c r="E22" i="4"/>
  <c r="F22" i="4"/>
  <c r="I22" i="4"/>
  <c r="J22" i="4"/>
  <c r="K22" i="4"/>
  <c r="L22" i="4"/>
  <c r="AX22" i="4"/>
  <c r="AY22" i="4"/>
  <c r="AZ22" i="4"/>
  <c r="BB22" i="4"/>
  <c r="BC22" i="4"/>
  <c r="BT22" i="4"/>
  <c r="BU22" i="4"/>
  <c r="BV22" i="4"/>
  <c r="BW22" i="4"/>
  <c r="EC22" i="4"/>
  <c r="ED22" i="4"/>
  <c r="EE22" i="4"/>
  <c r="EF22" i="4"/>
  <c r="EG22" i="4"/>
  <c r="EL22" i="4"/>
  <c r="EM22" i="4"/>
  <c r="EN22" i="4"/>
  <c r="EO22" i="4"/>
  <c r="EP22" i="4"/>
  <c r="EQ22" i="4"/>
  <c r="EV22" i="4"/>
  <c r="EX22" i="4"/>
  <c r="EY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F22" i="4"/>
  <c r="GG22" i="4"/>
  <c r="GJ22" i="4"/>
  <c r="GK22" i="4"/>
  <c r="GM22" i="4"/>
  <c r="GN22" i="4"/>
  <c r="GP22" i="4"/>
  <c r="HJ22" i="4"/>
  <c r="HK22" i="4"/>
  <c r="HL22" i="4"/>
  <c r="HM22" i="4"/>
  <c r="HN22" i="4"/>
  <c r="HO22" i="4"/>
  <c r="HP22" i="4"/>
  <c r="HR22" i="4"/>
  <c r="HS22" i="4"/>
  <c r="HT22" i="4"/>
  <c r="HY22" i="4"/>
  <c r="ID22" i="4"/>
  <c r="IE22" i="4"/>
  <c r="IF22" i="4"/>
  <c r="IG22" i="4"/>
  <c r="II22" i="4"/>
  <c r="IJ22" i="4"/>
  <c r="IK22" i="4"/>
  <c r="IL22" i="4"/>
  <c r="A23" i="4"/>
  <c r="B23" i="4"/>
  <c r="C23" i="4"/>
  <c r="D23" i="4"/>
  <c r="E23" i="4"/>
  <c r="F23" i="4"/>
  <c r="I23" i="4"/>
  <c r="J23" i="4"/>
  <c r="K23" i="4"/>
  <c r="L23" i="4"/>
  <c r="AX23" i="4"/>
  <c r="AY23" i="4"/>
  <c r="AZ23" i="4"/>
  <c r="BB23" i="4"/>
  <c r="BC23" i="4"/>
  <c r="BT23" i="4"/>
  <c r="BU23" i="4"/>
  <c r="BV23" i="4"/>
  <c r="BW23" i="4"/>
  <c r="EC23" i="4"/>
  <c r="ED23" i="4"/>
  <c r="EE23" i="4"/>
  <c r="EF23" i="4"/>
  <c r="EG23" i="4"/>
  <c r="EL23" i="4"/>
  <c r="EM23" i="4"/>
  <c r="EN23" i="4"/>
  <c r="EO23" i="4"/>
  <c r="EP23" i="4"/>
  <c r="EQ23" i="4"/>
  <c r="EV23" i="4"/>
  <c r="EX23" i="4"/>
  <c r="EY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F23" i="4"/>
  <c r="GG23" i="4"/>
  <c r="GJ23" i="4"/>
  <c r="GK23" i="4"/>
  <c r="GM23" i="4"/>
  <c r="GN23" i="4"/>
  <c r="GP23" i="4"/>
  <c r="HJ23" i="4"/>
  <c r="HK23" i="4"/>
  <c r="HL23" i="4"/>
  <c r="HM23" i="4"/>
  <c r="HN23" i="4"/>
  <c r="HO23" i="4"/>
  <c r="HP23" i="4"/>
  <c r="HR23" i="4"/>
  <c r="HS23" i="4"/>
  <c r="HT23" i="4"/>
  <c r="HY23" i="4"/>
  <c r="ID23" i="4"/>
  <c r="IE23" i="4"/>
  <c r="IF23" i="4"/>
  <c r="IG23" i="4"/>
  <c r="II23" i="4"/>
  <c r="IJ23" i="4"/>
  <c r="IK23" i="4"/>
  <c r="IL23" i="4"/>
  <c r="A24" i="4"/>
  <c r="B24" i="4"/>
  <c r="C24" i="4"/>
  <c r="D24" i="4"/>
  <c r="E24" i="4"/>
  <c r="F24" i="4"/>
  <c r="I24" i="4"/>
  <c r="J24" i="4"/>
  <c r="K24" i="4"/>
  <c r="L24" i="4"/>
  <c r="AX24" i="4"/>
  <c r="AY24" i="4"/>
  <c r="AZ24" i="4"/>
  <c r="BB24" i="4"/>
  <c r="BC24" i="4"/>
  <c r="BT24" i="4"/>
  <c r="BU24" i="4"/>
  <c r="BV24" i="4"/>
  <c r="BW24" i="4"/>
  <c r="EC24" i="4"/>
  <c r="ED24" i="4"/>
  <c r="EE24" i="4"/>
  <c r="EF24" i="4"/>
  <c r="EG24" i="4"/>
  <c r="EL24" i="4"/>
  <c r="EM24" i="4"/>
  <c r="EN24" i="4"/>
  <c r="EO24" i="4"/>
  <c r="EP24" i="4"/>
  <c r="EQ24" i="4"/>
  <c r="EV24" i="4"/>
  <c r="EX24" i="4"/>
  <c r="EY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F24" i="4"/>
  <c r="GG24" i="4"/>
  <c r="GJ24" i="4"/>
  <c r="GK24" i="4"/>
  <c r="GM24" i="4"/>
  <c r="GN24" i="4"/>
  <c r="GP24" i="4"/>
  <c r="HJ24" i="4"/>
  <c r="HK24" i="4"/>
  <c r="HL24" i="4"/>
  <c r="HM24" i="4"/>
  <c r="HN24" i="4"/>
  <c r="HO24" i="4"/>
  <c r="HP24" i="4"/>
  <c r="HR24" i="4"/>
  <c r="HS24" i="4"/>
  <c r="HT24" i="4"/>
  <c r="HY24" i="4"/>
  <c r="ID24" i="4"/>
  <c r="IE24" i="4"/>
  <c r="IF24" i="4"/>
  <c r="IG24" i="4"/>
  <c r="II24" i="4"/>
  <c r="IJ24" i="4"/>
  <c r="IK24" i="4"/>
  <c r="IL24" i="4"/>
  <c r="A25" i="4"/>
  <c r="B25" i="4"/>
  <c r="C25" i="4"/>
  <c r="D25" i="4"/>
  <c r="E25" i="4"/>
  <c r="F25" i="4"/>
  <c r="I25" i="4"/>
  <c r="J25" i="4"/>
  <c r="K25" i="4"/>
  <c r="L25" i="4"/>
  <c r="AX25" i="4"/>
  <c r="AY25" i="4"/>
  <c r="AZ25" i="4"/>
  <c r="BB25" i="4"/>
  <c r="BC25" i="4"/>
  <c r="BT25" i="4"/>
  <c r="BU25" i="4"/>
  <c r="BV25" i="4"/>
  <c r="BW25" i="4"/>
  <c r="EC25" i="4"/>
  <c r="ED25" i="4"/>
  <c r="EE25" i="4"/>
  <c r="EF25" i="4"/>
  <c r="EG25" i="4"/>
  <c r="EL25" i="4"/>
  <c r="EM25" i="4"/>
  <c r="EN25" i="4"/>
  <c r="EO25" i="4"/>
  <c r="EP25" i="4"/>
  <c r="EQ25" i="4"/>
  <c r="EV25" i="4"/>
  <c r="EX25" i="4"/>
  <c r="EY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F25" i="4"/>
  <c r="GG25" i="4"/>
  <c r="GJ25" i="4"/>
  <c r="GK25" i="4"/>
  <c r="GM25" i="4"/>
  <c r="GN25" i="4"/>
  <c r="GP25" i="4"/>
  <c r="HJ25" i="4"/>
  <c r="HK25" i="4"/>
  <c r="HL25" i="4"/>
  <c r="HM25" i="4"/>
  <c r="HN25" i="4"/>
  <c r="HO25" i="4"/>
  <c r="HP25" i="4"/>
  <c r="HR25" i="4"/>
  <c r="HS25" i="4"/>
  <c r="HT25" i="4"/>
  <c r="HY25" i="4"/>
  <c r="ID25" i="4"/>
  <c r="IE25" i="4"/>
  <c r="IF25" i="4"/>
  <c r="IG25" i="4"/>
  <c r="II25" i="4"/>
  <c r="IJ25" i="4"/>
  <c r="IK25" i="4"/>
  <c r="IL25" i="4"/>
  <c r="A26" i="4"/>
  <c r="B26" i="4"/>
  <c r="C26" i="4"/>
  <c r="D26" i="4"/>
  <c r="E26" i="4"/>
  <c r="F26" i="4"/>
  <c r="I26" i="4"/>
  <c r="J26" i="4"/>
  <c r="K26" i="4"/>
  <c r="L26" i="4"/>
  <c r="AX26" i="4"/>
  <c r="AY26" i="4"/>
  <c r="AZ26" i="4"/>
  <c r="BB26" i="4"/>
  <c r="BC26" i="4"/>
  <c r="BT26" i="4"/>
  <c r="BU26" i="4"/>
  <c r="BV26" i="4"/>
  <c r="BW26" i="4"/>
  <c r="EC26" i="4"/>
  <c r="ED26" i="4"/>
  <c r="EE26" i="4"/>
  <c r="EF26" i="4"/>
  <c r="EG26" i="4"/>
  <c r="EL26" i="4"/>
  <c r="EM26" i="4"/>
  <c r="EN26" i="4"/>
  <c r="EO26" i="4"/>
  <c r="EP26" i="4"/>
  <c r="EQ26" i="4"/>
  <c r="EV26" i="4"/>
  <c r="EX26" i="4"/>
  <c r="EY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F26" i="4"/>
  <c r="GG26" i="4"/>
  <c r="GJ26" i="4"/>
  <c r="GK26" i="4"/>
  <c r="GM26" i="4"/>
  <c r="GN26" i="4"/>
  <c r="GP26" i="4"/>
  <c r="HJ26" i="4"/>
  <c r="HK26" i="4"/>
  <c r="HL26" i="4"/>
  <c r="HM26" i="4"/>
  <c r="HN26" i="4"/>
  <c r="HO26" i="4"/>
  <c r="HP26" i="4"/>
  <c r="HR26" i="4"/>
  <c r="HS26" i="4"/>
  <c r="HT26" i="4"/>
  <c r="HY26" i="4"/>
  <c r="ID26" i="4"/>
  <c r="IE26" i="4"/>
  <c r="IF26" i="4"/>
  <c r="IG26" i="4"/>
  <c r="II26" i="4"/>
  <c r="IJ26" i="4"/>
  <c r="IK26" i="4"/>
  <c r="IL26" i="4"/>
  <c r="A27" i="4"/>
  <c r="B27" i="4"/>
  <c r="C27" i="4"/>
  <c r="D27" i="4"/>
  <c r="E27" i="4"/>
  <c r="F27" i="4"/>
  <c r="I27" i="4"/>
  <c r="J27" i="4"/>
  <c r="K27" i="4"/>
  <c r="L27" i="4"/>
  <c r="AX27" i="4"/>
  <c r="AY27" i="4"/>
  <c r="AZ27" i="4"/>
  <c r="BB27" i="4"/>
  <c r="BC27" i="4"/>
  <c r="BT27" i="4"/>
  <c r="BU27" i="4"/>
  <c r="BV27" i="4"/>
  <c r="BW27" i="4"/>
  <c r="EC27" i="4"/>
  <c r="ED27" i="4"/>
  <c r="EE27" i="4"/>
  <c r="EF27" i="4"/>
  <c r="EG27" i="4"/>
  <c r="EL27" i="4"/>
  <c r="EM27" i="4"/>
  <c r="EN27" i="4"/>
  <c r="EO27" i="4"/>
  <c r="EP27" i="4"/>
  <c r="EQ27" i="4"/>
  <c r="EV27" i="4"/>
  <c r="EX27" i="4"/>
  <c r="EY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F27" i="4"/>
  <c r="GG27" i="4"/>
  <c r="GJ27" i="4"/>
  <c r="GK27" i="4"/>
  <c r="GM27" i="4"/>
  <c r="GN27" i="4"/>
  <c r="GP27" i="4"/>
  <c r="HJ27" i="4"/>
  <c r="HK27" i="4"/>
  <c r="HL27" i="4"/>
  <c r="HM27" i="4"/>
  <c r="HN27" i="4"/>
  <c r="HO27" i="4"/>
  <c r="HP27" i="4"/>
  <c r="HR27" i="4"/>
  <c r="HS27" i="4"/>
  <c r="HT27" i="4"/>
  <c r="HY27" i="4"/>
  <c r="ID27" i="4"/>
  <c r="IE27" i="4"/>
  <c r="IF27" i="4"/>
  <c r="IG27" i="4"/>
  <c r="II27" i="4"/>
  <c r="IJ27" i="4"/>
  <c r="IK27" i="4"/>
  <c r="IL27" i="4"/>
  <c r="A28" i="4"/>
  <c r="B28" i="4"/>
  <c r="C28" i="4"/>
  <c r="D28" i="4"/>
  <c r="E28" i="4"/>
  <c r="F28" i="4"/>
  <c r="I28" i="4"/>
  <c r="J28" i="4"/>
  <c r="K28" i="4"/>
  <c r="L28" i="4"/>
  <c r="AX28" i="4"/>
  <c r="AY28" i="4"/>
  <c r="AZ28" i="4"/>
  <c r="BB28" i="4"/>
  <c r="BC28" i="4"/>
  <c r="BT28" i="4"/>
  <c r="BU28" i="4"/>
  <c r="BV28" i="4"/>
  <c r="BW28" i="4"/>
  <c r="EC28" i="4"/>
  <c r="ED28" i="4"/>
  <c r="EE28" i="4"/>
  <c r="EF28" i="4"/>
  <c r="EG28" i="4"/>
  <c r="EL28" i="4"/>
  <c r="EM28" i="4"/>
  <c r="EN28" i="4"/>
  <c r="EO28" i="4"/>
  <c r="EP28" i="4"/>
  <c r="EQ28" i="4"/>
  <c r="EV28" i="4"/>
  <c r="EX28" i="4"/>
  <c r="EY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F28" i="4"/>
  <c r="GG28" i="4"/>
  <c r="GJ28" i="4"/>
  <c r="GK28" i="4"/>
  <c r="GM28" i="4"/>
  <c r="GN28" i="4"/>
  <c r="GP28" i="4"/>
  <c r="HJ28" i="4"/>
  <c r="HK28" i="4"/>
  <c r="HL28" i="4"/>
  <c r="HM28" i="4"/>
  <c r="HN28" i="4"/>
  <c r="HO28" i="4"/>
  <c r="HP28" i="4"/>
  <c r="HR28" i="4"/>
  <c r="HS28" i="4"/>
  <c r="HT28" i="4"/>
  <c r="HY28" i="4"/>
  <c r="ID28" i="4"/>
  <c r="IE28" i="4"/>
  <c r="IF28" i="4"/>
  <c r="IG28" i="4"/>
  <c r="II28" i="4"/>
  <c r="IJ28" i="4"/>
  <c r="IK28" i="4"/>
  <c r="IL28" i="4"/>
  <c r="A29" i="4"/>
  <c r="B29" i="4"/>
  <c r="C29" i="4"/>
  <c r="D29" i="4"/>
  <c r="E29" i="4"/>
  <c r="F29" i="4"/>
  <c r="I29" i="4"/>
  <c r="J29" i="4"/>
  <c r="K29" i="4"/>
  <c r="L29" i="4"/>
  <c r="N29" i="4"/>
  <c r="O29" i="4"/>
  <c r="P29" i="4"/>
  <c r="Q29" i="4"/>
  <c r="R29" i="4"/>
  <c r="S29" i="4"/>
  <c r="T29" i="4"/>
  <c r="U29" i="4"/>
  <c r="V29" i="4"/>
  <c r="W29" i="4"/>
  <c r="X29" i="4"/>
  <c r="AX29" i="4"/>
  <c r="AY29" i="4"/>
  <c r="AZ29" i="4"/>
  <c r="BB29" i="4"/>
  <c r="BC29" i="4"/>
  <c r="BT29" i="4"/>
  <c r="BU29" i="4"/>
  <c r="BV29" i="4"/>
  <c r="BW29" i="4"/>
  <c r="EC29" i="4"/>
  <c r="ED29" i="4"/>
  <c r="EE29" i="4"/>
  <c r="EF29" i="4"/>
  <c r="EG29" i="4"/>
  <c r="EL29" i="4"/>
  <c r="EM29" i="4"/>
  <c r="EN29" i="4"/>
  <c r="EO29" i="4"/>
  <c r="EP29" i="4"/>
  <c r="EQ29" i="4"/>
  <c r="EV29" i="4"/>
  <c r="EX29" i="4"/>
  <c r="EY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F29" i="4"/>
  <c r="GG29" i="4"/>
  <c r="GJ29" i="4"/>
  <c r="GK29" i="4"/>
  <c r="GM29" i="4"/>
  <c r="GN29" i="4"/>
  <c r="GP29" i="4"/>
  <c r="HJ29" i="4"/>
  <c r="HK29" i="4"/>
  <c r="HL29" i="4"/>
  <c r="HM29" i="4"/>
  <c r="HN29" i="4"/>
  <c r="HO29" i="4"/>
  <c r="HP29" i="4"/>
  <c r="HR29" i="4"/>
  <c r="HS29" i="4"/>
  <c r="HT29" i="4"/>
  <c r="HY29" i="4"/>
  <c r="ID29" i="4"/>
  <c r="IE29" i="4"/>
  <c r="IF29" i="4"/>
  <c r="IG29" i="4"/>
  <c r="II29" i="4"/>
  <c r="IJ29" i="4"/>
  <c r="IK29" i="4"/>
  <c r="IL29" i="4"/>
  <c r="A30" i="4"/>
  <c r="B30" i="4"/>
  <c r="C30" i="4"/>
  <c r="D30" i="4"/>
  <c r="E30" i="4"/>
  <c r="F30" i="4"/>
  <c r="I30" i="4"/>
  <c r="J30" i="4"/>
  <c r="K30" i="4"/>
  <c r="L30" i="4"/>
  <c r="N30" i="4"/>
  <c r="O30" i="4"/>
  <c r="P30" i="4"/>
  <c r="Q30" i="4"/>
  <c r="R30" i="4"/>
  <c r="S30" i="4"/>
  <c r="T30" i="4"/>
  <c r="U30" i="4"/>
  <c r="V30" i="4"/>
  <c r="W30" i="4"/>
  <c r="X30" i="4"/>
  <c r="AX30" i="4"/>
  <c r="AY30" i="4"/>
  <c r="AZ30" i="4"/>
  <c r="BB30" i="4"/>
  <c r="BC30" i="4"/>
  <c r="BT30" i="4"/>
  <c r="BU30" i="4"/>
  <c r="BV30" i="4"/>
  <c r="BW30" i="4"/>
  <c r="EC30" i="4"/>
  <c r="ED30" i="4"/>
  <c r="EE30" i="4"/>
  <c r="EF30" i="4"/>
  <c r="EG30" i="4"/>
  <c r="EL30" i="4"/>
  <c r="EM30" i="4"/>
  <c r="EN30" i="4"/>
  <c r="EO30" i="4"/>
  <c r="EP30" i="4"/>
  <c r="EQ30" i="4"/>
  <c r="EV30" i="4"/>
  <c r="EX30" i="4"/>
  <c r="EY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F30" i="4"/>
  <c r="GG30" i="4"/>
  <c r="GJ30" i="4"/>
  <c r="GK30" i="4"/>
  <c r="GM30" i="4"/>
  <c r="GN30" i="4"/>
  <c r="GP30" i="4"/>
  <c r="HJ30" i="4"/>
  <c r="HK30" i="4"/>
  <c r="HL30" i="4"/>
  <c r="HM30" i="4"/>
  <c r="HN30" i="4"/>
  <c r="HO30" i="4"/>
  <c r="HP30" i="4"/>
  <c r="HR30" i="4"/>
  <c r="HS30" i="4"/>
  <c r="HT30" i="4"/>
  <c r="HY30" i="4"/>
  <c r="ID30" i="4"/>
  <c r="IE30" i="4"/>
  <c r="IF30" i="4"/>
  <c r="IG30" i="4"/>
  <c r="II30" i="4"/>
  <c r="IJ30" i="4"/>
  <c r="IK30" i="4"/>
  <c r="IL30" i="4"/>
  <c r="A31" i="4"/>
  <c r="B31" i="4"/>
  <c r="C31" i="4"/>
  <c r="D31" i="4"/>
  <c r="E31" i="4"/>
  <c r="F31" i="4"/>
  <c r="I31" i="4"/>
  <c r="J31" i="4"/>
  <c r="K31" i="4"/>
  <c r="L31" i="4"/>
  <c r="N31" i="4"/>
  <c r="O31" i="4"/>
  <c r="P31" i="4"/>
  <c r="Q31" i="4"/>
  <c r="R31" i="4"/>
  <c r="S31" i="4"/>
  <c r="T31" i="4"/>
  <c r="U31" i="4"/>
  <c r="V31" i="4"/>
  <c r="W31" i="4"/>
  <c r="X31" i="4"/>
  <c r="AX31" i="4"/>
  <c r="AY31" i="4"/>
  <c r="AZ31" i="4"/>
  <c r="BB31" i="4"/>
  <c r="BC31" i="4"/>
  <c r="BT31" i="4"/>
  <c r="BU31" i="4"/>
  <c r="BV31" i="4"/>
  <c r="BW31" i="4"/>
  <c r="EC31" i="4"/>
  <c r="ED31" i="4"/>
  <c r="EE31" i="4"/>
  <c r="EF31" i="4"/>
  <c r="EG31" i="4"/>
  <c r="EL31" i="4"/>
  <c r="EM31" i="4"/>
  <c r="EN31" i="4"/>
  <c r="EO31" i="4"/>
  <c r="EP31" i="4"/>
  <c r="EQ31" i="4"/>
  <c r="EV31" i="4"/>
  <c r="EX31" i="4"/>
  <c r="EY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F31" i="4"/>
  <c r="GG31" i="4"/>
  <c r="GJ31" i="4"/>
  <c r="GK31" i="4"/>
  <c r="GM31" i="4"/>
  <c r="GN31" i="4"/>
  <c r="GP31" i="4"/>
  <c r="HJ31" i="4"/>
  <c r="HK31" i="4"/>
  <c r="HL31" i="4"/>
  <c r="HM31" i="4"/>
  <c r="HN31" i="4"/>
  <c r="HO31" i="4"/>
  <c r="HP31" i="4"/>
  <c r="HR31" i="4"/>
  <c r="HS31" i="4"/>
  <c r="HT31" i="4"/>
  <c r="HY31" i="4"/>
  <c r="ID31" i="4"/>
  <c r="IE31" i="4"/>
  <c r="IF31" i="4"/>
  <c r="IG31" i="4"/>
  <c r="II31" i="4"/>
  <c r="IJ31" i="4"/>
  <c r="IK31" i="4"/>
  <c r="IL31" i="4"/>
  <c r="A32" i="4"/>
  <c r="B32" i="4"/>
  <c r="C32" i="4"/>
  <c r="D32" i="4"/>
  <c r="E32" i="4"/>
  <c r="F32" i="4"/>
  <c r="I32" i="4"/>
  <c r="J32" i="4"/>
  <c r="K32" i="4"/>
  <c r="L32" i="4"/>
  <c r="N32" i="4"/>
  <c r="O32" i="4"/>
  <c r="P32" i="4"/>
  <c r="Q32" i="4"/>
  <c r="R32" i="4"/>
  <c r="S32" i="4"/>
  <c r="T32" i="4"/>
  <c r="U32" i="4"/>
  <c r="V32" i="4"/>
  <c r="W32" i="4"/>
  <c r="X32" i="4"/>
  <c r="AX32" i="4"/>
  <c r="AY32" i="4"/>
  <c r="AZ32" i="4"/>
  <c r="BB32" i="4"/>
  <c r="BC32" i="4"/>
  <c r="BT32" i="4"/>
  <c r="BU32" i="4"/>
  <c r="BV32" i="4"/>
  <c r="BW32" i="4"/>
  <c r="EC32" i="4"/>
  <c r="ED32" i="4"/>
  <c r="EE32" i="4"/>
  <c r="EF32" i="4"/>
  <c r="EG32" i="4"/>
  <c r="EL32" i="4"/>
  <c r="EM32" i="4"/>
  <c r="EN32" i="4"/>
  <c r="EO32" i="4"/>
  <c r="EP32" i="4"/>
  <c r="EQ32" i="4"/>
  <c r="EV32" i="4"/>
  <c r="EX32" i="4"/>
  <c r="EY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F32" i="4"/>
  <c r="GG32" i="4"/>
  <c r="GJ32" i="4"/>
  <c r="GK32" i="4"/>
  <c r="GM32" i="4"/>
  <c r="GN32" i="4"/>
  <c r="GP32" i="4"/>
  <c r="HJ32" i="4"/>
  <c r="HK32" i="4"/>
  <c r="HL32" i="4"/>
  <c r="HM32" i="4"/>
  <c r="HN32" i="4"/>
  <c r="HO32" i="4"/>
  <c r="HP32" i="4"/>
  <c r="HR32" i="4"/>
  <c r="HS32" i="4"/>
  <c r="HT32" i="4"/>
  <c r="HY32" i="4"/>
  <c r="ID32" i="4"/>
  <c r="IE32" i="4"/>
  <c r="IF32" i="4"/>
  <c r="IG32" i="4"/>
  <c r="II32" i="4"/>
  <c r="IJ32" i="4"/>
  <c r="IK32" i="4"/>
  <c r="IL32" i="4"/>
  <c r="A33" i="4"/>
  <c r="B33" i="4"/>
  <c r="C33" i="4"/>
  <c r="D33" i="4"/>
  <c r="E33" i="4"/>
  <c r="F33" i="4"/>
  <c r="I33" i="4"/>
  <c r="J33" i="4"/>
  <c r="K33" i="4"/>
  <c r="L33" i="4"/>
  <c r="N33" i="4"/>
  <c r="O33" i="4"/>
  <c r="P33" i="4"/>
  <c r="Q33" i="4"/>
  <c r="R33" i="4"/>
  <c r="S33" i="4"/>
  <c r="T33" i="4"/>
  <c r="U33" i="4"/>
  <c r="V33" i="4"/>
  <c r="W33" i="4"/>
  <c r="X33" i="4"/>
  <c r="AX33" i="4"/>
  <c r="AY33" i="4"/>
  <c r="AZ33" i="4"/>
  <c r="BB33" i="4"/>
  <c r="BC33" i="4"/>
  <c r="BT33" i="4"/>
  <c r="BU33" i="4"/>
  <c r="BV33" i="4"/>
  <c r="BW33" i="4"/>
  <c r="EC33" i="4"/>
  <c r="ED33" i="4"/>
  <c r="EE33" i="4"/>
  <c r="EF33" i="4"/>
  <c r="EG33" i="4"/>
  <c r="EL33" i="4"/>
  <c r="EM33" i="4"/>
  <c r="EN33" i="4"/>
  <c r="EO33" i="4"/>
  <c r="EP33" i="4"/>
  <c r="EQ33" i="4"/>
  <c r="EV33" i="4"/>
  <c r="EX33" i="4"/>
  <c r="EY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F33" i="4"/>
  <c r="GG33" i="4"/>
  <c r="GJ33" i="4"/>
  <c r="GK33" i="4"/>
  <c r="GM33" i="4"/>
  <c r="GN33" i="4"/>
  <c r="GP33" i="4"/>
  <c r="HJ33" i="4"/>
  <c r="HK33" i="4"/>
  <c r="HL33" i="4"/>
  <c r="HM33" i="4"/>
  <c r="HN33" i="4"/>
  <c r="HO33" i="4"/>
  <c r="HP33" i="4"/>
  <c r="HR33" i="4"/>
  <c r="HS33" i="4"/>
  <c r="HT33" i="4"/>
  <c r="HY33" i="4"/>
  <c r="ID33" i="4"/>
  <c r="IE33" i="4"/>
  <c r="IF33" i="4"/>
  <c r="IG33" i="4"/>
  <c r="II33" i="4"/>
  <c r="IJ33" i="4"/>
  <c r="IK33" i="4"/>
  <c r="IL33" i="4"/>
  <c r="A34" i="4"/>
  <c r="B34" i="4"/>
  <c r="C34" i="4"/>
  <c r="D34" i="4"/>
  <c r="E34" i="4"/>
  <c r="F34" i="4"/>
  <c r="I34" i="4"/>
  <c r="J34" i="4"/>
  <c r="K34" i="4"/>
  <c r="L34" i="4"/>
  <c r="N34" i="4"/>
  <c r="O34" i="4"/>
  <c r="P34" i="4"/>
  <c r="Q34" i="4"/>
  <c r="R34" i="4"/>
  <c r="S34" i="4"/>
  <c r="T34" i="4"/>
  <c r="U34" i="4"/>
  <c r="V34" i="4"/>
  <c r="W34" i="4"/>
  <c r="X34" i="4"/>
  <c r="AX34" i="4"/>
  <c r="AY34" i="4"/>
  <c r="AZ34" i="4"/>
  <c r="BB34" i="4"/>
  <c r="BC34" i="4"/>
  <c r="BT34" i="4"/>
  <c r="BU34" i="4"/>
  <c r="BV34" i="4"/>
  <c r="BW34" i="4"/>
  <c r="EC34" i="4"/>
  <c r="ED34" i="4"/>
  <c r="EE34" i="4"/>
  <c r="EF34" i="4"/>
  <c r="EG34" i="4"/>
  <c r="EL34" i="4"/>
  <c r="EM34" i="4"/>
  <c r="EN34" i="4"/>
  <c r="EO34" i="4"/>
  <c r="EP34" i="4"/>
  <c r="EQ34" i="4"/>
  <c r="EV34" i="4"/>
  <c r="EX34" i="4"/>
  <c r="EY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F34" i="4"/>
  <c r="GG34" i="4"/>
  <c r="GJ34" i="4"/>
  <c r="GK34" i="4"/>
  <c r="GM34" i="4"/>
  <c r="GN34" i="4"/>
  <c r="GP34" i="4"/>
  <c r="HJ34" i="4"/>
  <c r="HK34" i="4"/>
  <c r="HL34" i="4"/>
  <c r="HM34" i="4"/>
  <c r="HN34" i="4"/>
  <c r="HO34" i="4"/>
  <c r="HP34" i="4"/>
  <c r="HR34" i="4"/>
  <c r="HS34" i="4"/>
  <c r="HT34" i="4"/>
  <c r="HY34" i="4"/>
  <c r="ID34" i="4"/>
  <c r="IE34" i="4"/>
  <c r="IF34" i="4"/>
  <c r="IG34" i="4"/>
  <c r="II34" i="4"/>
  <c r="IJ34" i="4"/>
  <c r="IK34" i="4"/>
  <c r="IL34" i="4"/>
  <c r="A35" i="4"/>
  <c r="B35" i="4"/>
  <c r="C35" i="4"/>
  <c r="D35" i="4"/>
  <c r="E35" i="4"/>
  <c r="F35" i="4"/>
  <c r="I35" i="4"/>
  <c r="J35" i="4"/>
  <c r="K35" i="4"/>
  <c r="L35" i="4"/>
  <c r="N35" i="4"/>
  <c r="O35" i="4"/>
  <c r="P35" i="4"/>
  <c r="Q35" i="4"/>
  <c r="R35" i="4"/>
  <c r="S35" i="4"/>
  <c r="T35" i="4"/>
  <c r="U35" i="4"/>
  <c r="V35" i="4"/>
  <c r="W35" i="4"/>
  <c r="X35" i="4"/>
  <c r="AX35" i="4"/>
  <c r="AY35" i="4"/>
  <c r="AZ35" i="4"/>
  <c r="BB35" i="4"/>
  <c r="BC35" i="4"/>
  <c r="BT35" i="4"/>
  <c r="BU35" i="4"/>
  <c r="BV35" i="4"/>
  <c r="BW35" i="4"/>
  <c r="EC35" i="4"/>
  <c r="ED35" i="4"/>
  <c r="EE35" i="4"/>
  <c r="EF35" i="4"/>
  <c r="EG35" i="4"/>
  <c r="EL35" i="4"/>
  <c r="EM35" i="4"/>
  <c r="EN35" i="4"/>
  <c r="EO35" i="4"/>
  <c r="EP35" i="4"/>
  <c r="EQ35" i="4"/>
  <c r="EV35" i="4"/>
  <c r="EX35" i="4"/>
  <c r="EY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F35" i="4"/>
  <c r="GG35" i="4"/>
  <c r="GJ35" i="4"/>
  <c r="GK35" i="4"/>
  <c r="GM35" i="4"/>
  <c r="GN35" i="4"/>
  <c r="GP35" i="4"/>
  <c r="HJ35" i="4"/>
  <c r="HK35" i="4"/>
  <c r="HL35" i="4"/>
  <c r="HM35" i="4"/>
  <c r="HN35" i="4"/>
  <c r="HO35" i="4"/>
  <c r="HP35" i="4"/>
  <c r="HR35" i="4"/>
  <c r="HS35" i="4"/>
  <c r="HT35" i="4"/>
  <c r="HY35" i="4"/>
  <c r="ID35" i="4"/>
  <c r="IE35" i="4"/>
  <c r="IF35" i="4"/>
  <c r="IG35" i="4"/>
  <c r="II35" i="4"/>
  <c r="IJ35" i="4"/>
  <c r="IK35" i="4"/>
  <c r="IL35" i="4"/>
  <c r="A36" i="4"/>
  <c r="B36" i="4"/>
  <c r="C36" i="4"/>
  <c r="D36" i="4"/>
  <c r="E36" i="4"/>
  <c r="F36" i="4"/>
  <c r="I36" i="4"/>
  <c r="J36" i="4"/>
  <c r="K36" i="4"/>
  <c r="L36" i="4"/>
  <c r="N36" i="4"/>
  <c r="O36" i="4"/>
  <c r="P36" i="4"/>
  <c r="Q36" i="4"/>
  <c r="R36" i="4"/>
  <c r="S36" i="4"/>
  <c r="T36" i="4"/>
  <c r="U36" i="4"/>
  <c r="V36" i="4"/>
  <c r="W36" i="4"/>
  <c r="X36" i="4"/>
  <c r="AX36" i="4"/>
  <c r="AY36" i="4"/>
  <c r="AZ36" i="4"/>
  <c r="BB36" i="4"/>
  <c r="BC36" i="4"/>
  <c r="BT36" i="4"/>
  <c r="BU36" i="4"/>
  <c r="BV36" i="4"/>
  <c r="BW36" i="4"/>
  <c r="EC36" i="4"/>
  <c r="ED36" i="4"/>
  <c r="EE36" i="4"/>
  <c r="EF36" i="4"/>
  <c r="EG36" i="4"/>
  <c r="EL36" i="4"/>
  <c r="EM36" i="4"/>
  <c r="EN36" i="4"/>
  <c r="EO36" i="4"/>
  <c r="EP36" i="4"/>
  <c r="EQ36" i="4"/>
  <c r="EV36" i="4"/>
  <c r="EX36" i="4"/>
  <c r="EY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F36" i="4"/>
  <c r="GG36" i="4"/>
  <c r="GJ36" i="4"/>
  <c r="GK36" i="4"/>
  <c r="GM36" i="4"/>
  <c r="GN36" i="4"/>
  <c r="GP36" i="4"/>
  <c r="HJ36" i="4"/>
  <c r="HK36" i="4"/>
  <c r="HL36" i="4"/>
  <c r="HM36" i="4"/>
  <c r="HN36" i="4"/>
  <c r="HO36" i="4"/>
  <c r="HP36" i="4"/>
  <c r="HR36" i="4"/>
  <c r="HS36" i="4"/>
  <c r="HT36" i="4"/>
  <c r="HY36" i="4"/>
  <c r="ID36" i="4"/>
  <c r="IE36" i="4"/>
  <c r="IF36" i="4"/>
  <c r="IG36" i="4"/>
  <c r="II36" i="4"/>
  <c r="IJ36" i="4"/>
  <c r="IK36" i="4"/>
  <c r="IL36" i="4"/>
  <c r="A37" i="4"/>
  <c r="B37" i="4"/>
  <c r="C37" i="4"/>
  <c r="D37" i="4"/>
  <c r="E37" i="4"/>
  <c r="F37" i="4"/>
  <c r="I37" i="4"/>
  <c r="J37" i="4"/>
  <c r="K37" i="4"/>
  <c r="L37" i="4"/>
  <c r="N37" i="4"/>
  <c r="O37" i="4"/>
  <c r="P37" i="4"/>
  <c r="Q37" i="4"/>
  <c r="R37" i="4"/>
  <c r="S37" i="4"/>
  <c r="T37" i="4"/>
  <c r="U37" i="4"/>
  <c r="V37" i="4"/>
  <c r="W37" i="4"/>
  <c r="X37" i="4"/>
  <c r="AX37" i="4"/>
  <c r="AY37" i="4"/>
  <c r="AZ37" i="4"/>
  <c r="BB37" i="4"/>
  <c r="BC37" i="4"/>
  <c r="BT37" i="4"/>
  <c r="BU37" i="4"/>
  <c r="BV37" i="4"/>
  <c r="BW37" i="4"/>
  <c r="EC37" i="4"/>
  <c r="ED37" i="4"/>
  <c r="EE37" i="4"/>
  <c r="EF37" i="4"/>
  <c r="EG37" i="4"/>
  <c r="EL37" i="4"/>
  <c r="EM37" i="4"/>
  <c r="EN37" i="4"/>
  <c r="EO37" i="4"/>
  <c r="EP37" i="4"/>
  <c r="EQ37" i="4"/>
  <c r="EV37" i="4"/>
  <c r="EX37" i="4"/>
  <c r="EY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F37" i="4"/>
  <c r="GG37" i="4"/>
  <c r="GJ37" i="4"/>
  <c r="GK37" i="4"/>
  <c r="GM37" i="4"/>
  <c r="GN37" i="4"/>
  <c r="GP37" i="4"/>
  <c r="HJ37" i="4"/>
  <c r="HK37" i="4"/>
  <c r="HL37" i="4"/>
  <c r="HM37" i="4"/>
  <c r="HN37" i="4"/>
  <c r="HO37" i="4"/>
  <c r="HP37" i="4"/>
  <c r="HR37" i="4"/>
  <c r="HS37" i="4"/>
  <c r="HT37" i="4"/>
  <c r="HY37" i="4"/>
  <c r="ID37" i="4"/>
  <c r="IE37" i="4"/>
  <c r="IF37" i="4"/>
  <c r="IG37" i="4"/>
  <c r="II37" i="4"/>
  <c r="IJ37" i="4"/>
  <c r="IK37" i="4"/>
  <c r="IL37" i="4"/>
  <c r="A38" i="4"/>
  <c r="B38" i="4"/>
  <c r="C38" i="4"/>
  <c r="D38" i="4"/>
  <c r="E38" i="4"/>
  <c r="F38" i="4"/>
  <c r="I38" i="4"/>
  <c r="J38" i="4"/>
  <c r="K38" i="4"/>
  <c r="L38" i="4"/>
  <c r="N38" i="4"/>
  <c r="O38" i="4"/>
  <c r="P38" i="4"/>
  <c r="Q38" i="4"/>
  <c r="R38" i="4"/>
  <c r="S38" i="4"/>
  <c r="T38" i="4"/>
  <c r="U38" i="4"/>
  <c r="V38" i="4"/>
  <c r="W38" i="4"/>
  <c r="X38" i="4"/>
  <c r="AX38" i="4"/>
  <c r="AY38" i="4"/>
  <c r="AZ38" i="4"/>
  <c r="BB38" i="4"/>
  <c r="BC38" i="4"/>
  <c r="BT38" i="4"/>
  <c r="BU38" i="4"/>
  <c r="BV38" i="4"/>
  <c r="BW38" i="4"/>
  <c r="EC38" i="4"/>
  <c r="ED38" i="4"/>
  <c r="EE38" i="4"/>
  <c r="EF38" i="4"/>
  <c r="EG38" i="4"/>
  <c r="EL38" i="4"/>
  <c r="EM38" i="4"/>
  <c r="EN38" i="4"/>
  <c r="EO38" i="4"/>
  <c r="EP38" i="4"/>
  <c r="EQ38" i="4"/>
  <c r="EV38" i="4"/>
  <c r="EX38" i="4"/>
  <c r="EY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F38" i="4"/>
  <c r="GG38" i="4"/>
  <c r="GJ38" i="4"/>
  <c r="GK38" i="4"/>
  <c r="GM38" i="4"/>
  <c r="GN38" i="4"/>
  <c r="GP38" i="4"/>
  <c r="HJ38" i="4"/>
  <c r="HK38" i="4"/>
  <c r="HL38" i="4"/>
  <c r="HM38" i="4"/>
  <c r="HN38" i="4"/>
  <c r="HO38" i="4"/>
  <c r="HP38" i="4"/>
  <c r="HR38" i="4"/>
  <c r="HS38" i="4"/>
  <c r="HT38" i="4"/>
  <c r="HY38" i="4"/>
  <c r="ID38" i="4"/>
  <c r="IE38" i="4"/>
  <c r="IF38" i="4"/>
  <c r="IG38" i="4"/>
  <c r="II38" i="4"/>
  <c r="IJ38" i="4"/>
  <c r="IK38" i="4"/>
  <c r="IL38" i="4"/>
  <c r="A39" i="4"/>
  <c r="B39" i="4"/>
  <c r="C39" i="4"/>
  <c r="D39" i="4"/>
  <c r="E39" i="4"/>
  <c r="F39" i="4"/>
  <c r="I39" i="4"/>
  <c r="J39" i="4"/>
  <c r="K39" i="4"/>
  <c r="L39" i="4"/>
  <c r="N39" i="4"/>
  <c r="O39" i="4"/>
  <c r="P39" i="4"/>
  <c r="Q39" i="4"/>
  <c r="R39" i="4"/>
  <c r="S39" i="4"/>
  <c r="T39" i="4"/>
  <c r="U39" i="4"/>
  <c r="V39" i="4"/>
  <c r="W39" i="4"/>
  <c r="X39" i="4"/>
  <c r="AX39" i="4"/>
  <c r="AY39" i="4"/>
  <c r="AZ39" i="4"/>
  <c r="BB39" i="4"/>
  <c r="BC39" i="4"/>
  <c r="BT39" i="4"/>
  <c r="BU39" i="4"/>
  <c r="BV39" i="4"/>
  <c r="BW39" i="4"/>
  <c r="EC39" i="4"/>
  <c r="ED39" i="4"/>
  <c r="EE39" i="4"/>
  <c r="EF39" i="4"/>
  <c r="EG39" i="4"/>
  <c r="EL39" i="4"/>
  <c r="EM39" i="4"/>
  <c r="EN39" i="4"/>
  <c r="EO39" i="4"/>
  <c r="EP39" i="4"/>
  <c r="EQ39" i="4"/>
  <c r="EV39" i="4"/>
  <c r="EX39" i="4"/>
  <c r="EY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F39" i="4"/>
  <c r="GG39" i="4"/>
  <c r="GJ39" i="4"/>
  <c r="GK39" i="4"/>
  <c r="GM39" i="4"/>
  <c r="GN39" i="4"/>
  <c r="GP39" i="4"/>
  <c r="HJ39" i="4"/>
  <c r="HK39" i="4"/>
  <c r="HL39" i="4"/>
  <c r="HM39" i="4"/>
  <c r="HN39" i="4"/>
  <c r="HO39" i="4"/>
  <c r="HP39" i="4"/>
  <c r="HR39" i="4"/>
  <c r="HS39" i="4"/>
  <c r="HT39" i="4"/>
  <c r="HY39" i="4"/>
  <c r="ID39" i="4"/>
  <c r="IE39" i="4"/>
  <c r="IF39" i="4"/>
  <c r="IG39" i="4"/>
  <c r="II39" i="4"/>
  <c r="IJ39" i="4"/>
  <c r="IK39" i="4"/>
  <c r="IL39" i="4"/>
  <c r="A40" i="4"/>
  <c r="B40" i="4"/>
  <c r="C40" i="4"/>
  <c r="D40" i="4"/>
  <c r="E40" i="4"/>
  <c r="F40" i="4"/>
  <c r="I40" i="4"/>
  <c r="J40" i="4"/>
  <c r="K40" i="4"/>
  <c r="L40" i="4"/>
  <c r="N40" i="4"/>
  <c r="O40" i="4"/>
  <c r="P40" i="4"/>
  <c r="Q40" i="4"/>
  <c r="R40" i="4"/>
  <c r="S40" i="4"/>
  <c r="T40" i="4"/>
  <c r="U40" i="4"/>
  <c r="V40" i="4"/>
  <c r="W40" i="4"/>
  <c r="X40" i="4"/>
  <c r="AX40" i="4"/>
  <c r="AY40" i="4"/>
  <c r="AZ40" i="4"/>
  <c r="BB40" i="4"/>
  <c r="BC40" i="4"/>
  <c r="BT40" i="4"/>
  <c r="BU40" i="4"/>
  <c r="BV40" i="4"/>
  <c r="BW40" i="4"/>
  <c r="EC40" i="4"/>
  <c r="ED40" i="4"/>
  <c r="EE40" i="4"/>
  <c r="EF40" i="4"/>
  <c r="EG40" i="4"/>
  <c r="EL40" i="4"/>
  <c r="EM40" i="4"/>
  <c r="EN40" i="4"/>
  <c r="EO40" i="4"/>
  <c r="EP40" i="4"/>
  <c r="EQ40" i="4"/>
  <c r="EV40" i="4"/>
  <c r="EX40" i="4"/>
  <c r="EY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F40" i="4"/>
  <c r="GG40" i="4"/>
  <c r="GJ40" i="4"/>
  <c r="GK40" i="4"/>
  <c r="GM40" i="4"/>
  <c r="GN40" i="4"/>
  <c r="GP40" i="4"/>
  <c r="HJ40" i="4"/>
  <c r="HK40" i="4"/>
  <c r="HL40" i="4"/>
  <c r="HM40" i="4"/>
  <c r="HN40" i="4"/>
  <c r="HO40" i="4"/>
  <c r="HP40" i="4"/>
  <c r="HR40" i="4"/>
  <c r="HS40" i="4"/>
  <c r="HT40" i="4"/>
  <c r="HY40" i="4"/>
  <c r="ID40" i="4"/>
  <c r="IE40" i="4"/>
  <c r="IF40" i="4"/>
  <c r="IG40" i="4"/>
  <c r="II40" i="4"/>
  <c r="IJ40" i="4"/>
  <c r="IK40" i="4"/>
  <c r="IL40" i="4"/>
  <c r="A41" i="4"/>
  <c r="B41" i="4"/>
  <c r="C41" i="4"/>
  <c r="D41" i="4"/>
  <c r="E41" i="4"/>
  <c r="F41" i="4"/>
  <c r="I41" i="4"/>
  <c r="J41" i="4"/>
  <c r="K41" i="4"/>
  <c r="L41" i="4"/>
  <c r="N41" i="4"/>
  <c r="O41" i="4"/>
  <c r="P41" i="4"/>
  <c r="Q41" i="4"/>
  <c r="R41" i="4"/>
  <c r="S41" i="4"/>
  <c r="T41" i="4"/>
  <c r="U41" i="4"/>
  <c r="V41" i="4"/>
  <c r="W41" i="4"/>
  <c r="X41" i="4"/>
  <c r="AX41" i="4"/>
  <c r="AY41" i="4"/>
  <c r="AZ41" i="4"/>
  <c r="BB41" i="4"/>
  <c r="BC41" i="4"/>
  <c r="BT41" i="4"/>
  <c r="BU41" i="4"/>
  <c r="BV41" i="4"/>
  <c r="BW41" i="4"/>
  <c r="EC41" i="4"/>
  <c r="ED41" i="4"/>
  <c r="EE41" i="4"/>
  <c r="EF41" i="4"/>
  <c r="EG41" i="4"/>
  <c r="EL41" i="4"/>
  <c r="EM41" i="4"/>
  <c r="EN41" i="4"/>
  <c r="EO41" i="4"/>
  <c r="EP41" i="4"/>
  <c r="EQ41" i="4"/>
  <c r="EV41" i="4"/>
  <c r="EX41" i="4"/>
  <c r="EY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F41" i="4"/>
  <c r="GG41" i="4"/>
  <c r="GJ41" i="4"/>
  <c r="GK41" i="4"/>
  <c r="GM41" i="4"/>
  <c r="GN41" i="4"/>
  <c r="GP41" i="4"/>
  <c r="HJ41" i="4"/>
  <c r="HK41" i="4"/>
  <c r="HL41" i="4"/>
  <c r="HM41" i="4"/>
  <c r="HN41" i="4"/>
  <c r="HO41" i="4"/>
  <c r="HP41" i="4"/>
  <c r="HR41" i="4"/>
  <c r="HT41" i="4"/>
  <c r="HY41" i="4"/>
  <c r="HZ41" i="4"/>
  <c r="IB41" i="4"/>
  <c r="IC41" i="4"/>
  <c r="IE41" i="4"/>
  <c r="IF41" i="4"/>
  <c r="IH41" i="4"/>
  <c r="II41" i="4"/>
  <c r="IK41" i="4"/>
  <c r="IL41" i="4"/>
  <c r="A42" i="4"/>
  <c r="B42" i="4"/>
  <c r="C42" i="4"/>
  <c r="D42" i="4"/>
  <c r="E42" i="4"/>
  <c r="F42" i="4"/>
  <c r="I42" i="4"/>
  <c r="J42" i="4"/>
  <c r="K42" i="4"/>
  <c r="L42" i="4"/>
  <c r="N42" i="4"/>
  <c r="O42" i="4"/>
  <c r="P42" i="4"/>
  <c r="Q42" i="4"/>
  <c r="R42" i="4"/>
  <c r="S42" i="4"/>
  <c r="T42" i="4"/>
  <c r="U42" i="4"/>
  <c r="V42" i="4"/>
  <c r="W42" i="4"/>
  <c r="X42" i="4"/>
  <c r="AX42" i="4"/>
  <c r="AY42" i="4"/>
  <c r="AZ42" i="4"/>
  <c r="BB42" i="4"/>
  <c r="BC42" i="4"/>
  <c r="BT42" i="4"/>
  <c r="BU42" i="4"/>
  <c r="BV42" i="4"/>
  <c r="BW42" i="4"/>
  <c r="EC42" i="4"/>
  <c r="ED42" i="4"/>
  <c r="EE42" i="4"/>
  <c r="EF42" i="4"/>
  <c r="EG42" i="4"/>
  <c r="EL42" i="4"/>
  <c r="EM42" i="4"/>
  <c r="EN42" i="4"/>
  <c r="EO42" i="4"/>
  <c r="EP42" i="4"/>
  <c r="EQ42" i="4"/>
  <c r="EV42" i="4"/>
  <c r="EX42" i="4"/>
  <c r="EY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F42" i="4"/>
  <c r="GG42" i="4"/>
  <c r="GJ42" i="4"/>
  <c r="GK42" i="4"/>
  <c r="GM42" i="4"/>
  <c r="GN42" i="4"/>
  <c r="GP42" i="4"/>
  <c r="HJ42" i="4"/>
  <c r="HK42" i="4"/>
  <c r="HL42" i="4"/>
  <c r="HM42" i="4"/>
  <c r="HN42" i="4"/>
  <c r="HO42" i="4"/>
  <c r="HP42" i="4"/>
  <c r="A43" i="4"/>
  <c r="B43" i="4"/>
  <c r="C43" i="4"/>
  <c r="D43" i="4"/>
  <c r="E43" i="4"/>
  <c r="F43" i="4"/>
  <c r="I43" i="4"/>
  <c r="J43" i="4"/>
  <c r="K43" i="4"/>
  <c r="L43" i="4"/>
  <c r="N43" i="4"/>
  <c r="O43" i="4"/>
  <c r="P43" i="4"/>
  <c r="Q43" i="4"/>
  <c r="R43" i="4"/>
  <c r="S43" i="4"/>
  <c r="T43" i="4"/>
  <c r="U43" i="4"/>
  <c r="V43" i="4"/>
  <c r="W43" i="4"/>
  <c r="X43" i="4"/>
  <c r="AX43" i="4"/>
  <c r="AY43" i="4"/>
  <c r="AZ43" i="4"/>
  <c r="BB43" i="4"/>
  <c r="BC43" i="4"/>
  <c r="BT43" i="4"/>
  <c r="BU43" i="4"/>
  <c r="BV43" i="4"/>
  <c r="BW43" i="4"/>
  <c r="EC43" i="4"/>
  <c r="ED43" i="4"/>
  <c r="EE43" i="4"/>
  <c r="EF43" i="4"/>
  <c r="EG43" i="4"/>
  <c r="EL43" i="4"/>
  <c r="EM43" i="4"/>
  <c r="EN43" i="4"/>
  <c r="EO43" i="4"/>
  <c r="EP43" i="4"/>
  <c r="EQ43" i="4"/>
  <c r="EV43" i="4"/>
  <c r="EX43" i="4"/>
  <c r="EY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F43" i="4"/>
  <c r="GG43" i="4"/>
  <c r="GJ43" i="4"/>
  <c r="GK43" i="4"/>
  <c r="GM43" i="4"/>
  <c r="GN43" i="4"/>
  <c r="GP43" i="4"/>
  <c r="HJ43" i="4"/>
  <c r="HK43" i="4"/>
  <c r="HL43" i="4"/>
  <c r="HM43" i="4"/>
  <c r="HN43" i="4"/>
  <c r="HO43" i="4"/>
  <c r="HP43" i="4"/>
  <c r="A44" i="4"/>
  <c r="B44" i="4"/>
  <c r="C44" i="4"/>
  <c r="D44" i="4"/>
  <c r="E44" i="4"/>
  <c r="F44" i="4"/>
  <c r="I44" i="4"/>
  <c r="J44" i="4"/>
  <c r="K44" i="4"/>
  <c r="L44" i="4"/>
  <c r="N44" i="4"/>
  <c r="O44" i="4"/>
  <c r="P44" i="4"/>
  <c r="Q44" i="4"/>
  <c r="R44" i="4"/>
  <c r="S44" i="4"/>
  <c r="T44" i="4"/>
  <c r="U44" i="4"/>
  <c r="V44" i="4"/>
  <c r="W44" i="4"/>
  <c r="X44" i="4"/>
  <c r="AX44" i="4"/>
  <c r="AY44" i="4"/>
  <c r="AZ44" i="4"/>
  <c r="BB44" i="4"/>
  <c r="BC44" i="4"/>
  <c r="BT44" i="4"/>
  <c r="BU44" i="4"/>
  <c r="BV44" i="4"/>
  <c r="BW44" i="4"/>
  <c r="EC44" i="4"/>
  <c r="ED44" i="4"/>
  <c r="EE44" i="4"/>
  <c r="EF44" i="4"/>
  <c r="EG44" i="4"/>
  <c r="EL44" i="4"/>
  <c r="EM44" i="4"/>
  <c r="EN44" i="4"/>
  <c r="EO44" i="4"/>
  <c r="EP44" i="4"/>
  <c r="EQ44" i="4"/>
  <c r="EV44" i="4"/>
  <c r="EX44" i="4"/>
  <c r="EY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F44" i="4"/>
  <c r="GG44" i="4"/>
  <c r="GJ44" i="4"/>
  <c r="GK44" i="4"/>
  <c r="GM44" i="4"/>
  <c r="GN44" i="4"/>
  <c r="GP44" i="4"/>
  <c r="HJ44" i="4"/>
  <c r="HK44" i="4"/>
  <c r="HL44" i="4"/>
  <c r="HM44" i="4"/>
  <c r="HN44" i="4"/>
  <c r="HO44" i="4"/>
  <c r="HP44" i="4"/>
  <c r="A45" i="4"/>
  <c r="B45" i="4"/>
  <c r="C45" i="4"/>
  <c r="D45" i="4"/>
  <c r="E45" i="4"/>
  <c r="F45" i="4"/>
  <c r="I45" i="4"/>
  <c r="J45" i="4"/>
  <c r="K45" i="4"/>
  <c r="L45" i="4"/>
  <c r="N45" i="4"/>
  <c r="O45" i="4"/>
  <c r="P45" i="4"/>
  <c r="Q45" i="4"/>
  <c r="R45" i="4"/>
  <c r="S45" i="4"/>
  <c r="T45" i="4"/>
  <c r="U45" i="4"/>
  <c r="V45" i="4"/>
  <c r="W45" i="4"/>
  <c r="X45" i="4"/>
  <c r="AX45" i="4"/>
  <c r="AY45" i="4"/>
  <c r="AZ45" i="4"/>
  <c r="BB45" i="4"/>
  <c r="BC45" i="4"/>
  <c r="BT45" i="4"/>
  <c r="BU45" i="4"/>
  <c r="BV45" i="4"/>
  <c r="BW45" i="4"/>
  <c r="EC45" i="4"/>
  <c r="ED45" i="4"/>
  <c r="EE45" i="4"/>
  <c r="EF45" i="4"/>
  <c r="EG45" i="4"/>
  <c r="EL45" i="4"/>
  <c r="EM45" i="4"/>
  <c r="EN45" i="4"/>
  <c r="EO45" i="4"/>
  <c r="EP45" i="4"/>
  <c r="EQ45" i="4"/>
  <c r="EV45" i="4"/>
  <c r="EX45" i="4"/>
  <c r="EY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F45" i="4"/>
  <c r="GG45" i="4"/>
  <c r="GJ45" i="4"/>
  <c r="GK45" i="4"/>
  <c r="GM45" i="4"/>
  <c r="GN45" i="4"/>
  <c r="GP45" i="4"/>
  <c r="HJ45" i="4"/>
  <c r="HK45" i="4"/>
  <c r="HL45" i="4"/>
  <c r="HM45" i="4"/>
  <c r="HN45" i="4"/>
  <c r="HO45" i="4"/>
  <c r="HP45" i="4"/>
  <c r="A46" i="4"/>
  <c r="B46" i="4"/>
  <c r="C46" i="4"/>
  <c r="D46" i="4"/>
  <c r="E46" i="4"/>
  <c r="F46" i="4"/>
  <c r="I46" i="4"/>
  <c r="J46" i="4"/>
  <c r="K46" i="4"/>
  <c r="L46" i="4"/>
  <c r="N46" i="4"/>
  <c r="O46" i="4"/>
  <c r="P46" i="4"/>
  <c r="Q46" i="4"/>
  <c r="R46" i="4"/>
  <c r="S46" i="4"/>
  <c r="T46" i="4"/>
  <c r="U46" i="4"/>
  <c r="V46" i="4"/>
  <c r="W46" i="4"/>
  <c r="X46" i="4"/>
  <c r="AX46" i="4"/>
  <c r="AY46" i="4"/>
  <c r="AZ46" i="4"/>
  <c r="BB46" i="4"/>
  <c r="BC46" i="4"/>
  <c r="BT46" i="4"/>
  <c r="BU46" i="4"/>
  <c r="BV46" i="4"/>
  <c r="BW46" i="4"/>
  <c r="EC46" i="4"/>
  <c r="ED46" i="4"/>
  <c r="EE46" i="4"/>
  <c r="EF46" i="4"/>
  <c r="EG46" i="4"/>
  <c r="EL46" i="4"/>
  <c r="EM46" i="4"/>
  <c r="EN46" i="4"/>
  <c r="EO46" i="4"/>
  <c r="EP46" i="4"/>
  <c r="EQ46" i="4"/>
  <c r="EV46" i="4"/>
  <c r="EX46" i="4"/>
  <c r="EY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F46" i="4"/>
  <c r="GG46" i="4"/>
  <c r="GJ46" i="4"/>
  <c r="GK46" i="4"/>
  <c r="GM46" i="4"/>
  <c r="GN46" i="4"/>
  <c r="GP46" i="4"/>
  <c r="HJ46" i="4"/>
  <c r="HK46" i="4"/>
  <c r="HL46" i="4"/>
  <c r="HM46" i="4"/>
  <c r="HN46" i="4"/>
  <c r="HO46" i="4"/>
  <c r="HP46" i="4"/>
  <c r="A47" i="4"/>
  <c r="B47" i="4"/>
  <c r="C47" i="4"/>
  <c r="D47" i="4"/>
  <c r="E47" i="4"/>
  <c r="F47" i="4"/>
  <c r="I47" i="4"/>
  <c r="J47" i="4"/>
  <c r="K47" i="4"/>
  <c r="L47" i="4"/>
  <c r="N47" i="4"/>
  <c r="O47" i="4"/>
  <c r="P47" i="4"/>
  <c r="Q47" i="4"/>
  <c r="R47" i="4"/>
  <c r="S47" i="4"/>
  <c r="T47" i="4"/>
  <c r="U47" i="4"/>
  <c r="V47" i="4"/>
  <c r="W47" i="4"/>
  <c r="X47" i="4"/>
  <c r="AX47" i="4"/>
  <c r="AY47" i="4"/>
  <c r="AZ47" i="4"/>
  <c r="BB47" i="4"/>
  <c r="BC47" i="4"/>
  <c r="BT47" i="4"/>
  <c r="BU47" i="4"/>
  <c r="BV47" i="4"/>
  <c r="BW47" i="4"/>
  <c r="EC47" i="4"/>
  <c r="ED47" i="4"/>
  <c r="EE47" i="4"/>
  <c r="EF47" i="4"/>
  <c r="EG47" i="4"/>
  <c r="EL47" i="4"/>
  <c r="EM47" i="4"/>
  <c r="EN47" i="4"/>
  <c r="EO47" i="4"/>
  <c r="EP47" i="4"/>
  <c r="EQ47" i="4"/>
  <c r="EV47" i="4"/>
  <c r="EX47" i="4"/>
  <c r="EY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F47" i="4"/>
  <c r="GG47" i="4"/>
  <c r="GJ47" i="4"/>
  <c r="GK47" i="4"/>
  <c r="GM47" i="4"/>
  <c r="GN47" i="4"/>
  <c r="GP47" i="4"/>
  <c r="HJ47" i="4"/>
  <c r="HK47" i="4"/>
  <c r="HL47" i="4"/>
  <c r="HM47" i="4"/>
  <c r="HN47" i="4"/>
  <c r="HO47" i="4"/>
  <c r="HP47" i="4"/>
  <c r="A48" i="4"/>
  <c r="B48" i="4"/>
  <c r="C48" i="4"/>
  <c r="D48" i="4"/>
  <c r="E48" i="4"/>
  <c r="F48" i="4"/>
  <c r="I48" i="4"/>
  <c r="J48" i="4"/>
  <c r="K48" i="4"/>
  <c r="L48" i="4"/>
  <c r="N48" i="4"/>
  <c r="O48" i="4"/>
  <c r="P48" i="4"/>
  <c r="Q48" i="4"/>
  <c r="R48" i="4"/>
  <c r="S48" i="4"/>
  <c r="T48" i="4"/>
  <c r="U48" i="4"/>
  <c r="V48" i="4"/>
  <c r="W48" i="4"/>
  <c r="X48" i="4"/>
  <c r="AX48" i="4"/>
  <c r="AY48" i="4"/>
  <c r="AZ48" i="4"/>
  <c r="BB48" i="4"/>
  <c r="BC48" i="4"/>
  <c r="BT48" i="4"/>
  <c r="BU48" i="4"/>
  <c r="BV48" i="4"/>
  <c r="BW48" i="4"/>
  <c r="EC48" i="4"/>
  <c r="ED48" i="4"/>
  <c r="EE48" i="4"/>
  <c r="EF48" i="4"/>
  <c r="EG48" i="4"/>
  <c r="EL48" i="4"/>
  <c r="EM48" i="4"/>
  <c r="EN48" i="4"/>
  <c r="EO48" i="4"/>
  <c r="EP48" i="4"/>
  <c r="EQ48" i="4"/>
  <c r="EV48" i="4"/>
  <c r="EX48" i="4"/>
  <c r="EY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F48" i="4"/>
  <c r="GG48" i="4"/>
  <c r="GJ48" i="4"/>
  <c r="GK48" i="4"/>
  <c r="GM48" i="4"/>
  <c r="GN48" i="4"/>
  <c r="GP48" i="4"/>
  <c r="HJ48" i="4"/>
  <c r="HK48" i="4"/>
  <c r="HL48" i="4"/>
  <c r="HM48" i="4"/>
  <c r="HN48" i="4"/>
  <c r="HO48" i="4"/>
  <c r="HP48" i="4"/>
  <c r="A49" i="4"/>
  <c r="B49" i="4"/>
  <c r="C49" i="4"/>
  <c r="D49" i="4"/>
  <c r="E49" i="4"/>
  <c r="F49" i="4"/>
  <c r="I49" i="4"/>
  <c r="J49" i="4"/>
  <c r="K49" i="4"/>
  <c r="L49" i="4"/>
  <c r="N49" i="4"/>
  <c r="O49" i="4"/>
  <c r="P49" i="4"/>
  <c r="Q49" i="4"/>
  <c r="R49" i="4"/>
  <c r="S49" i="4"/>
  <c r="T49" i="4"/>
  <c r="U49" i="4"/>
  <c r="V49" i="4"/>
  <c r="W49" i="4"/>
  <c r="X49" i="4"/>
  <c r="AX49" i="4"/>
  <c r="AY49" i="4"/>
  <c r="AZ49" i="4"/>
  <c r="BB49" i="4"/>
  <c r="BC49" i="4"/>
  <c r="BT49" i="4"/>
  <c r="BU49" i="4"/>
  <c r="BV49" i="4"/>
  <c r="BW49" i="4"/>
  <c r="EC49" i="4"/>
  <c r="ED49" i="4"/>
  <c r="EE49" i="4"/>
  <c r="EF49" i="4"/>
  <c r="EG49" i="4"/>
  <c r="EL49" i="4"/>
  <c r="EM49" i="4"/>
  <c r="EN49" i="4"/>
  <c r="EO49" i="4"/>
  <c r="EP49" i="4"/>
  <c r="EQ49" i="4"/>
  <c r="EV49" i="4"/>
  <c r="EX49" i="4"/>
  <c r="EY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F49" i="4"/>
  <c r="GG49" i="4"/>
  <c r="GJ49" i="4"/>
  <c r="GK49" i="4"/>
  <c r="GM49" i="4"/>
  <c r="GN49" i="4"/>
  <c r="GP49" i="4"/>
  <c r="HJ49" i="4"/>
  <c r="HK49" i="4"/>
  <c r="HL49" i="4"/>
  <c r="HM49" i="4"/>
  <c r="HN49" i="4"/>
  <c r="HO49" i="4"/>
  <c r="HP49" i="4"/>
  <c r="A50" i="4"/>
  <c r="B50" i="4"/>
  <c r="C50" i="4"/>
  <c r="D50" i="4"/>
  <c r="E50" i="4"/>
  <c r="F50" i="4"/>
  <c r="I50" i="4"/>
  <c r="J50" i="4"/>
  <c r="K50" i="4"/>
  <c r="L50" i="4"/>
  <c r="N50" i="4"/>
  <c r="O50" i="4"/>
  <c r="P50" i="4"/>
  <c r="Q50" i="4"/>
  <c r="R50" i="4"/>
  <c r="S50" i="4"/>
  <c r="T50" i="4"/>
  <c r="U50" i="4"/>
  <c r="V50" i="4"/>
  <c r="W50" i="4"/>
  <c r="X50" i="4"/>
  <c r="AX50" i="4"/>
  <c r="AY50" i="4"/>
  <c r="AZ50" i="4"/>
  <c r="BB50" i="4"/>
  <c r="BC50" i="4"/>
  <c r="BT50" i="4"/>
  <c r="BU50" i="4"/>
  <c r="BV50" i="4"/>
  <c r="BW50" i="4"/>
  <c r="EC50" i="4"/>
  <c r="ED50" i="4"/>
  <c r="EE50" i="4"/>
  <c r="EF50" i="4"/>
  <c r="EG50" i="4"/>
  <c r="EL50" i="4"/>
  <c r="EM50" i="4"/>
  <c r="EN50" i="4"/>
  <c r="EO50" i="4"/>
  <c r="EP50" i="4"/>
  <c r="EQ50" i="4"/>
  <c r="EV50" i="4"/>
  <c r="EX50" i="4"/>
  <c r="EY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F50" i="4"/>
  <c r="GG50" i="4"/>
  <c r="GJ50" i="4"/>
  <c r="GK50" i="4"/>
  <c r="GM50" i="4"/>
  <c r="GN50" i="4"/>
  <c r="GP50" i="4"/>
  <c r="HJ50" i="4"/>
  <c r="HK50" i="4"/>
  <c r="HL50" i="4"/>
  <c r="HM50" i="4"/>
  <c r="HN50" i="4"/>
  <c r="HO50" i="4"/>
  <c r="HP50" i="4"/>
  <c r="A51" i="4"/>
  <c r="B51" i="4"/>
  <c r="C51" i="4"/>
  <c r="D51" i="4"/>
  <c r="E51" i="4"/>
  <c r="F51" i="4"/>
  <c r="I51" i="4"/>
  <c r="J51" i="4"/>
  <c r="K51" i="4"/>
  <c r="L51" i="4"/>
  <c r="N51" i="4"/>
  <c r="O51" i="4"/>
  <c r="P51" i="4"/>
  <c r="Q51" i="4"/>
  <c r="R51" i="4"/>
  <c r="S51" i="4"/>
  <c r="T51" i="4"/>
  <c r="U51" i="4"/>
  <c r="V51" i="4"/>
  <c r="W51" i="4"/>
  <c r="X51" i="4"/>
  <c r="AX51" i="4"/>
  <c r="AY51" i="4"/>
  <c r="AZ51" i="4"/>
  <c r="BB51" i="4"/>
  <c r="BC51" i="4"/>
  <c r="BT51" i="4"/>
  <c r="BU51" i="4"/>
  <c r="BV51" i="4"/>
  <c r="BW51" i="4"/>
  <c r="EC51" i="4"/>
  <c r="ED51" i="4"/>
  <c r="EE51" i="4"/>
  <c r="EF51" i="4"/>
  <c r="EG51" i="4"/>
  <c r="EL51" i="4"/>
  <c r="EM51" i="4"/>
  <c r="EN51" i="4"/>
  <c r="EO51" i="4"/>
  <c r="EP51" i="4"/>
  <c r="EQ51" i="4"/>
  <c r="EV51" i="4"/>
  <c r="EX51" i="4"/>
  <c r="EY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F51" i="4"/>
  <c r="GG51" i="4"/>
  <c r="GJ51" i="4"/>
  <c r="GK51" i="4"/>
  <c r="GM51" i="4"/>
  <c r="GN51" i="4"/>
  <c r="GP51" i="4"/>
  <c r="HJ51" i="4"/>
  <c r="HK51" i="4"/>
  <c r="HL51" i="4"/>
  <c r="HM51" i="4"/>
  <c r="HN51" i="4"/>
  <c r="HO51" i="4"/>
  <c r="HP51" i="4"/>
  <c r="A52" i="4"/>
  <c r="B52" i="4"/>
  <c r="C52" i="4"/>
  <c r="D52" i="4"/>
  <c r="E52" i="4"/>
  <c r="F52" i="4"/>
  <c r="I52" i="4"/>
  <c r="J52" i="4"/>
  <c r="K52" i="4"/>
  <c r="L52" i="4"/>
  <c r="N52" i="4"/>
  <c r="O52" i="4"/>
  <c r="P52" i="4"/>
  <c r="Q52" i="4"/>
  <c r="R52" i="4"/>
  <c r="S52" i="4"/>
  <c r="T52" i="4"/>
  <c r="U52" i="4"/>
  <c r="V52" i="4"/>
  <c r="W52" i="4"/>
  <c r="X52" i="4"/>
  <c r="AX52" i="4"/>
  <c r="AY52" i="4"/>
  <c r="AZ52" i="4"/>
  <c r="BB52" i="4"/>
  <c r="BC52" i="4"/>
  <c r="BT52" i="4"/>
  <c r="BU52" i="4"/>
  <c r="BV52" i="4"/>
  <c r="BW52" i="4"/>
  <c r="EC52" i="4"/>
  <c r="ED52" i="4"/>
  <c r="EE52" i="4"/>
  <c r="EF52" i="4"/>
  <c r="EG52" i="4"/>
  <c r="EL52" i="4"/>
  <c r="EM52" i="4"/>
  <c r="EN52" i="4"/>
  <c r="EO52" i="4"/>
  <c r="EP52" i="4"/>
  <c r="EQ52" i="4"/>
  <c r="EV52" i="4"/>
  <c r="EX52" i="4"/>
  <c r="EY52" i="4"/>
  <c r="FA52" i="4"/>
  <c r="FB52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F52" i="4"/>
  <c r="GG52" i="4"/>
  <c r="GJ52" i="4"/>
  <c r="GK52" i="4"/>
  <c r="GM52" i="4"/>
  <c r="GN52" i="4"/>
  <c r="GP52" i="4"/>
  <c r="HJ52" i="4"/>
  <c r="HK52" i="4"/>
  <c r="HL52" i="4"/>
  <c r="HM52" i="4"/>
  <c r="HN52" i="4"/>
  <c r="HO52" i="4"/>
  <c r="HP52" i="4"/>
  <c r="A53" i="4"/>
  <c r="B53" i="4"/>
  <c r="C53" i="4"/>
  <c r="D53" i="4"/>
  <c r="E53" i="4"/>
  <c r="F53" i="4"/>
  <c r="I53" i="4"/>
  <c r="J53" i="4"/>
  <c r="K53" i="4"/>
  <c r="L53" i="4"/>
  <c r="N53" i="4"/>
  <c r="O53" i="4"/>
  <c r="P53" i="4"/>
  <c r="Q53" i="4"/>
  <c r="R53" i="4"/>
  <c r="S53" i="4"/>
  <c r="T53" i="4"/>
  <c r="U53" i="4"/>
  <c r="V53" i="4"/>
  <c r="W53" i="4"/>
  <c r="X53" i="4"/>
  <c r="AX53" i="4"/>
  <c r="AY53" i="4"/>
  <c r="AZ53" i="4"/>
  <c r="BB53" i="4"/>
  <c r="BC53" i="4"/>
  <c r="BT53" i="4"/>
  <c r="BU53" i="4"/>
  <c r="BV53" i="4"/>
  <c r="BW53" i="4"/>
  <c r="EC53" i="4"/>
  <c r="ED53" i="4"/>
  <c r="EE53" i="4"/>
  <c r="EF53" i="4"/>
  <c r="EG53" i="4"/>
  <c r="EL53" i="4"/>
  <c r="EM53" i="4"/>
  <c r="EN53" i="4"/>
  <c r="EO53" i="4"/>
  <c r="EP53" i="4"/>
  <c r="EQ53" i="4"/>
  <c r="EV53" i="4"/>
  <c r="EX53" i="4"/>
  <c r="EY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F53" i="4"/>
  <c r="GG53" i="4"/>
  <c r="GJ53" i="4"/>
  <c r="GK53" i="4"/>
  <c r="GM53" i="4"/>
  <c r="GN53" i="4"/>
  <c r="GP53" i="4"/>
  <c r="HJ53" i="4"/>
  <c r="HK53" i="4"/>
  <c r="HL53" i="4"/>
  <c r="HM53" i="4"/>
  <c r="HN53" i="4"/>
  <c r="HO53" i="4"/>
  <c r="HP53" i="4"/>
  <c r="A54" i="4"/>
  <c r="B54" i="4"/>
  <c r="C54" i="4"/>
  <c r="D54" i="4"/>
  <c r="E54" i="4"/>
  <c r="F54" i="4"/>
  <c r="I54" i="4"/>
  <c r="J54" i="4"/>
  <c r="K54" i="4"/>
  <c r="L54" i="4"/>
  <c r="N54" i="4"/>
  <c r="O54" i="4"/>
  <c r="P54" i="4"/>
  <c r="Q54" i="4"/>
  <c r="R54" i="4"/>
  <c r="S54" i="4"/>
  <c r="T54" i="4"/>
  <c r="U54" i="4"/>
  <c r="V54" i="4"/>
  <c r="W54" i="4"/>
  <c r="X54" i="4"/>
  <c r="AX54" i="4"/>
  <c r="AY54" i="4"/>
  <c r="AZ54" i="4"/>
  <c r="BB54" i="4"/>
  <c r="BC54" i="4"/>
  <c r="BT54" i="4"/>
  <c r="BU54" i="4"/>
  <c r="BV54" i="4"/>
  <c r="BW54" i="4"/>
  <c r="EC54" i="4"/>
  <c r="ED54" i="4"/>
  <c r="EE54" i="4"/>
  <c r="EF54" i="4"/>
  <c r="EG54" i="4"/>
  <c r="EL54" i="4"/>
  <c r="EM54" i="4"/>
  <c r="EN54" i="4"/>
  <c r="EO54" i="4"/>
  <c r="EP54" i="4"/>
  <c r="EQ54" i="4"/>
  <c r="EV54" i="4"/>
  <c r="EX54" i="4"/>
  <c r="EY54" i="4"/>
  <c r="FA54" i="4"/>
  <c r="FB54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F54" i="4"/>
  <c r="GG54" i="4"/>
  <c r="GJ54" i="4"/>
  <c r="GK54" i="4"/>
  <c r="GM54" i="4"/>
  <c r="GN54" i="4"/>
  <c r="GP54" i="4"/>
  <c r="HJ54" i="4"/>
  <c r="HK54" i="4"/>
  <c r="HL54" i="4"/>
  <c r="HM54" i="4"/>
  <c r="HN54" i="4"/>
  <c r="HO54" i="4"/>
  <c r="HP54" i="4"/>
  <c r="A55" i="4"/>
  <c r="B55" i="4"/>
  <c r="C55" i="4"/>
  <c r="D55" i="4"/>
  <c r="E55" i="4"/>
  <c r="F55" i="4"/>
  <c r="I55" i="4"/>
  <c r="J55" i="4"/>
  <c r="K55" i="4"/>
  <c r="L55" i="4"/>
  <c r="N55" i="4"/>
  <c r="O55" i="4"/>
  <c r="P55" i="4"/>
  <c r="Q55" i="4"/>
  <c r="R55" i="4"/>
  <c r="S55" i="4"/>
  <c r="T55" i="4"/>
  <c r="U55" i="4"/>
  <c r="V55" i="4"/>
  <c r="W55" i="4"/>
  <c r="X55" i="4"/>
  <c r="AX55" i="4"/>
  <c r="AY55" i="4"/>
  <c r="AZ55" i="4"/>
  <c r="BB55" i="4"/>
  <c r="BC55" i="4"/>
  <c r="BT55" i="4"/>
  <c r="BU55" i="4"/>
  <c r="BV55" i="4"/>
  <c r="BW55" i="4"/>
  <c r="EC55" i="4"/>
  <c r="ED55" i="4"/>
  <c r="EE55" i="4"/>
  <c r="EF55" i="4"/>
  <c r="EG55" i="4"/>
  <c r="EL55" i="4"/>
  <c r="EM55" i="4"/>
  <c r="EN55" i="4"/>
  <c r="EO55" i="4"/>
  <c r="EP55" i="4"/>
  <c r="EQ55" i="4"/>
  <c r="EV55" i="4"/>
  <c r="EX55" i="4"/>
  <c r="EY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F55" i="4"/>
  <c r="GG55" i="4"/>
  <c r="GJ55" i="4"/>
  <c r="GK55" i="4"/>
  <c r="GM55" i="4"/>
  <c r="GN55" i="4"/>
  <c r="GP55" i="4"/>
  <c r="HJ55" i="4"/>
  <c r="HK55" i="4"/>
  <c r="HL55" i="4"/>
  <c r="HM55" i="4"/>
  <c r="HN55" i="4"/>
  <c r="HO55" i="4"/>
  <c r="HP55" i="4"/>
  <c r="A56" i="4"/>
  <c r="B56" i="4"/>
  <c r="C56" i="4"/>
  <c r="D56" i="4"/>
  <c r="E56" i="4"/>
  <c r="F56" i="4"/>
  <c r="I56" i="4"/>
  <c r="J56" i="4"/>
  <c r="K56" i="4"/>
  <c r="L56" i="4"/>
  <c r="N56" i="4"/>
  <c r="O56" i="4"/>
  <c r="P56" i="4"/>
  <c r="Q56" i="4"/>
  <c r="R56" i="4"/>
  <c r="S56" i="4"/>
  <c r="T56" i="4"/>
  <c r="U56" i="4"/>
  <c r="V56" i="4"/>
  <c r="W56" i="4"/>
  <c r="X56" i="4"/>
  <c r="AX56" i="4"/>
  <c r="AY56" i="4"/>
  <c r="AZ56" i="4"/>
  <c r="BB56" i="4"/>
  <c r="BC56" i="4"/>
  <c r="BT56" i="4"/>
  <c r="BU56" i="4"/>
  <c r="BV56" i="4"/>
  <c r="BW56" i="4"/>
  <c r="EC56" i="4"/>
  <c r="ED56" i="4"/>
  <c r="EE56" i="4"/>
  <c r="EF56" i="4"/>
  <c r="EG56" i="4"/>
  <c r="EL56" i="4"/>
  <c r="EM56" i="4"/>
  <c r="EN56" i="4"/>
  <c r="EO56" i="4"/>
  <c r="EP56" i="4"/>
  <c r="EQ56" i="4"/>
  <c r="EV56" i="4"/>
  <c r="EX56" i="4"/>
  <c r="EY56" i="4"/>
  <c r="FA56" i="4"/>
  <c r="FB56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F56" i="4"/>
  <c r="GG56" i="4"/>
  <c r="GJ56" i="4"/>
  <c r="GK56" i="4"/>
  <c r="GM56" i="4"/>
  <c r="GN56" i="4"/>
  <c r="GP56" i="4"/>
  <c r="HJ56" i="4"/>
  <c r="HK56" i="4"/>
  <c r="HL56" i="4"/>
  <c r="HM56" i="4"/>
  <c r="HN56" i="4"/>
  <c r="HO56" i="4"/>
  <c r="HP56" i="4"/>
  <c r="A57" i="4"/>
  <c r="B57" i="4"/>
  <c r="C57" i="4"/>
  <c r="D57" i="4"/>
  <c r="E57" i="4"/>
  <c r="F57" i="4"/>
  <c r="I57" i="4"/>
  <c r="J57" i="4"/>
  <c r="K57" i="4"/>
  <c r="L57" i="4"/>
  <c r="N57" i="4"/>
  <c r="O57" i="4"/>
  <c r="P57" i="4"/>
  <c r="Q57" i="4"/>
  <c r="R57" i="4"/>
  <c r="S57" i="4"/>
  <c r="T57" i="4"/>
  <c r="U57" i="4"/>
  <c r="V57" i="4"/>
  <c r="W57" i="4"/>
  <c r="X57" i="4"/>
  <c r="AX57" i="4"/>
  <c r="AY57" i="4"/>
  <c r="AZ57" i="4"/>
  <c r="BB57" i="4"/>
  <c r="BC57" i="4"/>
  <c r="BT57" i="4"/>
  <c r="BU57" i="4"/>
  <c r="BV57" i="4"/>
  <c r="BW57" i="4"/>
  <c r="EC57" i="4"/>
  <c r="ED57" i="4"/>
  <c r="EE57" i="4"/>
  <c r="EF57" i="4"/>
  <c r="EG57" i="4"/>
  <c r="EL57" i="4"/>
  <c r="EM57" i="4"/>
  <c r="EN57" i="4"/>
  <c r="EO57" i="4"/>
  <c r="EP57" i="4"/>
  <c r="EQ57" i="4"/>
  <c r="EV57" i="4"/>
  <c r="EX57" i="4"/>
  <c r="EY57" i="4"/>
  <c r="FA57" i="4"/>
  <c r="FB57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O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GB57" i="4"/>
  <c r="GC57" i="4"/>
  <c r="GD57" i="4"/>
  <c r="GF57" i="4"/>
  <c r="GG57" i="4"/>
  <c r="GJ57" i="4"/>
  <c r="GK57" i="4"/>
  <c r="GM57" i="4"/>
  <c r="GN57" i="4"/>
  <c r="GP57" i="4"/>
  <c r="HJ57" i="4"/>
  <c r="HK57" i="4"/>
  <c r="HL57" i="4"/>
  <c r="HM57" i="4"/>
  <c r="HN57" i="4"/>
  <c r="HO57" i="4"/>
  <c r="HP57" i="4"/>
  <c r="A58" i="4"/>
  <c r="B58" i="4"/>
  <c r="C58" i="4"/>
  <c r="D58" i="4"/>
  <c r="E58" i="4"/>
  <c r="F58" i="4"/>
  <c r="I58" i="4"/>
  <c r="J58" i="4"/>
  <c r="K58" i="4"/>
  <c r="L58" i="4"/>
  <c r="N58" i="4"/>
  <c r="O58" i="4"/>
  <c r="P58" i="4"/>
  <c r="Q58" i="4"/>
  <c r="R58" i="4"/>
  <c r="S58" i="4"/>
  <c r="T58" i="4"/>
  <c r="U58" i="4"/>
  <c r="V58" i="4"/>
  <c r="W58" i="4"/>
  <c r="X58" i="4"/>
  <c r="AX58" i="4"/>
  <c r="AY58" i="4"/>
  <c r="AZ58" i="4"/>
  <c r="BB58" i="4"/>
  <c r="BC58" i="4"/>
  <c r="BT58" i="4"/>
  <c r="BU58" i="4"/>
  <c r="BV58" i="4"/>
  <c r="BW58" i="4"/>
  <c r="EC58" i="4"/>
  <c r="ED58" i="4"/>
  <c r="EE58" i="4"/>
  <c r="EF58" i="4"/>
  <c r="EG58" i="4"/>
  <c r="EL58" i="4"/>
  <c r="EM58" i="4"/>
  <c r="EN58" i="4"/>
  <c r="EO58" i="4"/>
  <c r="EP58" i="4"/>
  <c r="EQ58" i="4"/>
  <c r="EV58" i="4"/>
  <c r="EX58" i="4"/>
  <c r="EY58" i="4"/>
  <c r="FA58" i="4"/>
  <c r="FB58" i="4"/>
  <c r="FC58" i="4"/>
  <c r="FD58" i="4"/>
  <c r="FE58" i="4"/>
  <c r="FF58" i="4"/>
  <c r="FG58" i="4"/>
  <c r="FH58" i="4"/>
  <c r="FI58" i="4"/>
  <c r="FJ58" i="4"/>
  <c r="FK58" i="4"/>
  <c r="FL58" i="4"/>
  <c r="FM58" i="4"/>
  <c r="FN58" i="4"/>
  <c r="FO58" i="4"/>
  <c r="FP58" i="4"/>
  <c r="FQ58" i="4"/>
  <c r="FR58" i="4"/>
  <c r="FS58" i="4"/>
  <c r="FT58" i="4"/>
  <c r="FU58" i="4"/>
  <c r="FV58" i="4"/>
  <c r="FW58" i="4"/>
  <c r="FX58" i="4"/>
  <c r="FY58" i="4"/>
  <c r="FZ58" i="4"/>
  <c r="GA58" i="4"/>
  <c r="GB58" i="4"/>
  <c r="GC58" i="4"/>
  <c r="GD58" i="4"/>
  <c r="GF58" i="4"/>
  <c r="GG58" i="4"/>
  <c r="GJ58" i="4"/>
  <c r="GK58" i="4"/>
  <c r="GM58" i="4"/>
  <c r="GN58" i="4"/>
  <c r="GP58" i="4"/>
  <c r="HJ58" i="4"/>
  <c r="HK58" i="4"/>
  <c r="HL58" i="4"/>
  <c r="HM58" i="4"/>
  <c r="HN58" i="4"/>
  <c r="HO58" i="4"/>
  <c r="HP58" i="4"/>
  <c r="A59" i="4"/>
  <c r="B59" i="4"/>
  <c r="C59" i="4"/>
  <c r="D59" i="4"/>
  <c r="E59" i="4"/>
  <c r="F59" i="4"/>
  <c r="I59" i="4"/>
  <c r="J59" i="4"/>
  <c r="K59" i="4"/>
  <c r="L59" i="4"/>
  <c r="N59" i="4"/>
  <c r="O59" i="4"/>
  <c r="P59" i="4"/>
  <c r="Q59" i="4"/>
  <c r="R59" i="4"/>
  <c r="S59" i="4"/>
  <c r="T59" i="4"/>
  <c r="U59" i="4"/>
  <c r="V59" i="4"/>
  <c r="W59" i="4"/>
  <c r="X59" i="4"/>
  <c r="AX59" i="4"/>
  <c r="AY59" i="4"/>
  <c r="AZ59" i="4"/>
  <c r="BB59" i="4"/>
  <c r="BC59" i="4"/>
  <c r="BT59" i="4"/>
  <c r="BU59" i="4"/>
  <c r="BV59" i="4"/>
  <c r="BW59" i="4"/>
  <c r="EC59" i="4"/>
  <c r="ED59" i="4"/>
  <c r="EE59" i="4"/>
  <c r="EF59" i="4"/>
  <c r="EG59" i="4"/>
  <c r="EL59" i="4"/>
  <c r="EM59" i="4"/>
  <c r="EN59" i="4"/>
  <c r="EO59" i="4"/>
  <c r="EP59" i="4"/>
  <c r="EQ59" i="4"/>
  <c r="EV59" i="4"/>
  <c r="EX59" i="4"/>
  <c r="EY59" i="4"/>
  <c r="FA59" i="4"/>
  <c r="FB59" i="4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F59" i="4"/>
  <c r="GG59" i="4"/>
  <c r="GJ59" i="4"/>
  <c r="GK59" i="4"/>
  <c r="GM59" i="4"/>
  <c r="GN59" i="4"/>
  <c r="GP59" i="4"/>
  <c r="HJ59" i="4"/>
  <c r="HK59" i="4"/>
  <c r="HL59" i="4"/>
  <c r="HM59" i="4"/>
  <c r="HN59" i="4"/>
  <c r="HO59" i="4"/>
  <c r="HP59" i="4"/>
  <c r="A60" i="4"/>
  <c r="B60" i="4"/>
  <c r="C60" i="4"/>
  <c r="D60" i="4"/>
  <c r="E60" i="4"/>
  <c r="F60" i="4"/>
  <c r="I60" i="4"/>
  <c r="J60" i="4"/>
  <c r="K60" i="4"/>
  <c r="L60" i="4"/>
  <c r="N60" i="4"/>
  <c r="O60" i="4"/>
  <c r="P60" i="4"/>
  <c r="Q60" i="4"/>
  <c r="R60" i="4"/>
  <c r="S60" i="4"/>
  <c r="T60" i="4"/>
  <c r="U60" i="4"/>
  <c r="V60" i="4"/>
  <c r="W60" i="4"/>
  <c r="X60" i="4"/>
  <c r="AX60" i="4"/>
  <c r="AY60" i="4"/>
  <c r="AZ60" i="4"/>
  <c r="BB60" i="4"/>
  <c r="BC60" i="4"/>
  <c r="BT60" i="4"/>
  <c r="BU60" i="4"/>
  <c r="BV60" i="4"/>
  <c r="BW60" i="4"/>
  <c r="EC60" i="4"/>
  <c r="ED60" i="4"/>
  <c r="EE60" i="4"/>
  <c r="EF60" i="4"/>
  <c r="EG60" i="4"/>
  <c r="EL60" i="4"/>
  <c r="EM60" i="4"/>
  <c r="EN60" i="4"/>
  <c r="EO60" i="4"/>
  <c r="EP60" i="4"/>
  <c r="EQ60" i="4"/>
  <c r="EV60" i="4"/>
  <c r="EX60" i="4"/>
  <c r="EY60" i="4"/>
  <c r="FA60" i="4"/>
  <c r="FB60" i="4"/>
  <c r="FC60" i="4"/>
  <c r="FD60" i="4"/>
  <c r="FE60" i="4"/>
  <c r="FF60" i="4"/>
  <c r="FG60" i="4"/>
  <c r="FH60" i="4"/>
  <c r="FI60" i="4"/>
  <c r="FJ60" i="4"/>
  <c r="FK60" i="4"/>
  <c r="FL60" i="4"/>
  <c r="FM60" i="4"/>
  <c r="FN60" i="4"/>
  <c r="FO60" i="4"/>
  <c r="FP60" i="4"/>
  <c r="FQ60" i="4"/>
  <c r="FR60" i="4"/>
  <c r="FS60" i="4"/>
  <c r="FT60" i="4"/>
  <c r="FU60" i="4"/>
  <c r="FV60" i="4"/>
  <c r="FW60" i="4"/>
  <c r="FX60" i="4"/>
  <c r="FY60" i="4"/>
  <c r="FZ60" i="4"/>
  <c r="GA60" i="4"/>
  <c r="GB60" i="4"/>
  <c r="GC60" i="4"/>
  <c r="GD60" i="4"/>
  <c r="GF60" i="4"/>
  <c r="GG60" i="4"/>
  <c r="GJ60" i="4"/>
  <c r="GK60" i="4"/>
  <c r="GM60" i="4"/>
  <c r="GN60" i="4"/>
  <c r="GP60" i="4"/>
  <c r="HJ60" i="4"/>
  <c r="HK60" i="4"/>
  <c r="HL60" i="4"/>
  <c r="HM60" i="4"/>
  <c r="HN60" i="4"/>
  <c r="HO60" i="4"/>
  <c r="HP60" i="4"/>
  <c r="A61" i="4"/>
  <c r="B61" i="4"/>
  <c r="C61" i="4"/>
  <c r="D61" i="4"/>
  <c r="E61" i="4"/>
  <c r="F61" i="4"/>
  <c r="I61" i="4"/>
  <c r="J61" i="4"/>
  <c r="K61" i="4"/>
  <c r="L61" i="4"/>
  <c r="N61" i="4"/>
  <c r="O61" i="4"/>
  <c r="P61" i="4"/>
  <c r="Q61" i="4"/>
  <c r="R61" i="4"/>
  <c r="S61" i="4"/>
  <c r="T61" i="4"/>
  <c r="U61" i="4"/>
  <c r="V61" i="4"/>
  <c r="W61" i="4"/>
  <c r="X61" i="4"/>
  <c r="AX61" i="4"/>
  <c r="AY61" i="4"/>
  <c r="AZ61" i="4"/>
  <c r="BB61" i="4"/>
  <c r="BC61" i="4"/>
  <c r="BT61" i="4"/>
  <c r="BU61" i="4"/>
  <c r="BV61" i="4"/>
  <c r="BW61" i="4"/>
  <c r="EC61" i="4"/>
  <c r="ED61" i="4"/>
  <c r="EE61" i="4"/>
  <c r="EF61" i="4"/>
  <c r="EG61" i="4"/>
  <c r="EL61" i="4"/>
  <c r="EM61" i="4"/>
  <c r="EN61" i="4"/>
  <c r="EO61" i="4"/>
  <c r="EP61" i="4"/>
  <c r="EQ61" i="4"/>
  <c r="EV61" i="4"/>
  <c r="EX61" i="4"/>
  <c r="EY61" i="4"/>
  <c r="FA61" i="4"/>
  <c r="FB61" i="4"/>
  <c r="FC61" i="4"/>
  <c r="FD61" i="4"/>
  <c r="FE61" i="4"/>
  <c r="FF61" i="4"/>
  <c r="FG61" i="4"/>
  <c r="FH61" i="4"/>
  <c r="FI61" i="4"/>
  <c r="FJ61" i="4"/>
  <c r="FK61" i="4"/>
  <c r="FL61" i="4"/>
  <c r="FM61" i="4"/>
  <c r="FN61" i="4"/>
  <c r="FO61" i="4"/>
  <c r="FP61" i="4"/>
  <c r="FQ61" i="4"/>
  <c r="FR61" i="4"/>
  <c r="FS61" i="4"/>
  <c r="FT61" i="4"/>
  <c r="FU61" i="4"/>
  <c r="FV61" i="4"/>
  <c r="FW61" i="4"/>
  <c r="FX61" i="4"/>
  <c r="FY61" i="4"/>
  <c r="FZ61" i="4"/>
  <c r="GA61" i="4"/>
  <c r="GB61" i="4"/>
  <c r="GC61" i="4"/>
  <c r="GD61" i="4"/>
  <c r="GF61" i="4"/>
  <c r="GG61" i="4"/>
  <c r="GJ61" i="4"/>
  <c r="GK61" i="4"/>
  <c r="GM61" i="4"/>
  <c r="GN61" i="4"/>
  <c r="GP61" i="4"/>
  <c r="HJ61" i="4"/>
  <c r="HK61" i="4"/>
  <c r="HL61" i="4"/>
  <c r="HM61" i="4"/>
  <c r="HN61" i="4"/>
  <c r="HO61" i="4"/>
  <c r="HP61" i="4"/>
  <c r="A62" i="4"/>
  <c r="B62" i="4"/>
  <c r="C62" i="4"/>
  <c r="D62" i="4"/>
  <c r="E62" i="4"/>
  <c r="F62" i="4"/>
  <c r="I62" i="4"/>
  <c r="J62" i="4"/>
  <c r="K62" i="4"/>
  <c r="L62" i="4"/>
  <c r="N62" i="4"/>
  <c r="O62" i="4"/>
  <c r="P62" i="4"/>
  <c r="Q62" i="4"/>
  <c r="R62" i="4"/>
  <c r="S62" i="4"/>
  <c r="T62" i="4"/>
  <c r="U62" i="4"/>
  <c r="V62" i="4"/>
  <c r="W62" i="4"/>
  <c r="X62" i="4"/>
  <c r="AX62" i="4"/>
  <c r="AY62" i="4"/>
  <c r="AZ62" i="4"/>
  <c r="BB62" i="4"/>
  <c r="BC62" i="4"/>
  <c r="BT62" i="4"/>
  <c r="BU62" i="4"/>
  <c r="BV62" i="4"/>
  <c r="BW62" i="4"/>
  <c r="EC62" i="4"/>
  <c r="ED62" i="4"/>
  <c r="EE62" i="4"/>
  <c r="EF62" i="4"/>
  <c r="EG62" i="4"/>
  <c r="EL62" i="4"/>
  <c r="EM62" i="4"/>
  <c r="EN62" i="4"/>
  <c r="EO62" i="4"/>
  <c r="EP62" i="4"/>
  <c r="EQ62" i="4"/>
  <c r="EV62" i="4"/>
  <c r="EX62" i="4"/>
  <c r="EY62" i="4"/>
  <c r="FA62" i="4"/>
  <c r="FB62" i="4"/>
  <c r="FC62" i="4"/>
  <c r="FD62" i="4"/>
  <c r="FE62" i="4"/>
  <c r="FF62" i="4"/>
  <c r="FG62" i="4"/>
  <c r="FH62" i="4"/>
  <c r="FI62" i="4"/>
  <c r="FJ62" i="4"/>
  <c r="FK62" i="4"/>
  <c r="FL62" i="4"/>
  <c r="FM62" i="4"/>
  <c r="FN62" i="4"/>
  <c r="FO62" i="4"/>
  <c r="FP62" i="4"/>
  <c r="FQ62" i="4"/>
  <c r="FR62" i="4"/>
  <c r="FS62" i="4"/>
  <c r="FT62" i="4"/>
  <c r="FU62" i="4"/>
  <c r="FV62" i="4"/>
  <c r="FW62" i="4"/>
  <c r="FX62" i="4"/>
  <c r="FY62" i="4"/>
  <c r="FZ62" i="4"/>
  <c r="GA62" i="4"/>
  <c r="GB62" i="4"/>
  <c r="GC62" i="4"/>
  <c r="GD62" i="4"/>
  <c r="GF62" i="4"/>
  <c r="GG62" i="4"/>
  <c r="GJ62" i="4"/>
  <c r="GK62" i="4"/>
  <c r="GM62" i="4"/>
  <c r="GN62" i="4"/>
  <c r="GP62" i="4"/>
  <c r="HJ62" i="4"/>
  <c r="HK62" i="4"/>
  <c r="HL62" i="4"/>
  <c r="HM62" i="4"/>
  <c r="HN62" i="4"/>
  <c r="HO62" i="4"/>
  <c r="HP62" i="4"/>
  <c r="A63" i="4"/>
  <c r="B63" i="4"/>
  <c r="C63" i="4"/>
  <c r="D63" i="4"/>
  <c r="E63" i="4"/>
  <c r="F63" i="4"/>
  <c r="I63" i="4"/>
  <c r="J63" i="4"/>
  <c r="K63" i="4"/>
  <c r="L63" i="4"/>
  <c r="N63" i="4"/>
  <c r="O63" i="4"/>
  <c r="P63" i="4"/>
  <c r="Q63" i="4"/>
  <c r="R63" i="4"/>
  <c r="S63" i="4"/>
  <c r="T63" i="4"/>
  <c r="U63" i="4"/>
  <c r="V63" i="4"/>
  <c r="W63" i="4"/>
  <c r="X63" i="4"/>
  <c r="AX63" i="4"/>
  <c r="AY63" i="4"/>
  <c r="AZ63" i="4"/>
  <c r="BB63" i="4"/>
  <c r="BC63" i="4"/>
  <c r="BT63" i="4"/>
  <c r="BU63" i="4"/>
  <c r="BV63" i="4"/>
  <c r="BW63" i="4"/>
  <c r="EC63" i="4"/>
  <c r="ED63" i="4"/>
  <c r="EE63" i="4"/>
  <c r="EF63" i="4"/>
  <c r="EG63" i="4"/>
  <c r="EL63" i="4"/>
  <c r="EM63" i="4"/>
  <c r="EN63" i="4"/>
  <c r="EO63" i="4"/>
  <c r="EP63" i="4"/>
  <c r="EQ63" i="4"/>
  <c r="EV63" i="4"/>
  <c r="EX63" i="4"/>
  <c r="EY63" i="4"/>
  <c r="FA63" i="4"/>
  <c r="FB63" i="4"/>
  <c r="FC63" i="4"/>
  <c r="FD63" i="4"/>
  <c r="FE63" i="4"/>
  <c r="FF63" i="4"/>
  <c r="FG63" i="4"/>
  <c r="FH63" i="4"/>
  <c r="FI63" i="4"/>
  <c r="FJ63" i="4"/>
  <c r="FK63" i="4"/>
  <c r="FL63" i="4"/>
  <c r="FM63" i="4"/>
  <c r="FN63" i="4"/>
  <c r="FO63" i="4"/>
  <c r="FP63" i="4"/>
  <c r="FQ63" i="4"/>
  <c r="FR63" i="4"/>
  <c r="FS63" i="4"/>
  <c r="FT63" i="4"/>
  <c r="FU63" i="4"/>
  <c r="FV63" i="4"/>
  <c r="FW63" i="4"/>
  <c r="FX63" i="4"/>
  <c r="FY63" i="4"/>
  <c r="FZ63" i="4"/>
  <c r="GA63" i="4"/>
  <c r="GB63" i="4"/>
  <c r="GC63" i="4"/>
  <c r="GD63" i="4"/>
  <c r="GF63" i="4"/>
  <c r="GG63" i="4"/>
  <c r="GJ63" i="4"/>
  <c r="GK63" i="4"/>
  <c r="GM63" i="4"/>
  <c r="GN63" i="4"/>
  <c r="GP63" i="4"/>
  <c r="HJ63" i="4"/>
  <c r="HK63" i="4"/>
  <c r="HL63" i="4"/>
  <c r="HM63" i="4"/>
  <c r="HN63" i="4"/>
  <c r="HO63" i="4"/>
  <c r="HP63" i="4"/>
  <c r="A64" i="4"/>
  <c r="B64" i="4"/>
  <c r="C64" i="4"/>
  <c r="D64" i="4"/>
  <c r="E64" i="4"/>
  <c r="F64" i="4"/>
  <c r="I64" i="4"/>
  <c r="J64" i="4"/>
  <c r="K64" i="4"/>
  <c r="L64" i="4"/>
  <c r="N64" i="4"/>
  <c r="O64" i="4"/>
  <c r="P64" i="4"/>
  <c r="Q64" i="4"/>
  <c r="R64" i="4"/>
  <c r="S64" i="4"/>
  <c r="T64" i="4"/>
  <c r="U64" i="4"/>
  <c r="V64" i="4"/>
  <c r="W64" i="4"/>
  <c r="X64" i="4"/>
  <c r="AX64" i="4"/>
  <c r="AY64" i="4"/>
  <c r="AZ64" i="4"/>
  <c r="BB64" i="4"/>
  <c r="BC64" i="4"/>
  <c r="BT64" i="4"/>
  <c r="BU64" i="4"/>
  <c r="BV64" i="4"/>
  <c r="BW64" i="4"/>
  <c r="EC64" i="4"/>
  <c r="ED64" i="4"/>
  <c r="EE64" i="4"/>
  <c r="EF64" i="4"/>
  <c r="EG64" i="4"/>
  <c r="EL64" i="4"/>
  <c r="EM64" i="4"/>
  <c r="EN64" i="4"/>
  <c r="EO64" i="4"/>
  <c r="EP64" i="4"/>
  <c r="EQ64" i="4"/>
  <c r="EV64" i="4"/>
  <c r="EX64" i="4"/>
  <c r="EY64" i="4"/>
  <c r="FA64" i="4"/>
  <c r="FB64" i="4"/>
  <c r="FC64" i="4"/>
  <c r="FD64" i="4"/>
  <c r="FE64" i="4"/>
  <c r="FF64" i="4"/>
  <c r="FG64" i="4"/>
  <c r="FH64" i="4"/>
  <c r="FI64" i="4"/>
  <c r="FJ64" i="4"/>
  <c r="FK64" i="4"/>
  <c r="FL64" i="4"/>
  <c r="FM64" i="4"/>
  <c r="FN64" i="4"/>
  <c r="FO64" i="4"/>
  <c r="FP64" i="4"/>
  <c r="FQ64" i="4"/>
  <c r="FR64" i="4"/>
  <c r="FS64" i="4"/>
  <c r="FT64" i="4"/>
  <c r="FU64" i="4"/>
  <c r="FV64" i="4"/>
  <c r="FW64" i="4"/>
  <c r="FX64" i="4"/>
  <c r="FY64" i="4"/>
  <c r="FZ64" i="4"/>
  <c r="GA64" i="4"/>
  <c r="GB64" i="4"/>
  <c r="GC64" i="4"/>
  <c r="GD64" i="4"/>
  <c r="GF64" i="4"/>
  <c r="GG64" i="4"/>
  <c r="GJ64" i="4"/>
  <c r="GK64" i="4"/>
  <c r="GM64" i="4"/>
  <c r="GN64" i="4"/>
  <c r="GP64" i="4"/>
  <c r="HJ64" i="4"/>
  <c r="HK64" i="4"/>
  <c r="HL64" i="4"/>
  <c r="HM64" i="4"/>
  <c r="HN64" i="4"/>
  <c r="HO64" i="4"/>
  <c r="HP64" i="4"/>
  <c r="A65" i="4"/>
  <c r="B65" i="4"/>
  <c r="C65" i="4"/>
  <c r="D65" i="4"/>
  <c r="E65" i="4"/>
  <c r="F65" i="4"/>
  <c r="I65" i="4"/>
  <c r="J65" i="4"/>
  <c r="K65" i="4"/>
  <c r="L65" i="4"/>
  <c r="N65" i="4"/>
  <c r="O65" i="4"/>
  <c r="P65" i="4"/>
  <c r="Q65" i="4"/>
  <c r="R65" i="4"/>
  <c r="S65" i="4"/>
  <c r="T65" i="4"/>
  <c r="U65" i="4"/>
  <c r="V65" i="4"/>
  <c r="W65" i="4"/>
  <c r="X65" i="4"/>
  <c r="AX65" i="4"/>
  <c r="AY65" i="4"/>
  <c r="AZ65" i="4"/>
  <c r="BB65" i="4"/>
  <c r="BC65" i="4"/>
  <c r="BT65" i="4"/>
  <c r="BU65" i="4"/>
  <c r="BV65" i="4"/>
  <c r="BW65" i="4"/>
  <c r="EC65" i="4"/>
  <c r="ED65" i="4"/>
  <c r="EE65" i="4"/>
  <c r="EF65" i="4"/>
  <c r="EG65" i="4"/>
  <c r="EL65" i="4"/>
  <c r="EM65" i="4"/>
  <c r="EN65" i="4"/>
  <c r="EO65" i="4"/>
  <c r="EP65" i="4"/>
  <c r="EQ65" i="4"/>
  <c r="EV65" i="4"/>
  <c r="EX65" i="4"/>
  <c r="EY65" i="4"/>
  <c r="FA65" i="4"/>
  <c r="FB65" i="4"/>
  <c r="FC65" i="4"/>
  <c r="FD65" i="4"/>
  <c r="FE65" i="4"/>
  <c r="FF65" i="4"/>
  <c r="FG65" i="4"/>
  <c r="FH65" i="4"/>
  <c r="FI65" i="4"/>
  <c r="FJ65" i="4"/>
  <c r="FK65" i="4"/>
  <c r="FL65" i="4"/>
  <c r="FM65" i="4"/>
  <c r="FN65" i="4"/>
  <c r="FO65" i="4"/>
  <c r="FP65" i="4"/>
  <c r="FQ65" i="4"/>
  <c r="FR65" i="4"/>
  <c r="FS65" i="4"/>
  <c r="FT65" i="4"/>
  <c r="FU65" i="4"/>
  <c r="FV65" i="4"/>
  <c r="FW65" i="4"/>
  <c r="FX65" i="4"/>
  <c r="FY65" i="4"/>
  <c r="FZ65" i="4"/>
  <c r="GA65" i="4"/>
  <c r="GB65" i="4"/>
  <c r="GC65" i="4"/>
  <c r="GD65" i="4"/>
  <c r="GF65" i="4"/>
  <c r="GG65" i="4"/>
  <c r="GJ65" i="4"/>
  <c r="GK65" i="4"/>
  <c r="GM65" i="4"/>
  <c r="GN65" i="4"/>
  <c r="GP65" i="4"/>
  <c r="HJ65" i="4"/>
  <c r="HK65" i="4"/>
  <c r="HL65" i="4"/>
  <c r="HM65" i="4"/>
  <c r="HN65" i="4"/>
  <c r="HO65" i="4"/>
  <c r="HP65" i="4"/>
  <c r="A66" i="4"/>
  <c r="B66" i="4"/>
  <c r="C66" i="4"/>
  <c r="D66" i="4"/>
  <c r="E66" i="4"/>
  <c r="F66" i="4"/>
  <c r="I66" i="4"/>
  <c r="J66" i="4"/>
  <c r="K66" i="4"/>
  <c r="L66" i="4"/>
  <c r="N66" i="4"/>
  <c r="O66" i="4"/>
  <c r="P66" i="4"/>
  <c r="Q66" i="4"/>
  <c r="R66" i="4"/>
  <c r="S66" i="4"/>
  <c r="T66" i="4"/>
  <c r="U66" i="4"/>
  <c r="V66" i="4"/>
  <c r="W66" i="4"/>
  <c r="X66" i="4"/>
  <c r="AX66" i="4"/>
  <c r="AY66" i="4"/>
  <c r="AZ66" i="4"/>
  <c r="BB66" i="4"/>
  <c r="BC66" i="4"/>
  <c r="BT66" i="4"/>
  <c r="BU66" i="4"/>
  <c r="BV66" i="4"/>
  <c r="BW66" i="4"/>
  <c r="EC66" i="4"/>
  <c r="ED66" i="4"/>
  <c r="EE66" i="4"/>
  <c r="EF66" i="4"/>
  <c r="EG66" i="4"/>
  <c r="EL66" i="4"/>
  <c r="EM66" i="4"/>
  <c r="EN66" i="4"/>
  <c r="EO66" i="4"/>
  <c r="EP66" i="4"/>
  <c r="EQ66" i="4"/>
  <c r="EV66" i="4"/>
  <c r="EX66" i="4"/>
  <c r="EY66" i="4"/>
  <c r="FA66" i="4"/>
  <c r="FB66" i="4"/>
  <c r="FC66" i="4"/>
  <c r="FD66" i="4"/>
  <c r="FE66" i="4"/>
  <c r="FF66" i="4"/>
  <c r="FG66" i="4"/>
  <c r="FH66" i="4"/>
  <c r="FI66" i="4"/>
  <c r="FJ66" i="4"/>
  <c r="FK66" i="4"/>
  <c r="FL66" i="4"/>
  <c r="FM66" i="4"/>
  <c r="FN66" i="4"/>
  <c r="FO66" i="4"/>
  <c r="FP66" i="4"/>
  <c r="FQ66" i="4"/>
  <c r="FR66" i="4"/>
  <c r="FS66" i="4"/>
  <c r="FT66" i="4"/>
  <c r="FU66" i="4"/>
  <c r="FV66" i="4"/>
  <c r="FW66" i="4"/>
  <c r="FX66" i="4"/>
  <c r="FY66" i="4"/>
  <c r="FZ66" i="4"/>
  <c r="GA66" i="4"/>
  <c r="GB66" i="4"/>
  <c r="GC66" i="4"/>
  <c r="GD66" i="4"/>
  <c r="GF66" i="4"/>
  <c r="GG66" i="4"/>
  <c r="GJ66" i="4"/>
  <c r="GK66" i="4"/>
  <c r="GM66" i="4"/>
  <c r="GN66" i="4"/>
  <c r="GP66" i="4"/>
  <c r="HJ66" i="4"/>
  <c r="HK66" i="4"/>
  <c r="HL66" i="4"/>
  <c r="HM66" i="4"/>
  <c r="HN66" i="4"/>
  <c r="HO66" i="4"/>
  <c r="HP66" i="4"/>
  <c r="A67" i="4"/>
  <c r="B67" i="4"/>
  <c r="C67" i="4"/>
  <c r="D67" i="4"/>
  <c r="E67" i="4"/>
  <c r="F67" i="4"/>
  <c r="I67" i="4"/>
  <c r="J67" i="4"/>
  <c r="K67" i="4"/>
  <c r="L67" i="4"/>
  <c r="N67" i="4"/>
  <c r="O67" i="4"/>
  <c r="P67" i="4"/>
  <c r="Q67" i="4"/>
  <c r="R67" i="4"/>
  <c r="S67" i="4"/>
  <c r="T67" i="4"/>
  <c r="U67" i="4"/>
  <c r="V67" i="4"/>
  <c r="W67" i="4"/>
  <c r="X67" i="4"/>
  <c r="AX67" i="4"/>
  <c r="AY67" i="4"/>
  <c r="AZ67" i="4"/>
  <c r="BB67" i="4"/>
  <c r="BC67" i="4"/>
  <c r="BT67" i="4"/>
  <c r="BU67" i="4"/>
  <c r="BV67" i="4"/>
  <c r="BW67" i="4"/>
  <c r="EC67" i="4"/>
  <c r="ED67" i="4"/>
  <c r="EE67" i="4"/>
  <c r="EF67" i="4"/>
  <c r="EG67" i="4"/>
  <c r="EL67" i="4"/>
  <c r="EM67" i="4"/>
  <c r="EN67" i="4"/>
  <c r="EO67" i="4"/>
  <c r="EP67" i="4"/>
  <c r="EQ67" i="4"/>
  <c r="EV67" i="4"/>
  <c r="EX67" i="4"/>
  <c r="EY67" i="4"/>
  <c r="FA67" i="4"/>
  <c r="FB67" i="4"/>
  <c r="FC67" i="4"/>
  <c r="FD67" i="4"/>
  <c r="FE67" i="4"/>
  <c r="FF67" i="4"/>
  <c r="FG67" i="4"/>
  <c r="FH67" i="4"/>
  <c r="FI67" i="4"/>
  <c r="FJ67" i="4"/>
  <c r="FK67" i="4"/>
  <c r="FL67" i="4"/>
  <c r="FM67" i="4"/>
  <c r="FN67" i="4"/>
  <c r="FO67" i="4"/>
  <c r="FP67" i="4"/>
  <c r="FQ67" i="4"/>
  <c r="FR67" i="4"/>
  <c r="FS67" i="4"/>
  <c r="FT67" i="4"/>
  <c r="FU67" i="4"/>
  <c r="FV67" i="4"/>
  <c r="FW67" i="4"/>
  <c r="FX67" i="4"/>
  <c r="FY67" i="4"/>
  <c r="FZ67" i="4"/>
  <c r="GA67" i="4"/>
  <c r="GB67" i="4"/>
  <c r="GC67" i="4"/>
  <c r="GD67" i="4"/>
  <c r="GF67" i="4"/>
  <c r="GG67" i="4"/>
  <c r="GJ67" i="4"/>
  <c r="GK67" i="4"/>
  <c r="GM67" i="4"/>
  <c r="GN67" i="4"/>
  <c r="GP67" i="4"/>
  <c r="HJ67" i="4"/>
  <c r="HK67" i="4"/>
  <c r="HL67" i="4"/>
  <c r="HM67" i="4"/>
  <c r="HN67" i="4"/>
  <c r="HO67" i="4"/>
  <c r="HP67" i="4"/>
  <c r="A68" i="4"/>
  <c r="B68" i="4"/>
  <c r="C68" i="4"/>
  <c r="D68" i="4"/>
  <c r="E68" i="4"/>
  <c r="F68" i="4"/>
  <c r="I68" i="4"/>
  <c r="J68" i="4"/>
  <c r="K68" i="4"/>
  <c r="L68" i="4"/>
  <c r="N68" i="4"/>
  <c r="O68" i="4"/>
  <c r="P68" i="4"/>
  <c r="Q68" i="4"/>
  <c r="R68" i="4"/>
  <c r="S68" i="4"/>
  <c r="T68" i="4"/>
  <c r="U68" i="4"/>
  <c r="V68" i="4"/>
  <c r="W68" i="4"/>
  <c r="X68" i="4"/>
  <c r="AX68" i="4"/>
  <c r="AY68" i="4"/>
  <c r="AZ68" i="4"/>
  <c r="BB68" i="4"/>
  <c r="BC68" i="4"/>
  <c r="BT68" i="4"/>
  <c r="BU68" i="4"/>
  <c r="BV68" i="4"/>
  <c r="BW68" i="4"/>
  <c r="EC68" i="4"/>
  <c r="ED68" i="4"/>
  <c r="EE68" i="4"/>
  <c r="EF68" i="4"/>
  <c r="EG68" i="4"/>
  <c r="EL68" i="4"/>
  <c r="EM68" i="4"/>
  <c r="EN68" i="4"/>
  <c r="EO68" i="4"/>
  <c r="EP68" i="4"/>
  <c r="EQ68" i="4"/>
  <c r="EV68" i="4"/>
  <c r="EX68" i="4"/>
  <c r="EY68" i="4"/>
  <c r="FA68" i="4"/>
  <c r="FB68" i="4"/>
  <c r="FC68" i="4"/>
  <c r="FD68" i="4"/>
  <c r="FE68" i="4"/>
  <c r="FF68" i="4"/>
  <c r="FG68" i="4"/>
  <c r="FH68" i="4"/>
  <c r="FI68" i="4"/>
  <c r="FJ68" i="4"/>
  <c r="FK68" i="4"/>
  <c r="FL68" i="4"/>
  <c r="FM68" i="4"/>
  <c r="FN68" i="4"/>
  <c r="FO68" i="4"/>
  <c r="FP68" i="4"/>
  <c r="FQ68" i="4"/>
  <c r="FR68" i="4"/>
  <c r="FS68" i="4"/>
  <c r="FT68" i="4"/>
  <c r="FU68" i="4"/>
  <c r="FV68" i="4"/>
  <c r="FW68" i="4"/>
  <c r="FX68" i="4"/>
  <c r="FY68" i="4"/>
  <c r="FZ68" i="4"/>
  <c r="GA68" i="4"/>
  <c r="GB68" i="4"/>
  <c r="GC68" i="4"/>
  <c r="GD68" i="4"/>
  <c r="GF68" i="4"/>
  <c r="GG68" i="4"/>
  <c r="GJ68" i="4"/>
  <c r="GK68" i="4"/>
  <c r="GM68" i="4"/>
  <c r="GN68" i="4"/>
  <c r="GP68" i="4"/>
  <c r="HJ68" i="4"/>
  <c r="HK68" i="4"/>
  <c r="HL68" i="4"/>
  <c r="HM68" i="4"/>
  <c r="HN68" i="4"/>
  <c r="HO68" i="4"/>
  <c r="HP68" i="4"/>
  <c r="A69" i="4"/>
  <c r="B69" i="4"/>
  <c r="C69" i="4"/>
  <c r="D69" i="4"/>
  <c r="E69" i="4"/>
  <c r="F69" i="4"/>
  <c r="I69" i="4"/>
  <c r="J69" i="4"/>
  <c r="K69" i="4"/>
  <c r="L69" i="4"/>
  <c r="N69" i="4"/>
  <c r="O69" i="4"/>
  <c r="P69" i="4"/>
  <c r="Q69" i="4"/>
  <c r="R69" i="4"/>
  <c r="S69" i="4"/>
  <c r="T69" i="4"/>
  <c r="U69" i="4"/>
  <c r="V69" i="4"/>
  <c r="W69" i="4"/>
  <c r="X69" i="4"/>
  <c r="AX69" i="4"/>
  <c r="AY69" i="4"/>
  <c r="AZ69" i="4"/>
  <c r="BB69" i="4"/>
  <c r="BC69" i="4"/>
  <c r="BT69" i="4"/>
  <c r="BU69" i="4"/>
  <c r="BV69" i="4"/>
  <c r="BW69" i="4"/>
  <c r="EC69" i="4"/>
  <c r="ED69" i="4"/>
  <c r="EE69" i="4"/>
  <c r="EF69" i="4"/>
  <c r="EG69" i="4"/>
  <c r="EL69" i="4"/>
  <c r="EM69" i="4"/>
  <c r="EN69" i="4"/>
  <c r="EO69" i="4"/>
  <c r="EP69" i="4"/>
  <c r="EQ69" i="4"/>
  <c r="EV69" i="4"/>
  <c r="EX69" i="4"/>
  <c r="EY69" i="4"/>
  <c r="FA69" i="4"/>
  <c r="FB69" i="4"/>
  <c r="FC69" i="4"/>
  <c r="FD69" i="4"/>
  <c r="FE69" i="4"/>
  <c r="FF69" i="4"/>
  <c r="FG69" i="4"/>
  <c r="FH69" i="4"/>
  <c r="FI69" i="4"/>
  <c r="FJ69" i="4"/>
  <c r="FK69" i="4"/>
  <c r="FL69" i="4"/>
  <c r="FM69" i="4"/>
  <c r="FN69" i="4"/>
  <c r="FO69" i="4"/>
  <c r="FP69" i="4"/>
  <c r="FQ69" i="4"/>
  <c r="FR69" i="4"/>
  <c r="FS69" i="4"/>
  <c r="FT69" i="4"/>
  <c r="FU69" i="4"/>
  <c r="FV69" i="4"/>
  <c r="FW69" i="4"/>
  <c r="FX69" i="4"/>
  <c r="FY69" i="4"/>
  <c r="FZ69" i="4"/>
  <c r="GA69" i="4"/>
  <c r="GB69" i="4"/>
  <c r="GC69" i="4"/>
  <c r="GD69" i="4"/>
  <c r="GF69" i="4"/>
  <c r="GG69" i="4"/>
  <c r="GJ69" i="4"/>
  <c r="GK69" i="4"/>
  <c r="GM69" i="4"/>
  <c r="GN69" i="4"/>
  <c r="GP69" i="4"/>
  <c r="HJ69" i="4"/>
  <c r="HK69" i="4"/>
  <c r="HL69" i="4"/>
  <c r="HM69" i="4"/>
  <c r="HN69" i="4"/>
  <c r="HO69" i="4"/>
  <c r="HP69" i="4"/>
  <c r="A70" i="4"/>
  <c r="B70" i="4"/>
  <c r="C70" i="4"/>
  <c r="D70" i="4"/>
  <c r="E70" i="4"/>
  <c r="F70" i="4"/>
  <c r="I70" i="4"/>
  <c r="J70" i="4"/>
  <c r="K70" i="4"/>
  <c r="L70" i="4"/>
  <c r="N70" i="4"/>
  <c r="O70" i="4"/>
  <c r="P70" i="4"/>
  <c r="Q70" i="4"/>
  <c r="R70" i="4"/>
  <c r="S70" i="4"/>
  <c r="T70" i="4"/>
  <c r="U70" i="4"/>
  <c r="V70" i="4"/>
  <c r="W70" i="4"/>
  <c r="X70" i="4"/>
  <c r="AX70" i="4"/>
  <c r="AY70" i="4"/>
  <c r="AZ70" i="4"/>
  <c r="BB70" i="4"/>
  <c r="BC70" i="4"/>
  <c r="BT70" i="4"/>
  <c r="BU70" i="4"/>
  <c r="BV70" i="4"/>
  <c r="BW70" i="4"/>
  <c r="EC70" i="4"/>
  <c r="ED70" i="4"/>
  <c r="EE70" i="4"/>
  <c r="EF70" i="4"/>
  <c r="EG70" i="4"/>
  <c r="EL70" i="4"/>
  <c r="EM70" i="4"/>
  <c r="EN70" i="4"/>
  <c r="EO70" i="4"/>
  <c r="EP70" i="4"/>
  <c r="EQ70" i="4"/>
  <c r="EV70" i="4"/>
  <c r="EX70" i="4"/>
  <c r="EY70" i="4"/>
  <c r="FA70" i="4"/>
  <c r="FB70" i="4"/>
  <c r="FC70" i="4"/>
  <c r="FD70" i="4"/>
  <c r="FE70" i="4"/>
  <c r="FF70" i="4"/>
  <c r="FG70" i="4"/>
  <c r="FH70" i="4"/>
  <c r="FI70" i="4"/>
  <c r="FJ70" i="4"/>
  <c r="FK70" i="4"/>
  <c r="FL70" i="4"/>
  <c r="FM70" i="4"/>
  <c r="FN70" i="4"/>
  <c r="FO70" i="4"/>
  <c r="FP70" i="4"/>
  <c r="FQ70" i="4"/>
  <c r="FR70" i="4"/>
  <c r="FS70" i="4"/>
  <c r="FT70" i="4"/>
  <c r="FU70" i="4"/>
  <c r="FV70" i="4"/>
  <c r="FW70" i="4"/>
  <c r="FX70" i="4"/>
  <c r="FY70" i="4"/>
  <c r="FZ70" i="4"/>
  <c r="GA70" i="4"/>
  <c r="GB70" i="4"/>
  <c r="GC70" i="4"/>
  <c r="GD70" i="4"/>
  <c r="GF70" i="4"/>
  <c r="GG70" i="4"/>
  <c r="GJ70" i="4"/>
  <c r="GK70" i="4"/>
  <c r="GM70" i="4"/>
  <c r="GN70" i="4"/>
  <c r="GP70" i="4"/>
  <c r="HJ70" i="4"/>
  <c r="HK70" i="4"/>
  <c r="HL70" i="4"/>
  <c r="HM70" i="4"/>
  <c r="HN70" i="4"/>
  <c r="HO70" i="4"/>
  <c r="HP70" i="4"/>
  <c r="A71" i="4"/>
  <c r="B71" i="4"/>
  <c r="C71" i="4"/>
  <c r="D71" i="4"/>
  <c r="E71" i="4"/>
  <c r="F71" i="4"/>
  <c r="I71" i="4"/>
  <c r="J71" i="4"/>
  <c r="K71" i="4"/>
  <c r="L71" i="4"/>
  <c r="N71" i="4"/>
  <c r="O71" i="4"/>
  <c r="P71" i="4"/>
  <c r="Q71" i="4"/>
  <c r="R71" i="4"/>
  <c r="S71" i="4"/>
  <c r="T71" i="4"/>
  <c r="U71" i="4"/>
  <c r="V71" i="4"/>
  <c r="W71" i="4"/>
  <c r="X71" i="4"/>
  <c r="AX71" i="4"/>
  <c r="AY71" i="4"/>
  <c r="AZ71" i="4"/>
  <c r="BB71" i="4"/>
  <c r="BC71" i="4"/>
  <c r="BT71" i="4"/>
  <c r="BU71" i="4"/>
  <c r="BV71" i="4"/>
  <c r="BW71" i="4"/>
  <c r="EC71" i="4"/>
  <c r="ED71" i="4"/>
  <c r="EE71" i="4"/>
  <c r="EF71" i="4"/>
  <c r="EG71" i="4"/>
  <c r="EL71" i="4"/>
  <c r="EM71" i="4"/>
  <c r="EN71" i="4"/>
  <c r="EO71" i="4"/>
  <c r="EP71" i="4"/>
  <c r="EQ71" i="4"/>
  <c r="EV71" i="4"/>
  <c r="EX71" i="4"/>
  <c r="EY71" i="4"/>
  <c r="FA71" i="4"/>
  <c r="FB71" i="4"/>
  <c r="FC71" i="4"/>
  <c r="FD71" i="4"/>
  <c r="FE71" i="4"/>
  <c r="FF71" i="4"/>
  <c r="FG71" i="4"/>
  <c r="FH71" i="4"/>
  <c r="FI71" i="4"/>
  <c r="FJ71" i="4"/>
  <c r="FK71" i="4"/>
  <c r="FL71" i="4"/>
  <c r="FM71" i="4"/>
  <c r="FN71" i="4"/>
  <c r="FO71" i="4"/>
  <c r="FP71" i="4"/>
  <c r="FQ71" i="4"/>
  <c r="FR71" i="4"/>
  <c r="FS71" i="4"/>
  <c r="FT71" i="4"/>
  <c r="FU71" i="4"/>
  <c r="FV71" i="4"/>
  <c r="FW71" i="4"/>
  <c r="FX71" i="4"/>
  <c r="FY71" i="4"/>
  <c r="FZ71" i="4"/>
  <c r="GA71" i="4"/>
  <c r="GB71" i="4"/>
  <c r="GC71" i="4"/>
  <c r="GD71" i="4"/>
  <c r="GF71" i="4"/>
  <c r="GG71" i="4"/>
  <c r="GJ71" i="4"/>
  <c r="GK71" i="4"/>
  <c r="GM71" i="4"/>
  <c r="GN71" i="4"/>
  <c r="GP71" i="4"/>
  <c r="HJ71" i="4"/>
  <c r="HK71" i="4"/>
  <c r="HL71" i="4"/>
  <c r="HM71" i="4"/>
  <c r="HN71" i="4"/>
  <c r="HO71" i="4"/>
  <c r="HP71" i="4"/>
  <c r="A72" i="4"/>
  <c r="B72" i="4"/>
  <c r="C72" i="4"/>
  <c r="D72" i="4"/>
  <c r="E72" i="4"/>
  <c r="F72" i="4"/>
  <c r="I72" i="4"/>
  <c r="J72" i="4"/>
  <c r="K72" i="4"/>
  <c r="L72" i="4"/>
  <c r="N72" i="4"/>
  <c r="O72" i="4"/>
  <c r="P72" i="4"/>
  <c r="Q72" i="4"/>
  <c r="R72" i="4"/>
  <c r="S72" i="4"/>
  <c r="T72" i="4"/>
  <c r="U72" i="4"/>
  <c r="V72" i="4"/>
  <c r="W72" i="4"/>
  <c r="X72" i="4"/>
  <c r="AX72" i="4"/>
  <c r="AY72" i="4"/>
  <c r="AZ72" i="4"/>
  <c r="BB72" i="4"/>
  <c r="BC72" i="4"/>
  <c r="BT72" i="4"/>
  <c r="BU72" i="4"/>
  <c r="BV72" i="4"/>
  <c r="BW72" i="4"/>
  <c r="EC72" i="4"/>
  <c r="ED72" i="4"/>
  <c r="EE72" i="4"/>
  <c r="EF72" i="4"/>
  <c r="EG72" i="4"/>
  <c r="EL72" i="4"/>
  <c r="EM72" i="4"/>
  <c r="EN72" i="4"/>
  <c r="EO72" i="4"/>
  <c r="EP72" i="4"/>
  <c r="EQ72" i="4"/>
  <c r="EV72" i="4"/>
  <c r="EX72" i="4"/>
  <c r="EY72" i="4"/>
  <c r="FA72" i="4"/>
  <c r="FB72" i="4"/>
  <c r="FC72" i="4"/>
  <c r="FD72" i="4"/>
  <c r="FE72" i="4"/>
  <c r="FF72" i="4"/>
  <c r="FG72" i="4"/>
  <c r="FH72" i="4"/>
  <c r="FI72" i="4"/>
  <c r="FJ72" i="4"/>
  <c r="FK72" i="4"/>
  <c r="FL72" i="4"/>
  <c r="FM72" i="4"/>
  <c r="FN72" i="4"/>
  <c r="FO72" i="4"/>
  <c r="FP72" i="4"/>
  <c r="FQ72" i="4"/>
  <c r="FR72" i="4"/>
  <c r="FS72" i="4"/>
  <c r="FT72" i="4"/>
  <c r="FU72" i="4"/>
  <c r="FV72" i="4"/>
  <c r="FW72" i="4"/>
  <c r="FX72" i="4"/>
  <c r="FY72" i="4"/>
  <c r="FZ72" i="4"/>
  <c r="GA72" i="4"/>
  <c r="GB72" i="4"/>
  <c r="GC72" i="4"/>
  <c r="GD72" i="4"/>
  <c r="GF72" i="4"/>
  <c r="GG72" i="4"/>
  <c r="GJ72" i="4"/>
  <c r="GK72" i="4"/>
  <c r="GM72" i="4"/>
  <c r="GN72" i="4"/>
  <c r="GP72" i="4"/>
  <c r="HJ72" i="4"/>
  <c r="HK72" i="4"/>
  <c r="HL72" i="4"/>
  <c r="HM72" i="4"/>
  <c r="HN72" i="4"/>
  <c r="HO72" i="4"/>
  <c r="HP72" i="4"/>
  <c r="A73" i="4"/>
  <c r="B73" i="4"/>
  <c r="C73" i="4"/>
  <c r="D73" i="4"/>
  <c r="E73" i="4"/>
  <c r="F73" i="4"/>
  <c r="I73" i="4"/>
  <c r="J73" i="4"/>
  <c r="K73" i="4"/>
  <c r="L73" i="4"/>
  <c r="N73" i="4"/>
  <c r="O73" i="4"/>
  <c r="P73" i="4"/>
  <c r="Q73" i="4"/>
  <c r="R73" i="4"/>
  <c r="S73" i="4"/>
  <c r="T73" i="4"/>
  <c r="U73" i="4"/>
  <c r="V73" i="4"/>
  <c r="W73" i="4"/>
  <c r="X73" i="4"/>
  <c r="AX73" i="4"/>
  <c r="AY73" i="4"/>
  <c r="AZ73" i="4"/>
  <c r="BB73" i="4"/>
  <c r="BC73" i="4"/>
  <c r="BT73" i="4"/>
  <c r="BU73" i="4"/>
  <c r="BV73" i="4"/>
  <c r="BW73" i="4"/>
  <c r="EC73" i="4"/>
  <c r="ED73" i="4"/>
  <c r="EE73" i="4"/>
  <c r="EF73" i="4"/>
  <c r="EG73" i="4"/>
  <c r="EL73" i="4"/>
  <c r="EM73" i="4"/>
  <c r="EN73" i="4"/>
  <c r="EO73" i="4"/>
  <c r="EP73" i="4"/>
  <c r="EQ73" i="4"/>
  <c r="EV73" i="4"/>
  <c r="EX73" i="4"/>
  <c r="EY73" i="4"/>
  <c r="FA73" i="4"/>
  <c r="FB73" i="4"/>
  <c r="FC73" i="4"/>
  <c r="FD73" i="4"/>
  <c r="FE73" i="4"/>
  <c r="FF73" i="4"/>
  <c r="FG73" i="4"/>
  <c r="FH73" i="4"/>
  <c r="FI73" i="4"/>
  <c r="FJ73" i="4"/>
  <c r="FK73" i="4"/>
  <c r="FL73" i="4"/>
  <c r="FM73" i="4"/>
  <c r="FN73" i="4"/>
  <c r="FO73" i="4"/>
  <c r="FP73" i="4"/>
  <c r="FQ73" i="4"/>
  <c r="FR73" i="4"/>
  <c r="FS73" i="4"/>
  <c r="FT73" i="4"/>
  <c r="FU73" i="4"/>
  <c r="FV73" i="4"/>
  <c r="FW73" i="4"/>
  <c r="FX73" i="4"/>
  <c r="FY73" i="4"/>
  <c r="FZ73" i="4"/>
  <c r="GA73" i="4"/>
  <c r="GB73" i="4"/>
  <c r="GC73" i="4"/>
  <c r="GD73" i="4"/>
  <c r="GF73" i="4"/>
  <c r="GG73" i="4"/>
  <c r="GJ73" i="4"/>
  <c r="GK73" i="4"/>
  <c r="GM73" i="4"/>
  <c r="GN73" i="4"/>
  <c r="GP73" i="4"/>
  <c r="HJ73" i="4"/>
  <c r="HK73" i="4"/>
  <c r="HL73" i="4"/>
  <c r="HM73" i="4"/>
  <c r="HN73" i="4"/>
  <c r="HO73" i="4"/>
  <c r="HP73" i="4"/>
  <c r="IO73" i="4"/>
  <c r="A74" i="4"/>
  <c r="B74" i="4"/>
  <c r="C74" i="4"/>
  <c r="D74" i="4"/>
  <c r="E74" i="4"/>
  <c r="F74" i="4"/>
  <c r="I74" i="4"/>
  <c r="J74" i="4"/>
  <c r="K74" i="4"/>
  <c r="L74" i="4"/>
  <c r="N74" i="4"/>
  <c r="O74" i="4"/>
  <c r="P74" i="4"/>
  <c r="Q74" i="4"/>
  <c r="R74" i="4"/>
  <c r="S74" i="4"/>
  <c r="T74" i="4"/>
  <c r="U74" i="4"/>
  <c r="V74" i="4"/>
  <c r="W74" i="4"/>
  <c r="X74" i="4"/>
  <c r="AX74" i="4"/>
  <c r="AY74" i="4"/>
  <c r="AZ74" i="4"/>
  <c r="BB74" i="4"/>
  <c r="BC74" i="4"/>
  <c r="BT74" i="4"/>
  <c r="BU74" i="4"/>
  <c r="BV74" i="4"/>
  <c r="BW74" i="4"/>
  <c r="EC74" i="4"/>
  <c r="ED74" i="4"/>
  <c r="EE74" i="4"/>
  <c r="EF74" i="4"/>
  <c r="EG74" i="4"/>
  <c r="EL74" i="4"/>
  <c r="EM74" i="4"/>
  <c r="EN74" i="4"/>
  <c r="EO74" i="4"/>
  <c r="EP74" i="4"/>
  <c r="EQ74" i="4"/>
  <c r="EV74" i="4"/>
  <c r="EX74" i="4"/>
  <c r="EY74" i="4"/>
  <c r="FA74" i="4"/>
  <c r="FB74" i="4"/>
  <c r="FC74" i="4"/>
  <c r="FD74" i="4"/>
  <c r="FE74" i="4"/>
  <c r="FF74" i="4"/>
  <c r="FG74" i="4"/>
  <c r="FH74" i="4"/>
  <c r="FI74" i="4"/>
  <c r="FJ74" i="4"/>
  <c r="FK74" i="4"/>
  <c r="FL74" i="4"/>
  <c r="FM74" i="4"/>
  <c r="FN74" i="4"/>
  <c r="FO74" i="4"/>
  <c r="FP74" i="4"/>
  <c r="FQ74" i="4"/>
  <c r="FR74" i="4"/>
  <c r="FS74" i="4"/>
  <c r="FT74" i="4"/>
  <c r="FU74" i="4"/>
  <c r="FV74" i="4"/>
  <c r="FW74" i="4"/>
  <c r="FX74" i="4"/>
  <c r="FY74" i="4"/>
  <c r="FZ74" i="4"/>
  <c r="GA74" i="4"/>
  <c r="GB74" i="4"/>
  <c r="GC74" i="4"/>
  <c r="GD74" i="4"/>
  <c r="GF74" i="4"/>
  <c r="GG74" i="4"/>
  <c r="GJ74" i="4"/>
  <c r="GK74" i="4"/>
  <c r="GM74" i="4"/>
  <c r="GN74" i="4"/>
  <c r="GP74" i="4"/>
  <c r="HJ74" i="4"/>
  <c r="HK74" i="4"/>
  <c r="HL74" i="4"/>
  <c r="HM74" i="4"/>
  <c r="HN74" i="4"/>
  <c r="HO74" i="4"/>
  <c r="HP74" i="4"/>
  <c r="A75" i="4"/>
  <c r="B75" i="4"/>
  <c r="C75" i="4"/>
  <c r="D75" i="4"/>
  <c r="E75" i="4"/>
  <c r="F75" i="4"/>
  <c r="I75" i="4"/>
  <c r="J75" i="4"/>
  <c r="K75" i="4"/>
  <c r="L75" i="4"/>
  <c r="N75" i="4"/>
  <c r="O75" i="4"/>
  <c r="P75" i="4"/>
  <c r="Q75" i="4"/>
  <c r="R75" i="4"/>
  <c r="S75" i="4"/>
  <c r="T75" i="4"/>
  <c r="U75" i="4"/>
  <c r="V75" i="4"/>
  <c r="W75" i="4"/>
  <c r="X75" i="4"/>
  <c r="AX75" i="4"/>
  <c r="AY75" i="4"/>
  <c r="AZ75" i="4"/>
  <c r="BB75" i="4"/>
  <c r="BC75" i="4"/>
  <c r="BT75" i="4"/>
  <c r="BU75" i="4"/>
  <c r="BV75" i="4"/>
  <c r="BW75" i="4"/>
  <c r="EC75" i="4"/>
  <c r="ED75" i="4"/>
  <c r="EE75" i="4"/>
  <c r="EF75" i="4"/>
  <c r="EG75" i="4"/>
  <c r="EL75" i="4"/>
  <c r="EM75" i="4"/>
  <c r="EN75" i="4"/>
  <c r="EO75" i="4"/>
  <c r="EP75" i="4"/>
  <c r="EQ75" i="4"/>
  <c r="EV75" i="4"/>
  <c r="EX75" i="4"/>
  <c r="EY75" i="4"/>
  <c r="FA75" i="4"/>
  <c r="FB75" i="4"/>
  <c r="FC75" i="4"/>
  <c r="FD75" i="4"/>
  <c r="FE75" i="4"/>
  <c r="FF75" i="4"/>
  <c r="FG75" i="4"/>
  <c r="FH75" i="4"/>
  <c r="FI75" i="4"/>
  <c r="FJ75" i="4"/>
  <c r="FK75" i="4"/>
  <c r="FL75" i="4"/>
  <c r="FM75" i="4"/>
  <c r="FN75" i="4"/>
  <c r="FO75" i="4"/>
  <c r="FP75" i="4"/>
  <c r="FQ75" i="4"/>
  <c r="FR75" i="4"/>
  <c r="FS75" i="4"/>
  <c r="FT75" i="4"/>
  <c r="FU75" i="4"/>
  <c r="FV75" i="4"/>
  <c r="FW75" i="4"/>
  <c r="FX75" i="4"/>
  <c r="FY75" i="4"/>
  <c r="FZ75" i="4"/>
  <c r="GA75" i="4"/>
  <c r="GB75" i="4"/>
  <c r="GC75" i="4"/>
  <c r="GD75" i="4"/>
  <c r="GF75" i="4"/>
  <c r="GG75" i="4"/>
  <c r="GJ75" i="4"/>
  <c r="GK75" i="4"/>
  <c r="GM75" i="4"/>
  <c r="GN75" i="4"/>
  <c r="GP75" i="4"/>
  <c r="HJ75" i="4"/>
  <c r="HK75" i="4"/>
  <c r="HL75" i="4"/>
  <c r="HM75" i="4"/>
  <c r="HN75" i="4"/>
  <c r="HO75" i="4"/>
  <c r="HP75" i="4"/>
  <c r="A76" i="4"/>
  <c r="B76" i="4"/>
  <c r="C76" i="4"/>
  <c r="D76" i="4"/>
  <c r="E76" i="4"/>
  <c r="F76" i="4"/>
  <c r="I76" i="4"/>
  <c r="J76" i="4"/>
  <c r="K76" i="4"/>
  <c r="L76" i="4"/>
  <c r="N76" i="4"/>
  <c r="O76" i="4"/>
  <c r="P76" i="4"/>
  <c r="Q76" i="4"/>
  <c r="R76" i="4"/>
  <c r="S76" i="4"/>
  <c r="T76" i="4"/>
  <c r="U76" i="4"/>
  <c r="V76" i="4"/>
  <c r="W76" i="4"/>
  <c r="X76" i="4"/>
  <c r="AX76" i="4"/>
  <c r="AY76" i="4"/>
  <c r="AZ76" i="4"/>
  <c r="BB76" i="4"/>
  <c r="BC76" i="4"/>
  <c r="BT76" i="4"/>
  <c r="BU76" i="4"/>
  <c r="BV76" i="4"/>
  <c r="BW76" i="4"/>
  <c r="EC76" i="4"/>
  <c r="ED76" i="4"/>
  <c r="EE76" i="4"/>
  <c r="EF76" i="4"/>
  <c r="EG76" i="4"/>
  <c r="EL76" i="4"/>
  <c r="EM76" i="4"/>
  <c r="EN76" i="4"/>
  <c r="EO76" i="4"/>
  <c r="EP76" i="4"/>
  <c r="EQ76" i="4"/>
  <c r="EV76" i="4"/>
  <c r="EX76" i="4"/>
  <c r="EY76" i="4"/>
  <c r="FA76" i="4"/>
  <c r="FB76" i="4"/>
  <c r="FC76" i="4"/>
  <c r="FD76" i="4"/>
  <c r="FE76" i="4"/>
  <c r="FF76" i="4"/>
  <c r="FG76" i="4"/>
  <c r="FH76" i="4"/>
  <c r="FI76" i="4"/>
  <c r="FJ76" i="4"/>
  <c r="FK76" i="4"/>
  <c r="FL76" i="4"/>
  <c r="FM76" i="4"/>
  <c r="FN76" i="4"/>
  <c r="FO76" i="4"/>
  <c r="FP76" i="4"/>
  <c r="FQ76" i="4"/>
  <c r="FR76" i="4"/>
  <c r="FS76" i="4"/>
  <c r="FT76" i="4"/>
  <c r="FU76" i="4"/>
  <c r="FV76" i="4"/>
  <c r="FW76" i="4"/>
  <c r="FX76" i="4"/>
  <c r="FY76" i="4"/>
  <c r="FZ76" i="4"/>
  <c r="GA76" i="4"/>
  <c r="GB76" i="4"/>
  <c r="GC76" i="4"/>
  <c r="GD76" i="4"/>
  <c r="GF76" i="4"/>
  <c r="GG76" i="4"/>
  <c r="GJ76" i="4"/>
  <c r="GK76" i="4"/>
  <c r="GM76" i="4"/>
  <c r="GN76" i="4"/>
  <c r="GP76" i="4"/>
  <c r="HJ76" i="4"/>
  <c r="HK76" i="4"/>
  <c r="HL76" i="4"/>
  <c r="HM76" i="4"/>
  <c r="HN76" i="4"/>
  <c r="HO76" i="4"/>
  <c r="HP76" i="4"/>
  <c r="A77" i="4"/>
  <c r="B77" i="4"/>
  <c r="C77" i="4"/>
  <c r="D77" i="4"/>
  <c r="E77" i="4"/>
  <c r="F77" i="4"/>
  <c r="I77" i="4"/>
  <c r="J77" i="4"/>
  <c r="K77" i="4"/>
  <c r="L77" i="4"/>
  <c r="N77" i="4"/>
  <c r="O77" i="4"/>
  <c r="P77" i="4"/>
  <c r="Q77" i="4"/>
  <c r="R77" i="4"/>
  <c r="S77" i="4"/>
  <c r="T77" i="4"/>
  <c r="U77" i="4"/>
  <c r="V77" i="4"/>
  <c r="W77" i="4"/>
  <c r="X77" i="4"/>
  <c r="AX77" i="4"/>
  <c r="AY77" i="4"/>
  <c r="AZ77" i="4"/>
  <c r="BB77" i="4"/>
  <c r="BC77" i="4"/>
  <c r="BT77" i="4"/>
  <c r="BU77" i="4"/>
  <c r="BV77" i="4"/>
  <c r="BW77" i="4"/>
  <c r="EC77" i="4"/>
  <c r="ED77" i="4"/>
  <c r="EE77" i="4"/>
  <c r="EF77" i="4"/>
  <c r="EG77" i="4"/>
  <c r="EL77" i="4"/>
  <c r="EM77" i="4"/>
  <c r="EN77" i="4"/>
  <c r="EO77" i="4"/>
  <c r="EP77" i="4"/>
  <c r="EQ77" i="4"/>
  <c r="EV77" i="4"/>
  <c r="EX77" i="4"/>
  <c r="EY77" i="4"/>
  <c r="FA77" i="4"/>
  <c r="FB77" i="4"/>
  <c r="FC77" i="4"/>
  <c r="FD77" i="4"/>
  <c r="FE77" i="4"/>
  <c r="FF77" i="4"/>
  <c r="FG77" i="4"/>
  <c r="FH77" i="4"/>
  <c r="FI77" i="4"/>
  <c r="FJ77" i="4"/>
  <c r="FK77" i="4"/>
  <c r="FL77" i="4"/>
  <c r="FM77" i="4"/>
  <c r="FN77" i="4"/>
  <c r="FO77" i="4"/>
  <c r="FP77" i="4"/>
  <c r="FQ77" i="4"/>
  <c r="FR77" i="4"/>
  <c r="FS77" i="4"/>
  <c r="FT77" i="4"/>
  <c r="FU77" i="4"/>
  <c r="FV77" i="4"/>
  <c r="FW77" i="4"/>
  <c r="FX77" i="4"/>
  <c r="FY77" i="4"/>
  <c r="FZ77" i="4"/>
  <c r="GA77" i="4"/>
  <c r="GB77" i="4"/>
  <c r="GC77" i="4"/>
  <c r="GD77" i="4"/>
  <c r="GF77" i="4"/>
  <c r="GG77" i="4"/>
  <c r="GJ77" i="4"/>
  <c r="GK77" i="4"/>
  <c r="GM77" i="4"/>
  <c r="GN77" i="4"/>
  <c r="GP77" i="4"/>
  <c r="HJ77" i="4"/>
  <c r="HK77" i="4"/>
  <c r="HL77" i="4"/>
  <c r="HM77" i="4"/>
  <c r="HN77" i="4"/>
  <c r="HO77" i="4"/>
  <c r="HP77" i="4"/>
  <c r="A78" i="4"/>
  <c r="B78" i="4"/>
  <c r="C78" i="4"/>
  <c r="D78" i="4"/>
  <c r="E78" i="4"/>
  <c r="F78" i="4"/>
  <c r="I78" i="4"/>
  <c r="J78" i="4"/>
  <c r="K78" i="4"/>
  <c r="L78" i="4"/>
  <c r="N78" i="4"/>
  <c r="O78" i="4"/>
  <c r="P78" i="4"/>
  <c r="Q78" i="4"/>
  <c r="R78" i="4"/>
  <c r="S78" i="4"/>
  <c r="T78" i="4"/>
  <c r="U78" i="4"/>
  <c r="V78" i="4"/>
  <c r="W78" i="4"/>
  <c r="X78" i="4"/>
  <c r="AX78" i="4"/>
  <c r="AY78" i="4"/>
  <c r="AZ78" i="4"/>
  <c r="BB78" i="4"/>
  <c r="BC78" i="4"/>
  <c r="BT78" i="4"/>
  <c r="BU78" i="4"/>
  <c r="BV78" i="4"/>
  <c r="BW78" i="4"/>
  <c r="EC78" i="4"/>
  <c r="ED78" i="4"/>
  <c r="EE78" i="4"/>
  <c r="EF78" i="4"/>
  <c r="EG78" i="4"/>
  <c r="EL78" i="4"/>
  <c r="EM78" i="4"/>
  <c r="EN78" i="4"/>
  <c r="EO78" i="4"/>
  <c r="EP78" i="4"/>
  <c r="EQ78" i="4"/>
  <c r="EV78" i="4"/>
  <c r="EX78" i="4"/>
  <c r="EY78" i="4"/>
  <c r="FA78" i="4"/>
  <c r="FB78" i="4"/>
  <c r="FC78" i="4"/>
  <c r="FD78" i="4"/>
  <c r="FE78" i="4"/>
  <c r="FF78" i="4"/>
  <c r="FG78" i="4"/>
  <c r="FH78" i="4"/>
  <c r="FI78" i="4"/>
  <c r="FJ78" i="4"/>
  <c r="FK78" i="4"/>
  <c r="FL78" i="4"/>
  <c r="FM78" i="4"/>
  <c r="FN78" i="4"/>
  <c r="FO78" i="4"/>
  <c r="FP78" i="4"/>
  <c r="FQ78" i="4"/>
  <c r="FR78" i="4"/>
  <c r="FS78" i="4"/>
  <c r="FT78" i="4"/>
  <c r="FU78" i="4"/>
  <c r="FV78" i="4"/>
  <c r="FW78" i="4"/>
  <c r="FX78" i="4"/>
  <c r="FY78" i="4"/>
  <c r="FZ78" i="4"/>
  <c r="GA78" i="4"/>
  <c r="GB78" i="4"/>
  <c r="GC78" i="4"/>
  <c r="GD78" i="4"/>
  <c r="GF78" i="4"/>
  <c r="GG78" i="4"/>
  <c r="GJ78" i="4"/>
  <c r="GK78" i="4"/>
  <c r="GM78" i="4"/>
  <c r="GN78" i="4"/>
  <c r="GP78" i="4"/>
  <c r="HJ78" i="4"/>
  <c r="HK78" i="4"/>
  <c r="HL78" i="4"/>
  <c r="HM78" i="4"/>
  <c r="HN78" i="4"/>
  <c r="HO78" i="4"/>
  <c r="HP78" i="4"/>
  <c r="A79" i="4"/>
  <c r="B79" i="4"/>
  <c r="C79" i="4"/>
  <c r="D79" i="4"/>
  <c r="E79" i="4"/>
  <c r="F79" i="4"/>
  <c r="I79" i="4"/>
  <c r="J79" i="4"/>
  <c r="K79" i="4"/>
  <c r="L79" i="4"/>
  <c r="N79" i="4"/>
  <c r="O79" i="4"/>
  <c r="P79" i="4"/>
  <c r="Q79" i="4"/>
  <c r="R79" i="4"/>
  <c r="S79" i="4"/>
  <c r="T79" i="4"/>
  <c r="U79" i="4"/>
  <c r="V79" i="4"/>
  <c r="W79" i="4"/>
  <c r="X79" i="4"/>
  <c r="AX79" i="4"/>
  <c r="AY79" i="4"/>
  <c r="AZ79" i="4"/>
  <c r="BB79" i="4"/>
  <c r="BC79" i="4"/>
  <c r="BT79" i="4"/>
  <c r="BU79" i="4"/>
  <c r="BV79" i="4"/>
  <c r="BW79" i="4"/>
  <c r="EC79" i="4"/>
  <c r="ED79" i="4"/>
  <c r="EE79" i="4"/>
  <c r="EF79" i="4"/>
  <c r="EG79" i="4"/>
  <c r="EL79" i="4"/>
  <c r="EM79" i="4"/>
  <c r="EN79" i="4"/>
  <c r="EO79" i="4"/>
  <c r="EP79" i="4"/>
  <c r="EQ79" i="4"/>
  <c r="EV79" i="4"/>
  <c r="EX79" i="4"/>
  <c r="EY79" i="4"/>
  <c r="FA79" i="4"/>
  <c r="FB79" i="4"/>
  <c r="FC79" i="4"/>
  <c r="FD79" i="4"/>
  <c r="FE79" i="4"/>
  <c r="FF79" i="4"/>
  <c r="FG79" i="4"/>
  <c r="FH79" i="4"/>
  <c r="FI79" i="4"/>
  <c r="FJ79" i="4"/>
  <c r="FK79" i="4"/>
  <c r="FL79" i="4"/>
  <c r="FM79" i="4"/>
  <c r="FN79" i="4"/>
  <c r="FO79" i="4"/>
  <c r="FP79" i="4"/>
  <c r="FQ79" i="4"/>
  <c r="FR79" i="4"/>
  <c r="FS79" i="4"/>
  <c r="FT79" i="4"/>
  <c r="FU79" i="4"/>
  <c r="FV79" i="4"/>
  <c r="FW79" i="4"/>
  <c r="FX79" i="4"/>
  <c r="FY79" i="4"/>
  <c r="FZ79" i="4"/>
  <c r="GA79" i="4"/>
  <c r="GB79" i="4"/>
  <c r="GC79" i="4"/>
  <c r="GD79" i="4"/>
  <c r="GF79" i="4"/>
  <c r="GG79" i="4"/>
  <c r="GJ79" i="4"/>
  <c r="GK79" i="4"/>
  <c r="GM79" i="4"/>
  <c r="GN79" i="4"/>
  <c r="GP79" i="4"/>
  <c r="HJ79" i="4"/>
  <c r="HK79" i="4"/>
  <c r="HL79" i="4"/>
  <c r="HM79" i="4"/>
  <c r="HN79" i="4"/>
  <c r="HO79" i="4"/>
  <c r="HP79" i="4"/>
  <c r="A80" i="4"/>
  <c r="B80" i="4"/>
  <c r="C80" i="4"/>
  <c r="D80" i="4"/>
  <c r="E80" i="4"/>
  <c r="F80" i="4"/>
  <c r="I80" i="4"/>
  <c r="J80" i="4"/>
  <c r="K80" i="4"/>
  <c r="L80" i="4"/>
  <c r="N80" i="4"/>
  <c r="O80" i="4"/>
  <c r="P80" i="4"/>
  <c r="Q80" i="4"/>
  <c r="R80" i="4"/>
  <c r="S80" i="4"/>
  <c r="T80" i="4"/>
  <c r="U80" i="4"/>
  <c r="V80" i="4"/>
  <c r="W80" i="4"/>
  <c r="X80" i="4"/>
  <c r="AX80" i="4"/>
  <c r="AY80" i="4"/>
  <c r="AZ80" i="4"/>
  <c r="BB80" i="4"/>
  <c r="BC80" i="4"/>
  <c r="BT80" i="4"/>
  <c r="BU80" i="4"/>
  <c r="BV80" i="4"/>
  <c r="BW80" i="4"/>
  <c r="EC80" i="4"/>
  <c r="ED80" i="4"/>
  <c r="EE80" i="4"/>
  <c r="EF80" i="4"/>
  <c r="EG80" i="4"/>
  <c r="EL80" i="4"/>
  <c r="EM80" i="4"/>
  <c r="EN80" i="4"/>
  <c r="EO80" i="4"/>
  <c r="EP80" i="4"/>
  <c r="EQ80" i="4"/>
  <c r="EV80" i="4"/>
  <c r="EX80" i="4"/>
  <c r="EY80" i="4"/>
  <c r="FA80" i="4"/>
  <c r="FB80" i="4"/>
  <c r="FC80" i="4"/>
  <c r="FD80" i="4"/>
  <c r="FE80" i="4"/>
  <c r="FF80" i="4"/>
  <c r="FG80" i="4"/>
  <c r="FH80" i="4"/>
  <c r="FI80" i="4"/>
  <c r="FJ80" i="4"/>
  <c r="FK80" i="4"/>
  <c r="FL80" i="4"/>
  <c r="FM80" i="4"/>
  <c r="FN80" i="4"/>
  <c r="FO80" i="4"/>
  <c r="FP80" i="4"/>
  <c r="FQ80" i="4"/>
  <c r="FR80" i="4"/>
  <c r="FS80" i="4"/>
  <c r="FT80" i="4"/>
  <c r="FU80" i="4"/>
  <c r="FV80" i="4"/>
  <c r="FW80" i="4"/>
  <c r="FX80" i="4"/>
  <c r="FY80" i="4"/>
  <c r="FZ80" i="4"/>
  <c r="GA80" i="4"/>
  <c r="GB80" i="4"/>
  <c r="GC80" i="4"/>
  <c r="GD80" i="4"/>
  <c r="GF80" i="4"/>
  <c r="GG80" i="4"/>
  <c r="GJ80" i="4"/>
  <c r="GK80" i="4"/>
  <c r="GM80" i="4"/>
  <c r="GN80" i="4"/>
  <c r="GP80" i="4"/>
  <c r="HJ80" i="4"/>
  <c r="HK80" i="4"/>
  <c r="HL80" i="4"/>
  <c r="HM80" i="4"/>
  <c r="HN80" i="4"/>
  <c r="HO80" i="4"/>
  <c r="HP80" i="4"/>
  <c r="A81" i="4"/>
  <c r="B81" i="4"/>
  <c r="C81" i="4"/>
  <c r="D81" i="4"/>
  <c r="E81" i="4"/>
  <c r="F81" i="4"/>
  <c r="I81" i="4"/>
  <c r="J81" i="4"/>
  <c r="K81" i="4"/>
  <c r="L81" i="4"/>
  <c r="N81" i="4"/>
  <c r="O81" i="4"/>
  <c r="P81" i="4"/>
  <c r="Q81" i="4"/>
  <c r="R81" i="4"/>
  <c r="S81" i="4"/>
  <c r="T81" i="4"/>
  <c r="U81" i="4"/>
  <c r="V81" i="4"/>
  <c r="W81" i="4"/>
  <c r="X81" i="4"/>
  <c r="AX81" i="4"/>
  <c r="AY81" i="4"/>
  <c r="AZ81" i="4"/>
  <c r="BB81" i="4"/>
  <c r="BC81" i="4"/>
  <c r="BT81" i="4"/>
  <c r="BU81" i="4"/>
  <c r="BV81" i="4"/>
  <c r="BW81" i="4"/>
  <c r="EC81" i="4"/>
  <c r="ED81" i="4"/>
  <c r="EE81" i="4"/>
  <c r="EF81" i="4"/>
  <c r="EG81" i="4"/>
  <c r="EL81" i="4"/>
  <c r="EM81" i="4"/>
  <c r="EN81" i="4"/>
  <c r="EO81" i="4"/>
  <c r="EP81" i="4"/>
  <c r="EQ81" i="4"/>
  <c r="EV81" i="4"/>
  <c r="EX81" i="4"/>
  <c r="EY81" i="4"/>
  <c r="FA81" i="4"/>
  <c r="FB81" i="4"/>
  <c r="FC81" i="4"/>
  <c r="FD81" i="4"/>
  <c r="FE81" i="4"/>
  <c r="FF81" i="4"/>
  <c r="FG81" i="4"/>
  <c r="FH81" i="4"/>
  <c r="FI81" i="4"/>
  <c r="FJ81" i="4"/>
  <c r="FK81" i="4"/>
  <c r="FL81" i="4"/>
  <c r="FM81" i="4"/>
  <c r="FN81" i="4"/>
  <c r="FO81" i="4"/>
  <c r="FP81" i="4"/>
  <c r="FQ81" i="4"/>
  <c r="FR81" i="4"/>
  <c r="FS81" i="4"/>
  <c r="FT81" i="4"/>
  <c r="FU81" i="4"/>
  <c r="FV81" i="4"/>
  <c r="FW81" i="4"/>
  <c r="FX81" i="4"/>
  <c r="FY81" i="4"/>
  <c r="FZ81" i="4"/>
  <c r="GA81" i="4"/>
  <c r="GB81" i="4"/>
  <c r="GC81" i="4"/>
  <c r="GD81" i="4"/>
  <c r="GF81" i="4"/>
  <c r="GG81" i="4"/>
  <c r="GJ81" i="4"/>
  <c r="GK81" i="4"/>
  <c r="GM81" i="4"/>
  <c r="GN81" i="4"/>
  <c r="GP81" i="4"/>
  <c r="HJ81" i="4"/>
  <c r="HK81" i="4"/>
  <c r="HL81" i="4"/>
  <c r="HM81" i="4"/>
  <c r="HN81" i="4"/>
  <c r="HO81" i="4"/>
  <c r="HP81" i="4"/>
  <c r="A82" i="4"/>
  <c r="B82" i="4"/>
  <c r="C82" i="4"/>
  <c r="D82" i="4"/>
  <c r="E82" i="4"/>
  <c r="F82" i="4"/>
  <c r="I82" i="4"/>
  <c r="J82" i="4"/>
  <c r="N82" i="4"/>
  <c r="O82" i="4"/>
  <c r="P82" i="4"/>
  <c r="Q82" i="4"/>
  <c r="R82" i="4"/>
  <c r="S82" i="4"/>
  <c r="T82" i="4"/>
  <c r="U82" i="4"/>
  <c r="V82" i="4"/>
  <c r="W82" i="4"/>
  <c r="X82" i="4"/>
  <c r="AX82" i="4"/>
  <c r="AY82" i="4"/>
  <c r="AZ82" i="4"/>
  <c r="BB82" i="4"/>
  <c r="BC82" i="4"/>
  <c r="BT82" i="4"/>
  <c r="BU82" i="4"/>
  <c r="BV82" i="4"/>
  <c r="BW82" i="4"/>
  <c r="EC82" i="4"/>
  <c r="ED82" i="4"/>
  <c r="EE82" i="4"/>
  <c r="EF82" i="4"/>
  <c r="EG82" i="4"/>
  <c r="EL82" i="4"/>
  <c r="EM82" i="4"/>
  <c r="EN82" i="4"/>
  <c r="EO82" i="4"/>
  <c r="EP82" i="4"/>
  <c r="EQ82" i="4"/>
  <c r="EV82" i="4"/>
  <c r="EX82" i="4"/>
  <c r="EY82" i="4"/>
  <c r="FA82" i="4"/>
  <c r="FB82" i="4"/>
  <c r="FC82" i="4"/>
  <c r="FD82" i="4"/>
  <c r="FE82" i="4"/>
  <c r="FF82" i="4"/>
  <c r="FG82" i="4"/>
  <c r="FH82" i="4"/>
  <c r="FI82" i="4"/>
  <c r="FJ82" i="4"/>
  <c r="FK82" i="4"/>
  <c r="FL82" i="4"/>
  <c r="FM82" i="4"/>
  <c r="FN82" i="4"/>
  <c r="FO82" i="4"/>
  <c r="FP82" i="4"/>
  <c r="FQ82" i="4"/>
  <c r="FR82" i="4"/>
  <c r="FS82" i="4"/>
  <c r="FT82" i="4"/>
  <c r="FU82" i="4"/>
  <c r="FV82" i="4"/>
  <c r="FW82" i="4"/>
  <c r="FX82" i="4"/>
  <c r="FY82" i="4"/>
  <c r="FZ82" i="4"/>
  <c r="GA82" i="4"/>
  <c r="GB82" i="4"/>
  <c r="GC82" i="4"/>
  <c r="GD82" i="4"/>
  <c r="GF82" i="4"/>
  <c r="GG82" i="4"/>
  <c r="GJ82" i="4"/>
  <c r="GK82" i="4"/>
  <c r="GM82" i="4"/>
  <c r="GN82" i="4"/>
  <c r="GP82" i="4"/>
  <c r="HJ82" i="4"/>
  <c r="HK82" i="4"/>
  <c r="HL82" i="4"/>
  <c r="HM82" i="4"/>
  <c r="HN82" i="4"/>
  <c r="HO82" i="4"/>
  <c r="HP82" i="4"/>
  <c r="A83" i="4"/>
  <c r="B83" i="4"/>
  <c r="C83" i="4"/>
  <c r="D83" i="4"/>
  <c r="E83" i="4"/>
  <c r="F83" i="4"/>
  <c r="I83" i="4"/>
  <c r="J83" i="4"/>
  <c r="N83" i="4"/>
  <c r="O83" i="4"/>
  <c r="P83" i="4"/>
  <c r="Q83" i="4"/>
  <c r="R83" i="4"/>
  <c r="S83" i="4"/>
  <c r="T83" i="4"/>
  <c r="U83" i="4"/>
  <c r="V83" i="4"/>
  <c r="W83" i="4"/>
  <c r="X83" i="4"/>
  <c r="AX83" i="4"/>
  <c r="AY83" i="4"/>
  <c r="AZ83" i="4"/>
  <c r="BB83" i="4"/>
  <c r="BC83" i="4"/>
  <c r="BT83" i="4"/>
  <c r="BU83" i="4"/>
  <c r="BV83" i="4"/>
  <c r="BW83" i="4"/>
  <c r="EC83" i="4"/>
  <c r="ED83" i="4"/>
  <c r="EE83" i="4"/>
  <c r="EF83" i="4"/>
  <c r="EG83" i="4"/>
  <c r="EL83" i="4"/>
  <c r="EM83" i="4"/>
  <c r="EN83" i="4"/>
  <c r="EO83" i="4"/>
  <c r="EP83" i="4"/>
  <c r="EQ83" i="4"/>
  <c r="EV83" i="4"/>
  <c r="EX83" i="4"/>
  <c r="EY83" i="4"/>
  <c r="FA83" i="4"/>
  <c r="FB83" i="4"/>
  <c r="FC83" i="4"/>
  <c r="FD83" i="4"/>
  <c r="FE83" i="4"/>
  <c r="FF83" i="4"/>
  <c r="FG83" i="4"/>
  <c r="FH83" i="4"/>
  <c r="FI83" i="4"/>
  <c r="FJ83" i="4"/>
  <c r="FK83" i="4"/>
  <c r="FL83" i="4"/>
  <c r="FM83" i="4"/>
  <c r="FN83" i="4"/>
  <c r="FO83" i="4"/>
  <c r="FP83" i="4"/>
  <c r="FQ83" i="4"/>
  <c r="FR83" i="4"/>
  <c r="FS83" i="4"/>
  <c r="FT83" i="4"/>
  <c r="FU83" i="4"/>
  <c r="FV83" i="4"/>
  <c r="FW83" i="4"/>
  <c r="FX83" i="4"/>
  <c r="FY83" i="4"/>
  <c r="FZ83" i="4"/>
  <c r="GA83" i="4"/>
  <c r="GB83" i="4"/>
  <c r="GC83" i="4"/>
  <c r="GD83" i="4"/>
  <c r="GF83" i="4"/>
  <c r="GG83" i="4"/>
  <c r="GJ83" i="4"/>
  <c r="GK83" i="4"/>
  <c r="GM83" i="4"/>
  <c r="GN83" i="4"/>
  <c r="GP83" i="4"/>
  <c r="HJ83" i="4"/>
  <c r="HK83" i="4"/>
  <c r="HL83" i="4"/>
  <c r="HM83" i="4"/>
  <c r="HN83" i="4"/>
  <c r="HO83" i="4"/>
  <c r="HP83" i="4"/>
  <c r="A84" i="4"/>
  <c r="B84" i="4"/>
  <c r="C84" i="4"/>
  <c r="D84" i="4"/>
  <c r="E84" i="4"/>
  <c r="F84" i="4"/>
  <c r="I84" i="4"/>
  <c r="J84" i="4"/>
  <c r="N84" i="4"/>
  <c r="O84" i="4"/>
  <c r="P84" i="4"/>
  <c r="Q84" i="4"/>
  <c r="R84" i="4"/>
  <c r="S84" i="4"/>
  <c r="T84" i="4"/>
  <c r="U84" i="4"/>
  <c r="V84" i="4"/>
  <c r="W84" i="4"/>
  <c r="X84" i="4"/>
  <c r="AX84" i="4"/>
  <c r="AY84" i="4"/>
  <c r="AZ84" i="4"/>
  <c r="BB84" i="4"/>
  <c r="BC84" i="4"/>
  <c r="BT84" i="4"/>
  <c r="BU84" i="4"/>
  <c r="BV84" i="4"/>
  <c r="BW84" i="4"/>
  <c r="EC84" i="4"/>
  <c r="ED84" i="4"/>
  <c r="EE84" i="4"/>
  <c r="EF84" i="4"/>
  <c r="EG84" i="4"/>
  <c r="EL84" i="4"/>
  <c r="EM84" i="4"/>
  <c r="EN84" i="4"/>
  <c r="EO84" i="4"/>
  <c r="EP84" i="4"/>
  <c r="EQ84" i="4"/>
  <c r="EV84" i="4"/>
  <c r="EX84" i="4"/>
  <c r="EY84" i="4"/>
  <c r="FA84" i="4"/>
  <c r="FB84" i="4"/>
  <c r="FC84" i="4"/>
  <c r="FD84" i="4"/>
  <c r="FE84" i="4"/>
  <c r="FF84" i="4"/>
  <c r="FG84" i="4"/>
  <c r="FH84" i="4"/>
  <c r="FI84" i="4"/>
  <c r="FJ84" i="4"/>
  <c r="FK84" i="4"/>
  <c r="FL84" i="4"/>
  <c r="FM84" i="4"/>
  <c r="FN84" i="4"/>
  <c r="FO84" i="4"/>
  <c r="FP84" i="4"/>
  <c r="FQ84" i="4"/>
  <c r="FR84" i="4"/>
  <c r="FS84" i="4"/>
  <c r="FT84" i="4"/>
  <c r="FU84" i="4"/>
  <c r="FV84" i="4"/>
  <c r="FW84" i="4"/>
  <c r="FX84" i="4"/>
  <c r="FY84" i="4"/>
  <c r="FZ84" i="4"/>
  <c r="GA84" i="4"/>
  <c r="GB84" i="4"/>
  <c r="GC84" i="4"/>
  <c r="GD84" i="4"/>
  <c r="GF84" i="4"/>
  <c r="GG84" i="4"/>
  <c r="GJ84" i="4"/>
  <c r="GK84" i="4"/>
  <c r="GM84" i="4"/>
  <c r="GN84" i="4"/>
  <c r="GP84" i="4"/>
  <c r="HJ84" i="4"/>
  <c r="HK84" i="4"/>
  <c r="HL84" i="4"/>
  <c r="HM84" i="4"/>
  <c r="HN84" i="4"/>
  <c r="HO84" i="4"/>
  <c r="HP84" i="4"/>
  <c r="A85" i="4"/>
  <c r="B85" i="4"/>
  <c r="C85" i="4"/>
  <c r="D85" i="4"/>
  <c r="E85" i="4"/>
  <c r="F85" i="4"/>
  <c r="I85" i="4"/>
  <c r="J85" i="4"/>
  <c r="N85" i="4"/>
  <c r="O85" i="4"/>
  <c r="P85" i="4"/>
  <c r="Q85" i="4"/>
  <c r="R85" i="4"/>
  <c r="S85" i="4"/>
  <c r="T85" i="4"/>
  <c r="U85" i="4"/>
  <c r="V85" i="4"/>
  <c r="W85" i="4"/>
  <c r="X85" i="4"/>
  <c r="AX85" i="4"/>
  <c r="AY85" i="4"/>
  <c r="AZ85" i="4"/>
  <c r="BB85" i="4"/>
  <c r="BC85" i="4"/>
  <c r="BT85" i="4"/>
  <c r="BU85" i="4"/>
  <c r="BV85" i="4"/>
  <c r="BW85" i="4"/>
  <c r="EC85" i="4"/>
  <c r="ED85" i="4"/>
  <c r="EE85" i="4"/>
  <c r="EF85" i="4"/>
  <c r="EG85" i="4"/>
  <c r="EL85" i="4"/>
  <c r="EM85" i="4"/>
  <c r="EN85" i="4"/>
  <c r="EO85" i="4"/>
  <c r="EP85" i="4"/>
  <c r="EQ85" i="4"/>
  <c r="EV85" i="4"/>
  <c r="EX85" i="4"/>
  <c r="EY85" i="4"/>
  <c r="FA85" i="4"/>
  <c r="FB85" i="4"/>
  <c r="FC85" i="4"/>
  <c r="FD85" i="4"/>
  <c r="FE85" i="4"/>
  <c r="FF85" i="4"/>
  <c r="FG85" i="4"/>
  <c r="FH85" i="4"/>
  <c r="FI85" i="4"/>
  <c r="FJ85" i="4"/>
  <c r="FK85" i="4"/>
  <c r="FL85" i="4"/>
  <c r="FM85" i="4"/>
  <c r="FN85" i="4"/>
  <c r="FO85" i="4"/>
  <c r="FP85" i="4"/>
  <c r="FQ85" i="4"/>
  <c r="FR85" i="4"/>
  <c r="FS85" i="4"/>
  <c r="FT85" i="4"/>
  <c r="FU85" i="4"/>
  <c r="FV85" i="4"/>
  <c r="FW85" i="4"/>
  <c r="FX85" i="4"/>
  <c r="FY85" i="4"/>
  <c r="FZ85" i="4"/>
  <c r="GA85" i="4"/>
  <c r="GB85" i="4"/>
  <c r="GC85" i="4"/>
  <c r="GD85" i="4"/>
  <c r="GF85" i="4"/>
  <c r="GG85" i="4"/>
  <c r="GJ85" i="4"/>
  <c r="GK85" i="4"/>
  <c r="GM85" i="4"/>
  <c r="GN85" i="4"/>
  <c r="GP85" i="4"/>
  <c r="HJ85" i="4"/>
  <c r="HK85" i="4"/>
  <c r="HL85" i="4"/>
  <c r="HM85" i="4"/>
  <c r="HN85" i="4"/>
  <c r="HO85" i="4"/>
  <c r="HP85" i="4"/>
  <c r="A86" i="4"/>
  <c r="B86" i="4"/>
  <c r="C86" i="4"/>
  <c r="D86" i="4"/>
  <c r="E86" i="4"/>
  <c r="F86" i="4"/>
  <c r="I86" i="4"/>
  <c r="J86" i="4"/>
  <c r="N86" i="4"/>
  <c r="O86" i="4"/>
  <c r="P86" i="4"/>
  <c r="Q86" i="4"/>
  <c r="R86" i="4"/>
  <c r="S86" i="4"/>
  <c r="T86" i="4"/>
  <c r="U86" i="4"/>
  <c r="V86" i="4"/>
  <c r="W86" i="4"/>
  <c r="X86" i="4"/>
  <c r="AX86" i="4"/>
  <c r="AY86" i="4"/>
  <c r="AZ86" i="4"/>
  <c r="BB86" i="4"/>
  <c r="BC86" i="4"/>
  <c r="BT86" i="4"/>
  <c r="BU86" i="4"/>
  <c r="BV86" i="4"/>
  <c r="BW86" i="4"/>
  <c r="EC86" i="4"/>
  <c r="ED86" i="4"/>
  <c r="EE86" i="4"/>
  <c r="EF86" i="4"/>
  <c r="EG86" i="4"/>
  <c r="EL86" i="4"/>
  <c r="EM86" i="4"/>
  <c r="EN86" i="4"/>
  <c r="EO86" i="4"/>
  <c r="EP86" i="4"/>
  <c r="EQ86" i="4"/>
  <c r="EV86" i="4"/>
  <c r="EX86" i="4"/>
  <c r="EY86" i="4"/>
  <c r="FA86" i="4"/>
  <c r="FB86" i="4"/>
  <c r="FC86" i="4"/>
  <c r="FD86" i="4"/>
  <c r="FE86" i="4"/>
  <c r="FF86" i="4"/>
  <c r="FG86" i="4"/>
  <c r="FH86" i="4"/>
  <c r="FI86" i="4"/>
  <c r="FJ86" i="4"/>
  <c r="FK86" i="4"/>
  <c r="FL86" i="4"/>
  <c r="FM86" i="4"/>
  <c r="FN86" i="4"/>
  <c r="FO86" i="4"/>
  <c r="FP86" i="4"/>
  <c r="FQ86" i="4"/>
  <c r="FR86" i="4"/>
  <c r="FS86" i="4"/>
  <c r="FT86" i="4"/>
  <c r="FU86" i="4"/>
  <c r="FV86" i="4"/>
  <c r="FW86" i="4"/>
  <c r="FX86" i="4"/>
  <c r="FY86" i="4"/>
  <c r="FZ86" i="4"/>
  <c r="GA86" i="4"/>
  <c r="GB86" i="4"/>
  <c r="GC86" i="4"/>
  <c r="GD86" i="4"/>
  <c r="GF86" i="4"/>
  <c r="GG86" i="4"/>
  <c r="GJ86" i="4"/>
  <c r="GK86" i="4"/>
  <c r="GM86" i="4"/>
  <c r="GN86" i="4"/>
  <c r="GP86" i="4"/>
  <c r="HJ86" i="4"/>
  <c r="HK86" i="4"/>
  <c r="HL86" i="4"/>
  <c r="HM86" i="4"/>
  <c r="HN86" i="4"/>
  <c r="HO86" i="4"/>
  <c r="HP86" i="4"/>
  <c r="A87" i="4"/>
  <c r="B87" i="4"/>
  <c r="C87" i="4"/>
  <c r="D87" i="4"/>
  <c r="E87" i="4"/>
  <c r="F87" i="4"/>
  <c r="I87" i="4"/>
  <c r="J87" i="4"/>
  <c r="N87" i="4"/>
  <c r="O87" i="4"/>
  <c r="P87" i="4"/>
  <c r="Q87" i="4"/>
  <c r="R87" i="4"/>
  <c r="S87" i="4"/>
  <c r="T87" i="4"/>
  <c r="U87" i="4"/>
  <c r="V87" i="4"/>
  <c r="W87" i="4"/>
  <c r="X87" i="4"/>
  <c r="AX87" i="4"/>
  <c r="AY87" i="4"/>
  <c r="AZ87" i="4"/>
  <c r="BB87" i="4"/>
  <c r="BC87" i="4"/>
  <c r="BT87" i="4"/>
  <c r="BU87" i="4"/>
  <c r="BV87" i="4"/>
  <c r="BW87" i="4"/>
  <c r="EC87" i="4"/>
  <c r="ED87" i="4"/>
  <c r="EE87" i="4"/>
  <c r="EF87" i="4"/>
  <c r="EG87" i="4"/>
  <c r="EL87" i="4"/>
  <c r="EM87" i="4"/>
  <c r="EN87" i="4"/>
  <c r="EO87" i="4"/>
  <c r="EP87" i="4"/>
  <c r="EQ87" i="4"/>
  <c r="EV87" i="4"/>
  <c r="EX87" i="4"/>
  <c r="EY87" i="4"/>
  <c r="FA87" i="4"/>
  <c r="FB87" i="4"/>
  <c r="FC87" i="4"/>
  <c r="FD87" i="4"/>
  <c r="FE87" i="4"/>
  <c r="FF87" i="4"/>
  <c r="FG87" i="4"/>
  <c r="FH87" i="4"/>
  <c r="FI87" i="4"/>
  <c r="FJ87" i="4"/>
  <c r="FK87" i="4"/>
  <c r="FL87" i="4"/>
  <c r="FM87" i="4"/>
  <c r="FN87" i="4"/>
  <c r="FO87" i="4"/>
  <c r="FP87" i="4"/>
  <c r="FQ87" i="4"/>
  <c r="FR87" i="4"/>
  <c r="FS87" i="4"/>
  <c r="FT87" i="4"/>
  <c r="FU87" i="4"/>
  <c r="FV87" i="4"/>
  <c r="FW87" i="4"/>
  <c r="FX87" i="4"/>
  <c r="FY87" i="4"/>
  <c r="FZ87" i="4"/>
  <c r="GA87" i="4"/>
  <c r="GB87" i="4"/>
  <c r="GC87" i="4"/>
  <c r="GD87" i="4"/>
  <c r="GF87" i="4"/>
  <c r="GG87" i="4"/>
  <c r="GJ87" i="4"/>
  <c r="GK87" i="4"/>
  <c r="GM87" i="4"/>
  <c r="GN87" i="4"/>
  <c r="GP87" i="4"/>
  <c r="HJ87" i="4"/>
  <c r="HK87" i="4"/>
  <c r="HL87" i="4"/>
  <c r="HM87" i="4"/>
  <c r="HN87" i="4"/>
  <c r="HO87" i="4"/>
  <c r="HP87" i="4"/>
  <c r="A88" i="4"/>
  <c r="B88" i="4"/>
  <c r="C88" i="4"/>
  <c r="D88" i="4"/>
  <c r="E88" i="4"/>
  <c r="F88" i="4"/>
  <c r="I88" i="4"/>
  <c r="J88" i="4"/>
  <c r="N88" i="4"/>
  <c r="O88" i="4"/>
  <c r="P88" i="4"/>
  <c r="Q88" i="4"/>
  <c r="R88" i="4"/>
  <c r="S88" i="4"/>
  <c r="T88" i="4"/>
  <c r="U88" i="4"/>
  <c r="V88" i="4"/>
  <c r="W88" i="4"/>
  <c r="X88" i="4"/>
  <c r="AX88" i="4"/>
  <c r="AY88" i="4"/>
  <c r="AZ88" i="4"/>
  <c r="BB88" i="4"/>
  <c r="BC88" i="4"/>
  <c r="BT88" i="4"/>
  <c r="BU88" i="4"/>
  <c r="BV88" i="4"/>
  <c r="BW88" i="4"/>
  <c r="EC88" i="4"/>
  <c r="ED88" i="4"/>
  <c r="EE88" i="4"/>
  <c r="EF88" i="4"/>
  <c r="EG88" i="4"/>
  <c r="EL88" i="4"/>
  <c r="EM88" i="4"/>
  <c r="EN88" i="4"/>
  <c r="EO88" i="4"/>
  <c r="EP88" i="4"/>
  <c r="EQ88" i="4"/>
  <c r="EV88" i="4"/>
  <c r="EX88" i="4"/>
  <c r="EY88" i="4"/>
  <c r="FA88" i="4"/>
  <c r="FB88" i="4"/>
  <c r="FC88" i="4"/>
  <c r="FD88" i="4"/>
  <c r="FE88" i="4"/>
  <c r="FF88" i="4"/>
  <c r="FG88" i="4"/>
  <c r="FH88" i="4"/>
  <c r="FI88" i="4"/>
  <c r="FJ88" i="4"/>
  <c r="FK88" i="4"/>
  <c r="FL88" i="4"/>
  <c r="FM88" i="4"/>
  <c r="FN88" i="4"/>
  <c r="FO88" i="4"/>
  <c r="FP88" i="4"/>
  <c r="FQ88" i="4"/>
  <c r="FR88" i="4"/>
  <c r="FS88" i="4"/>
  <c r="FT88" i="4"/>
  <c r="FU88" i="4"/>
  <c r="FV88" i="4"/>
  <c r="FW88" i="4"/>
  <c r="FX88" i="4"/>
  <c r="FY88" i="4"/>
  <c r="FZ88" i="4"/>
  <c r="GA88" i="4"/>
  <c r="GB88" i="4"/>
  <c r="GC88" i="4"/>
  <c r="GD88" i="4"/>
  <c r="GF88" i="4"/>
  <c r="GG88" i="4"/>
  <c r="GJ88" i="4"/>
  <c r="GK88" i="4"/>
  <c r="GM88" i="4"/>
  <c r="GN88" i="4"/>
  <c r="GP88" i="4"/>
  <c r="HJ88" i="4"/>
  <c r="HK88" i="4"/>
  <c r="HL88" i="4"/>
  <c r="HM88" i="4"/>
  <c r="HN88" i="4"/>
  <c r="HO88" i="4"/>
  <c r="HP88" i="4"/>
  <c r="A89" i="4"/>
  <c r="B89" i="4"/>
  <c r="C89" i="4"/>
  <c r="D89" i="4"/>
  <c r="E89" i="4"/>
  <c r="F89" i="4"/>
  <c r="I89" i="4"/>
  <c r="J89" i="4"/>
  <c r="N89" i="4"/>
  <c r="O89" i="4"/>
  <c r="P89" i="4"/>
  <c r="Q89" i="4"/>
  <c r="R89" i="4"/>
  <c r="S89" i="4"/>
  <c r="T89" i="4"/>
  <c r="U89" i="4"/>
  <c r="V89" i="4"/>
  <c r="W89" i="4"/>
  <c r="X89" i="4"/>
  <c r="AX89" i="4"/>
  <c r="AY89" i="4"/>
  <c r="AZ89" i="4"/>
  <c r="BB89" i="4"/>
  <c r="BC89" i="4"/>
  <c r="BT89" i="4"/>
  <c r="BU89" i="4"/>
  <c r="BV89" i="4"/>
  <c r="BW89" i="4"/>
  <c r="EC89" i="4"/>
  <c r="ED89" i="4"/>
  <c r="EE89" i="4"/>
  <c r="EF89" i="4"/>
  <c r="EG89" i="4"/>
  <c r="EL89" i="4"/>
  <c r="EM89" i="4"/>
  <c r="EN89" i="4"/>
  <c r="EO89" i="4"/>
  <c r="EP89" i="4"/>
  <c r="EQ89" i="4"/>
  <c r="EV89" i="4"/>
  <c r="EX89" i="4"/>
  <c r="EY89" i="4"/>
  <c r="FA89" i="4"/>
  <c r="FB89" i="4"/>
  <c r="FC89" i="4"/>
  <c r="FD89" i="4"/>
  <c r="FE89" i="4"/>
  <c r="FF89" i="4"/>
  <c r="FG89" i="4"/>
  <c r="FH89" i="4"/>
  <c r="FI89" i="4"/>
  <c r="FJ89" i="4"/>
  <c r="FK89" i="4"/>
  <c r="FL89" i="4"/>
  <c r="FM89" i="4"/>
  <c r="FN89" i="4"/>
  <c r="FO89" i="4"/>
  <c r="FP89" i="4"/>
  <c r="FQ89" i="4"/>
  <c r="FR89" i="4"/>
  <c r="FS89" i="4"/>
  <c r="FT89" i="4"/>
  <c r="FU89" i="4"/>
  <c r="FV89" i="4"/>
  <c r="FW89" i="4"/>
  <c r="FX89" i="4"/>
  <c r="FY89" i="4"/>
  <c r="FZ89" i="4"/>
  <c r="GA89" i="4"/>
  <c r="GB89" i="4"/>
  <c r="GC89" i="4"/>
  <c r="GD89" i="4"/>
  <c r="GF89" i="4"/>
  <c r="GG89" i="4"/>
  <c r="GJ89" i="4"/>
  <c r="GK89" i="4"/>
  <c r="GM89" i="4"/>
  <c r="GN89" i="4"/>
  <c r="GP89" i="4"/>
  <c r="HJ89" i="4"/>
  <c r="HK89" i="4"/>
  <c r="HL89" i="4"/>
  <c r="HM89" i="4"/>
  <c r="HN89" i="4"/>
  <c r="HO89" i="4"/>
  <c r="HP89" i="4"/>
  <c r="A90" i="4"/>
  <c r="B90" i="4"/>
  <c r="C90" i="4"/>
  <c r="D90" i="4"/>
  <c r="E90" i="4"/>
  <c r="F90" i="4"/>
  <c r="I90" i="4"/>
  <c r="J90" i="4"/>
  <c r="N90" i="4"/>
  <c r="O90" i="4"/>
  <c r="P90" i="4"/>
  <c r="Q90" i="4"/>
  <c r="R90" i="4"/>
  <c r="S90" i="4"/>
  <c r="T90" i="4"/>
  <c r="U90" i="4"/>
  <c r="V90" i="4"/>
  <c r="W90" i="4"/>
  <c r="X90" i="4"/>
  <c r="AX90" i="4"/>
  <c r="AY90" i="4"/>
  <c r="AZ90" i="4"/>
  <c r="BB90" i="4"/>
  <c r="BC90" i="4"/>
  <c r="BT90" i="4"/>
  <c r="BU90" i="4"/>
  <c r="BV90" i="4"/>
  <c r="BW90" i="4"/>
  <c r="EC90" i="4"/>
  <c r="ED90" i="4"/>
  <c r="EE90" i="4"/>
  <c r="EF90" i="4"/>
  <c r="EG90" i="4"/>
  <c r="EL90" i="4"/>
  <c r="EM90" i="4"/>
  <c r="EN90" i="4"/>
  <c r="EO90" i="4"/>
  <c r="EP90" i="4"/>
  <c r="EQ90" i="4"/>
  <c r="EV90" i="4"/>
  <c r="EX90" i="4"/>
  <c r="EY90" i="4"/>
  <c r="FA90" i="4"/>
  <c r="FB90" i="4"/>
  <c r="FC90" i="4"/>
  <c r="FD90" i="4"/>
  <c r="FE90" i="4"/>
  <c r="FF90" i="4"/>
  <c r="FG90" i="4"/>
  <c r="FH90" i="4"/>
  <c r="FI90" i="4"/>
  <c r="FJ90" i="4"/>
  <c r="FK90" i="4"/>
  <c r="FL90" i="4"/>
  <c r="FM90" i="4"/>
  <c r="FN90" i="4"/>
  <c r="FO90" i="4"/>
  <c r="FP90" i="4"/>
  <c r="FQ90" i="4"/>
  <c r="FR90" i="4"/>
  <c r="FS90" i="4"/>
  <c r="FT90" i="4"/>
  <c r="FU90" i="4"/>
  <c r="FV90" i="4"/>
  <c r="FW90" i="4"/>
  <c r="FX90" i="4"/>
  <c r="FY90" i="4"/>
  <c r="FZ90" i="4"/>
  <c r="GA90" i="4"/>
  <c r="GB90" i="4"/>
  <c r="GC90" i="4"/>
  <c r="GD90" i="4"/>
  <c r="GF90" i="4"/>
  <c r="GG90" i="4"/>
  <c r="GJ90" i="4"/>
  <c r="GK90" i="4"/>
  <c r="GM90" i="4"/>
  <c r="GN90" i="4"/>
  <c r="GP90" i="4"/>
  <c r="HJ90" i="4"/>
  <c r="HK90" i="4"/>
  <c r="HL90" i="4"/>
  <c r="HM90" i="4"/>
  <c r="HN90" i="4"/>
  <c r="HO90" i="4"/>
  <c r="HP90" i="4"/>
  <c r="A91" i="4"/>
  <c r="B91" i="4"/>
  <c r="C91" i="4"/>
  <c r="D91" i="4"/>
  <c r="E91" i="4"/>
  <c r="F91" i="4"/>
  <c r="I91" i="4"/>
  <c r="J91" i="4"/>
  <c r="N91" i="4"/>
  <c r="O91" i="4"/>
  <c r="P91" i="4"/>
  <c r="Q91" i="4"/>
  <c r="R91" i="4"/>
  <c r="S91" i="4"/>
  <c r="T91" i="4"/>
  <c r="U91" i="4"/>
  <c r="V91" i="4"/>
  <c r="W91" i="4"/>
  <c r="X91" i="4"/>
  <c r="AX91" i="4"/>
  <c r="AY91" i="4"/>
  <c r="AZ91" i="4"/>
  <c r="BB91" i="4"/>
  <c r="BC91" i="4"/>
  <c r="BT91" i="4"/>
  <c r="BU91" i="4"/>
  <c r="BV91" i="4"/>
  <c r="BW91" i="4"/>
  <c r="EC91" i="4"/>
  <c r="ED91" i="4"/>
  <c r="EE91" i="4"/>
  <c r="EF91" i="4"/>
  <c r="EG91" i="4"/>
  <c r="EL91" i="4"/>
  <c r="EM91" i="4"/>
  <c r="EN91" i="4"/>
  <c r="EO91" i="4"/>
  <c r="EP91" i="4"/>
  <c r="EQ91" i="4"/>
  <c r="EV91" i="4"/>
  <c r="EX91" i="4"/>
  <c r="EY91" i="4"/>
  <c r="FA91" i="4"/>
  <c r="FB91" i="4"/>
  <c r="FC91" i="4"/>
  <c r="FD91" i="4"/>
  <c r="FE91" i="4"/>
  <c r="FF91" i="4"/>
  <c r="FG91" i="4"/>
  <c r="FH91" i="4"/>
  <c r="FI91" i="4"/>
  <c r="FJ91" i="4"/>
  <c r="FK91" i="4"/>
  <c r="FL91" i="4"/>
  <c r="FM91" i="4"/>
  <c r="FN91" i="4"/>
  <c r="FO91" i="4"/>
  <c r="FP91" i="4"/>
  <c r="FQ91" i="4"/>
  <c r="FR91" i="4"/>
  <c r="FS91" i="4"/>
  <c r="FT91" i="4"/>
  <c r="FU91" i="4"/>
  <c r="FV91" i="4"/>
  <c r="FW91" i="4"/>
  <c r="FX91" i="4"/>
  <c r="FY91" i="4"/>
  <c r="FZ91" i="4"/>
  <c r="GA91" i="4"/>
  <c r="GB91" i="4"/>
  <c r="GC91" i="4"/>
  <c r="GD91" i="4"/>
  <c r="GF91" i="4"/>
  <c r="GG91" i="4"/>
  <c r="GJ91" i="4"/>
  <c r="GK91" i="4"/>
  <c r="GM91" i="4"/>
  <c r="GN91" i="4"/>
  <c r="GP91" i="4"/>
  <c r="HJ91" i="4"/>
  <c r="HK91" i="4"/>
  <c r="HL91" i="4"/>
  <c r="HM91" i="4"/>
  <c r="HN91" i="4"/>
  <c r="HO91" i="4"/>
  <c r="HP91" i="4"/>
  <c r="A92" i="4"/>
  <c r="B92" i="4"/>
  <c r="C92" i="4"/>
  <c r="D92" i="4"/>
  <c r="E92" i="4"/>
  <c r="F92" i="4"/>
  <c r="I92" i="4"/>
  <c r="J92" i="4"/>
  <c r="N92" i="4"/>
  <c r="O92" i="4"/>
  <c r="P92" i="4"/>
  <c r="Q92" i="4"/>
  <c r="R92" i="4"/>
  <c r="S92" i="4"/>
  <c r="T92" i="4"/>
  <c r="U92" i="4"/>
  <c r="V92" i="4"/>
  <c r="W92" i="4"/>
  <c r="X92" i="4"/>
  <c r="AX92" i="4"/>
  <c r="AY92" i="4"/>
  <c r="AZ92" i="4"/>
  <c r="BB92" i="4"/>
  <c r="BC92" i="4"/>
  <c r="BT92" i="4"/>
  <c r="BU92" i="4"/>
  <c r="BV92" i="4"/>
  <c r="BW92" i="4"/>
  <c r="EC92" i="4"/>
  <c r="ED92" i="4"/>
  <c r="EE92" i="4"/>
  <c r="EF92" i="4"/>
  <c r="EG92" i="4"/>
  <c r="EL92" i="4"/>
  <c r="EM92" i="4"/>
  <c r="EN92" i="4"/>
  <c r="EO92" i="4"/>
  <c r="EP92" i="4"/>
  <c r="EQ92" i="4"/>
  <c r="EV92" i="4"/>
  <c r="EX92" i="4"/>
  <c r="EY92" i="4"/>
  <c r="FA92" i="4"/>
  <c r="FB92" i="4"/>
  <c r="FC92" i="4"/>
  <c r="FD92" i="4"/>
  <c r="FE92" i="4"/>
  <c r="FF92" i="4"/>
  <c r="FG92" i="4"/>
  <c r="FH92" i="4"/>
  <c r="FI92" i="4"/>
  <c r="FJ92" i="4"/>
  <c r="FK92" i="4"/>
  <c r="FL92" i="4"/>
  <c r="FM92" i="4"/>
  <c r="FN92" i="4"/>
  <c r="FO92" i="4"/>
  <c r="FP92" i="4"/>
  <c r="FQ92" i="4"/>
  <c r="FR92" i="4"/>
  <c r="FS92" i="4"/>
  <c r="FT92" i="4"/>
  <c r="FU92" i="4"/>
  <c r="FV92" i="4"/>
  <c r="FW92" i="4"/>
  <c r="FX92" i="4"/>
  <c r="FY92" i="4"/>
  <c r="FZ92" i="4"/>
  <c r="GA92" i="4"/>
  <c r="GB92" i="4"/>
  <c r="GC92" i="4"/>
  <c r="GD92" i="4"/>
  <c r="GF92" i="4"/>
  <c r="GG92" i="4"/>
  <c r="GJ92" i="4"/>
  <c r="GK92" i="4"/>
  <c r="GM92" i="4"/>
  <c r="GN92" i="4"/>
  <c r="GP92" i="4"/>
  <c r="HJ92" i="4"/>
  <c r="HK92" i="4"/>
  <c r="HL92" i="4"/>
  <c r="HM92" i="4"/>
  <c r="HN92" i="4"/>
  <c r="HO92" i="4"/>
  <c r="HP92" i="4"/>
  <c r="A93" i="4"/>
  <c r="B93" i="4"/>
  <c r="C93" i="4"/>
  <c r="D93" i="4"/>
  <c r="E93" i="4"/>
  <c r="F93" i="4"/>
  <c r="I93" i="4"/>
  <c r="J93" i="4"/>
  <c r="N93" i="4"/>
  <c r="O93" i="4"/>
  <c r="P93" i="4"/>
  <c r="Q93" i="4"/>
  <c r="R93" i="4"/>
  <c r="S93" i="4"/>
  <c r="T93" i="4"/>
  <c r="U93" i="4"/>
  <c r="V93" i="4"/>
  <c r="W93" i="4"/>
  <c r="X93" i="4"/>
  <c r="AX93" i="4"/>
  <c r="AY93" i="4"/>
  <c r="AZ93" i="4"/>
  <c r="BB93" i="4"/>
  <c r="BC93" i="4"/>
  <c r="BT93" i="4"/>
  <c r="BU93" i="4"/>
  <c r="BV93" i="4"/>
  <c r="BW93" i="4"/>
  <c r="EC93" i="4"/>
  <c r="ED93" i="4"/>
  <c r="EE93" i="4"/>
  <c r="EF93" i="4"/>
  <c r="EG93" i="4"/>
  <c r="EL93" i="4"/>
  <c r="EM93" i="4"/>
  <c r="EN93" i="4"/>
  <c r="EO93" i="4"/>
  <c r="EP93" i="4"/>
  <c r="EQ93" i="4"/>
  <c r="EV93" i="4"/>
  <c r="EX93" i="4"/>
  <c r="EY93" i="4"/>
  <c r="FA93" i="4"/>
  <c r="FB93" i="4"/>
  <c r="FC93" i="4"/>
  <c r="FD93" i="4"/>
  <c r="FE93" i="4"/>
  <c r="FF93" i="4"/>
  <c r="FG93" i="4"/>
  <c r="FH93" i="4"/>
  <c r="FI93" i="4"/>
  <c r="FJ93" i="4"/>
  <c r="FK93" i="4"/>
  <c r="FL93" i="4"/>
  <c r="FM93" i="4"/>
  <c r="FN93" i="4"/>
  <c r="FO93" i="4"/>
  <c r="FP93" i="4"/>
  <c r="FQ93" i="4"/>
  <c r="FR93" i="4"/>
  <c r="FS93" i="4"/>
  <c r="FT93" i="4"/>
  <c r="FU93" i="4"/>
  <c r="FV93" i="4"/>
  <c r="FW93" i="4"/>
  <c r="FX93" i="4"/>
  <c r="FY93" i="4"/>
  <c r="FZ93" i="4"/>
  <c r="GA93" i="4"/>
  <c r="GB93" i="4"/>
  <c r="GC93" i="4"/>
  <c r="GD93" i="4"/>
  <c r="GF93" i="4"/>
  <c r="GG93" i="4"/>
  <c r="GJ93" i="4"/>
  <c r="GK93" i="4"/>
  <c r="GM93" i="4"/>
  <c r="GN93" i="4"/>
  <c r="GP93" i="4"/>
  <c r="HJ93" i="4"/>
  <c r="HK93" i="4"/>
  <c r="HL93" i="4"/>
  <c r="HM93" i="4"/>
  <c r="HN93" i="4"/>
  <c r="HO93" i="4"/>
  <c r="HP93" i="4"/>
  <c r="A94" i="4"/>
  <c r="B94" i="4"/>
  <c r="C94" i="4"/>
  <c r="D94" i="4"/>
  <c r="E94" i="4"/>
  <c r="F94" i="4"/>
  <c r="I94" i="4"/>
  <c r="J94" i="4"/>
  <c r="N94" i="4"/>
  <c r="O94" i="4"/>
  <c r="P94" i="4"/>
  <c r="Q94" i="4"/>
  <c r="R94" i="4"/>
  <c r="S94" i="4"/>
  <c r="T94" i="4"/>
  <c r="U94" i="4"/>
  <c r="V94" i="4"/>
  <c r="W94" i="4"/>
  <c r="X94" i="4"/>
  <c r="AX94" i="4"/>
  <c r="AY94" i="4"/>
  <c r="AZ94" i="4"/>
  <c r="BB94" i="4"/>
  <c r="BC94" i="4"/>
  <c r="BT94" i="4"/>
  <c r="BU94" i="4"/>
  <c r="BV94" i="4"/>
  <c r="BW94" i="4"/>
  <c r="EC94" i="4"/>
  <c r="ED94" i="4"/>
  <c r="EE94" i="4"/>
  <c r="EF94" i="4"/>
  <c r="EG94" i="4"/>
  <c r="EL94" i="4"/>
  <c r="EM94" i="4"/>
  <c r="EN94" i="4"/>
  <c r="EO94" i="4"/>
  <c r="EP94" i="4"/>
  <c r="EQ94" i="4"/>
  <c r="EV94" i="4"/>
  <c r="EX94" i="4"/>
  <c r="EY94" i="4"/>
  <c r="FA94" i="4"/>
  <c r="FB94" i="4"/>
  <c r="FC94" i="4"/>
  <c r="FD94" i="4"/>
  <c r="FE94" i="4"/>
  <c r="FF94" i="4"/>
  <c r="FG94" i="4"/>
  <c r="FH94" i="4"/>
  <c r="FI94" i="4"/>
  <c r="FJ94" i="4"/>
  <c r="FK94" i="4"/>
  <c r="FL94" i="4"/>
  <c r="FM94" i="4"/>
  <c r="FN94" i="4"/>
  <c r="FO94" i="4"/>
  <c r="FP94" i="4"/>
  <c r="FQ94" i="4"/>
  <c r="FR94" i="4"/>
  <c r="FS94" i="4"/>
  <c r="FT94" i="4"/>
  <c r="FU94" i="4"/>
  <c r="FV94" i="4"/>
  <c r="FW94" i="4"/>
  <c r="FX94" i="4"/>
  <c r="FY94" i="4"/>
  <c r="FZ94" i="4"/>
  <c r="GA94" i="4"/>
  <c r="GB94" i="4"/>
  <c r="GC94" i="4"/>
  <c r="GD94" i="4"/>
  <c r="GF94" i="4"/>
  <c r="GG94" i="4"/>
  <c r="GJ94" i="4"/>
  <c r="GK94" i="4"/>
  <c r="GM94" i="4"/>
  <c r="GN94" i="4"/>
  <c r="GP94" i="4"/>
  <c r="HJ94" i="4"/>
  <c r="HK94" i="4"/>
  <c r="HL94" i="4"/>
  <c r="HM94" i="4"/>
  <c r="HN94" i="4"/>
  <c r="HO94" i="4"/>
  <c r="HP94" i="4"/>
  <c r="A95" i="4"/>
  <c r="B95" i="4"/>
  <c r="C95" i="4"/>
  <c r="D95" i="4"/>
  <c r="E95" i="4"/>
  <c r="F95" i="4"/>
  <c r="I95" i="4"/>
  <c r="J95" i="4"/>
  <c r="N95" i="4"/>
  <c r="O95" i="4"/>
  <c r="P95" i="4"/>
  <c r="Q95" i="4"/>
  <c r="R95" i="4"/>
  <c r="S95" i="4"/>
  <c r="T95" i="4"/>
  <c r="U95" i="4"/>
  <c r="V95" i="4"/>
  <c r="W95" i="4"/>
  <c r="X95" i="4"/>
  <c r="AX95" i="4"/>
  <c r="AY95" i="4"/>
  <c r="AZ95" i="4"/>
  <c r="BB95" i="4"/>
  <c r="BC95" i="4"/>
  <c r="BT95" i="4"/>
  <c r="BU95" i="4"/>
  <c r="BV95" i="4"/>
  <c r="BW95" i="4"/>
  <c r="EC95" i="4"/>
  <c r="ED95" i="4"/>
  <c r="EE95" i="4"/>
  <c r="EF95" i="4"/>
  <c r="EG95" i="4"/>
  <c r="EL95" i="4"/>
  <c r="EM95" i="4"/>
  <c r="EN95" i="4"/>
  <c r="EO95" i="4"/>
  <c r="EP95" i="4"/>
  <c r="EQ95" i="4"/>
  <c r="EV95" i="4"/>
  <c r="EX95" i="4"/>
  <c r="EY95" i="4"/>
  <c r="FA95" i="4"/>
  <c r="FB95" i="4"/>
  <c r="FC95" i="4"/>
  <c r="FD95" i="4"/>
  <c r="FE95" i="4"/>
  <c r="FF95" i="4"/>
  <c r="FG95" i="4"/>
  <c r="FH95" i="4"/>
  <c r="FI95" i="4"/>
  <c r="FJ95" i="4"/>
  <c r="FK95" i="4"/>
  <c r="FL95" i="4"/>
  <c r="FM95" i="4"/>
  <c r="FN95" i="4"/>
  <c r="FO95" i="4"/>
  <c r="FP95" i="4"/>
  <c r="FQ95" i="4"/>
  <c r="FR95" i="4"/>
  <c r="FS95" i="4"/>
  <c r="FT95" i="4"/>
  <c r="FU95" i="4"/>
  <c r="FV95" i="4"/>
  <c r="FW95" i="4"/>
  <c r="FX95" i="4"/>
  <c r="FY95" i="4"/>
  <c r="FZ95" i="4"/>
  <c r="GA95" i="4"/>
  <c r="GB95" i="4"/>
  <c r="GC95" i="4"/>
  <c r="GD95" i="4"/>
  <c r="GF95" i="4"/>
  <c r="GG95" i="4"/>
  <c r="GJ95" i="4"/>
  <c r="GK95" i="4"/>
  <c r="GM95" i="4"/>
  <c r="GN95" i="4"/>
  <c r="GP95" i="4"/>
  <c r="HJ95" i="4"/>
  <c r="HK95" i="4"/>
  <c r="HL95" i="4"/>
  <c r="HM95" i="4"/>
  <c r="HN95" i="4"/>
  <c r="HO95" i="4"/>
  <c r="HP95" i="4"/>
  <c r="A96" i="4"/>
  <c r="B96" i="4"/>
  <c r="C96" i="4"/>
  <c r="D96" i="4"/>
  <c r="E96" i="4"/>
  <c r="F96" i="4"/>
  <c r="I96" i="4"/>
  <c r="J96" i="4"/>
  <c r="N96" i="4"/>
  <c r="O96" i="4"/>
  <c r="P96" i="4"/>
  <c r="Q96" i="4"/>
  <c r="R96" i="4"/>
  <c r="S96" i="4"/>
  <c r="T96" i="4"/>
  <c r="U96" i="4"/>
  <c r="V96" i="4"/>
  <c r="W96" i="4"/>
  <c r="X96" i="4"/>
  <c r="AX96" i="4"/>
  <c r="AY96" i="4"/>
  <c r="AZ96" i="4"/>
  <c r="BB96" i="4"/>
  <c r="BC96" i="4"/>
  <c r="BT96" i="4"/>
  <c r="BU96" i="4"/>
  <c r="BV96" i="4"/>
  <c r="BW96" i="4"/>
  <c r="EC96" i="4"/>
  <c r="ED96" i="4"/>
  <c r="EE96" i="4"/>
  <c r="EF96" i="4"/>
  <c r="EG96" i="4"/>
  <c r="EL96" i="4"/>
  <c r="EM96" i="4"/>
  <c r="EN96" i="4"/>
  <c r="EO96" i="4"/>
  <c r="EP96" i="4"/>
  <c r="EQ96" i="4"/>
  <c r="EV96" i="4"/>
  <c r="EX96" i="4"/>
  <c r="EY96" i="4"/>
  <c r="FA96" i="4"/>
  <c r="FB96" i="4"/>
  <c r="FC96" i="4"/>
  <c r="FD96" i="4"/>
  <c r="FE96" i="4"/>
  <c r="FF96" i="4"/>
  <c r="FG96" i="4"/>
  <c r="FH96" i="4"/>
  <c r="FI96" i="4"/>
  <c r="FJ96" i="4"/>
  <c r="FK96" i="4"/>
  <c r="FL96" i="4"/>
  <c r="FM96" i="4"/>
  <c r="FN96" i="4"/>
  <c r="FO96" i="4"/>
  <c r="FP96" i="4"/>
  <c r="FQ96" i="4"/>
  <c r="FR96" i="4"/>
  <c r="FS96" i="4"/>
  <c r="FT96" i="4"/>
  <c r="FU96" i="4"/>
  <c r="FV96" i="4"/>
  <c r="FW96" i="4"/>
  <c r="FX96" i="4"/>
  <c r="FY96" i="4"/>
  <c r="FZ96" i="4"/>
  <c r="GA96" i="4"/>
  <c r="GB96" i="4"/>
  <c r="GC96" i="4"/>
  <c r="GD96" i="4"/>
  <c r="GF96" i="4"/>
  <c r="GG96" i="4"/>
  <c r="GJ96" i="4"/>
  <c r="GK96" i="4"/>
  <c r="GM96" i="4"/>
  <c r="GN96" i="4"/>
  <c r="GP96" i="4"/>
  <c r="HJ96" i="4"/>
  <c r="HK96" i="4"/>
  <c r="HL96" i="4"/>
  <c r="HM96" i="4"/>
  <c r="HN96" i="4"/>
  <c r="HO96" i="4"/>
  <c r="HP96" i="4"/>
  <c r="A97" i="4"/>
  <c r="B97" i="4"/>
  <c r="C97" i="4"/>
  <c r="D97" i="4"/>
  <c r="E97" i="4"/>
  <c r="F97" i="4"/>
  <c r="I97" i="4"/>
  <c r="J97" i="4"/>
  <c r="N97" i="4"/>
  <c r="O97" i="4"/>
  <c r="P97" i="4"/>
  <c r="Q97" i="4"/>
  <c r="R97" i="4"/>
  <c r="S97" i="4"/>
  <c r="T97" i="4"/>
  <c r="U97" i="4"/>
  <c r="V97" i="4"/>
  <c r="W97" i="4"/>
  <c r="X97" i="4"/>
  <c r="AX97" i="4"/>
  <c r="AY97" i="4"/>
  <c r="AZ97" i="4"/>
  <c r="BB97" i="4"/>
  <c r="BC97" i="4"/>
  <c r="BT97" i="4"/>
  <c r="BU97" i="4"/>
  <c r="BV97" i="4"/>
  <c r="BW97" i="4"/>
  <c r="EC97" i="4"/>
  <c r="ED97" i="4"/>
  <c r="EE97" i="4"/>
  <c r="EF97" i="4"/>
  <c r="EG97" i="4"/>
  <c r="EL97" i="4"/>
  <c r="EM97" i="4"/>
  <c r="EN97" i="4"/>
  <c r="EO97" i="4"/>
  <c r="EP97" i="4"/>
  <c r="EQ97" i="4"/>
  <c r="EV97" i="4"/>
  <c r="EX97" i="4"/>
  <c r="EY97" i="4"/>
  <c r="FA97" i="4"/>
  <c r="FB97" i="4"/>
  <c r="FC97" i="4"/>
  <c r="FD97" i="4"/>
  <c r="FE97" i="4"/>
  <c r="FF97" i="4"/>
  <c r="FG97" i="4"/>
  <c r="FH97" i="4"/>
  <c r="FI97" i="4"/>
  <c r="FJ97" i="4"/>
  <c r="FK97" i="4"/>
  <c r="FL97" i="4"/>
  <c r="FM97" i="4"/>
  <c r="FN97" i="4"/>
  <c r="FO97" i="4"/>
  <c r="FP97" i="4"/>
  <c r="FQ97" i="4"/>
  <c r="FR97" i="4"/>
  <c r="FS97" i="4"/>
  <c r="FT97" i="4"/>
  <c r="FU97" i="4"/>
  <c r="FV97" i="4"/>
  <c r="FW97" i="4"/>
  <c r="FX97" i="4"/>
  <c r="FY97" i="4"/>
  <c r="FZ97" i="4"/>
  <c r="GA97" i="4"/>
  <c r="GB97" i="4"/>
  <c r="GC97" i="4"/>
  <c r="GD97" i="4"/>
  <c r="GF97" i="4"/>
  <c r="GG97" i="4"/>
  <c r="GJ97" i="4"/>
  <c r="GK97" i="4"/>
  <c r="GM97" i="4"/>
  <c r="GN97" i="4"/>
  <c r="GP97" i="4"/>
  <c r="HJ97" i="4"/>
  <c r="HK97" i="4"/>
  <c r="HL97" i="4"/>
  <c r="HM97" i="4"/>
  <c r="HN97" i="4"/>
  <c r="HO97" i="4"/>
  <c r="HP97" i="4"/>
  <c r="A98" i="4"/>
  <c r="B98" i="4"/>
  <c r="C98" i="4"/>
  <c r="D98" i="4"/>
  <c r="E98" i="4"/>
  <c r="F98" i="4"/>
  <c r="I98" i="4"/>
  <c r="J98" i="4"/>
  <c r="N98" i="4"/>
  <c r="O98" i="4"/>
  <c r="P98" i="4"/>
  <c r="Q98" i="4"/>
  <c r="R98" i="4"/>
  <c r="S98" i="4"/>
  <c r="T98" i="4"/>
  <c r="U98" i="4"/>
  <c r="V98" i="4"/>
  <c r="W98" i="4"/>
  <c r="X98" i="4"/>
  <c r="AX98" i="4"/>
  <c r="AY98" i="4"/>
  <c r="AZ98" i="4"/>
  <c r="BB98" i="4"/>
  <c r="BC98" i="4"/>
  <c r="BT98" i="4"/>
  <c r="BU98" i="4"/>
  <c r="BV98" i="4"/>
  <c r="BW98" i="4"/>
  <c r="EC98" i="4"/>
  <c r="ED98" i="4"/>
  <c r="EE98" i="4"/>
  <c r="EF98" i="4"/>
  <c r="EG98" i="4"/>
  <c r="EL98" i="4"/>
  <c r="EM98" i="4"/>
  <c r="EN98" i="4"/>
  <c r="EO98" i="4"/>
  <c r="EP98" i="4"/>
  <c r="EQ98" i="4"/>
  <c r="EV98" i="4"/>
  <c r="EX98" i="4"/>
  <c r="EY98" i="4"/>
  <c r="FA98" i="4"/>
  <c r="FB98" i="4"/>
  <c r="FC98" i="4"/>
  <c r="FD98" i="4"/>
  <c r="FE98" i="4"/>
  <c r="FF98" i="4"/>
  <c r="FG98" i="4"/>
  <c r="FH98" i="4"/>
  <c r="FI98" i="4"/>
  <c r="FJ98" i="4"/>
  <c r="FK98" i="4"/>
  <c r="FL98" i="4"/>
  <c r="FM98" i="4"/>
  <c r="FN98" i="4"/>
  <c r="FO98" i="4"/>
  <c r="FP98" i="4"/>
  <c r="FQ98" i="4"/>
  <c r="FR98" i="4"/>
  <c r="FS98" i="4"/>
  <c r="FT98" i="4"/>
  <c r="FU98" i="4"/>
  <c r="FV98" i="4"/>
  <c r="FW98" i="4"/>
  <c r="FX98" i="4"/>
  <c r="FY98" i="4"/>
  <c r="FZ98" i="4"/>
  <c r="GA98" i="4"/>
  <c r="GB98" i="4"/>
  <c r="GC98" i="4"/>
  <c r="GD98" i="4"/>
  <c r="GF98" i="4"/>
  <c r="GG98" i="4"/>
  <c r="GJ98" i="4"/>
  <c r="GK98" i="4"/>
  <c r="GM98" i="4"/>
  <c r="GN98" i="4"/>
  <c r="GP98" i="4"/>
  <c r="HJ98" i="4"/>
  <c r="HK98" i="4"/>
  <c r="HL98" i="4"/>
  <c r="HM98" i="4"/>
  <c r="HN98" i="4"/>
  <c r="HO98" i="4"/>
  <c r="HP98" i="4"/>
  <c r="A99" i="4"/>
  <c r="B99" i="4"/>
  <c r="C99" i="4"/>
  <c r="D99" i="4"/>
  <c r="E99" i="4"/>
  <c r="F99" i="4"/>
  <c r="I99" i="4"/>
  <c r="J99" i="4"/>
  <c r="N99" i="4"/>
  <c r="O99" i="4"/>
  <c r="P99" i="4"/>
  <c r="Q99" i="4"/>
  <c r="R99" i="4"/>
  <c r="S99" i="4"/>
  <c r="T99" i="4"/>
  <c r="U99" i="4"/>
  <c r="V99" i="4"/>
  <c r="W99" i="4"/>
  <c r="X99" i="4"/>
  <c r="AX99" i="4"/>
  <c r="AY99" i="4"/>
  <c r="AZ99" i="4"/>
  <c r="BB99" i="4"/>
  <c r="BC99" i="4"/>
  <c r="BT99" i="4"/>
  <c r="BU99" i="4"/>
  <c r="BV99" i="4"/>
  <c r="BW99" i="4"/>
  <c r="EC99" i="4"/>
  <c r="ED99" i="4"/>
  <c r="EE99" i="4"/>
  <c r="EF99" i="4"/>
  <c r="EG99" i="4"/>
  <c r="EL99" i="4"/>
  <c r="EM99" i="4"/>
  <c r="EN99" i="4"/>
  <c r="EO99" i="4"/>
  <c r="EP99" i="4"/>
  <c r="EQ99" i="4"/>
  <c r="EV99" i="4"/>
  <c r="EX99" i="4"/>
  <c r="EY99" i="4"/>
  <c r="FA99" i="4"/>
  <c r="FB99" i="4"/>
  <c r="FC99" i="4"/>
  <c r="FD99" i="4"/>
  <c r="FE99" i="4"/>
  <c r="FF99" i="4"/>
  <c r="FG99" i="4"/>
  <c r="FH99" i="4"/>
  <c r="FI99" i="4"/>
  <c r="FJ99" i="4"/>
  <c r="FK99" i="4"/>
  <c r="FL99" i="4"/>
  <c r="FM99" i="4"/>
  <c r="FN99" i="4"/>
  <c r="FO99" i="4"/>
  <c r="FP99" i="4"/>
  <c r="FQ99" i="4"/>
  <c r="FR99" i="4"/>
  <c r="FS99" i="4"/>
  <c r="FT99" i="4"/>
  <c r="FU99" i="4"/>
  <c r="FV99" i="4"/>
  <c r="FW99" i="4"/>
  <c r="FX99" i="4"/>
  <c r="FY99" i="4"/>
  <c r="FZ99" i="4"/>
  <c r="GA99" i="4"/>
  <c r="GB99" i="4"/>
  <c r="GC99" i="4"/>
  <c r="GD99" i="4"/>
  <c r="GF99" i="4"/>
  <c r="GG99" i="4"/>
  <c r="GJ99" i="4"/>
  <c r="GK99" i="4"/>
  <c r="GM99" i="4"/>
  <c r="GN99" i="4"/>
  <c r="GP99" i="4"/>
  <c r="HJ99" i="4"/>
  <c r="HK99" i="4"/>
  <c r="HL99" i="4"/>
  <c r="HM99" i="4"/>
  <c r="HN99" i="4"/>
  <c r="HO99" i="4"/>
  <c r="HP99" i="4"/>
  <c r="A100" i="4"/>
  <c r="B100" i="4"/>
  <c r="C100" i="4"/>
  <c r="D100" i="4"/>
  <c r="E100" i="4"/>
  <c r="F100" i="4"/>
  <c r="I100" i="4"/>
  <c r="J100" i="4"/>
  <c r="N100" i="4"/>
  <c r="O100" i="4"/>
  <c r="P100" i="4"/>
  <c r="Q100" i="4"/>
  <c r="R100" i="4"/>
  <c r="S100" i="4"/>
  <c r="T100" i="4"/>
  <c r="U100" i="4"/>
  <c r="V100" i="4"/>
  <c r="W100" i="4"/>
  <c r="X100" i="4"/>
  <c r="AX100" i="4"/>
  <c r="AY100" i="4"/>
  <c r="AZ100" i="4"/>
  <c r="BB100" i="4"/>
  <c r="BC100" i="4"/>
  <c r="BT100" i="4"/>
  <c r="BU100" i="4"/>
  <c r="BV100" i="4"/>
  <c r="BW100" i="4"/>
  <c r="EC100" i="4"/>
  <c r="ED100" i="4"/>
  <c r="EE100" i="4"/>
  <c r="EF100" i="4"/>
  <c r="EG100" i="4"/>
  <c r="EL100" i="4"/>
  <c r="EM100" i="4"/>
  <c r="EN100" i="4"/>
  <c r="EO100" i="4"/>
  <c r="EP100" i="4"/>
  <c r="EQ100" i="4"/>
  <c r="EV100" i="4"/>
  <c r="EX100" i="4"/>
  <c r="EY100" i="4"/>
  <c r="FA100" i="4"/>
  <c r="FB100" i="4"/>
  <c r="FC100" i="4"/>
  <c r="FD100" i="4"/>
  <c r="FE100" i="4"/>
  <c r="FF100" i="4"/>
  <c r="FG100" i="4"/>
  <c r="FH100" i="4"/>
  <c r="FI100" i="4"/>
  <c r="FJ100" i="4"/>
  <c r="FK100" i="4"/>
  <c r="FL100" i="4"/>
  <c r="FM100" i="4"/>
  <c r="FN100" i="4"/>
  <c r="FO100" i="4"/>
  <c r="FP100" i="4"/>
  <c r="FQ100" i="4"/>
  <c r="FR100" i="4"/>
  <c r="FS100" i="4"/>
  <c r="FT100" i="4"/>
  <c r="FU100" i="4"/>
  <c r="FV100" i="4"/>
  <c r="FW100" i="4"/>
  <c r="FX100" i="4"/>
  <c r="FY100" i="4"/>
  <c r="FZ100" i="4"/>
  <c r="GA100" i="4"/>
  <c r="GB100" i="4"/>
  <c r="GC100" i="4"/>
  <c r="GD100" i="4"/>
  <c r="GF100" i="4"/>
  <c r="GG100" i="4"/>
  <c r="GJ100" i="4"/>
  <c r="GK100" i="4"/>
  <c r="GM100" i="4"/>
  <c r="GN100" i="4"/>
  <c r="GP100" i="4"/>
  <c r="HJ100" i="4"/>
  <c r="HK100" i="4"/>
  <c r="HL100" i="4"/>
  <c r="HM100" i="4"/>
  <c r="HN100" i="4"/>
  <c r="HO100" i="4"/>
  <c r="HP100" i="4"/>
  <c r="A101" i="4"/>
  <c r="B101" i="4"/>
  <c r="C101" i="4"/>
  <c r="D101" i="4"/>
  <c r="E101" i="4"/>
  <c r="F101" i="4"/>
  <c r="I101" i="4"/>
  <c r="J101" i="4"/>
  <c r="N101" i="4"/>
  <c r="O101" i="4"/>
  <c r="P101" i="4"/>
  <c r="Q101" i="4"/>
  <c r="R101" i="4"/>
  <c r="S101" i="4"/>
  <c r="T101" i="4"/>
  <c r="U101" i="4"/>
  <c r="V101" i="4"/>
  <c r="W101" i="4"/>
  <c r="X101" i="4"/>
  <c r="AX101" i="4"/>
  <c r="AY101" i="4"/>
  <c r="AZ101" i="4"/>
  <c r="BB101" i="4"/>
  <c r="BC101" i="4"/>
  <c r="BT101" i="4"/>
  <c r="BU101" i="4"/>
  <c r="BV101" i="4"/>
  <c r="BW101" i="4"/>
  <c r="EC101" i="4"/>
  <c r="ED101" i="4"/>
  <c r="EE101" i="4"/>
  <c r="EF101" i="4"/>
  <c r="EG101" i="4"/>
  <c r="EL101" i="4"/>
  <c r="EM101" i="4"/>
  <c r="EN101" i="4"/>
  <c r="EO101" i="4"/>
  <c r="EP101" i="4"/>
  <c r="EQ101" i="4"/>
  <c r="EV101" i="4"/>
  <c r="EX101" i="4"/>
  <c r="EY101" i="4"/>
  <c r="FA101" i="4"/>
  <c r="FB101" i="4"/>
  <c r="FC101" i="4"/>
  <c r="FD101" i="4"/>
  <c r="FE101" i="4"/>
  <c r="FF101" i="4"/>
  <c r="FG101" i="4"/>
  <c r="FH101" i="4"/>
  <c r="FI101" i="4"/>
  <c r="FJ101" i="4"/>
  <c r="FK101" i="4"/>
  <c r="FL101" i="4"/>
  <c r="FM101" i="4"/>
  <c r="FN101" i="4"/>
  <c r="FO101" i="4"/>
  <c r="FP101" i="4"/>
  <c r="FQ101" i="4"/>
  <c r="FR101" i="4"/>
  <c r="FS101" i="4"/>
  <c r="FT101" i="4"/>
  <c r="FU101" i="4"/>
  <c r="FV101" i="4"/>
  <c r="FW101" i="4"/>
  <c r="FX101" i="4"/>
  <c r="FY101" i="4"/>
  <c r="FZ101" i="4"/>
  <c r="GA101" i="4"/>
  <c r="GB101" i="4"/>
  <c r="GC101" i="4"/>
  <c r="GD101" i="4"/>
  <c r="GF101" i="4"/>
  <c r="GG101" i="4"/>
  <c r="GJ101" i="4"/>
  <c r="GK101" i="4"/>
  <c r="GM101" i="4"/>
  <c r="GN101" i="4"/>
  <c r="GP101" i="4"/>
  <c r="HJ101" i="4"/>
  <c r="HK101" i="4"/>
  <c r="HL101" i="4"/>
  <c r="HM101" i="4"/>
  <c r="HN101" i="4"/>
  <c r="HO101" i="4"/>
  <c r="HP101" i="4"/>
  <c r="A102" i="4"/>
  <c r="B102" i="4"/>
  <c r="C102" i="4"/>
  <c r="D102" i="4"/>
  <c r="E102" i="4"/>
  <c r="F102" i="4"/>
  <c r="I102" i="4"/>
  <c r="J102" i="4"/>
  <c r="N102" i="4"/>
  <c r="O102" i="4"/>
  <c r="P102" i="4"/>
  <c r="Q102" i="4"/>
  <c r="R102" i="4"/>
  <c r="S102" i="4"/>
  <c r="T102" i="4"/>
  <c r="U102" i="4"/>
  <c r="V102" i="4"/>
  <c r="W102" i="4"/>
  <c r="X102" i="4"/>
  <c r="AX102" i="4"/>
  <c r="AY102" i="4"/>
  <c r="AZ102" i="4"/>
  <c r="BB102" i="4"/>
  <c r="BC102" i="4"/>
  <c r="BT102" i="4"/>
  <c r="BU102" i="4"/>
  <c r="BV102" i="4"/>
  <c r="BW102" i="4"/>
  <c r="EC102" i="4"/>
  <c r="ED102" i="4"/>
  <c r="EE102" i="4"/>
  <c r="EF102" i="4"/>
  <c r="EG102" i="4"/>
  <c r="EL102" i="4"/>
  <c r="EM102" i="4"/>
  <c r="EN102" i="4"/>
  <c r="EO102" i="4"/>
  <c r="EP102" i="4"/>
  <c r="EQ102" i="4"/>
  <c r="EV102" i="4"/>
  <c r="EX102" i="4"/>
  <c r="EY102" i="4"/>
  <c r="FA102" i="4"/>
  <c r="FB102" i="4"/>
  <c r="FC102" i="4"/>
  <c r="FD102" i="4"/>
  <c r="FE102" i="4"/>
  <c r="FF102" i="4"/>
  <c r="FG102" i="4"/>
  <c r="FH102" i="4"/>
  <c r="FI102" i="4"/>
  <c r="FJ102" i="4"/>
  <c r="FK102" i="4"/>
  <c r="FL102" i="4"/>
  <c r="FM102" i="4"/>
  <c r="FN102" i="4"/>
  <c r="FO102" i="4"/>
  <c r="FP102" i="4"/>
  <c r="FQ102" i="4"/>
  <c r="FR102" i="4"/>
  <c r="FS102" i="4"/>
  <c r="FT102" i="4"/>
  <c r="FU102" i="4"/>
  <c r="FV102" i="4"/>
  <c r="FW102" i="4"/>
  <c r="FX102" i="4"/>
  <c r="FY102" i="4"/>
  <c r="FZ102" i="4"/>
  <c r="GA102" i="4"/>
  <c r="GB102" i="4"/>
  <c r="GC102" i="4"/>
  <c r="GD102" i="4"/>
  <c r="GF102" i="4"/>
  <c r="GG102" i="4"/>
  <c r="GJ102" i="4"/>
  <c r="GK102" i="4"/>
  <c r="GM102" i="4"/>
  <c r="GN102" i="4"/>
  <c r="GP102" i="4"/>
  <c r="HJ102" i="4"/>
  <c r="HK102" i="4"/>
  <c r="HL102" i="4"/>
  <c r="HM102" i="4"/>
  <c r="HN102" i="4"/>
  <c r="HO102" i="4"/>
  <c r="HP102" i="4"/>
  <c r="A103" i="4"/>
  <c r="B103" i="4"/>
  <c r="C103" i="4"/>
  <c r="D103" i="4"/>
  <c r="E103" i="4"/>
  <c r="F103" i="4"/>
  <c r="I103" i="4"/>
  <c r="J103" i="4"/>
  <c r="N103" i="4"/>
  <c r="O103" i="4"/>
  <c r="P103" i="4"/>
  <c r="Q103" i="4"/>
  <c r="R103" i="4"/>
  <c r="S103" i="4"/>
  <c r="T103" i="4"/>
  <c r="U103" i="4"/>
  <c r="V103" i="4"/>
  <c r="W103" i="4"/>
  <c r="X103" i="4"/>
  <c r="AX103" i="4"/>
  <c r="AY103" i="4"/>
  <c r="AZ103" i="4"/>
  <c r="BB103" i="4"/>
  <c r="BC103" i="4"/>
  <c r="BT103" i="4"/>
  <c r="BU103" i="4"/>
  <c r="BV103" i="4"/>
  <c r="BW103" i="4"/>
  <c r="EC103" i="4"/>
  <c r="ED103" i="4"/>
  <c r="EE103" i="4"/>
  <c r="EF103" i="4"/>
  <c r="EG103" i="4"/>
  <c r="EL103" i="4"/>
  <c r="EM103" i="4"/>
  <c r="EN103" i="4"/>
  <c r="EO103" i="4"/>
  <c r="EP103" i="4"/>
  <c r="EQ103" i="4"/>
  <c r="EV103" i="4"/>
  <c r="EX103" i="4"/>
  <c r="EY103" i="4"/>
  <c r="FA103" i="4"/>
  <c r="FB103" i="4"/>
  <c r="FC103" i="4"/>
  <c r="FD103" i="4"/>
  <c r="FE103" i="4"/>
  <c r="FF103" i="4"/>
  <c r="FG103" i="4"/>
  <c r="FH103" i="4"/>
  <c r="FI103" i="4"/>
  <c r="FJ103" i="4"/>
  <c r="FK103" i="4"/>
  <c r="FL103" i="4"/>
  <c r="FM103" i="4"/>
  <c r="FN103" i="4"/>
  <c r="FO103" i="4"/>
  <c r="FP103" i="4"/>
  <c r="FQ103" i="4"/>
  <c r="FR103" i="4"/>
  <c r="FS103" i="4"/>
  <c r="FT103" i="4"/>
  <c r="FU103" i="4"/>
  <c r="FV103" i="4"/>
  <c r="FW103" i="4"/>
  <c r="FX103" i="4"/>
  <c r="FY103" i="4"/>
  <c r="FZ103" i="4"/>
  <c r="GA103" i="4"/>
  <c r="GB103" i="4"/>
  <c r="GC103" i="4"/>
  <c r="GD103" i="4"/>
  <c r="GF103" i="4"/>
  <c r="GG103" i="4"/>
  <c r="GJ103" i="4"/>
  <c r="GK103" i="4"/>
  <c r="GM103" i="4"/>
  <c r="GN103" i="4"/>
  <c r="GP103" i="4"/>
  <c r="HJ103" i="4"/>
  <c r="HK103" i="4"/>
  <c r="HL103" i="4"/>
  <c r="HM103" i="4"/>
  <c r="HN103" i="4"/>
  <c r="HO103" i="4"/>
  <c r="HP103" i="4"/>
  <c r="A104" i="4"/>
  <c r="B104" i="4"/>
  <c r="C104" i="4"/>
  <c r="D104" i="4"/>
  <c r="E104" i="4"/>
  <c r="F104" i="4"/>
  <c r="I104" i="4"/>
  <c r="J104" i="4"/>
  <c r="N104" i="4"/>
  <c r="O104" i="4"/>
  <c r="P104" i="4"/>
  <c r="Q104" i="4"/>
  <c r="R104" i="4"/>
  <c r="S104" i="4"/>
  <c r="T104" i="4"/>
  <c r="U104" i="4"/>
  <c r="V104" i="4"/>
  <c r="W104" i="4"/>
  <c r="X104" i="4"/>
  <c r="AX104" i="4"/>
  <c r="AY104" i="4"/>
  <c r="AZ104" i="4"/>
  <c r="BB104" i="4"/>
  <c r="BC104" i="4"/>
  <c r="BT104" i="4"/>
  <c r="BU104" i="4"/>
  <c r="BV104" i="4"/>
  <c r="BW104" i="4"/>
  <c r="EC104" i="4"/>
  <c r="ED104" i="4"/>
  <c r="EE104" i="4"/>
  <c r="EF104" i="4"/>
  <c r="EG104" i="4"/>
  <c r="EL104" i="4"/>
  <c r="EM104" i="4"/>
  <c r="EN104" i="4"/>
  <c r="EO104" i="4"/>
  <c r="EP104" i="4"/>
  <c r="EQ104" i="4"/>
  <c r="EV104" i="4"/>
  <c r="EX104" i="4"/>
  <c r="EY104" i="4"/>
  <c r="FA104" i="4"/>
  <c r="FB104" i="4"/>
  <c r="FC104" i="4"/>
  <c r="FD104" i="4"/>
  <c r="FE104" i="4"/>
  <c r="FF104" i="4"/>
  <c r="FG104" i="4"/>
  <c r="FH104" i="4"/>
  <c r="FI104" i="4"/>
  <c r="FJ104" i="4"/>
  <c r="FK104" i="4"/>
  <c r="FL104" i="4"/>
  <c r="FM104" i="4"/>
  <c r="FN104" i="4"/>
  <c r="FO104" i="4"/>
  <c r="FP104" i="4"/>
  <c r="FQ104" i="4"/>
  <c r="FR104" i="4"/>
  <c r="FS104" i="4"/>
  <c r="FT104" i="4"/>
  <c r="FU104" i="4"/>
  <c r="FV104" i="4"/>
  <c r="FW104" i="4"/>
  <c r="FX104" i="4"/>
  <c r="FY104" i="4"/>
  <c r="FZ104" i="4"/>
  <c r="GA104" i="4"/>
  <c r="GB104" i="4"/>
  <c r="GC104" i="4"/>
  <c r="GD104" i="4"/>
  <c r="GF104" i="4"/>
  <c r="GG104" i="4"/>
  <c r="GJ104" i="4"/>
  <c r="GK104" i="4"/>
  <c r="GM104" i="4"/>
  <c r="GN104" i="4"/>
  <c r="GP104" i="4"/>
  <c r="HJ104" i="4"/>
  <c r="HK104" i="4"/>
  <c r="HL104" i="4"/>
  <c r="HM104" i="4"/>
  <c r="HN104" i="4"/>
  <c r="HO104" i="4"/>
  <c r="HP104" i="4"/>
  <c r="A105" i="4"/>
  <c r="B105" i="4"/>
  <c r="C105" i="4"/>
  <c r="D105" i="4"/>
  <c r="E105" i="4"/>
  <c r="F105" i="4"/>
  <c r="I105" i="4"/>
  <c r="J105" i="4"/>
  <c r="N105" i="4"/>
  <c r="O105" i="4"/>
  <c r="P105" i="4"/>
  <c r="Q105" i="4"/>
  <c r="R105" i="4"/>
  <c r="S105" i="4"/>
  <c r="T105" i="4"/>
  <c r="U105" i="4"/>
  <c r="V105" i="4"/>
  <c r="W105" i="4"/>
  <c r="X105" i="4"/>
  <c r="AX105" i="4"/>
  <c r="AY105" i="4"/>
  <c r="AZ105" i="4"/>
  <c r="BB105" i="4"/>
  <c r="BC105" i="4"/>
  <c r="BT105" i="4"/>
  <c r="BU105" i="4"/>
  <c r="BV105" i="4"/>
  <c r="BW105" i="4"/>
  <c r="EC105" i="4"/>
  <c r="ED105" i="4"/>
  <c r="EE105" i="4"/>
  <c r="EF105" i="4"/>
  <c r="EG105" i="4"/>
  <c r="EL105" i="4"/>
  <c r="EM105" i="4"/>
  <c r="EN105" i="4"/>
  <c r="EO105" i="4"/>
  <c r="EP105" i="4"/>
  <c r="EQ105" i="4"/>
  <c r="EV105" i="4"/>
  <c r="EX105" i="4"/>
  <c r="EY105" i="4"/>
  <c r="FA105" i="4"/>
  <c r="FB105" i="4"/>
  <c r="FC105" i="4"/>
  <c r="FD105" i="4"/>
  <c r="FE105" i="4"/>
  <c r="FF105" i="4"/>
  <c r="FG105" i="4"/>
  <c r="FH105" i="4"/>
  <c r="FI105" i="4"/>
  <c r="FJ105" i="4"/>
  <c r="FK105" i="4"/>
  <c r="FL105" i="4"/>
  <c r="FM105" i="4"/>
  <c r="FN105" i="4"/>
  <c r="FO105" i="4"/>
  <c r="FP105" i="4"/>
  <c r="FQ105" i="4"/>
  <c r="FR105" i="4"/>
  <c r="FS105" i="4"/>
  <c r="FT105" i="4"/>
  <c r="FU105" i="4"/>
  <c r="FV105" i="4"/>
  <c r="FW105" i="4"/>
  <c r="FX105" i="4"/>
  <c r="FY105" i="4"/>
  <c r="FZ105" i="4"/>
  <c r="GA105" i="4"/>
  <c r="GB105" i="4"/>
  <c r="GC105" i="4"/>
  <c r="GD105" i="4"/>
  <c r="GF105" i="4"/>
  <c r="GG105" i="4"/>
  <c r="GJ105" i="4"/>
  <c r="GK105" i="4"/>
  <c r="GM105" i="4"/>
  <c r="GN105" i="4"/>
  <c r="GP105" i="4"/>
  <c r="HJ105" i="4"/>
  <c r="HK105" i="4"/>
  <c r="HL105" i="4"/>
  <c r="HM105" i="4"/>
  <c r="HN105" i="4"/>
  <c r="HO105" i="4"/>
  <c r="HP105" i="4"/>
  <c r="A106" i="4"/>
  <c r="B106" i="4"/>
  <c r="C106" i="4"/>
  <c r="D106" i="4"/>
  <c r="E106" i="4"/>
  <c r="F106" i="4"/>
  <c r="I106" i="4"/>
  <c r="J106" i="4"/>
  <c r="N106" i="4"/>
  <c r="O106" i="4"/>
  <c r="P106" i="4"/>
  <c r="Q106" i="4"/>
  <c r="R106" i="4"/>
  <c r="S106" i="4"/>
  <c r="T106" i="4"/>
  <c r="U106" i="4"/>
  <c r="V106" i="4"/>
  <c r="W106" i="4"/>
  <c r="X106" i="4"/>
  <c r="AX106" i="4"/>
  <c r="AY106" i="4"/>
  <c r="AZ106" i="4"/>
  <c r="BB106" i="4"/>
  <c r="BC106" i="4"/>
  <c r="BT106" i="4"/>
  <c r="BU106" i="4"/>
  <c r="BV106" i="4"/>
  <c r="BW106" i="4"/>
  <c r="EC106" i="4"/>
  <c r="ED106" i="4"/>
  <c r="EE106" i="4"/>
  <c r="EF106" i="4"/>
  <c r="EG106" i="4"/>
  <c r="EL106" i="4"/>
  <c r="EM106" i="4"/>
  <c r="EN106" i="4"/>
  <c r="EO106" i="4"/>
  <c r="EP106" i="4"/>
  <c r="EQ106" i="4"/>
  <c r="EV106" i="4"/>
  <c r="EX106" i="4"/>
  <c r="EY106" i="4"/>
  <c r="FA106" i="4"/>
  <c r="FB106" i="4"/>
  <c r="FC106" i="4"/>
  <c r="FD106" i="4"/>
  <c r="FE106" i="4"/>
  <c r="FF106" i="4"/>
  <c r="FG106" i="4"/>
  <c r="FH106" i="4"/>
  <c r="FI106" i="4"/>
  <c r="FJ106" i="4"/>
  <c r="FK106" i="4"/>
  <c r="FL106" i="4"/>
  <c r="FM106" i="4"/>
  <c r="FN106" i="4"/>
  <c r="FO106" i="4"/>
  <c r="FP106" i="4"/>
  <c r="FQ106" i="4"/>
  <c r="FR106" i="4"/>
  <c r="FS106" i="4"/>
  <c r="FT106" i="4"/>
  <c r="FU106" i="4"/>
  <c r="FV106" i="4"/>
  <c r="FW106" i="4"/>
  <c r="FX106" i="4"/>
  <c r="FY106" i="4"/>
  <c r="FZ106" i="4"/>
  <c r="GA106" i="4"/>
  <c r="GB106" i="4"/>
  <c r="GC106" i="4"/>
  <c r="GD106" i="4"/>
  <c r="GF106" i="4"/>
  <c r="GG106" i="4"/>
  <c r="GJ106" i="4"/>
  <c r="GK106" i="4"/>
  <c r="GM106" i="4"/>
  <c r="GN106" i="4"/>
  <c r="GP106" i="4"/>
  <c r="HJ106" i="4"/>
  <c r="HK106" i="4"/>
  <c r="HL106" i="4"/>
  <c r="HM106" i="4"/>
  <c r="HN106" i="4"/>
  <c r="HO106" i="4"/>
  <c r="HP106" i="4"/>
  <c r="A107" i="4"/>
  <c r="B107" i="4"/>
  <c r="C107" i="4"/>
  <c r="D107" i="4"/>
  <c r="E107" i="4"/>
  <c r="F107" i="4"/>
  <c r="I107" i="4"/>
  <c r="J107" i="4"/>
  <c r="N107" i="4"/>
  <c r="O107" i="4"/>
  <c r="P107" i="4"/>
  <c r="Q107" i="4"/>
  <c r="R107" i="4"/>
  <c r="S107" i="4"/>
  <c r="T107" i="4"/>
  <c r="U107" i="4"/>
  <c r="V107" i="4"/>
  <c r="W107" i="4"/>
  <c r="X107" i="4"/>
  <c r="AX107" i="4"/>
  <c r="AY107" i="4"/>
  <c r="AZ107" i="4"/>
  <c r="BB107" i="4"/>
  <c r="BC107" i="4"/>
  <c r="BT107" i="4"/>
  <c r="BU107" i="4"/>
  <c r="BV107" i="4"/>
  <c r="BW107" i="4"/>
  <c r="EC107" i="4"/>
  <c r="ED107" i="4"/>
  <c r="EE107" i="4"/>
  <c r="EF107" i="4"/>
  <c r="EG107" i="4"/>
  <c r="EL107" i="4"/>
  <c r="EM107" i="4"/>
  <c r="EN107" i="4"/>
  <c r="EO107" i="4"/>
  <c r="EP107" i="4"/>
  <c r="EQ107" i="4"/>
  <c r="EV107" i="4"/>
  <c r="EX107" i="4"/>
  <c r="EY107" i="4"/>
  <c r="FA107" i="4"/>
  <c r="FB107" i="4"/>
  <c r="FC107" i="4"/>
  <c r="FD107" i="4"/>
  <c r="FE107" i="4"/>
  <c r="FF107" i="4"/>
  <c r="FG107" i="4"/>
  <c r="FH107" i="4"/>
  <c r="FI107" i="4"/>
  <c r="FJ107" i="4"/>
  <c r="FK107" i="4"/>
  <c r="FL107" i="4"/>
  <c r="FM107" i="4"/>
  <c r="FN107" i="4"/>
  <c r="FO107" i="4"/>
  <c r="FP107" i="4"/>
  <c r="FQ107" i="4"/>
  <c r="FR107" i="4"/>
  <c r="FS107" i="4"/>
  <c r="FT107" i="4"/>
  <c r="FU107" i="4"/>
  <c r="FV107" i="4"/>
  <c r="FW107" i="4"/>
  <c r="FX107" i="4"/>
  <c r="FY107" i="4"/>
  <c r="FZ107" i="4"/>
  <c r="GA107" i="4"/>
  <c r="GB107" i="4"/>
  <c r="GC107" i="4"/>
  <c r="GD107" i="4"/>
  <c r="GF107" i="4"/>
  <c r="GG107" i="4"/>
  <c r="GJ107" i="4"/>
  <c r="GK107" i="4"/>
  <c r="GM107" i="4"/>
  <c r="GN107" i="4"/>
  <c r="GP107" i="4"/>
  <c r="HJ107" i="4"/>
  <c r="HK107" i="4"/>
  <c r="HL107" i="4"/>
  <c r="HM107" i="4"/>
  <c r="HN107" i="4"/>
  <c r="HO107" i="4"/>
  <c r="HP107" i="4"/>
  <c r="A108" i="4"/>
  <c r="B108" i="4"/>
  <c r="C108" i="4"/>
  <c r="D108" i="4"/>
  <c r="E108" i="4"/>
  <c r="F108" i="4"/>
  <c r="I108" i="4"/>
  <c r="J108" i="4"/>
  <c r="N108" i="4"/>
  <c r="O108" i="4"/>
  <c r="P108" i="4"/>
  <c r="Q108" i="4"/>
  <c r="R108" i="4"/>
  <c r="S108" i="4"/>
  <c r="T108" i="4"/>
  <c r="U108" i="4"/>
  <c r="V108" i="4"/>
  <c r="W108" i="4"/>
  <c r="X108" i="4"/>
  <c r="AX108" i="4"/>
  <c r="AY108" i="4"/>
  <c r="AZ108" i="4"/>
  <c r="BB108" i="4"/>
  <c r="BC108" i="4"/>
  <c r="BT108" i="4"/>
  <c r="BU108" i="4"/>
  <c r="BV108" i="4"/>
  <c r="BW108" i="4"/>
  <c r="EC108" i="4"/>
  <c r="ED108" i="4"/>
  <c r="EE108" i="4"/>
  <c r="EF108" i="4"/>
  <c r="EG108" i="4"/>
  <c r="EL108" i="4"/>
  <c r="EM108" i="4"/>
  <c r="EN108" i="4"/>
  <c r="EO108" i="4"/>
  <c r="EP108" i="4"/>
  <c r="EQ108" i="4"/>
  <c r="EV108" i="4"/>
  <c r="EX108" i="4"/>
  <c r="EY108" i="4"/>
  <c r="FA108" i="4"/>
  <c r="FB108" i="4"/>
  <c r="FC108" i="4"/>
  <c r="FD108" i="4"/>
  <c r="FE108" i="4"/>
  <c r="FF108" i="4"/>
  <c r="FG108" i="4"/>
  <c r="FH108" i="4"/>
  <c r="FI108" i="4"/>
  <c r="FJ108" i="4"/>
  <c r="FK108" i="4"/>
  <c r="FL108" i="4"/>
  <c r="FM108" i="4"/>
  <c r="FN108" i="4"/>
  <c r="FO108" i="4"/>
  <c r="FP108" i="4"/>
  <c r="FQ108" i="4"/>
  <c r="FR108" i="4"/>
  <c r="FS108" i="4"/>
  <c r="FT108" i="4"/>
  <c r="FU108" i="4"/>
  <c r="FV108" i="4"/>
  <c r="FW108" i="4"/>
  <c r="FX108" i="4"/>
  <c r="FY108" i="4"/>
  <c r="FZ108" i="4"/>
  <c r="GA108" i="4"/>
  <c r="GB108" i="4"/>
  <c r="GC108" i="4"/>
  <c r="GD108" i="4"/>
  <c r="GF108" i="4"/>
  <c r="GG108" i="4"/>
  <c r="GJ108" i="4"/>
  <c r="GK108" i="4"/>
  <c r="GM108" i="4"/>
  <c r="GN108" i="4"/>
  <c r="GP108" i="4"/>
  <c r="HJ108" i="4"/>
  <c r="HK108" i="4"/>
  <c r="HL108" i="4"/>
  <c r="HM108" i="4"/>
  <c r="HN108" i="4"/>
  <c r="HO108" i="4"/>
  <c r="HP108" i="4"/>
  <c r="A109" i="4"/>
  <c r="B109" i="4"/>
  <c r="C109" i="4"/>
  <c r="D109" i="4"/>
  <c r="E109" i="4"/>
  <c r="F109" i="4"/>
  <c r="I109" i="4"/>
  <c r="J109" i="4"/>
  <c r="N109" i="4"/>
  <c r="O109" i="4"/>
  <c r="P109" i="4"/>
  <c r="Q109" i="4"/>
  <c r="R109" i="4"/>
  <c r="S109" i="4"/>
  <c r="T109" i="4"/>
  <c r="U109" i="4"/>
  <c r="V109" i="4"/>
  <c r="W109" i="4"/>
  <c r="X109" i="4"/>
  <c r="AX109" i="4"/>
  <c r="AY109" i="4"/>
  <c r="AZ109" i="4"/>
  <c r="BB109" i="4"/>
  <c r="BC109" i="4"/>
  <c r="BT109" i="4"/>
  <c r="BU109" i="4"/>
  <c r="BV109" i="4"/>
  <c r="BW109" i="4"/>
  <c r="EC109" i="4"/>
  <c r="ED109" i="4"/>
  <c r="EE109" i="4"/>
  <c r="EF109" i="4"/>
  <c r="EG109" i="4"/>
  <c r="EL109" i="4"/>
  <c r="EM109" i="4"/>
  <c r="EN109" i="4"/>
  <c r="EO109" i="4"/>
  <c r="EP109" i="4"/>
  <c r="EQ109" i="4"/>
  <c r="EV109" i="4"/>
  <c r="EX109" i="4"/>
  <c r="EY109" i="4"/>
  <c r="FA109" i="4"/>
  <c r="FB109" i="4"/>
  <c r="FC109" i="4"/>
  <c r="FD109" i="4"/>
  <c r="FE109" i="4"/>
  <c r="FF109" i="4"/>
  <c r="FG109" i="4"/>
  <c r="FH109" i="4"/>
  <c r="FI109" i="4"/>
  <c r="FJ109" i="4"/>
  <c r="FK109" i="4"/>
  <c r="FL109" i="4"/>
  <c r="FM109" i="4"/>
  <c r="FN109" i="4"/>
  <c r="FO109" i="4"/>
  <c r="FP109" i="4"/>
  <c r="FQ109" i="4"/>
  <c r="FR109" i="4"/>
  <c r="FS109" i="4"/>
  <c r="FT109" i="4"/>
  <c r="FU109" i="4"/>
  <c r="FV109" i="4"/>
  <c r="FW109" i="4"/>
  <c r="FX109" i="4"/>
  <c r="FY109" i="4"/>
  <c r="FZ109" i="4"/>
  <c r="GA109" i="4"/>
  <c r="GB109" i="4"/>
  <c r="GC109" i="4"/>
  <c r="GD109" i="4"/>
  <c r="GF109" i="4"/>
  <c r="GG109" i="4"/>
  <c r="GJ109" i="4"/>
  <c r="GK109" i="4"/>
  <c r="GM109" i="4"/>
  <c r="GN109" i="4"/>
  <c r="GP109" i="4"/>
  <c r="HJ109" i="4"/>
  <c r="HK109" i="4"/>
  <c r="HL109" i="4"/>
  <c r="HM109" i="4"/>
  <c r="HN109" i="4"/>
  <c r="HO109" i="4"/>
  <c r="HP109" i="4"/>
  <c r="A110" i="4"/>
  <c r="B110" i="4"/>
  <c r="C110" i="4"/>
  <c r="D110" i="4"/>
  <c r="E110" i="4"/>
  <c r="F110" i="4"/>
  <c r="I110" i="4"/>
  <c r="J110" i="4"/>
  <c r="N110" i="4"/>
  <c r="O110" i="4"/>
  <c r="P110" i="4"/>
  <c r="Q110" i="4"/>
  <c r="R110" i="4"/>
  <c r="S110" i="4"/>
  <c r="T110" i="4"/>
  <c r="U110" i="4"/>
  <c r="V110" i="4"/>
  <c r="W110" i="4"/>
  <c r="X110" i="4"/>
  <c r="AX110" i="4"/>
  <c r="AY110" i="4"/>
  <c r="AZ110" i="4"/>
  <c r="BB110" i="4"/>
  <c r="BC110" i="4"/>
  <c r="BT110" i="4"/>
  <c r="BU110" i="4"/>
  <c r="BV110" i="4"/>
  <c r="BW110" i="4"/>
  <c r="EC110" i="4"/>
  <c r="ED110" i="4"/>
  <c r="EE110" i="4"/>
  <c r="EF110" i="4"/>
  <c r="EG110" i="4"/>
  <c r="EL110" i="4"/>
  <c r="EM110" i="4"/>
  <c r="EN110" i="4"/>
  <c r="EO110" i="4"/>
  <c r="EP110" i="4"/>
  <c r="EQ110" i="4"/>
  <c r="EV110" i="4"/>
  <c r="EX110" i="4"/>
  <c r="EY110" i="4"/>
  <c r="FA110" i="4"/>
  <c r="FB110" i="4"/>
  <c r="FC110" i="4"/>
  <c r="FD110" i="4"/>
  <c r="FE110" i="4"/>
  <c r="FF110" i="4"/>
  <c r="FG110" i="4"/>
  <c r="FH110" i="4"/>
  <c r="FI110" i="4"/>
  <c r="FJ110" i="4"/>
  <c r="FK110" i="4"/>
  <c r="FL110" i="4"/>
  <c r="FM110" i="4"/>
  <c r="FN110" i="4"/>
  <c r="FO110" i="4"/>
  <c r="FP110" i="4"/>
  <c r="FQ110" i="4"/>
  <c r="FR110" i="4"/>
  <c r="FS110" i="4"/>
  <c r="FT110" i="4"/>
  <c r="FU110" i="4"/>
  <c r="FV110" i="4"/>
  <c r="FW110" i="4"/>
  <c r="FX110" i="4"/>
  <c r="FY110" i="4"/>
  <c r="FZ110" i="4"/>
  <c r="GA110" i="4"/>
  <c r="GB110" i="4"/>
  <c r="GC110" i="4"/>
  <c r="GD110" i="4"/>
  <c r="GF110" i="4"/>
  <c r="GG110" i="4"/>
  <c r="GJ110" i="4"/>
  <c r="GK110" i="4"/>
  <c r="GM110" i="4"/>
  <c r="GN110" i="4"/>
  <c r="GP110" i="4"/>
  <c r="HJ110" i="4"/>
  <c r="HK110" i="4"/>
  <c r="HL110" i="4"/>
  <c r="HM110" i="4"/>
  <c r="HN110" i="4"/>
  <c r="HO110" i="4"/>
  <c r="HP110" i="4"/>
  <c r="A111" i="4"/>
  <c r="B111" i="4"/>
  <c r="C111" i="4"/>
  <c r="D111" i="4"/>
  <c r="E111" i="4"/>
  <c r="F111" i="4"/>
  <c r="I111" i="4"/>
  <c r="J111" i="4"/>
  <c r="N111" i="4"/>
  <c r="O111" i="4"/>
  <c r="P111" i="4"/>
  <c r="Q111" i="4"/>
  <c r="R111" i="4"/>
  <c r="S111" i="4"/>
  <c r="T111" i="4"/>
  <c r="U111" i="4"/>
  <c r="V111" i="4"/>
  <c r="W111" i="4"/>
  <c r="X111" i="4"/>
  <c r="AX111" i="4"/>
  <c r="AY111" i="4"/>
  <c r="AZ111" i="4"/>
  <c r="BB111" i="4"/>
  <c r="BC111" i="4"/>
  <c r="BT111" i="4"/>
  <c r="BU111" i="4"/>
  <c r="BV111" i="4"/>
  <c r="BW111" i="4"/>
  <c r="EC111" i="4"/>
  <c r="ED111" i="4"/>
  <c r="EE111" i="4"/>
  <c r="EF111" i="4"/>
  <c r="EG111" i="4"/>
  <c r="EL111" i="4"/>
  <c r="EM111" i="4"/>
  <c r="EN111" i="4"/>
  <c r="EO111" i="4"/>
  <c r="EP111" i="4"/>
  <c r="EQ111" i="4"/>
  <c r="EV111" i="4"/>
  <c r="EX111" i="4"/>
  <c r="EY111" i="4"/>
  <c r="FA111" i="4"/>
  <c r="FB111" i="4"/>
  <c r="FC111" i="4"/>
  <c r="FD111" i="4"/>
  <c r="FE111" i="4"/>
  <c r="FF111" i="4"/>
  <c r="FG111" i="4"/>
  <c r="FH111" i="4"/>
  <c r="FI111" i="4"/>
  <c r="FJ111" i="4"/>
  <c r="FK111" i="4"/>
  <c r="FL111" i="4"/>
  <c r="FM111" i="4"/>
  <c r="FN111" i="4"/>
  <c r="FO111" i="4"/>
  <c r="FP111" i="4"/>
  <c r="FQ111" i="4"/>
  <c r="FR111" i="4"/>
  <c r="FS111" i="4"/>
  <c r="FT111" i="4"/>
  <c r="FU111" i="4"/>
  <c r="FV111" i="4"/>
  <c r="FW111" i="4"/>
  <c r="FX111" i="4"/>
  <c r="FY111" i="4"/>
  <c r="FZ111" i="4"/>
  <c r="GA111" i="4"/>
  <c r="GB111" i="4"/>
  <c r="GC111" i="4"/>
  <c r="GD111" i="4"/>
  <c r="GF111" i="4"/>
  <c r="GG111" i="4"/>
  <c r="GJ111" i="4"/>
  <c r="GK111" i="4"/>
  <c r="GM111" i="4"/>
  <c r="GN111" i="4"/>
  <c r="GP111" i="4"/>
  <c r="HJ111" i="4"/>
  <c r="HK111" i="4"/>
  <c r="HL111" i="4"/>
  <c r="HM111" i="4"/>
  <c r="HN111" i="4"/>
  <c r="HO111" i="4"/>
  <c r="HP111" i="4"/>
  <c r="A112" i="4"/>
  <c r="B112" i="4"/>
  <c r="C112" i="4"/>
  <c r="D112" i="4"/>
  <c r="E112" i="4"/>
  <c r="F112" i="4"/>
  <c r="I112" i="4"/>
  <c r="J112" i="4"/>
  <c r="N112" i="4"/>
  <c r="O112" i="4"/>
  <c r="P112" i="4"/>
  <c r="Q112" i="4"/>
  <c r="R112" i="4"/>
  <c r="S112" i="4"/>
  <c r="T112" i="4"/>
  <c r="U112" i="4"/>
  <c r="V112" i="4"/>
  <c r="W112" i="4"/>
  <c r="X112" i="4"/>
  <c r="AX112" i="4"/>
  <c r="AY112" i="4"/>
  <c r="AZ112" i="4"/>
  <c r="BB112" i="4"/>
  <c r="BC112" i="4"/>
  <c r="BT112" i="4"/>
  <c r="BU112" i="4"/>
  <c r="BV112" i="4"/>
  <c r="BW112" i="4"/>
  <c r="EC112" i="4"/>
  <c r="ED112" i="4"/>
  <c r="EE112" i="4"/>
  <c r="EF112" i="4"/>
  <c r="EG112" i="4"/>
  <c r="EL112" i="4"/>
  <c r="EM112" i="4"/>
  <c r="EN112" i="4"/>
  <c r="EO112" i="4"/>
  <c r="EP112" i="4"/>
  <c r="EQ112" i="4"/>
  <c r="EV112" i="4"/>
  <c r="EX112" i="4"/>
  <c r="EY112" i="4"/>
  <c r="FA112" i="4"/>
  <c r="FB112" i="4"/>
  <c r="FC112" i="4"/>
  <c r="FD112" i="4"/>
  <c r="FE112" i="4"/>
  <c r="FF112" i="4"/>
  <c r="FG112" i="4"/>
  <c r="FH112" i="4"/>
  <c r="FI112" i="4"/>
  <c r="FJ112" i="4"/>
  <c r="FK112" i="4"/>
  <c r="FL112" i="4"/>
  <c r="FM112" i="4"/>
  <c r="FN112" i="4"/>
  <c r="FO112" i="4"/>
  <c r="FP112" i="4"/>
  <c r="FQ112" i="4"/>
  <c r="FR112" i="4"/>
  <c r="FS112" i="4"/>
  <c r="FT112" i="4"/>
  <c r="FU112" i="4"/>
  <c r="FV112" i="4"/>
  <c r="FW112" i="4"/>
  <c r="FX112" i="4"/>
  <c r="FY112" i="4"/>
  <c r="FZ112" i="4"/>
  <c r="GA112" i="4"/>
  <c r="GB112" i="4"/>
  <c r="GC112" i="4"/>
  <c r="GD112" i="4"/>
  <c r="GF112" i="4"/>
  <c r="GG112" i="4"/>
  <c r="GJ112" i="4"/>
  <c r="GK112" i="4"/>
  <c r="GM112" i="4"/>
  <c r="GN112" i="4"/>
  <c r="GP112" i="4"/>
  <c r="HJ112" i="4"/>
  <c r="HK112" i="4"/>
  <c r="HL112" i="4"/>
  <c r="HM112" i="4"/>
  <c r="HN112" i="4"/>
  <c r="HO112" i="4"/>
  <c r="HP112" i="4"/>
  <c r="A113" i="4"/>
  <c r="B113" i="4"/>
  <c r="C113" i="4"/>
  <c r="D113" i="4"/>
  <c r="E113" i="4"/>
  <c r="F113" i="4"/>
  <c r="I113" i="4"/>
  <c r="J113" i="4"/>
  <c r="N113" i="4"/>
  <c r="O113" i="4"/>
  <c r="P113" i="4"/>
  <c r="Q113" i="4"/>
  <c r="R113" i="4"/>
  <c r="S113" i="4"/>
  <c r="T113" i="4"/>
  <c r="U113" i="4"/>
  <c r="V113" i="4"/>
  <c r="W113" i="4"/>
  <c r="X113" i="4"/>
  <c r="AX113" i="4"/>
  <c r="AY113" i="4"/>
  <c r="AZ113" i="4"/>
  <c r="BB113" i="4"/>
  <c r="BC113" i="4"/>
  <c r="BT113" i="4"/>
  <c r="BU113" i="4"/>
  <c r="BV113" i="4"/>
  <c r="BW113" i="4"/>
  <c r="EC113" i="4"/>
  <c r="ED113" i="4"/>
  <c r="EE113" i="4"/>
  <c r="EF113" i="4"/>
  <c r="EG113" i="4"/>
  <c r="EL113" i="4"/>
  <c r="EM113" i="4"/>
  <c r="EN113" i="4"/>
  <c r="EO113" i="4"/>
  <c r="EP113" i="4"/>
  <c r="EQ113" i="4"/>
  <c r="EV113" i="4"/>
  <c r="EX113" i="4"/>
  <c r="EY113" i="4"/>
  <c r="FA113" i="4"/>
  <c r="FB113" i="4"/>
  <c r="FC113" i="4"/>
  <c r="FD113" i="4"/>
  <c r="FE113" i="4"/>
  <c r="FF113" i="4"/>
  <c r="FG113" i="4"/>
  <c r="FH113" i="4"/>
  <c r="FI113" i="4"/>
  <c r="FJ113" i="4"/>
  <c r="FK113" i="4"/>
  <c r="FL113" i="4"/>
  <c r="FM113" i="4"/>
  <c r="FN113" i="4"/>
  <c r="FO113" i="4"/>
  <c r="FP113" i="4"/>
  <c r="FQ113" i="4"/>
  <c r="FR113" i="4"/>
  <c r="FS113" i="4"/>
  <c r="FT113" i="4"/>
  <c r="FU113" i="4"/>
  <c r="FV113" i="4"/>
  <c r="FW113" i="4"/>
  <c r="FX113" i="4"/>
  <c r="FY113" i="4"/>
  <c r="FZ113" i="4"/>
  <c r="GA113" i="4"/>
  <c r="GB113" i="4"/>
  <c r="GC113" i="4"/>
  <c r="GD113" i="4"/>
  <c r="GF113" i="4"/>
  <c r="GG113" i="4"/>
  <c r="GJ113" i="4"/>
  <c r="GK113" i="4"/>
  <c r="GM113" i="4"/>
  <c r="GN113" i="4"/>
  <c r="GP113" i="4"/>
  <c r="HJ113" i="4"/>
  <c r="HK113" i="4"/>
  <c r="HL113" i="4"/>
  <c r="HM113" i="4"/>
  <c r="HN113" i="4"/>
  <c r="HO113" i="4"/>
  <c r="HP113" i="4"/>
  <c r="A114" i="4"/>
  <c r="B114" i="4"/>
  <c r="C114" i="4"/>
  <c r="D114" i="4"/>
  <c r="E114" i="4"/>
  <c r="F114" i="4"/>
  <c r="I114" i="4"/>
  <c r="J114" i="4"/>
  <c r="N114" i="4"/>
  <c r="O114" i="4"/>
  <c r="P114" i="4"/>
  <c r="Q114" i="4"/>
  <c r="R114" i="4"/>
  <c r="S114" i="4"/>
  <c r="T114" i="4"/>
  <c r="U114" i="4"/>
  <c r="V114" i="4"/>
  <c r="W114" i="4"/>
  <c r="X114" i="4"/>
  <c r="AX114" i="4"/>
  <c r="AY114" i="4"/>
  <c r="AZ114" i="4"/>
  <c r="BB114" i="4"/>
  <c r="BC114" i="4"/>
  <c r="BT114" i="4"/>
  <c r="BU114" i="4"/>
  <c r="BV114" i="4"/>
  <c r="BW114" i="4"/>
  <c r="EC114" i="4"/>
  <c r="ED114" i="4"/>
  <c r="EE114" i="4"/>
  <c r="EF114" i="4"/>
  <c r="EG114" i="4"/>
  <c r="EL114" i="4"/>
  <c r="EM114" i="4"/>
  <c r="EN114" i="4"/>
  <c r="EO114" i="4"/>
  <c r="EP114" i="4"/>
  <c r="EQ114" i="4"/>
  <c r="EV114" i="4"/>
  <c r="EX114" i="4"/>
  <c r="EY114" i="4"/>
  <c r="FA114" i="4"/>
  <c r="FB114" i="4"/>
  <c r="FC114" i="4"/>
  <c r="FD114" i="4"/>
  <c r="FE114" i="4"/>
  <c r="FF114" i="4"/>
  <c r="FG114" i="4"/>
  <c r="FH114" i="4"/>
  <c r="FI114" i="4"/>
  <c r="FJ114" i="4"/>
  <c r="FK114" i="4"/>
  <c r="FL114" i="4"/>
  <c r="FM114" i="4"/>
  <c r="FN114" i="4"/>
  <c r="FO114" i="4"/>
  <c r="FP114" i="4"/>
  <c r="FQ114" i="4"/>
  <c r="FR114" i="4"/>
  <c r="FS114" i="4"/>
  <c r="FT114" i="4"/>
  <c r="FU114" i="4"/>
  <c r="FV114" i="4"/>
  <c r="FW114" i="4"/>
  <c r="FX114" i="4"/>
  <c r="FY114" i="4"/>
  <c r="FZ114" i="4"/>
  <c r="GA114" i="4"/>
  <c r="GB114" i="4"/>
  <c r="GC114" i="4"/>
  <c r="GD114" i="4"/>
  <c r="GF114" i="4"/>
  <c r="GG114" i="4"/>
  <c r="GJ114" i="4"/>
  <c r="GK114" i="4"/>
  <c r="GM114" i="4"/>
  <c r="GN114" i="4"/>
  <c r="GP114" i="4"/>
  <c r="HJ114" i="4"/>
  <c r="HK114" i="4"/>
  <c r="HL114" i="4"/>
  <c r="HM114" i="4"/>
  <c r="HN114" i="4"/>
  <c r="HO114" i="4"/>
  <c r="HP114" i="4"/>
  <c r="A115" i="4"/>
  <c r="B115" i="4"/>
  <c r="C115" i="4"/>
  <c r="D115" i="4"/>
  <c r="E115" i="4"/>
  <c r="F115" i="4"/>
  <c r="I115" i="4"/>
  <c r="J115" i="4"/>
  <c r="N115" i="4"/>
  <c r="O115" i="4"/>
  <c r="P115" i="4"/>
  <c r="Q115" i="4"/>
  <c r="R115" i="4"/>
  <c r="S115" i="4"/>
  <c r="T115" i="4"/>
  <c r="U115" i="4"/>
  <c r="V115" i="4"/>
  <c r="W115" i="4"/>
  <c r="X115" i="4"/>
  <c r="AX115" i="4"/>
  <c r="AY115" i="4"/>
  <c r="AZ115" i="4"/>
  <c r="BB115" i="4"/>
  <c r="BC115" i="4"/>
  <c r="BT115" i="4"/>
  <c r="BU115" i="4"/>
  <c r="BV115" i="4"/>
  <c r="BW115" i="4"/>
  <c r="EC115" i="4"/>
  <c r="ED115" i="4"/>
  <c r="EE115" i="4"/>
  <c r="EF115" i="4"/>
  <c r="EG115" i="4"/>
  <c r="EL115" i="4"/>
  <c r="EM115" i="4"/>
  <c r="EN115" i="4"/>
  <c r="EO115" i="4"/>
  <c r="EP115" i="4"/>
  <c r="EQ115" i="4"/>
  <c r="EV115" i="4"/>
  <c r="EX115" i="4"/>
  <c r="EY115" i="4"/>
  <c r="FA115" i="4"/>
  <c r="FB115" i="4"/>
  <c r="FC115" i="4"/>
  <c r="FD115" i="4"/>
  <c r="FE115" i="4"/>
  <c r="FF115" i="4"/>
  <c r="FG115" i="4"/>
  <c r="FH115" i="4"/>
  <c r="FI115" i="4"/>
  <c r="FJ115" i="4"/>
  <c r="FK115" i="4"/>
  <c r="FL115" i="4"/>
  <c r="FM115" i="4"/>
  <c r="FN115" i="4"/>
  <c r="FO115" i="4"/>
  <c r="FP115" i="4"/>
  <c r="FQ115" i="4"/>
  <c r="FR115" i="4"/>
  <c r="FS115" i="4"/>
  <c r="FT115" i="4"/>
  <c r="FU115" i="4"/>
  <c r="FV115" i="4"/>
  <c r="FW115" i="4"/>
  <c r="FX115" i="4"/>
  <c r="FY115" i="4"/>
  <c r="FZ115" i="4"/>
  <c r="GA115" i="4"/>
  <c r="GB115" i="4"/>
  <c r="GC115" i="4"/>
  <c r="GD115" i="4"/>
  <c r="GF115" i="4"/>
  <c r="GG115" i="4"/>
  <c r="GJ115" i="4"/>
  <c r="GK115" i="4"/>
  <c r="GM115" i="4"/>
  <c r="GN115" i="4"/>
  <c r="GP115" i="4"/>
  <c r="HJ115" i="4"/>
  <c r="HK115" i="4"/>
  <c r="HL115" i="4"/>
  <c r="HM115" i="4"/>
  <c r="HN115" i="4"/>
  <c r="HO115" i="4"/>
  <c r="HP115" i="4"/>
  <c r="A116" i="4"/>
  <c r="B116" i="4"/>
  <c r="C116" i="4"/>
  <c r="D116" i="4"/>
  <c r="E116" i="4"/>
  <c r="F116" i="4"/>
  <c r="I116" i="4"/>
  <c r="J116" i="4"/>
  <c r="N116" i="4"/>
  <c r="O116" i="4"/>
  <c r="P116" i="4"/>
  <c r="Q116" i="4"/>
  <c r="R116" i="4"/>
  <c r="S116" i="4"/>
  <c r="T116" i="4"/>
  <c r="U116" i="4"/>
  <c r="V116" i="4"/>
  <c r="W116" i="4"/>
  <c r="X116" i="4"/>
  <c r="AX116" i="4"/>
  <c r="AY116" i="4"/>
  <c r="AZ116" i="4"/>
  <c r="BB116" i="4"/>
  <c r="BC116" i="4"/>
  <c r="BT116" i="4"/>
  <c r="BU116" i="4"/>
  <c r="BV116" i="4"/>
  <c r="BW116" i="4"/>
  <c r="EC116" i="4"/>
  <c r="ED116" i="4"/>
  <c r="EE116" i="4"/>
  <c r="EF116" i="4"/>
  <c r="EG116" i="4"/>
  <c r="EL116" i="4"/>
  <c r="EM116" i="4"/>
  <c r="EN116" i="4"/>
  <c r="EO116" i="4"/>
  <c r="EP116" i="4"/>
  <c r="EQ116" i="4"/>
  <c r="EV116" i="4"/>
  <c r="EX116" i="4"/>
  <c r="EY116" i="4"/>
  <c r="FA116" i="4"/>
  <c r="FB116" i="4"/>
  <c r="FC116" i="4"/>
  <c r="FD116" i="4"/>
  <c r="FE116" i="4"/>
  <c r="FF116" i="4"/>
  <c r="FG116" i="4"/>
  <c r="FH116" i="4"/>
  <c r="FI116" i="4"/>
  <c r="FJ116" i="4"/>
  <c r="FK116" i="4"/>
  <c r="FL116" i="4"/>
  <c r="FM116" i="4"/>
  <c r="FN116" i="4"/>
  <c r="FO116" i="4"/>
  <c r="FP116" i="4"/>
  <c r="FQ116" i="4"/>
  <c r="FR116" i="4"/>
  <c r="FS116" i="4"/>
  <c r="FT116" i="4"/>
  <c r="FU116" i="4"/>
  <c r="FV116" i="4"/>
  <c r="FW116" i="4"/>
  <c r="FX116" i="4"/>
  <c r="FY116" i="4"/>
  <c r="FZ116" i="4"/>
  <c r="GA116" i="4"/>
  <c r="GB116" i="4"/>
  <c r="GC116" i="4"/>
  <c r="GD116" i="4"/>
  <c r="GF116" i="4"/>
  <c r="GG116" i="4"/>
  <c r="GJ116" i="4"/>
  <c r="GK116" i="4"/>
  <c r="GM116" i="4"/>
  <c r="GN116" i="4"/>
  <c r="GP116" i="4"/>
  <c r="HJ116" i="4"/>
  <c r="HK116" i="4"/>
  <c r="HL116" i="4"/>
  <c r="HM116" i="4"/>
  <c r="HN116" i="4"/>
  <c r="HO116" i="4"/>
  <c r="HP116" i="4"/>
  <c r="A117" i="4"/>
  <c r="B117" i="4"/>
  <c r="C117" i="4"/>
  <c r="D117" i="4"/>
  <c r="E117" i="4"/>
  <c r="F117" i="4"/>
  <c r="I117" i="4"/>
  <c r="J117" i="4"/>
  <c r="N117" i="4"/>
  <c r="O117" i="4"/>
  <c r="P117" i="4"/>
  <c r="Q117" i="4"/>
  <c r="R117" i="4"/>
  <c r="S117" i="4"/>
  <c r="T117" i="4"/>
  <c r="U117" i="4"/>
  <c r="V117" i="4"/>
  <c r="W117" i="4"/>
  <c r="X117" i="4"/>
  <c r="AX117" i="4"/>
  <c r="AY117" i="4"/>
  <c r="AZ117" i="4"/>
  <c r="BB117" i="4"/>
  <c r="BC117" i="4"/>
  <c r="BT117" i="4"/>
  <c r="BU117" i="4"/>
  <c r="BV117" i="4"/>
  <c r="BW117" i="4"/>
  <c r="EC117" i="4"/>
  <c r="ED117" i="4"/>
  <c r="EE117" i="4"/>
  <c r="EF117" i="4"/>
  <c r="EG117" i="4"/>
  <c r="EL117" i="4"/>
  <c r="EM117" i="4"/>
  <c r="EN117" i="4"/>
  <c r="EO117" i="4"/>
  <c r="EP117" i="4"/>
  <c r="EQ117" i="4"/>
  <c r="EV117" i="4"/>
  <c r="EX117" i="4"/>
  <c r="EY117" i="4"/>
  <c r="FA117" i="4"/>
  <c r="FB117" i="4"/>
  <c r="FC117" i="4"/>
  <c r="FD117" i="4"/>
  <c r="FE117" i="4"/>
  <c r="FF117" i="4"/>
  <c r="FG117" i="4"/>
  <c r="FH117" i="4"/>
  <c r="FI117" i="4"/>
  <c r="FJ117" i="4"/>
  <c r="FK117" i="4"/>
  <c r="FL117" i="4"/>
  <c r="FM117" i="4"/>
  <c r="FN117" i="4"/>
  <c r="FO117" i="4"/>
  <c r="FP117" i="4"/>
  <c r="FQ117" i="4"/>
  <c r="FR117" i="4"/>
  <c r="FS117" i="4"/>
  <c r="FT117" i="4"/>
  <c r="FU117" i="4"/>
  <c r="FV117" i="4"/>
  <c r="FW117" i="4"/>
  <c r="FX117" i="4"/>
  <c r="FY117" i="4"/>
  <c r="FZ117" i="4"/>
  <c r="GA117" i="4"/>
  <c r="GB117" i="4"/>
  <c r="GC117" i="4"/>
  <c r="GD117" i="4"/>
  <c r="GF117" i="4"/>
  <c r="GG117" i="4"/>
  <c r="GJ117" i="4"/>
  <c r="GK117" i="4"/>
  <c r="GM117" i="4"/>
  <c r="GN117" i="4"/>
  <c r="GP117" i="4"/>
  <c r="HJ117" i="4"/>
  <c r="HK117" i="4"/>
  <c r="HL117" i="4"/>
  <c r="HM117" i="4"/>
  <c r="HN117" i="4"/>
  <c r="HO117" i="4"/>
  <c r="HP117" i="4"/>
  <c r="A118" i="4"/>
  <c r="B118" i="4"/>
  <c r="C118" i="4"/>
  <c r="D118" i="4"/>
  <c r="E118" i="4"/>
  <c r="F118" i="4"/>
  <c r="I118" i="4"/>
  <c r="J118" i="4"/>
  <c r="N118" i="4"/>
  <c r="O118" i="4"/>
  <c r="P118" i="4"/>
  <c r="Q118" i="4"/>
  <c r="R118" i="4"/>
  <c r="S118" i="4"/>
  <c r="T118" i="4"/>
  <c r="U118" i="4"/>
  <c r="V118" i="4"/>
  <c r="W118" i="4"/>
  <c r="X118" i="4"/>
  <c r="AX118" i="4"/>
  <c r="AY118" i="4"/>
  <c r="AZ118" i="4"/>
  <c r="BB118" i="4"/>
  <c r="BC118" i="4"/>
  <c r="BT118" i="4"/>
  <c r="BU118" i="4"/>
  <c r="BV118" i="4"/>
  <c r="BW118" i="4"/>
  <c r="EC118" i="4"/>
  <c r="ED118" i="4"/>
  <c r="EE118" i="4"/>
  <c r="EF118" i="4"/>
  <c r="EG118" i="4"/>
  <c r="EL118" i="4"/>
  <c r="EM118" i="4"/>
  <c r="EN118" i="4"/>
  <c r="EO118" i="4"/>
  <c r="EP118" i="4"/>
  <c r="EQ118" i="4"/>
  <c r="EV118" i="4"/>
  <c r="EX118" i="4"/>
  <c r="EY118" i="4"/>
  <c r="FA118" i="4"/>
  <c r="FB118" i="4"/>
  <c r="FC118" i="4"/>
  <c r="FD118" i="4"/>
  <c r="FE118" i="4"/>
  <c r="FF118" i="4"/>
  <c r="FG118" i="4"/>
  <c r="FH118" i="4"/>
  <c r="FI118" i="4"/>
  <c r="FJ118" i="4"/>
  <c r="FK118" i="4"/>
  <c r="FL118" i="4"/>
  <c r="FM118" i="4"/>
  <c r="FN118" i="4"/>
  <c r="FO118" i="4"/>
  <c r="FP118" i="4"/>
  <c r="FQ118" i="4"/>
  <c r="FR118" i="4"/>
  <c r="FS118" i="4"/>
  <c r="FT118" i="4"/>
  <c r="FU118" i="4"/>
  <c r="FV118" i="4"/>
  <c r="FW118" i="4"/>
  <c r="FX118" i="4"/>
  <c r="FY118" i="4"/>
  <c r="FZ118" i="4"/>
  <c r="GA118" i="4"/>
  <c r="GB118" i="4"/>
  <c r="GC118" i="4"/>
  <c r="GD118" i="4"/>
  <c r="GF118" i="4"/>
  <c r="GG118" i="4"/>
  <c r="GJ118" i="4"/>
  <c r="GK118" i="4"/>
  <c r="GM118" i="4"/>
  <c r="GN118" i="4"/>
  <c r="GP118" i="4"/>
  <c r="HJ118" i="4"/>
  <c r="HK118" i="4"/>
  <c r="HL118" i="4"/>
  <c r="HM118" i="4"/>
  <c r="HN118" i="4"/>
  <c r="HO118" i="4"/>
  <c r="HP118" i="4"/>
  <c r="A119" i="4"/>
  <c r="B119" i="4"/>
  <c r="C119" i="4"/>
  <c r="D119" i="4"/>
  <c r="E119" i="4"/>
  <c r="F119" i="4"/>
  <c r="I119" i="4"/>
  <c r="J119" i="4"/>
  <c r="N119" i="4"/>
  <c r="O119" i="4"/>
  <c r="P119" i="4"/>
  <c r="Q119" i="4"/>
  <c r="R119" i="4"/>
  <c r="S119" i="4"/>
  <c r="T119" i="4"/>
  <c r="U119" i="4"/>
  <c r="V119" i="4"/>
  <c r="W119" i="4"/>
  <c r="X119" i="4"/>
  <c r="AX119" i="4"/>
  <c r="AY119" i="4"/>
  <c r="AZ119" i="4"/>
  <c r="BB119" i="4"/>
  <c r="BC119" i="4"/>
  <c r="BT119" i="4"/>
  <c r="BU119" i="4"/>
  <c r="BV119" i="4"/>
  <c r="BW119" i="4"/>
  <c r="EC119" i="4"/>
  <c r="ED119" i="4"/>
  <c r="EE119" i="4"/>
  <c r="EF119" i="4"/>
  <c r="EG119" i="4"/>
  <c r="EL119" i="4"/>
  <c r="EM119" i="4"/>
  <c r="EN119" i="4"/>
  <c r="EO119" i="4"/>
  <c r="EP119" i="4"/>
  <c r="EQ119" i="4"/>
  <c r="EV119" i="4"/>
  <c r="EX119" i="4"/>
  <c r="EY119" i="4"/>
  <c r="FA119" i="4"/>
  <c r="FB119" i="4"/>
  <c r="FC119" i="4"/>
  <c r="FD119" i="4"/>
  <c r="FE119" i="4"/>
  <c r="FF119" i="4"/>
  <c r="FG119" i="4"/>
  <c r="FH119" i="4"/>
  <c r="FI119" i="4"/>
  <c r="FJ119" i="4"/>
  <c r="FK119" i="4"/>
  <c r="FL119" i="4"/>
  <c r="FM119" i="4"/>
  <c r="FN119" i="4"/>
  <c r="FO119" i="4"/>
  <c r="FP119" i="4"/>
  <c r="FQ119" i="4"/>
  <c r="FR119" i="4"/>
  <c r="FS119" i="4"/>
  <c r="FT119" i="4"/>
  <c r="FU119" i="4"/>
  <c r="FV119" i="4"/>
  <c r="FW119" i="4"/>
  <c r="FX119" i="4"/>
  <c r="FY119" i="4"/>
  <c r="FZ119" i="4"/>
  <c r="GA119" i="4"/>
  <c r="GB119" i="4"/>
  <c r="GC119" i="4"/>
  <c r="GD119" i="4"/>
  <c r="GF119" i="4"/>
  <c r="GG119" i="4"/>
  <c r="GJ119" i="4"/>
  <c r="GK119" i="4"/>
  <c r="GM119" i="4"/>
  <c r="GN119" i="4"/>
  <c r="GP119" i="4"/>
  <c r="HJ119" i="4"/>
  <c r="HK119" i="4"/>
  <c r="HL119" i="4"/>
  <c r="HM119" i="4"/>
  <c r="HN119" i="4"/>
  <c r="HO119" i="4"/>
  <c r="HP119" i="4"/>
  <c r="A120" i="4"/>
  <c r="B120" i="4"/>
  <c r="C120" i="4"/>
  <c r="D120" i="4"/>
  <c r="E120" i="4"/>
  <c r="F120" i="4"/>
  <c r="I120" i="4"/>
  <c r="J120" i="4"/>
  <c r="N120" i="4"/>
  <c r="O120" i="4"/>
  <c r="P120" i="4"/>
  <c r="Q120" i="4"/>
  <c r="R120" i="4"/>
  <c r="S120" i="4"/>
  <c r="T120" i="4"/>
  <c r="U120" i="4"/>
  <c r="V120" i="4"/>
  <c r="W120" i="4"/>
  <c r="X120" i="4"/>
  <c r="AX120" i="4"/>
  <c r="AY120" i="4"/>
  <c r="AZ120" i="4"/>
  <c r="BB120" i="4"/>
  <c r="BC120" i="4"/>
  <c r="BT120" i="4"/>
  <c r="BU120" i="4"/>
  <c r="BV120" i="4"/>
  <c r="BW120" i="4"/>
  <c r="EC120" i="4"/>
  <c r="ED120" i="4"/>
  <c r="EE120" i="4"/>
  <c r="EF120" i="4"/>
  <c r="EG120" i="4"/>
  <c r="EL120" i="4"/>
  <c r="EM120" i="4"/>
  <c r="EN120" i="4"/>
  <c r="EO120" i="4"/>
  <c r="EP120" i="4"/>
  <c r="EQ120" i="4"/>
  <c r="EV120" i="4"/>
  <c r="EX120" i="4"/>
  <c r="EY120" i="4"/>
  <c r="FA120" i="4"/>
  <c r="FB120" i="4"/>
  <c r="FC120" i="4"/>
  <c r="FD120" i="4"/>
  <c r="FE120" i="4"/>
  <c r="FF120" i="4"/>
  <c r="FG120" i="4"/>
  <c r="FH120" i="4"/>
  <c r="FI120" i="4"/>
  <c r="FJ120" i="4"/>
  <c r="FK120" i="4"/>
  <c r="FL120" i="4"/>
  <c r="FM120" i="4"/>
  <c r="FN120" i="4"/>
  <c r="FO120" i="4"/>
  <c r="FP120" i="4"/>
  <c r="FQ120" i="4"/>
  <c r="FR120" i="4"/>
  <c r="FS120" i="4"/>
  <c r="FT120" i="4"/>
  <c r="FU120" i="4"/>
  <c r="FV120" i="4"/>
  <c r="FW120" i="4"/>
  <c r="FX120" i="4"/>
  <c r="FY120" i="4"/>
  <c r="FZ120" i="4"/>
  <c r="GA120" i="4"/>
  <c r="GB120" i="4"/>
  <c r="GC120" i="4"/>
  <c r="GD120" i="4"/>
  <c r="GF120" i="4"/>
  <c r="GG120" i="4"/>
  <c r="GJ120" i="4"/>
  <c r="GK120" i="4"/>
  <c r="GM120" i="4"/>
  <c r="GN120" i="4"/>
  <c r="GP120" i="4"/>
  <c r="HJ120" i="4"/>
  <c r="HK120" i="4"/>
  <c r="HL120" i="4"/>
  <c r="HM120" i="4"/>
  <c r="HN120" i="4"/>
  <c r="HO120" i="4"/>
  <c r="HP120" i="4"/>
  <c r="A121" i="4"/>
  <c r="B121" i="4"/>
  <c r="C121" i="4"/>
  <c r="D121" i="4"/>
  <c r="E121" i="4"/>
  <c r="F121" i="4"/>
  <c r="I121" i="4"/>
  <c r="J121" i="4"/>
  <c r="N121" i="4"/>
  <c r="O121" i="4"/>
  <c r="P121" i="4"/>
  <c r="Q121" i="4"/>
  <c r="R121" i="4"/>
  <c r="S121" i="4"/>
  <c r="T121" i="4"/>
  <c r="U121" i="4"/>
  <c r="V121" i="4"/>
  <c r="W121" i="4"/>
  <c r="X121" i="4"/>
  <c r="AX121" i="4"/>
  <c r="AY121" i="4"/>
  <c r="AZ121" i="4"/>
  <c r="BB121" i="4"/>
  <c r="BC121" i="4"/>
  <c r="BT121" i="4"/>
  <c r="BU121" i="4"/>
  <c r="BV121" i="4"/>
  <c r="BW121" i="4"/>
  <c r="EC121" i="4"/>
  <c r="ED121" i="4"/>
  <c r="EE121" i="4"/>
  <c r="EF121" i="4"/>
  <c r="EG121" i="4"/>
  <c r="EL121" i="4"/>
  <c r="EM121" i="4"/>
  <c r="EN121" i="4"/>
  <c r="EO121" i="4"/>
  <c r="EP121" i="4"/>
  <c r="EQ121" i="4"/>
  <c r="EV121" i="4"/>
  <c r="EX121" i="4"/>
  <c r="EY121" i="4"/>
  <c r="FA121" i="4"/>
  <c r="FB121" i="4"/>
  <c r="FC121" i="4"/>
  <c r="FD121" i="4"/>
  <c r="FE121" i="4"/>
  <c r="FF121" i="4"/>
  <c r="FG121" i="4"/>
  <c r="FH121" i="4"/>
  <c r="FI121" i="4"/>
  <c r="FJ121" i="4"/>
  <c r="FK121" i="4"/>
  <c r="FL121" i="4"/>
  <c r="FM121" i="4"/>
  <c r="FN121" i="4"/>
  <c r="FO121" i="4"/>
  <c r="FP121" i="4"/>
  <c r="FQ121" i="4"/>
  <c r="FR121" i="4"/>
  <c r="FS121" i="4"/>
  <c r="FT121" i="4"/>
  <c r="FU121" i="4"/>
  <c r="FV121" i="4"/>
  <c r="FW121" i="4"/>
  <c r="FX121" i="4"/>
  <c r="FY121" i="4"/>
  <c r="FZ121" i="4"/>
  <c r="GA121" i="4"/>
  <c r="GB121" i="4"/>
  <c r="GC121" i="4"/>
  <c r="GD121" i="4"/>
  <c r="GF121" i="4"/>
  <c r="GG121" i="4"/>
  <c r="GJ121" i="4"/>
  <c r="GK121" i="4"/>
  <c r="GM121" i="4"/>
  <c r="GN121" i="4"/>
  <c r="GP121" i="4"/>
  <c r="HJ121" i="4"/>
  <c r="HK121" i="4"/>
  <c r="HL121" i="4"/>
  <c r="HM121" i="4"/>
  <c r="HN121" i="4"/>
  <c r="HO121" i="4"/>
  <c r="HP121" i="4"/>
  <c r="A122" i="4"/>
  <c r="B122" i="4"/>
  <c r="C122" i="4"/>
  <c r="D122" i="4"/>
  <c r="E122" i="4"/>
  <c r="F122" i="4"/>
  <c r="I122" i="4"/>
  <c r="J122" i="4"/>
  <c r="N122" i="4"/>
  <c r="O122" i="4"/>
  <c r="P122" i="4"/>
  <c r="Q122" i="4"/>
  <c r="R122" i="4"/>
  <c r="S122" i="4"/>
  <c r="T122" i="4"/>
  <c r="U122" i="4"/>
  <c r="V122" i="4"/>
  <c r="W122" i="4"/>
  <c r="X122" i="4"/>
  <c r="AX122" i="4"/>
  <c r="AY122" i="4"/>
  <c r="AZ122" i="4"/>
  <c r="BB122" i="4"/>
  <c r="BC122" i="4"/>
  <c r="BT122" i="4"/>
  <c r="BU122" i="4"/>
  <c r="BV122" i="4"/>
  <c r="BW122" i="4"/>
  <c r="EC122" i="4"/>
  <c r="ED122" i="4"/>
  <c r="EE122" i="4"/>
  <c r="EF122" i="4"/>
  <c r="EG122" i="4"/>
  <c r="EL122" i="4"/>
  <c r="EM122" i="4"/>
  <c r="EN122" i="4"/>
  <c r="EO122" i="4"/>
  <c r="EP122" i="4"/>
  <c r="EQ122" i="4"/>
  <c r="EV122" i="4"/>
  <c r="EX122" i="4"/>
  <c r="EY122" i="4"/>
  <c r="FA122" i="4"/>
  <c r="FB122" i="4"/>
  <c r="FC122" i="4"/>
  <c r="FD122" i="4"/>
  <c r="FE122" i="4"/>
  <c r="FF122" i="4"/>
  <c r="FG122" i="4"/>
  <c r="FH122" i="4"/>
  <c r="FI122" i="4"/>
  <c r="FJ122" i="4"/>
  <c r="FK122" i="4"/>
  <c r="FL122" i="4"/>
  <c r="FM122" i="4"/>
  <c r="FN122" i="4"/>
  <c r="FO122" i="4"/>
  <c r="FP122" i="4"/>
  <c r="FQ122" i="4"/>
  <c r="FR122" i="4"/>
  <c r="FS122" i="4"/>
  <c r="FT122" i="4"/>
  <c r="FU122" i="4"/>
  <c r="FV122" i="4"/>
  <c r="FW122" i="4"/>
  <c r="FX122" i="4"/>
  <c r="FY122" i="4"/>
  <c r="FZ122" i="4"/>
  <c r="GA122" i="4"/>
  <c r="GB122" i="4"/>
  <c r="GC122" i="4"/>
  <c r="GD122" i="4"/>
  <c r="GF122" i="4"/>
  <c r="GG122" i="4"/>
  <c r="GJ122" i="4"/>
  <c r="GK122" i="4"/>
  <c r="GM122" i="4"/>
  <c r="GN122" i="4"/>
  <c r="GP122" i="4"/>
  <c r="HJ122" i="4"/>
  <c r="HK122" i="4"/>
  <c r="HL122" i="4"/>
  <c r="HM122" i="4"/>
  <c r="HN122" i="4"/>
  <c r="HO122" i="4"/>
  <c r="HP122" i="4"/>
  <c r="A123" i="4"/>
  <c r="B123" i="4"/>
  <c r="C123" i="4"/>
  <c r="D123" i="4"/>
  <c r="E123" i="4"/>
  <c r="F123" i="4"/>
  <c r="I123" i="4"/>
  <c r="J123" i="4"/>
  <c r="N123" i="4"/>
  <c r="O123" i="4"/>
  <c r="P123" i="4"/>
  <c r="Q123" i="4"/>
  <c r="R123" i="4"/>
  <c r="S123" i="4"/>
  <c r="T123" i="4"/>
  <c r="U123" i="4"/>
  <c r="V123" i="4"/>
  <c r="W123" i="4"/>
  <c r="X123" i="4"/>
  <c r="AX123" i="4"/>
  <c r="AY123" i="4"/>
  <c r="AZ123" i="4"/>
  <c r="BB123" i="4"/>
  <c r="BC123" i="4"/>
  <c r="BT123" i="4"/>
  <c r="BU123" i="4"/>
  <c r="BV123" i="4"/>
  <c r="BW123" i="4"/>
  <c r="EC123" i="4"/>
  <c r="ED123" i="4"/>
  <c r="EE123" i="4"/>
  <c r="EF123" i="4"/>
  <c r="EG123" i="4"/>
  <c r="EL123" i="4"/>
  <c r="EM123" i="4"/>
  <c r="EN123" i="4"/>
  <c r="EO123" i="4"/>
  <c r="EP123" i="4"/>
  <c r="EQ123" i="4"/>
  <c r="EV123" i="4"/>
  <c r="EX123" i="4"/>
  <c r="EY123" i="4"/>
  <c r="FA123" i="4"/>
  <c r="FB123" i="4"/>
  <c r="FC123" i="4"/>
  <c r="FD123" i="4"/>
  <c r="FE123" i="4"/>
  <c r="FF123" i="4"/>
  <c r="FG123" i="4"/>
  <c r="FH123" i="4"/>
  <c r="FI123" i="4"/>
  <c r="FJ123" i="4"/>
  <c r="FK123" i="4"/>
  <c r="FL123" i="4"/>
  <c r="FM123" i="4"/>
  <c r="FN123" i="4"/>
  <c r="FO123" i="4"/>
  <c r="FP123" i="4"/>
  <c r="FQ123" i="4"/>
  <c r="FR123" i="4"/>
  <c r="FS123" i="4"/>
  <c r="FT123" i="4"/>
  <c r="FU123" i="4"/>
  <c r="FV123" i="4"/>
  <c r="FW123" i="4"/>
  <c r="FX123" i="4"/>
  <c r="FY123" i="4"/>
  <c r="FZ123" i="4"/>
  <c r="GA123" i="4"/>
  <c r="GB123" i="4"/>
  <c r="GC123" i="4"/>
  <c r="GD123" i="4"/>
  <c r="GF123" i="4"/>
  <c r="GG123" i="4"/>
  <c r="GJ123" i="4"/>
  <c r="GK123" i="4"/>
  <c r="GM123" i="4"/>
  <c r="GN123" i="4"/>
  <c r="GP123" i="4"/>
  <c r="HJ123" i="4"/>
  <c r="HK123" i="4"/>
  <c r="HL123" i="4"/>
  <c r="HM123" i="4"/>
  <c r="HN123" i="4"/>
  <c r="HO123" i="4"/>
  <c r="HP123" i="4"/>
  <c r="A124" i="4"/>
  <c r="B124" i="4"/>
  <c r="C124" i="4"/>
  <c r="D124" i="4"/>
  <c r="E124" i="4"/>
  <c r="F124" i="4"/>
  <c r="I124" i="4"/>
  <c r="J124" i="4"/>
  <c r="N124" i="4"/>
  <c r="O124" i="4"/>
  <c r="P124" i="4"/>
  <c r="Q124" i="4"/>
  <c r="R124" i="4"/>
  <c r="S124" i="4"/>
  <c r="T124" i="4"/>
  <c r="U124" i="4"/>
  <c r="V124" i="4"/>
  <c r="W124" i="4"/>
  <c r="X124" i="4"/>
  <c r="AX124" i="4"/>
  <c r="AY124" i="4"/>
  <c r="AZ124" i="4"/>
  <c r="BB124" i="4"/>
  <c r="BC124" i="4"/>
  <c r="BT124" i="4"/>
  <c r="BU124" i="4"/>
  <c r="BV124" i="4"/>
  <c r="BW124" i="4"/>
  <c r="EC124" i="4"/>
  <c r="ED124" i="4"/>
  <c r="EE124" i="4"/>
  <c r="EF124" i="4"/>
  <c r="EG124" i="4"/>
  <c r="EL124" i="4"/>
  <c r="EM124" i="4"/>
  <c r="EN124" i="4"/>
  <c r="EO124" i="4"/>
  <c r="EP124" i="4"/>
  <c r="EQ124" i="4"/>
  <c r="EV124" i="4"/>
  <c r="EX124" i="4"/>
  <c r="EY124" i="4"/>
  <c r="FA124" i="4"/>
  <c r="FB124" i="4"/>
  <c r="FC124" i="4"/>
  <c r="FD124" i="4"/>
  <c r="FE124" i="4"/>
  <c r="FF124" i="4"/>
  <c r="FG124" i="4"/>
  <c r="FH124" i="4"/>
  <c r="FI124" i="4"/>
  <c r="FJ124" i="4"/>
  <c r="FK124" i="4"/>
  <c r="FL124" i="4"/>
  <c r="FM124" i="4"/>
  <c r="FN124" i="4"/>
  <c r="FO124" i="4"/>
  <c r="FP124" i="4"/>
  <c r="FQ124" i="4"/>
  <c r="FR124" i="4"/>
  <c r="FS124" i="4"/>
  <c r="FT124" i="4"/>
  <c r="FU124" i="4"/>
  <c r="FV124" i="4"/>
  <c r="FW124" i="4"/>
  <c r="FX124" i="4"/>
  <c r="FY124" i="4"/>
  <c r="FZ124" i="4"/>
  <c r="GA124" i="4"/>
  <c r="GB124" i="4"/>
  <c r="GC124" i="4"/>
  <c r="GD124" i="4"/>
  <c r="GF124" i="4"/>
  <c r="GG124" i="4"/>
  <c r="GJ124" i="4"/>
  <c r="GK124" i="4"/>
  <c r="GM124" i="4"/>
  <c r="GN124" i="4"/>
  <c r="GP124" i="4"/>
  <c r="HJ124" i="4"/>
  <c r="HK124" i="4"/>
  <c r="HL124" i="4"/>
  <c r="HM124" i="4"/>
  <c r="HN124" i="4"/>
  <c r="HO124" i="4"/>
  <c r="HP124" i="4"/>
  <c r="A125" i="4"/>
  <c r="B125" i="4"/>
  <c r="C125" i="4"/>
  <c r="D125" i="4"/>
  <c r="E125" i="4"/>
  <c r="F125" i="4"/>
  <c r="I125" i="4"/>
  <c r="J125" i="4"/>
  <c r="N125" i="4"/>
  <c r="O125" i="4"/>
  <c r="P125" i="4"/>
  <c r="Q125" i="4"/>
  <c r="R125" i="4"/>
  <c r="S125" i="4"/>
  <c r="T125" i="4"/>
  <c r="U125" i="4"/>
  <c r="V125" i="4"/>
  <c r="W125" i="4"/>
  <c r="X125" i="4"/>
  <c r="AX125" i="4"/>
  <c r="AY125" i="4"/>
  <c r="AZ125" i="4"/>
  <c r="BB125" i="4"/>
  <c r="BC125" i="4"/>
  <c r="BT125" i="4"/>
  <c r="BU125" i="4"/>
  <c r="BV125" i="4"/>
  <c r="BW125" i="4"/>
  <c r="EC125" i="4"/>
  <c r="ED125" i="4"/>
  <c r="EE125" i="4"/>
  <c r="EF125" i="4"/>
  <c r="EG125" i="4"/>
  <c r="EL125" i="4"/>
  <c r="EM125" i="4"/>
  <c r="EN125" i="4"/>
  <c r="EO125" i="4"/>
  <c r="EP125" i="4"/>
  <c r="EQ125" i="4"/>
  <c r="EV125" i="4"/>
  <c r="EX125" i="4"/>
  <c r="EY125" i="4"/>
  <c r="FA125" i="4"/>
  <c r="FB125" i="4"/>
  <c r="FC125" i="4"/>
  <c r="FD125" i="4"/>
  <c r="FE125" i="4"/>
  <c r="FF125" i="4"/>
  <c r="FG125" i="4"/>
  <c r="FH125" i="4"/>
  <c r="FI125" i="4"/>
  <c r="FJ125" i="4"/>
  <c r="FK125" i="4"/>
  <c r="FL125" i="4"/>
  <c r="FM125" i="4"/>
  <c r="FN125" i="4"/>
  <c r="FO125" i="4"/>
  <c r="FP125" i="4"/>
  <c r="FQ125" i="4"/>
  <c r="FR125" i="4"/>
  <c r="FS125" i="4"/>
  <c r="FT125" i="4"/>
  <c r="FU125" i="4"/>
  <c r="FV125" i="4"/>
  <c r="FW125" i="4"/>
  <c r="FX125" i="4"/>
  <c r="FY125" i="4"/>
  <c r="FZ125" i="4"/>
  <c r="GA125" i="4"/>
  <c r="GB125" i="4"/>
  <c r="GC125" i="4"/>
  <c r="GD125" i="4"/>
  <c r="GF125" i="4"/>
  <c r="GG125" i="4"/>
  <c r="GJ125" i="4"/>
  <c r="GK125" i="4"/>
  <c r="GM125" i="4"/>
  <c r="GN125" i="4"/>
  <c r="GP125" i="4"/>
  <c r="HJ125" i="4"/>
  <c r="HK125" i="4"/>
  <c r="HL125" i="4"/>
  <c r="HM125" i="4"/>
  <c r="HN125" i="4"/>
  <c r="HO125" i="4"/>
  <c r="HP125" i="4"/>
  <c r="A126" i="4"/>
  <c r="B126" i="4"/>
  <c r="C126" i="4"/>
  <c r="D126" i="4"/>
  <c r="E126" i="4"/>
  <c r="F126" i="4"/>
  <c r="I126" i="4"/>
  <c r="J126" i="4"/>
  <c r="N126" i="4"/>
  <c r="O126" i="4"/>
  <c r="P126" i="4"/>
  <c r="Q126" i="4"/>
  <c r="R126" i="4"/>
  <c r="S126" i="4"/>
  <c r="T126" i="4"/>
  <c r="U126" i="4"/>
  <c r="V126" i="4"/>
  <c r="W126" i="4"/>
  <c r="X126" i="4"/>
  <c r="AX126" i="4"/>
  <c r="AY126" i="4"/>
  <c r="AZ126" i="4"/>
  <c r="BB126" i="4"/>
  <c r="BC126" i="4"/>
  <c r="BT126" i="4"/>
  <c r="BU126" i="4"/>
  <c r="BV126" i="4"/>
  <c r="BW126" i="4"/>
  <c r="EC126" i="4"/>
  <c r="ED126" i="4"/>
  <c r="EE126" i="4"/>
  <c r="EF126" i="4"/>
  <c r="EG126" i="4"/>
  <c r="EL126" i="4"/>
  <c r="EM126" i="4"/>
  <c r="EN126" i="4"/>
  <c r="EO126" i="4"/>
  <c r="EP126" i="4"/>
  <c r="EQ126" i="4"/>
  <c r="EV126" i="4"/>
  <c r="EX126" i="4"/>
  <c r="EY126" i="4"/>
  <c r="FA126" i="4"/>
  <c r="FB126" i="4"/>
  <c r="FC126" i="4"/>
  <c r="FD126" i="4"/>
  <c r="FE126" i="4"/>
  <c r="FF126" i="4"/>
  <c r="FG126" i="4"/>
  <c r="FH126" i="4"/>
  <c r="FI126" i="4"/>
  <c r="FJ126" i="4"/>
  <c r="FK126" i="4"/>
  <c r="FL126" i="4"/>
  <c r="FM126" i="4"/>
  <c r="FN126" i="4"/>
  <c r="FO126" i="4"/>
  <c r="FP126" i="4"/>
  <c r="FQ126" i="4"/>
  <c r="FR126" i="4"/>
  <c r="FS126" i="4"/>
  <c r="FT126" i="4"/>
  <c r="FU126" i="4"/>
  <c r="FV126" i="4"/>
  <c r="FW126" i="4"/>
  <c r="FX126" i="4"/>
  <c r="FY126" i="4"/>
  <c r="FZ126" i="4"/>
  <c r="GA126" i="4"/>
  <c r="GB126" i="4"/>
  <c r="GC126" i="4"/>
  <c r="GD126" i="4"/>
  <c r="GF126" i="4"/>
  <c r="GG126" i="4"/>
  <c r="GJ126" i="4"/>
  <c r="GK126" i="4"/>
  <c r="GM126" i="4"/>
  <c r="GN126" i="4"/>
  <c r="GP126" i="4"/>
  <c r="HJ126" i="4"/>
  <c r="HK126" i="4"/>
  <c r="HL126" i="4"/>
  <c r="HM126" i="4"/>
  <c r="HN126" i="4"/>
  <c r="HO126" i="4"/>
  <c r="HP126" i="4"/>
  <c r="A127" i="4"/>
  <c r="B127" i="4"/>
  <c r="C127" i="4"/>
  <c r="D127" i="4"/>
  <c r="E127" i="4"/>
  <c r="F127" i="4"/>
  <c r="I127" i="4"/>
  <c r="J127" i="4"/>
  <c r="N127" i="4"/>
  <c r="O127" i="4"/>
  <c r="P127" i="4"/>
  <c r="Q127" i="4"/>
  <c r="R127" i="4"/>
  <c r="S127" i="4"/>
  <c r="T127" i="4"/>
  <c r="U127" i="4"/>
  <c r="V127" i="4"/>
  <c r="W127" i="4"/>
  <c r="X127" i="4"/>
  <c r="AX127" i="4"/>
  <c r="AY127" i="4"/>
  <c r="AZ127" i="4"/>
  <c r="BB127" i="4"/>
  <c r="BC127" i="4"/>
  <c r="BT127" i="4"/>
  <c r="BU127" i="4"/>
  <c r="BV127" i="4"/>
  <c r="BW127" i="4"/>
  <c r="EC127" i="4"/>
  <c r="ED127" i="4"/>
  <c r="EE127" i="4"/>
  <c r="EF127" i="4"/>
  <c r="EG127" i="4"/>
  <c r="EL127" i="4"/>
  <c r="EM127" i="4"/>
  <c r="EN127" i="4"/>
  <c r="EO127" i="4"/>
  <c r="EP127" i="4"/>
  <c r="EQ127" i="4"/>
  <c r="EV127" i="4"/>
  <c r="EX127" i="4"/>
  <c r="EY127" i="4"/>
  <c r="FA127" i="4"/>
  <c r="FB127" i="4"/>
  <c r="FC127" i="4"/>
  <c r="FD127" i="4"/>
  <c r="FE127" i="4"/>
  <c r="FF127" i="4"/>
  <c r="FG127" i="4"/>
  <c r="FH127" i="4"/>
  <c r="FI127" i="4"/>
  <c r="FJ127" i="4"/>
  <c r="FK127" i="4"/>
  <c r="FL127" i="4"/>
  <c r="FM127" i="4"/>
  <c r="FN127" i="4"/>
  <c r="FO127" i="4"/>
  <c r="FP127" i="4"/>
  <c r="FQ127" i="4"/>
  <c r="FR127" i="4"/>
  <c r="FS127" i="4"/>
  <c r="FT127" i="4"/>
  <c r="FU127" i="4"/>
  <c r="FV127" i="4"/>
  <c r="FW127" i="4"/>
  <c r="FX127" i="4"/>
  <c r="FY127" i="4"/>
  <c r="FZ127" i="4"/>
  <c r="GA127" i="4"/>
  <c r="GB127" i="4"/>
  <c r="GC127" i="4"/>
  <c r="GD127" i="4"/>
  <c r="GF127" i="4"/>
  <c r="GG127" i="4"/>
  <c r="GJ127" i="4"/>
  <c r="GK127" i="4"/>
  <c r="GM127" i="4"/>
  <c r="GN127" i="4"/>
  <c r="GP127" i="4"/>
  <c r="HJ127" i="4"/>
  <c r="HK127" i="4"/>
  <c r="HL127" i="4"/>
  <c r="HM127" i="4"/>
  <c r="HN127" i="4"/>
  <c r="HO127" i="4"/>
  <c r="HP127" i="4"/>
  <c r="A128" i="4"/>
  <c r="B128" i="4"/>
  <c r="C128" i="4"/>
  <c r="D128" i="4"/>
  <c r="E128" i="4"/>
  <c r="F128" i="4"/>
  <c r="I128" i="4"/>
  <c r="J128" i="4"/>
  <c r="N128" i="4"/>
  <c r="O128" i="4"/>
  <c r="P128" i="4"/>
  <c r="Q128" i="4"/>
  <c r="R128" i="4"/>
  <c r="S128" i="4"/>
  <c r="T128" i="4"/>
  <c r="U128" i="4"/>
  <c r="V128" i="4"/>
  <c r="W128" i="4"/>
  <c r="X128" i="4"/>
  <c r="AX128" i="4"/>
  <c r="AY128" i="4"/>
  <c r="AZ128" i="4"/>
  <c r="BB128" i="4"/>
  <c r="BC128" i="4"/>
  <c r="BT128" i="4"/>
  <c r="BU128" i="4"/>
  <c r="BV128" i="4"/>
  <c r="BW128" i="4"/>
  <c r="EC128" i="4"/>
  <c r="ED128" i="4"/>
  <c r="EE128" i="4"/>
  <c r="EF128" i="4"/>
  <c r="EG128" i="4"/>
  <c r="EL128" i="4"/>
  <c r="EM128" i="4"/>
  <c r="EN128" i="4"/>
  <c r="EO128" i="4"/>
  <c r="EP128" i="4"/>
  <c r="EQ128" i="4"/>
  <c r="EV128" i="4"/>
  <c r="EX128" i="4"/>
  <c r="EY128" i="4"/>
  <c r="FA128" i="4"/>
  <c r="FB128" i="4"/>
  <c r="FC128" i="4"/>
  <c r="FD128" i="4"/>
  <c r="FE128" i="4"/>
  <c r="FF128" i="4"/>
  <c r="FG128" i="4"/>
  <c r="FH128" i="4"/>
  <c r="FI128" i="4"/>
  <c r="FJ128" i="4"/>
  <c r="FK128" i="4"/>
  <c r="FL128" i="4"/>
  <c r="FM128" i="4"/>
  <c r="FN128" i="4"/>
  <c r="FO128" i="4"/>
  <c r="FP128" i="4"/>
  <c r="FQ128" i="4"/>
  <c r="FR128" i="4"/>
  <c r="FS128" i="4"/>
  <c r="FT128" i="4"/>
  <c r="FU128" i="4"/>
  <c r="FV128" i="4"/>
  <c r="FW128" i="4"/>
  <c r="FX128" i="4"/>
  <c r="FY128" i="4"/>
  <c r="FZ128" i="4"/>
  <c r="GA128" i="4"/>
  <c r="GB128" i="4"/>
  <c r="GC128" i="4"/>
  <c r="GD128" i="4"/>
  <c r="GF128" i="4"/>
  <c r="GG128" i="4"/>
  <c r="GJ128" i="4"/>
  <c r="GK128" i="4"/>
  <c r="GM128" i="4"/>
  <c r="GN128" i="4"/>
  <c r="GP128" i="4"/>
  <c r="HJ128" i="4"/>
  <c r="HK128" i="4"/>
  <c r="HL128" i="4"/>
  <c r="HM128" i="4"/>
  <c r="HN128" i="4"/>
  <c r="HO128" i="4"/>
  <c r="HP128" i="4"/>
  <c r="A129" i="4"/>
  <c r="B129" i="4"/>
  <c r="C129" i="4"/>
  <c r="D129" i="4"/>
  <c r="E129" i="4"/>
  <c r="F129" i="4"/>
  <c r="I129" i="4"/>
  <c r="J129" i="4"/>
  <c r="N129" i="4"/>
  <c r="O129" i="4"/>
  <c r="P129" i="4"/>
  <c r="Q129" i="4"/>
  <c r="R129" i="4"/>
  <c r="S129" i="4"/>
  <c r="T129" i="4"/>
  <c r="U129" i="4"/>
  <c r="V129" i="4"/>
  <c r="W129" i="4"/>
  <c r="X129" i="4"/>
  <c r="AX129" i="4"/>
  <c r="AY129" i="4"/>
  <c r="AZ129" i="4"/>
  <c r="BB129" i="4"/>
  <c r="BC129" i="4"/>
  <c r="BT129" i="4"/>
  <c r="BU129" i="4"/>
  <c r="BV129" i="4"/>
  <c r="BW129" i="4"/>
  <c r="EC129" i="4"/>
  <c r="ED129" i="4"/>
  <c r="EE129" i="4"/>
  <c r="EF129" i="4"/>
  <c r="EG129" i="4"/>
  <c r="EL129" i="4"/>
  <c r="EM129" i="4"/>
  <c r="EN129" i="4"/>
  <c r="EO129" i="4"/>
  <c r="EP129" i="4"/>
  <c r="EQ129" i="4"/>
  <c r="EV129" i="4"/>
  <c r="EX129" i="4"/>
  <c r="EY129" i="4"/>
  <c r="FA129" i="4"/>
  <c r="FB129" i="4"/>
  <c r="FC129" i="4"/>
  <c r="FD129" i="4"/>
  <c r="FE129" i="4"/>
  <c r="FF129" i="4"/>
  <c r="FG129" i="4"/>
  <c r="FH129" i="4"/>
  <c r="FI129" i="4"/>
  <c r="FJ129" i="4"/>
  <c r="FK129" i="4"/>
  <c r="FL129" i="4"/>
  <c r="FM129" i="4"/>
  <c r="FN129" i="4"/>
  <c r="FO129" i="4"/>
  <c r="FP129" i="4"/>
  <c r="FQ129" i="4"/>
  <c r="FR129" i="4"/>
  <c r="FS129" i="4"/>
  <c r="FT129" i="4"/>
  <c r="FU129" i="4"/>
  <c r="FV129" i="4"/>
  <c r="FW129" i="4"/>
  <c r="FX129" i="4"/>
  <c r="FY129" i="4"/>
  <c r="FZ129" i="4"/>
  <c r="GA129" i="4"/>
  <c r="GB129" i="4"/>
  <c r="GC129" i="4"/>
  <c r="GD129" i="4"/>
  <c r="GF129" i="4"/>
  <c r="GG129" i="4"/>
  <c r="GJ129" i="4"/>
  <c r="GK129" i="4"/>
  <c r="GM129" i="4"/>
  <c r="GN129" i="4"/>
  <c r="GP129" i="4"/>
  <c r="HJ129" i="4"/>
  <c r="HK129" i="4"/>
  <c r="HL129" i="4"/>
  <c r="HM129" i="4"/>
  <c r="HN129" i="4"/>
  <c r="HO129" i="4"/>
  <c r="HP129" i="4"/>
  <c r="A130" i="4"/>
  <c r="B130" i="4"/>
  <c r="C130" i="4"/>
  <c r="D130" i="4"/>
  <c r="E130" i="4"/>
  <c r="F130" i="4"/>
  <c r="I130" i="4"/>
  <c r="J130" i="4"/>
  <c r="N130" i="4"/>
  <c r="O130" i="4"/>
  <c r="P130" i="4"/>
  <c r="Q130" i="4"/>
  <c r="R130" i="4"/>
  <c r="S130" i="4"/>
  <c r="T130" i="4"/>
  <c r="U130" i="4"/>
  <c r="V130" i="4"/>
  <c r="W130" i="4"/>
  <c r="X130" i="4"/>
  <c r="AX130" i="4"/>
  <c r="AY130" i="4"/>
  <c r="AZ130" i="4"/>
  <c r="BB130" i="4"/>
  <c r="BC130" i="4"/>
  <c r="BT130" i="4"/>
  <c r="BU130" i="4"/>
  <c r="BV130" i="4"/>
  <c r="BW130" i="4"/>
  <c r="EC130" i="4"/>
  <c r="ED130" i="4"/>
  <c r="EE130" i="4"/>
  <c r="EF130" i="4"/>
  <c r="EG130" i="4"/>
  <c r="EL130" i="4"/>
  <c r="EM130" i="4"/>
  <c r="EN130" i="4"/>
  <c r="EO130" i="4"/>
  <c r="EP130" i="4"/>
  <c r="EQ130" i="4"/>
  <c r="EV130" i="4"/>
  <c r="EX130" i="4"/>
  <c r="EY130" i="4"/>
  <c r="FA130" i="4"/>
  <c r="FB130" i="4"/>
  <c r="FC130" i="4"/>
  <c r="FD130" i="4"/>
  <c r="FE130" i="4"/>
  <c r="FF130" i="4"/>
  <c r="FG130" i="4"/>
  <c r="FH130" i="4"/>
  <c r="FI130" i="4"/>
  <c r="FJ130" i="4"/>
  <c r="FK130" i="4"/>
  <c r="FL130" i="4"/>
  <c r="FM130" i="4"/>
  <c r="FN130" i="4"/>
  <c r="FO130" i="4"/>
  <c r="FP130" i="4"/>
  <c r="FQ130" i="4"/>
  <c r="FR130" i="4"/>
  <c r="FS130" i="4"/>
  <c r="FT130" i="4"/>
  <c r="FU130" i="4"/>
  <c r="FV130" i="4"/>
  <c r="FW130" i="4"/>
  <c r="FX130" i="4"/>
  <c r="FY130" i="4"/>
  <c r="FZ130" i="4"/>
  <c r="GA130" i="4"/>
  <c r="GB130" i="4"/>
  <c r="GC130" i="4"/>
  <c r="GD130" i="4"/>
  <c r="GF130" i="4"/>
  <c r="GG130" i="4"/>
  <c r="GJ130" i="4"/>
  <c r="GK130" i="4"/>
  <c r="GM130" i="4"/>
  <c r="GN130" i="4"/>
  <c r="GP130" i="4"/>
  <c r="HJ130" i="4"/>
  <c r="HK130" i="4"/>
  <c r="HL130" i="4"/>
  <c r="HM130" i="4"/>
  <c r="HN130" i="4"/>
  <c r="HO130" i="4"/>
  <c r="HP130" i="4"/>
  <c r="A131" i="4"/>
  <c r="B131" i="4"/>
  <c r="C131" i="4"/>
  <c r="D131" i="4"/>
  <c r="E131" i="4"/>
  <c r="F131" i="4"/>
  <c r="I131" i="4"/>
  <c r="J131" i="4"/>
  <c r="N131" i="4"/>
  <c r="O131" i="4"/>
  <c r="P131" i="4"/>
  <c r="Q131" i="4"/>
  <c r="R131" i="4"/>
  <c r="S131" i="4"/>
  <c r="T131" i="4"/>
  <c r="U131" i="4"/>
  <c r="V131" i="4"/>
  <c r="W131" i="4"/>
  <c r="X131" i="4"/>
  <c r="AX131" i="4"/>
  <c r="AY131" i="4"/>
  <c r="AZ131" i="4"/>
  <c r="BB131" i="4"/>
  <c r="BC131" i="4"/>
  <c r="BT131" i="4"/>
  <c r="BU131" i="4"/>
  <c r="BV131" i="4"/>
  <c r="BW131" i="4"/>
  <c r="EC131" i="4"/>
  <c r="ED131" i="4"/>
  <c r="EE131" i="4"/>
  <c r="EF131" i="4"/>
  <c r="EG131" i="4"/>
  <c r="EL131" i="4"/>
  <c r="EM131" i="4"/>
  <c r="EN131" i="4"/>
  <c r="EO131" i="4"/>
  <c r="EP131" i="4"/>
  <c r="EQ131" i="4"/>
  <c r="EV131" i="4"/>
  <c r="EX131" i="4"/>
  <c r="EY131" i="4"/>
  <c r="FA131" i="4"/>
  <c r="FB131" i="4"/>
  <c r="FC131" i="4"/>
  <c r="FD131" i="4"/>
  <c r="FE131" i="4"/>
  <c r="FF131" i="4"/>
  <c r="FG131" i="4"/>
  <c r="FH131" i="4"/>
  <c r="FI131" i="4"/>
  <c r="FJ131" i="4"/>
  <c r="FK131" i="4"/>
  <c r="FL131" i="4"/>
  <c r="FM131" i="4"/>
  <c r="FN131" i="4"/>
  <c r="FO131" i="4"/>
  <c r="FP131" i="4"/>
  <c r="FQ131" i="4"/>
  <c r="FR131" i="4"/>
  <c r="FS131" i="4"/>
  <c r="FT131" i="4"/>
  <c r="FU131" i="4"/>
  <c r="FV131" i="4"/>
  <c r="FW131" i="4"/>
  <c r="FX131" i="4"/>
  <c r="FY131" i="4"/>
  <c r="FZ131" i="4"/>
  <c r="GA131" i="4"/>
  <c r="GB131" i="4"/>
  <c r="GC131" i="4"/>
  <c r="GD131" i="4"/>
  <c r="GF131" i="4"/>
  <c r="GG131" i="4"/>
  <c r="GJ131" i="4"/>
  <c r="GK131" i="4"/>
  <c r="GM131" i="4"/>
  <c r="GN131" i="4"/>
  <c r="GP131" i="4"/>
  <c r="HJ131" i="4"/>
  <c r="HK131" i="4"/>
  <c r="HL131" i="4"/>
  <c r="HM131" i="4"/>
  <c r="HN131" i="4"/>
  <c r="HO131" i="4"/>
  <c r="HP131" i="4"/>
  <c r="A132" i="4"/>
  <c r="B132" i="4"/>
  <c r="C132" i="4"/>
  <c r="D132" i="4"/>
  <c r="E132" i="4"/>
  <c r="F132" i="4"/>
  <c r="I132" i="4"/>
  <c r="J132" i="4"/>
  <c r="N132" i="4"/>
  <c r="O132" i="4"/>
  <c r="P132" i="4"/>
  <c r="Q132" i="4"/>
  <c r="R132" i="4"/>
  <c r="S132" i="4"/>
  <c r="T132" i="4"/>
  <c r="U132" i="4"/>
  <c r="V132" i="4"/>
  <c r="W132" i="4"/>
  <c r="X132" i="4"/>
  <c r="AX132" i="4"/>
  <c r="AY132" i="4"/>
  <c r="AZ132" i="4"/>
  <c r="BB132" i="4"/>
  <c r="BC132" i="4"/>
  <c r="BT132" i="4"/>
  <c r="BU132" i="4"/>
  <c r="BV132" i="4"/>
  <c r="BW132" i="4"/>
  <c r="EC132" i="4"/>
  <c r="ED132" i="4"/>
  <c r="EE132" i="4"/>
  <c r="EF132" i="4"/>
  <c r="EG132" i="4"/>
  <c r="EL132" i="4"/>
  <c r="EM132" i="4"/>
  <c r="EN132" i="4"/>
  <c r="EO132" i="4"/>
  <c r="EP132" i="4"/>
  <c r="EQ132" i="4"/>
  <c r="EV132" i="4"/>
  <c r="EX132" i="4"/>
  <c r="EY132" i="4"/>
  <c r="FA132" i="4"/>
  <c r="FB132" i="4"/>
  <c r="FC132" i="4"/>
  <c r="FD132" i="4"/>
  <c r="FE132" i="4"/>
  <c r="FF132" i="4"/>
  <c r="FG132" i="4"/>
  <c r="FH132" i="4"/>
  <c r="FI132" i="4"/>
  <c r="FJ132" i="4"/>
  <c r="FK132" i="4"/>
  <c r="FL132" i="4"/>
  <c r="FM132" i="4"/>
  <c r="FN132" i="4"/>
  <c r="FO132" i="4"/>
  <c r="FP132" i="4"/>
  <c r="FQ132" i="4"/>
  <c r="FR132" i="4"/>
  <c r="FS132" i="4"/>
  <c r="FT132" i="4"/>
  <c r="FU132" i="4"/>
  <c r="FV132" i="4"/>
  <c r="FW132" i="4"/>
  <c r="FX132" i="4"/>
  <c r="FY132" i="4"/>
  <c r="FZ132" i="4"/>
  <c r="GA132" i="4"/>
  <c r="GB132" i="4"/>
  <c r="GC132" i="4"/>
  <c r="GD132" i="4"/>
  <c r="GF132" i="4"/>
  <c r="GG132" i="4"/>
  <c r="GJ132" i="4"/>
  <c r="GK132" i="4"/>
  <c r="GM132" i="4"/>
  <c r="GN132" i="4"/>
  <c r="GP132" i="4"/>
  <c r="HJ132" i="4"/>
  <c r="HK132" i="4"/>
  <c r="HL132" i="4"/>
  <c r="HM132" i="4"/>
  <c r="HN132" i="4"/>
  <c r="HO132" i="4"/>
  <c r="HP132" i="4"/>
  <c r="A133" i="4"/>
  <c r="B133" i="4"/>
  <c r="C133" i="4"/>
  <c r="D133" i="4"/>
  <c r="E133" i="4"/>
  <c r="F133" i="4"/>
  <c r="I133" i="4"/>
  <c r="J133" i="4"/>
  <c r="N133" i="4"/>
  <c r="O133" i="4"/>
  <c r="P133" i="4"/>
  <c r="Q133" i="4"/>
  <c r="R133" i="4"/>
  <c r="S133" i="4"/>
  <c r="T133" i="4"/>
  <c r="U133" i="4"/>
  <c r="V133" i="4"/>
  <c r="W133" i="4"/>
  <c r="X133" i="4"/>
  <c r="AX133" i="4"/>
  <c r="AY133" i="4"/>
  <c r="AZ133" i="4"/>
  <c r="BB133" i="4"/>
  <c r="BC133" i="4"/>
  <c r="BT133" i="4"/>
  <c r="BU133" i="4"/>
  <c r="BV133" i="4"/>
  <c r="BW133" i="4"/>
  <c r="EC133" i="4"/>
  <c r="ED133" i="4"/>
  <c r="EE133" i="4"/>
  <c r="EF133" i="4"/>
  <c r="EG133" i="4"/>
  <c r="EL133" i="4"/>
  <c r="EM133" i="4"/>
  <c r="EN133" i="4"/>
  <c r="EO133" i="4"/>
  <c r="EP133" i="4"/>
  <c r="EQ133" i="4"/>
  <c r="EV133" i="4"/>
  <c r="EX133" i="4"/>
  <c r="EY133" i="4"/>
  <c r="FA133" i="4"/>
  <c r="FB133" i="4"/>
  <c r="FC133" i="4"/>
  <c r="FD133" i="4"/>
  <c r="FE133" i="4"/>
  <c r="FF133" i="4"/>
  <c r="FG133" i="4"/>
  <c r="FH133" i="4"/>
  <c r="FI133" i="4"/>
  <c r="FJ133" i="4"/>
  <c r="FK133" i="4"/>
  <c r="FL133" i="4"/>
  <c r="FM133" i="4"/>
  <c r="FN133" i="4"/>
  <c r="FO133" i="4"/>
  <c r="FP133" i="4"/>
  <c r="FQ133" i="4"/>
  <c r="FR133" i="4"/>
  <c r="FS133" i="4"/>
  <c r="FT133" i="4"/>
  <c r="FU133" i="4"/>
  <c r="FV133" i="4"/>
  <c r="FW133" i="4"/>
  <c r="FX133" i="4"/>
  <c r="FY133" i="4"/>
  <c r="FZ133" i="4"/>
  <c r="GA133" i="4"/>
  <c r="GB133" i="4"/>
  <c r="GC133" i="4"/>
  <c r="GD133" i="4"/>
  <c r="GF133" i="4"/>
  <c r="GG133" i="4"/>
  <c r="GJ133" i="4"/>
  <c r="GK133" i="4"/>
  <c r="GM133" i="4"/>
  <c r="GN133" i="4"/>
  <c r="GP133" i="4"/>
  <c r="HJ133" i="4"/>
  <c r="HK133" i="4"/>
  <c r="HL133" i="4"/>
  <c r="HM133" i="4"/>
  <c r="HN133" i="4"/>
  <c r="HO133" i="4"/>
  <c r="HP133" i="4"/>
  <c r="A134" i="4"/>
  <c r="B134" i="4"/>
  <c r="C134" i="4"/>
  <c r="D134" i="4"/>
  <c r="E134" i="4"/>
  <c r="F134" i="4"/>
  <c r="I134" i="4"/>
  <c r="J134" i="4"/>
  <c r="N134" i="4"/>
  <c r="O134" i="4"/>
  <c r="P134" i="4"/>
  <c r="Q134" i="4"/>
  <c r="R134" i="4"/>
  <c r="S134" i="4"/>
  <c r="T134" i="4"/>
  <c r="U134" i="4"/>
  <c r="V134" i="4"/>
  <c r="W134" i="4"/>
  <c r="X134" i="4"/>
  <c r="AX134" i="4"/>
  <c r="AY134" i="4"/>
  <c r="AZ134" i="4"/>
  <c r="BB134" i="4"/>
  <c r="BC134" i="4"/>
  <c r="BT134" i="4"/>
  <c r="BU134" i="4"/>
  <c r="BV134" i="4"/>
  <c r="BW134" i="4"/>
  <c r="EC134" i="4"/>
  <c r="ED134" i="4"/>
  <c r="EE134" i="4"/>
  <c r="EF134" i="4"/>
  <c r="EG134" i="4"/>
  <c r="EL134" i="4"/>
  <c r="EM134" i="4"/>
  <c r="EN134" i="4"/>
  <c r="EO134" i="4"/>
  <c r="EP134" i="4"/>
  <c r="EQ134" i="4"/>
  <c r="EV134" i="4"/>
  <c r="EX134" i="4"/>
  <c r="EY134" i="4"/>
  <c r="FA134" i="4"/>
  <c r="FB134" i="4"/>
  <c r="FC134" i="4"/>
  <c r="FD134" i="4"/>
  <c r="FE134" i="4"/>
  <c r="FF134" i="4"/>
  <c r="FG134" i="4"/>
  <c r="FH134" i="4"/>
  <c r="FI134" i="4"/>
  <c r="FJ134" i="4"/>
  <c r="FK134" i="4"/>
  <c r="FL134" i="4"/>
  <c r="FM134" i="4"/>
  <c r="FN134" i="4"/>
  <c r="FO134" i="4"/>
  <c r="FP134" i="4"/>
  <c r="FQ134" i="4"/>
  <c r="FR134" i="4"/>
  <c r="FS134" i="4"/>
  <c r="FT134" i="4"/>
  <c r="FU134" i="4"/>
  <c r="FV134" i="4"/>
  <c r="FW134" i="4"/>
  <c r="FX134" i="4"/>
  <c r="FY134" i="4"/>
  <c r="FZ134" i="4"/>
  <c r="GA134" i="4"/>
  <c r="GB134" i="4"/>
  <c r="GC134" i="4"/>
  <c r="GD134" i="4"/>
  <c r="GF134" i="4"/>
  <c r="GG134" i="4"/>
  <c r="GJ134" i="4"/>
  <c r="GK134" i="4"/>
  <c r="GM134" i="4"/>
  <c r="GN134" i="4"/>
  <c r="GP134" i="4"/>
  <c r="HJ134" i="4"/>
  <c r="HK134" i="4"/>
  <c r="HL134" i="4"/>
  <c r="HM134" i="4"/>
  <c r="HN134" i="4"/>
  <c r="HO134" i="4"/>
  <c r="HP134" i="4"/>
  <c r="A135" i="4"/>
  <c r="B135" i="4"/>
  <c r="C135" i="4"/>
  <c r="D135" i="4"/>
  <c r="E135" i="4"/>
  <c r="F135" i="4"/>
  <c r="I135" i="4"/>
  <c r="J135" i="4"/>
  <c r="N135" i="4"/>
  <c r="O135" i="4"/>
  <c r="P135" i="4"/>
  <c r="Q135" i="4"/>
  <c r="R135" i="4"/>
  <c r="S135" i="4"/>
  <c r="T135" i="4"/>
  <c r="U135" i="4"/>
  <c r="V135" i="4"/>
  <c r="W135" i="4"/>
  <c r="X135" i="4"/>
  <c r="AX135" i="4"/>
  <c r="AY135" i="4"/>
  <c r="AZ135" i="4"/>
  <c r="BB135" i="4"/>
  <c r="BC135" i="4"/>
  <c r="BT135" i="4"/>
  <c r="BU135" i="4"/>
  <c r="BV135" i="4"/>
  <c r="BW135" i="4"/>
  <c r="EC135" i="4"/>
  <c r="ED135" i="4"/>
  <c r="EE135" i="4"/>
  <c r="EF135" i="4"/>
  <c r="EG135" i="4"/>
  <c r="EL135" i="4"/>
  <c r="EM135" i="4"/>
  <c r="EN135" i="4"/>
  <c r="EO135" i="4"/>
  <c r="EP135" i="4"/>
  <c r="EQ135" i="4"/>
  <c r="EV135" i="4"/>
  <c r="EX135" i="4"/>
  <c r="EY135" i="4"/>
  <c r="FA135" i="4"/>
  <c r="FB135" i="4"/>
  <c r="FC135" i="4"/>
  <c r="FD135" i="4"/>
  <c r="FE135" i="4"/>
  <c r="FF135" i="4"/>
  <c r="FG135" i="4"/>
  <c r="FH135" i="4"/>
  <c r="FI135" i="4"/>
  <c r="FJ135" i="4"/>
  <c r="FK135" i="4"/>
  <c r="FL135" i="4"/>
  <c r="FM135" i="4"/>
  <c r="FN135" i="4"/>
  <c r="FO135" i="4"/>
  <c r="FP135" i="4"/>
  <c r="FQ135" i="4"/>
  <c r="FR135" i="4"/>
  <c r="FS135" i="4"/>
  <c r="FT135" i="4"/>
  <c r="FU135" i="4"/>
  <c r="FV135" i="4"/>
  <c r="FW135" i="4"/>
  <c r="FX135" i="4"/>
  <c r="FY135" i="4"/>
  <c r="FZ135" i="4"/>
  <c r="GA135" i="4"/>
  <c r="GB135" i="4"/>
  <c r="GC135" i="4"/>
  <c r="GD135" i="4"/>
  <c r="GF135" i="4"/>
  <c r="GG135" i="4"/>
  <c r="GJ135" i="4"/>
  <c r="GK135" i="4"/>
  <c r="GM135" i="4"/>
  <c r="GN135" i="4"/>
  <c r="GP135" i="4"/>
  <c r="HJ135" i="4"/>
  <c r="HK135" i="4"/>
  <c r="HL135" i="4"/>
  <c r="HM135" i="4"/>
  <c r="HN135" i="4"/>
  <c r="HO135" i="4"/>
  <c r="HP135" i="4"/>
  <c r="A136" i="4"/>
  <c r="B136" i="4"/>
  <c r="C136" i="4"/>
  <c r="D136" i="4"/>
  <c r="E136" i="4"/>
  <c r="F136" i="4"/>
  <c r="I136" i="4"/>
  <c r="J136" i="4"/>
  <c r="N136" i="4"/>
  <c r="O136" i="4"/>
  <c r="P136" i="4"/>
  <c r="Q136" i="4"/>
  <c r="R136" i="4"/>
  <c r="S136" i="4"/>
  <c r="T136" i="4"/>
  <c r="U136" i="4"/>
  <c r="V136" i="4"/>
  <c r="W136" i="4"/>
  <c r="X136" i="4"/>
  <c r="AX136" i="4"/>
  <c r="AY136" i="4"/>
  <c r="AZ136" i="4"/>
  <c r="BB136" i="4"/>
  <c r="BC136" i="4"/>
  <c r="BT136" i="4"/>
  <c r="BU136" i="4"/>
  <c r="BV136" i="4"/>
  <c r="BW136" i="4"/>
  <c r="EC136" i="4"/>
  <c r="ED136" i="4"/>
  <c r="EE136" i="4"/>
  <c r="EF136" i="4"/>
  <c r="EG136" i="4"/>
  <c r="EL136" i="4"/>
  <c r="EM136" i="4"/>
  <c r="EN136" i="4"/>
  <c r="EO136" i="4"/>
  <c r="EP136" i="4"/>
  <c r="EQ136" i="4"/>
  <c r="EV136" i="4"/>
  <c r="EX136" i="4"/>
  <c r="EY136" i="4"/>
  <c r="FA136" i="4"/>
  <c r="FB136" i="4"/>
  <c r="FC136" i="4"/>
  <c r="FD136" i="4"/>
  <c r="FE136" i="4"/>
  <c r="FF136" i="4"/>
  <c r="FG136" i="4"/>
  <c r="FH136" i="4"/>
  <c r="FI136" i="4"/>
  <c r="FJ136" i="4"/>
  <c r="FK136" i="4"/>
  <c r="FL136" i="4"/>
  <c r="FM136" i="4"/>
  <c r="FN136" i="4"/>
  <c r="FO136" i="4"/>
  <c r="FP136" i="4"/>
  <c r="FQ136" i="4"/>
  <c r="FR136" i="4"/>
  <c r="FS136" i="4"/>
  <c r="FT136" i="4"/>
  <c r="FU136" i="4"/>
  <c r="FV136" i="4"/>
  <c r="FW136" i="4"/>
  <c r="FX136" i="4"/>
  <c r="FY136" i="4"/>
  <c r="FZ136" i="4"/>
  <c r="GA136" i="4"/>
  <c r="GB136" i="4"/>
  <c r="GC136" i="4"/>
  <c r="GD136" i="4"/>
  <c r="GF136" i="4"/>
  <c r="GG136" i="4"/>
  <c r="GJ136" i="4"/>
  <c r="GK136" i="4"/>
  <c r="GM136" i="4"/>
  <c r="GN136" i="4"/>
  <c r="GP136" i="4"/>
  <c r="HJ136" i="4"/>
  <c r="HK136" i="4"/>
  <c r="HL136" i="4"/>
  <c r="HM136" i="4"/>
  <c r="HN136" i="4"/>
  <c r="HO136" i="4"/>
  <c r="HP136" i="4"/>
  <c r="A137" i="4"/>
  <c r="B137" i="4"/>
  <c r="C137" i="4"/>
  <c r="D137" i="4"/>
  <c r="E137" i="4"/>
  <c r="F137" i="4"/>
  <c r="I137" i="4"/>
  <c r="J137" i="4"/>
  <c r="N137" i="4"/>
  <c r="O137" i="4"/>
  <c r="P137" i="4"/>
  <c r="Q137" i="4"/>
  <c r="R137" i="4"/>
  <c r="S137" i="4"/>
  <c r="T137" i="4"/>
  <c r="U137" i="4"/>
  <c r="V137" i="4"/>
  <c r="W137" i="4"/>
  <c r="X137" i="4"/>
  <c r="AX137" i="4"/>
  <c r="AY137" i="4"/>
  <c r="AZ137" i="4"/>
  <c r="BB137" i="4"/>
  <c r="BC137" i="4"/>
  <c r="BT137" i="4"/>
  <c r="BU137" i="4"/>
  <c r="BV137" i="4"/>
  <c r="BW137" i="4"/>
  <c r="EC137" i="4"/>
  <c r="ED137" i="4"/>
  <c r="EE137" i="4"/>
  <c r="EF137" i="4"/>
  <c r="EG137" i="4"/>
  <c r="EL137" i="4"/>
  <c r="EM137" i="4"/>
  <c r="EN137" i="4"/>
  <c r="EO137" i="4"/>
  <c r="EP137" i="4"/>
  <c r="EQ137" i="4"/>
  <c r="EV137" i="4"/>
  <c r="EX137" i="4"/>
  <c r="EY137" i="4"/>
  <c r="FA137" i="4"/>
  <c r="FB137" i="4"/>
  <c r="FC137" i="4"/>
  <c r="FD137" i="4"/>
  <c r="FE137" i="4"/>
  <c r="FF137" i="4"/>
  <c r="FG137" i="4"/>
  <c r="FH137" i="4"/>
  <c r="FI137" i="4"/>
  <c r="FJ137" i="4"/>
  <c r="FK137" i="4"/>
  <c r="FL137" i="4"/>
  <c r="FM137" i="4"/>
  <c r="FN137" i="4"/>
  <c r="FO137" i="4"/>
  <c r="FP137" i="4"/>
  <c r="FQ137" i="4"/>
  <c r="FR137" i="4"/>
  <c r="FS137" i="4"/>
  <c r="FT137" i="4"/>
  <c r="FU137" i="4"/>
  <c r="FV137" i="4"/>
  <c r="FW137" i="4"/>
  <c r="FX137" i="4"/>
  <c r="FY137" i="4"/>
  <c r="FZ137" i="4"/>
  <c r="GA137" i="4"/>
  <c r="GB137" i="4"/>
  <c r="GC137" i="4"/>
  <c r="GD137" i="4"/>
  <c r="GF137" i="4"/>
  <c r="GG137" i="4"/>
  <c r="GJ137" i="4"/>
  <c r="GK137" i="4"/>
  <c r="GM137" i="4"/>
  <c r="GN137" i="4"/>
  <c r="GP137" i="4"/>
  <c r="HJ137" i="4"/>
  <c r="HK137" i="4"/>
  <c r="HL137" i="4"/>
  <c r="HM137" i="4"/>
  <c r="HN137" i="4"/>
  <c r="HO137" i="4"/>
  <c r="HP137" i="4"/>
  <c r="A138" i="4"/>
  <c r="B138" i="4"/>
  <c r="C138" i="4"/>
  <c r="D138" i="4"/>
  <c r="E138" i="4"/>
  <c r="F138" i="4"/>
  <c r="I138" i="4"/>
  <c r="J138" i="4"/>
  <c r="N138" i="4"/>
  <c r="O138" i="4"/>
  <c r="P138" i="4"/>
  <c r="Q138" i="4"/>
  <c r="R138" i="4"/>
  <c r="S138" i="4"/>
  <c r="T138" i="4"/>
  <c r="U138" i="4"/>
  <c r="V138" i="4"/>
  <c r="W138" i="4"/>
  <c r="X138" i="4"/>
  <c r="AX138" i="4"/>
  <c r="AY138" i="4"/>
  <c r="AZ138" i="4"/>
  <c r="BB138" i="4"/>
  <c r="BC138" i="4"/>
  <c r="BT138" i="4"/>
  <c r="BU138" i="4"/>
  <c r="BV138" i="4"/>
  <c r="BW138" i="4"/>
  <c r="EC138" i="4"/>
  <c r="ED138" i="4"/>
  <c r="EE138" i="4"/>
  <c r="EF138" i="4"/>
  <c r="EG138" i="4"/>
  <c r="EL138" i="4"/>
  <c r="EM138" i="4"/>
  <c r="EN138" i="4"/>
  <c r="EO138" i="4"/>
  <c r="EP138" i="4"/>
  <c r="EQ138" i="4"/>
  <c r="EV138" i="4"/>
  <c r="EX138" i="4"/>
  <c r="EY138" i="4"/>
  <c r="FA138" i="4"/>
  <c r="FB138" i="4"/>
  <c r="FC138" i="4"/>
  <c r="FD138" i="4"/>
  <c r="FE138" i="4"/>
  <c r="FF138" i="4"/>
  <c r="FG138" i="4"/>
  <c r="FH138" i="4"/>
  <c r="FI138" i="4"/>
  <c r="FJ138" i="4"/>
  <c r="FK138" i="4"/>
  <c r="FL138" i="4"/>
  <c r="FM138" i="4"/>
  <c r="FN138" i="4"/>
  <c r="FO138" i="4"/>
  <c r="FP138" i="4"/>
  <c r="FQ138" i="4"/>
  <c r="FR138" i="4"/>
  <c r="FS138" i="4"/>
  <c r="FT138" i="4"/>
  <c r="FU138" i="4"/>
  <c r="FV138" i="4"/>
  <c r="FW138" i="4"/>
  <c r="FX138" i="4"/>
  <c r="FY138" i="4"/>
  <c r="FZ138" i="4"/>
  <c r="GA138" i="4"/>
  <c r="GB138" i="4"/>
  <c r="GC138" i="4"/>
  <c r="GD138" i="4"/>
  <c r="GF138" i="4"/>
  <c r="GG138" i="4"/>
  <c r="GJ138" i="4"/>
  <c r="GK138" i="4"/>
  <c r="GM138" i="4"/>
  <c r="GN138" i="4"/>
  <c r="GP138" i="4"/>
  <c r="HJ138" i="4"/>
  <c r="HK138" i="4"/>
  <c r="HL138" i="4"/>
  <c r="HM138" i="4"/>
  <c r="HN138" i="4"/>
  <c r="HO138" i="4"/>
  <c r="HP138" i="4"/>
  <c r="A139" i="4"/>
  <c r="B139" i="4"/>
  <c r="C139" i="4"/>
  <c r="D139" i="4"/>
  <c r="E139" i="4"/>
  <c r="F139" i="4"/>
  <c r="I139" i="4"/>
  <c r="J139" i="4"/>
  <c r="N139" i="4"/>
  <c r="O139" i="4"/>
  <c r="P139" i="4"/>
  <c r="Q139" i="4"/>
  <c r="R139" i="4"/>
  <c r="S139" i="4"/>
  <c r="T139" i="4"/>
  <c r="U139" i="4"/>
  <c r="V139" i="4"/>
  <c r="W139" i="4"/>
  <c r="X139" i="4"/>
  <c r="AX139" i="4"/>
  <c r="AY139" i="4"/>
  <c r="AZ139" i="4"/>
  <c r="BB139" i="4"/>
  <c r="BC139" i="4"/>
  <c r="BT139" i="4"/>
  <c r="BU139" i="4"/>
  <c r="BV139" i="4"/>
  <c r="BW139" i="4"/>
  <c r="EC139" i="4"/>
  <c r="ED139" i="4"/>
  <c r="EE139" i="4"/>
  <c r="EF139" i="4"/>
  <c r="EG139" i="4"/>
  <c r="EL139" i="4"/>
  <c r="EM139" i="4"/>
  <c r="EN139" i="4"/>
  <c r="EO139" i="4"/>
  <c r="EP139" i="4"/>
  <c r="EQ139" i="4"/>
  <c r="EV139" i="4"/>
  <c r="EX139" i="4"/>
  <c r="EY139" i="4"/>
  <c r="FA139" i="4"/>
  <c r="FB139" i="4"/>
  <c r="FC139" i="4"/>
  <c r="FD139" i="4"/>
  <c r="FE139" i="4"/>
  <c r="FF139" i="4"/>
  <c r="FG139" i="4"/>
  <c r="FH139" i="4"/>
  <c r="FI139" i="4"/>
  <c r="FJ139" i="4"/>
  <c r="FK139" i="4"/>
  <c r="FL139" i="4"/>
  <c r="FM139" i="4"/>
  <c r="FN139" i="4"/>
  <c r="FO139" i="4"/>
  <c r="FP139" i="4"/>
  <c r="FQ139" i="4"/>
  <c r="FR139" i="4"/>
  <c r="FS139" i="4"/>
  <c r="FT139" i="4"/>
  <c r="FU139" i="4"/>
  <c r="FV139" i="4"/>
  <c r="FW139" i="4"/>
  <c r="FX139" i="4"/>
  <c r="FY139" i="4"/>
  <c r="FZ139" i="4"/>
  <c r="GA139" i="4"/>
  <c r="GB139" i="4"/>
  <c r="GC139" i="4"/>
  <c r="GD139" i="4"/>
  <c r="GF139" i="4"/>
  <c r="GG139" i="4"/>
  <c r="GJ139" i="4"/>
  <c r="GK139" i="4"/>
  <c r="GM139" i="4"/>
  <c r="GN139" i="4"/>
  <c r="GP139" i="4"/>
  <c r="HJ139" i="4"/>
  <c r="HK139" i="4"/>
  <c r="HL139" i="4"/>
  <c r="HM139" i="4"/>
  <c r="HN139" i="4"/>
  <c r="HO139" i="4"/>
  <c r="HP139" i="4"/>
  <c r="A140" i="4"/>
  <c r="B140" i="4"/>
  <c r="C140" i="4"/>
  <c r="D140" i="4"/>
  <c r="E140" i="4"/>
  <c r="F140" i="4"/>
  <c r="I140" i="4"/>
  <c r="J140" i="4"/>
  <c r="N140" i="4"/>
  <c r="O140" i="4"/>
  <c r="P140" i="4"/>
  <c r="Q140" i="4"/>
  <c r="R140" i="4"/>
  <c r="S140" i="4"/>
  <c r="T140" i="4"/>
  <c r="U140" i="4"/>
  <c r="V140" i="4"/>
  <c r="W140" i="4"/>
  <c r="X140" i="4"/>
  <c r="AX140" i="4"/>
  <c r="AY140" i="4"/>
  <c r="AZ140" i="4"/>
  <c r="BB140" i="4"/>
  <c r="BC140" i="4"/>
  <c r="BT140" i="4"/>
  <c r="BU140" i="4"/>
  <c r="BV140" i="4"/>
  <c r="BW140" i="4"/>
  <c r="EC140" i="4"/>
  <c r="ED140" i="4"/>
  <c r="EE140" i="4"/>
  <c r="EF140" i="4"/>
  <c r="EG140" i="4"/>
  <c r="EL140" i="4"/>
  <c r="EM140" i="4"/>
  <c r="EN140" i="4"/>
  <c r="EO140" i="4"/>
  <c r="EP140" i="4"/>
  <c r="EQ140" i="4"/>
  <c r="EV140" i="4"/>
  <c r="EX140" i="4"/>
  <c r="EY140" i="4"/>
  <c r="FA140" i="4"/>
  <c r="FB140" i="4"/>
  <c r="FC140" i="4"/>
  <c r="FD140" i="4"/>
  <c r="FE140" i="4"/>
  <c r="FF140" i="4"/>
  <c r="FG140" i="4"/>
  <c r="FH140" i="4"/>
  <c r="FI140" i="4"/>
  <c r="FJ140" i="4"/>
  <c r="FK140" i="4"/>
  <c r="FL140" i="4"/>
  <c r="FM140" i="4"/>
  <c r="FN140" i="4"/>
  <c r="FO140" i="4"/>
  <c r="FP140" i="4"/>
  <c r="FQ140" i="4"/>
  <c r="FR140" i="4"/>
  <c r="FS140" i="4"/>
  <c r="FT140" i="4"/>
  <c r="FU140" i="4"/>
  <c r="FV140" i="4"/>
  <c r="FW140" i="4"/>
  <c r="FX140" i="4"/>
  <c r="FY140" i="4"/>
  <c r="FZ140" i="4"/>
  <c r="GA140" i="4"/>
  <c r="GB140" i="4"/>
  <c r="GC140" i="4"/>
  <c r="GD140" i="4"/>
  <c r="GF140" i="4"/>
  <c r="GG140" i="4"/>
  <c r="GJ140" i="4"/>
  <c r="GK140" i="4"/>
  <c r="GM140" i="4"/>
  <c r="GN140" i="4"/>
  <c r="GP140" i="4"/>
  <c r="HJ140" i="4"/>
  <c r="HK140" i="4"/>
  <c r="HL140" i="4"/>
  <c r="HM140" i="4"/>
  <c r="HN140" i="4"/>
  <c r="HO140" i="4"/>
  <c r="HP140" i="4"/>
  <c r="A141" i="4"/>
  <c r="B141" i="4"/>
  <c r="C141" i="4"/>
  <c r="D141" i="4"/>
  <c r="E141" i="4"/>
  <c r="F141" i="4"/>
  <c r="I141" i="4"/>
  <c r="J141" i="4"/>
  <c r="N141" i="4"/>
  <c r="O141" i="4"/>
  <c r="P141" i="4"/>
  <c r="Q141" i="4"/>
  <c r="R141" i="4"/>
  <c r="S141" i="4"/>
  <c r="T141" i="4"/>
  <c r="U141" i="4"/>
  <c r="V141" i="4"/>
  <c r="W141" i="4"/>
  <c r="X141" i="4"/>
  <c r="AX141" i="4"/>
  <c r="AY141" i="4"/>
  <c r="AZ141" i="4"/>
  <c r="BB141" i="4"/>
  <c r="BC141" i="4"/>
  <c r="BT141" i="4"/>
  <c r="BU141" i="4"/>
  <c r="BV141" i="4"/>
  <c r="BW141" i="4"/>
  <c r="EC141" i="4"/>
  <c r="ED141" i="4"/>
  <c r="EE141" i="4"/>
  <c r="EF141" i="4"/>
  <c r="EG141" i="4"/>
  <c r="EL141" i="4"/>
  <c r="EM141" i="4"/>
  <c r="EN141" i="4"/>
  <c r="EO141" i="4"/>
  <c r="EP141" i="4"/>
  <c r="EQ141" i="4"/>
  <c r="EV141" i="4"/>
  <c r="EX141" i="4"/>
  <c r="EY141" i="4"/>
  <c r="FA141" i="4"/>
  <c r="FB141" i="4"/>
  <c r="FC141" i="4"/>
  <c r="FD141" i="4"/>
  <c r="FE141" i="4"/>
  <c r="FF141" i="4"/>
  <c r="FG141" i="4"/>
  <c r="FH141" i="4"/>
  <c r="FI141" i="4"/>
  <c r="FJ141" i="4"/>
  <c r="FK141" i="4"/>
  <c r="FL141" i="4"/>
  <c r="FM141" i="4"/>
  <c r="FN141" i="4"/>
  <c r="FO141" i="4"/>
  <c r="FP141" i="4"/>
  <c r="FQ141" i="4"/>
  <c r="FR141" i="4"/>
  <c r="FS141" i="4"/>
  <c r="FT141" i="4"/>
  <c r="FU141" i="4"/>
  <c r="FV141" i="4"/>
  <c r="FW141" i="4"/>
  <c r="FX141" i="4"/>
  <c r="FY141" i="4"/>
  <c r="FZ141" i="4"/>
  <c r="GA141" i="4"/>
  <c r="GB141" i="4"/>
  <c r="GC141" i="4"/>
  <c r="GD141" i="4"/>
  <c r="GF141" i="4"/>
  <c r="GG141" i="4"/>
  <c r="GJ141" i="4"/>
  <c r="GK141" i="4"/>
  <c r="GM141" i="4"/>
  <c r="GN141" i="4"/>
  <c r="GP141" i="4"/>
  <c r="HJ141" i="4"/>
  <c r="HK141" i="4"/>
  <c r="HL141" i="4"/>
  <c r="HM141" i="4"/>
  <c r="HN141" i="4"/>
  <c r="HO141" i="4"/>
  <c r="HP141" i="4"/>
  <c r="A142" i="4"/>
  <c r="B142" i="4"/>
  <c r="C142" i="4"/>
  <c r="D142" i="4"/>
  <c r="E142" i="4"/>
  <c r="F142" i="4"/>
  <c r="I142" i="4"/>
  <c r="J142" i="4"/>
  <c r="N142" i="4"/>
  <c r="O142" i="4"/>
  <c r="P142" i="4"/>
  <c r="Q142" i="4"/>
  <c r="R142" i="4"/>
  <c r="S142" i="4"/>
  <c r="T142" i="4"/>
  <c r="U142" i="4"/>
  <c r="V142" i="4"/>
  <c r="W142" i="4"/>
  <c r="X142" i="4"/>
  <c r="AX142" i="4"/>
  <c r="AY142" i="4"/>
  <c r="AZ142" i="4"/>
  <c r="BB142" i="4"/>
  <c r="BC142" i="4"/>
  <c r="BT142" i="4"/>
  <c r="BU142" i="4"/>
  <c r="BV142" i="4"/>
  <c r="BW142" i="4"/>
  <c r="EC142" i="4"/>
  <c r="ED142" i="4"/>
  <c r="EE142" i="4"/>
  <c r="EF142" i="4"/>
  <c r="EG142" i="4"/>
  <c r="EL142" i="4"/>
  <c r="EM142" i="4"/>
  <c r="EN142" i="4"/>
  <c r="EO142" i="4"/>
  <c r="EP142" i="4"/>
  <c r="EQ142" i="4"/>
  <c r="EV142" i="4"/>
  <c r="EX142" i="4"/>
  <c r="EY142" i="4"/>
  <c r="FA142" i="4"/>
  <c r="FB142" i="4"/>
  <c r="FC142" i="4"/>
  <c r="FD142" i="4"/>
  <c r="FE142" i="4"/>
  <c r="FF142" i="4"/>
  <c r="FG142" i="4"/>
  <c r="FH142" i="4"/>
  <c r="FI142" i="4"/>
  <c r="FJ142" i="4"/>
  <c r="FK142" i="4"/>
  <c r="FL142" i="4"/>
  <c r="FM142" i="4"/>
  <c r="FN142" i="4"/>
  <c r="FO142" i="4"/>
  <c r="FP142" i="4"/>
  <c r="FQ142" i="4"/>
  <c r="FR142" i="4"/>
  <c r="FS142" i="4"/>
  <c r="FT142" i="4"/>
  <c r="FU142" i="4"/>
  <c r="FV142" i="4"/>
  <c r="FW142" i="4"/>
  <c r="FX142" i="4"/>
  <c r="FY142" i="4"/>
  <c r="FZ142" i="4"/>
  <c r="GA142" i="4"/>
  <c r="GB142" i="4"/>
  <c r="GC142" i="4"/>
  <c r="GD142" i="4"/>
  <c r="GF142" i="4"/>
  <c r="GG142" i="4"/>
  <c r="GJ142" i="4"/>
  <c r="GK142" i="4"/>
  <c r="GM142" i="4"/>
  <c r="GN142" i="4"/>
  <c r="GP142" i="4"/>
  <c r="HJ142" i="4"/>
  <c r="HK142" i="4"/>
  <c r="HL142" i="4"/>
  <c r="HM142" i="4"/>
  <c r="HN142" i="4"/>
  <c r="HO142" i="4"/>
  <c r="HP142" i="4"/>
  <c r="A143" i="4"/>
  <c r="B143" i="4"/>
  <c r="C143" i="4"/>
  <c r="D143" i="4"/>
  <c r="E143" i="4"/>
  <c r="F143" i="4"/>
  <c r="I143" i="4"/>
  <c r="J143" i="4"/>
  <c r="N143" i="4"/>
  <c r="O143" i="4"/>
  <c r="P143" i="4"/>
  <c r="Q143" i="4"/>
  <c r="R143" i="4"/>
  <c r="S143" i="4"/>
  <c r="T143" i="4"/>
  <c r="U143" i="4"/>
  <c r="V143" i="4"/>
  <c r="W143" i="4"/>
  <c r="X143" i="4"/>
  <c r="AX143" i="4"/>
  <c r="AY143" i="4"/>
  <c r="AZ143" i="4"/>
  <c r="BB143" i="4"/>
  <c r="BC143" i="4"/>
  <c r="BT143" i="4"/>
  <c r="BU143" i="4"/>
  <c r="BV143" i="4"/>
  <c r="BW143" i="4"/>
  <c r="EC143" i="4"/>
  <c r="ED143" i="4"/>
  <c r="EE143" i="4"/>
  <c r="EF143" i="4"/>
  <c r="EG143" i="4"/>
  <c r="EL143" i="4"/>
  <c r="EM143" i="4"/>
  <c r="EN143" i="4"/>
  <c r="EO143" i="4"/>
  <c r="EP143" i="4"/>
  <c r="EQ143" i="4"/>
  <c r="EV143" i="4"/>
  <c r="EX143" i="4"/>
  <c r="EY143" i="4"/>
  <c r="FA143" i="4"/>
  <c r="FB143" i="4"/>
  <c r="FC143" i="4"/>
  <c r="FD143" i="4"/>
  <c r="FE143" i="4"/>
  <c r="FF143" i="4"/>
  <c r="FG143" i="4"/>
  <c r="FH143" i="4"/>
  <c r="FI143" i="4"/>
  <c r="FJ143" i="4"/>
  <c r="FK143" i="4"/>
  <c r="FL143" i="4"/>
  <c r="FM143" i="4"/>
  <c r="FN143" i="4"/>
  <c r="FO143" i="4"/>
  <c r="FP143" i="4"/>
  <c r="FQ143" i="4"/>
  <c r="FR143" i="4"/>
  <c r="FS143" i="4"/>
  <c r="FT143" i="4"/>
  <c r="FU143" i="4"/>
  <c r="FV143" i="4"/>
  <c r="FW143" i="4"/>
  <c r="FX143" i="4"/>
  <c r="FY143" i="4"/>
  <c r="FZ143" i="4"/>
  <c r="GA143" i="4"/>
  <c r="GB143" i="4"/>
  <c r="GC143" i="4"/>
  <c r="GD143" i="4"/>
  <c r="GF143" i="4"/>
  <c r="GG143" i="4"/>
  <c r="GJ143" i="4"/>
  <c r="GK143" i="4"/>
  <c r="GM143" i="4"/>
  <c r="GN143" i="4"/>
  <c r="GP143" i="4"/>
  <c r="HJ143" i="4"/>
  <c r="HK143" i="4"/>
  <c r="HL143" i="4"/>
  <c r="HM143" i="4"/>
  <c r="HN143" i="4"/>
  <c r="HO143" i="4"/>
  <c r="HP143" i="4"/>
  <c r="A144" i="4"/>
  <c r="B144" i="4"/>
  <c r="C144" i="4"/>
  <c r="D144" i="4"/>
  <c r="E144" i="4"/>
  <c r="F144" i="4"/>
  <c r="I144" i="4"/>
  <c r="J144" i="4"/>
  <c r="N144" i="4"/>
  <c r="O144" i="4"/>
  <c r="P144" i="4"/>
  <c r="Q144" i="4"/>
  <c r="R144" i="4"/>
  <c r="S144" i="4"/>
  <c r="T144" i="4"/>
  <c r="U144" i="4"/>
  <c r="V144" i="4"/>
  <c r="W144" i="4"/>
  <c r="X144" i="4"/>
  <c r="AX144" i="4"/>
  <c r="AY144" i="4"/>
  <c r="AZ144" i="4"/>
  <c r="BB144" i="4"/>
  <c r="BC144" i="4"/>
  <c r="BT144" i="4"/>
  <c r="BU144" i="4"/>
  <c r="BV144" i="4"/>
  <c r="BW144" i="4"/>
  <c r="EC144" i="4"/>
  <c r="ED144" i="4"/>
  <c r="EE144" i="4"/>
  <c r="EF144" i="4"/>
  <c r="EG144" i="4"/>
  <c r="EL144" i="4"/>
  <c r="EM144" i="4"/>
  <c r="EN144" i="4"/>
  <c r="EO144" i="4"/>
  <c r="EP144" i="4"/>
  <c r="EQ144" i="4"/>
  <c r="EV144" i="4"/>
  <c r="EX144" i="4"/>
  <c r="EY144" i="4"/>
  <c r="FA144" i="4"/>
  <c r="FB144" i="4"/>
  <c r="FC144" i="4"/>
  <c r="FD144" i="4"/>
  <c r="FE144" i="4"/>
  <c r="FF144" i="4"/>
  <c r="FG144" i="4"/>
  <c r="FH144" i="4"/>
  <c r="FI144" i="4"/>
  <c r="FJ144" i="4"/>
  <c r="FK144" i="4"/>
  <c r="FL144" i="4"/>
  <c r="FM144" i="4"/>
  <c r="FN144" i="4"/>
  <c r="FO144" i="4"/>
  <c r="FP144" i="4"/>
  <c r="FQ144" i="4"/>
  <c r="FR144" i="4"/>
  <c r="FS144" i="4"/>
  <c r="FT144" i="4"/>
  <c r="FU144" i="4"/>
  <c r="FV144" i="4"/>
  <c r="FW144" i="4"/>
  <c r="FX144" i="4"/>
  <c r="FY144" i="4"/>
  <c r="FZ144" i="4"/>
  <c r="GA144" i="4"/>
  <c r="GB144" i="4"/>
  <c r="GC144" i="4"/>
  <c r="GD144" i="4"/>
  <c r="GF144" i="4"/>
  <c r="GG144" i="4"/>
  <c r="GJ144" i="4"/>
  <c r="GK144" i="4"/>
  <c r="GM144" i="4"/>
  <c r="GN144" i="4"/>
  <c r="GP144" i="4"/>
  <c r="HJ144" i="4"/>
  <c r="HK144" i="4"/>
  <c r="HL144" i="4"/>
  <c r="HM144" i="4"/>
  <c r="HN144" i="4"/>
  <c r="HO144" i="4"/>
  <c r="HP144" i="4"/>
  <c r="A145" i="4"/>
  <c r="B145" i="4"/>
  <c r="C145" i="4"/>
  <c r="D145" i="4"/>
  <c r="E145" i="4"/>
  <c r="F145" i="4"/>
  <c r="I145" i="4"/>
  <c r="J145" i="4"/>
  <c r="N145" i="4"/>
  <c r="O145" i="4"/>
  <c r="P145" i="4"/>
  <c r="Q145" i="4"/>
  <c r="R145" i="4"/>
  <c r="S145" i="4"/>
  <c r="T145" i="4"/>
  <c r="U145" i="4"/>
  <c r="V145" i="4"/>
  <c r="W145" i="4"/>
  <c r="X145" i="4"/>
  <c r="AX145" i="4"/>
  <c r="AY145" i="4"/>
  <c r="AZ145" i="4"/>
  <c r="BB145" i="4"/>
  <c r="BC145" i="4"/>
  <c r="BT145" i="4"/>
  <c r="BU145" i="4"/>
  <c r="BV145" i="4"/>
  <c r="BW145" i="4"/>
  <c r="EC145" i="4"/>
  <c r="ED145" i="4"/>
  <c r="EE145" i="4"/>
  <c r="EF145" i="4"/>
  <c r="EG145" i="4"/>
  <c r="EL145" i="4"/>
  <c r="EM145" i="4"/>
  <c r="EN145" i="4"/>
  <c r="EO145" i="4"/>
  <c r="EP145" i="4"/>
  <c r="EQ145" i="4"/>
  <c r="EV145" i="4"/>
  <c r="EX145" i="4"/>
  <c r="EY145" i="4"/>
  <c r="FA145" i="4"/>
  <c r="FB145" i="4"/>
  <c r="FC145" i="4"/>
  <c r="FD145" i="4"/>
  <c r="FE145" i="4"/>
  <c r="FF145" i="4"/>
  <c r="FG145" i="4"/>
  <c r="FH145" i="4"/>
  <c r="FI145" i="4"/>
  <c r="FJ145" i="4"/>
  <c r="FK145" i="4"/>
  <c r="FL145" i="4"/>
  <c r="FM145" i="4"/>
  <c r="FN145" i="4"/>
  <c r="FO145" i="4"/>
  <c r="FP145" i="4"/>
  <c r="FQ145" i="4"/>
  <c r="FR145" i="4"/>
  <c r="FS145" i="4"/>
  <c r="FT145" i="4"/>
  <c r="FU145" i="4"/>
  <c r="FV145" i="4"/>
  <c r="FW145" i="4"/>
  <c r="FX145" i="4"/>
  <c r="FY145" i="4"/>
  <c r="FZ145" i="4"/>
  <c r="GA145" i="4"/>
  <c r="GB145" i="4"/>
  <c r="GC145" i="4"/>
  <c r="GD145" i="4"/>
  <c r="GF145" i="4"/>
  <c r="GG145" i="4"/>
  <c r="GJ145" i="4"/>
  <c r="GK145" i="4"/>
  <c r="GM145" i="4"/>
  <c r="GN145" i="4"/>
  <c r="GP145" i="4"/>
  <c r="HJ145" i="4"/>
  <c r="HK145" i="4"/>
  <c r="HL145" i="4"/>
  <c r="HM145" i="4"/>
  <c r="HN145" i="4"/>
  <c r="HO145" i="4"/>
  <c r="HP145" i="4"/>
  <c r="A146" i="4"/>
  <c r="B146" i="4"/>
  <c r="C146" i="4"/>
  <c r="D146" i="4"/>
  <c r="E146" i="4"/>
  <c r="F146" i="4"/>
  <c r="I146" i="4"/>
  <c r="J146" i="4"/>
  <c r="N146" i="4"/>
  <c r="O146" i="4"/>
  <c r="P146" i="4"/>
  <c r="Q146" i="4"/>
  <c r="R146" i="4"/>
  <c r="S146" i="4"/>
  <c r="T146" i="4"/>
  <c r="U146" i="4"/>
  <c r="V146" i="4"/>
  <c r="W146" i="4"/>
  <c r="X146" i="4"/>
  <c r="AX146" i="4"/>
  <c r="AY146" i="4"/>
  <c r="AZ146" i="4"/>
  <c r="BB146" i="4"/>
  <c r="BC146" i="4"/>
  <c r="BT146" i="4"/>
  <c r="BU146" i="4"/>
  <c r="BV146" i="4"/>
  <c r="BW146" i="4"/>
  <c r="EC146" i="4"/>
  <c r="ED146" i="4"/>
  <c r="EE146" i="4"/>
  <c r="EF146" i="4"/>
  <c r="EG146" i="4"/>
  <c r="EL146" i="4"/>
  <c r="EM146" i="4"/>
  <c r="EN146" i="4"/>
  <c r="EO146" i="4"/>
  <c r="EP146" i="4"/>
  <c r="EQ146" i="4"/>
  <c r="EV146" i="4"/>
  <c r="EX146" i="4"/>
  <c r="EY146" i="4"/>
  <c r="FA146" i="4"/>
  <c r="FB146" i="4"/>
  <c r="FC146" i="4"/>
  <c r="FD146" i="4"/>
  <c r="FE146" i="4"/>
  <c r="FF146" i="4"/>
  <c r="FG146" i="4"/>
  <c r="FH146" i="4"/>
  <c r="FI146" i="4"/>
  <c r="FJ146" i="4"/>
  <c r="FK146" i="4"/>
  <c r="FL146" i="4"/>
  <c r="FM146" i="4"/>
  <c r="FN146" i="4"/>
  <c r="FO146" i="4"/>
  <c r="FP146" i="4"/>
  <c r="FQ146" i="4"/>
  <c r="FR146" i="4"/>
  <c r="FS146" i="4"/>
  <c r="FT146" i="4"/>
  <c r="FU146" i="4"/>
  <c r="FV146" i="4"/>
  <c r="FW146" i="4"/>
  <c r="FX146" i="4"/>
  <c r="FY146" i="4"/>
  <c r="FZ146" i="4"/>
  <c r="GA146" i="4"/>
  <c r="GB146" i="4"/>
  <c r="GC146" i="4"/>
  <c r="GD146" i="4"/>
  <c r="GF146" i="4"/>
  <c r="GG146" i="4"/>
  <c r="GJ146" i="4"/>
  <c r="GK146" i="4"/>
  <c r="GM146" i="4"/>
  <c r="GN146" i="4"/>
  <c r="GP146" i="4"/>
  <c r="HJ146" i="4"/>
  <c r="HK146" i="4"/>
  <c r="HL146" i="4"/>
  <c r="HM146" i="4"/>
  <c r="HN146" i="4"/>
  <c r="HO146" i="4"/>
  <c r="HP146" i="4"/>
  <c r="A147" i="4"/>
  <c r="B147" i="4"/>
  <c r="C147" i="4"/>
  <c r="D147" i="4"/>
  <c r="E147" i="4"/>
  <c r="F147" i="4"/>
  <c r="I147" i="4"/>
  <c r="J147" i="4"/>
  <c r="N147" i="4"/>
  <c r="O147" i="4"/>
  <c r="P147" i="4"/>
  <c r="Q147" i="4"/>
  <c r="R147" i="4"/>
  <c r="S147" i="4"/>
  <c r="T147" i="4"/>
  <c r="U147" i="4"/>
  <c r="V147" i="4"/>
  <c r="W147" i="4"/>
  <c r="X147" i="4"/>
  <c r="AX147" i="4"/>
  <c r="AY147" i="4"/>
  <c r="AZ147" i="4"/>
  <c r="BB147" i="4"/>
  <c r="BC147" i="4"/>
  <c r="BT147" i="4"/>
  <c r="BU147" i="4"/>
  <c r="BV147" i="4"/>
  <c r="BW147" i="4"/>
  <c r="EC147" i="4"/>
  <c r="ED147" i="4"/>
  <c r="EE147" i="4"/>
  <c r="EF147" i="4"/>
  <c r="EG147" i="4"/>
  <c r="EL147" i="4"/>
  <c r="EM147" i="4"/>
  <c r="EN147" i="4"/>
  <c r="EO147" i="4"/>
  <c r="EP147" i="4"/>
  <c r="EQ147" i="4"/>
  <c r="EV147" i="4"/>
  <c r="EX147" i="4"/>
  <c r="EY147" i="4"/>
  <c r="FA147" i="4"/>
  <c r="FB147" i="4"/>
  <c r="FC147" i="4"/>
  <c r="FD147" i="4"/>
  <c r="FE147" i="4"/>
  <c r="FF147" i="4"/>
  <c r="FG147" i="4"/>
  <c r="FH147" i="4"/>
  <c r="FI147" i="4"/>
  <c r="FJ147" i="4"/>
  <c r="FK147" i="4"/>
  <c r="FL147" i="4"/>
  <c r="FM147" i="4"/>
  <c r="FN147" i="4"/>
  <c r="FO147" i="4"/>
  <c r="FP147" i="4"/>
  <c r="FQ147" i="4"/>
  <c r="FR147" i="4"/>
  <c r="FS147" i="4"/>
  <c r="FT147" i="4"/>
  <c r="FU147" i="4"/>
  <c r="FV147" i="4"/>
  <c r="FW147" i="4"/>
  <c r="FX147" i="4"/>
  <c r="FY147" i="4"/>
  <c r="FZ147" i="4"/>
  <c r="GA147" i="4"/>
  <c r="GB147" i="4"/>
  <c r="GC147" i="4"/>
  <c r="GD147" i="4"/>
  <c r="GF147" i="4"/>
  <c r="GG147" i="4"/>
  <c r="GJ147" i="4"/>
  <c r="GK147" i="4"/>
  <c r="GM147" i="4"/>
  <c r="GN147" i="4"/>
  <c r="GP147" i="4"/>
  <c r="HJ147" i="4"/>
  <c r="HK147" i="4"/>
  <c r="HL147" i="4"/>
  <c r="HM147" i="4"/>
  <c r="HN147" i="4"/>
  <c r="HO147" i="4"/>
  <c r="HP147" i="4"/>
  <c r="A148" i="4"/>
  <c r="B148" i="4"/>
  <c r="C148" i="4"/>
  <c r="D148" i="4"/>
  <c r="E148" i="4"/>
  <c r="F148" i="4"/>
  <c r="I148" i="4"/>
  <c r="J148" i="4"/>
  <c r="N148" i="4"/>
  <c r="O148" i="4"/>
  <c r="P148" i="4"/>
  <c r="Q148" i="4"/>
  <c r="R148" i="4"/>
  <c r="S148" i="4"/>
  <c r="T148" i="4"/>
  <c r="U148" i="4"/>
  <c r="V148" i="4"/>
  <c r="W148" i="4"/>
  <c r="X148" i="4"/>
  <c r="AX148" i="4"/>
  <c r="AY148" i="4"/>
  <c r="AZ148" i="4"/>
  <c r="BB148" i="4"/>
  <c r="BC148" i="4"/>
  <c r="BT148" i="4"/>
  <c r="BU148" i="4"/>
  <c r="BV148" i="4"/>
  <c r="BW148" i="4"/>
  <c r="EC148" i="4"/>
  <c r="ED148" i="4"/>
  <c r="EE148" i="4"/>
  <c r="EF148" i="4"/>
  <c r="EG148" i="4"/>
  <c r="EL148" i="4"/>
  <c r="EM148" i="4"/>
  <c r="EN148" i="4"/>
  <c r="EO148" i="4"/>
  <c r="EP148" i="4"/>
  <c r="EQ148" i="4"/>
  <c r="EV148" i="4"/>
  <c r="EX148" i="4"/>
  <c r="EY148" i="4"/>
  <c r="FA148" i="4"/>
  <c r="FB148" i="4"/>
  <c r="FC148" i="4"/>
  <c r="FD148" i="4"/>
  <c r="FE148" i="4"/>
  <c r="FF148" i="4"/>
  <c r="FG148" i="4"/>
  <c r="FH148" i="4"/>
  <c r="FI148" i="4"/>
  <c r="FJ148" i="4"/>
  <c r="FK148" i="4"/>
  <c r="FL148" i="4"/>
  <c r="FM148" i="4"/>
  <c r="FN148" i="4"/>
  <c r="FO148" i="4"/>
  <c r="FP148" i="4"/>
  <c r="FQ148" i="4"/>
  <c r="FR148" i="4"/>
  <c r="FS148" i="4"/>
  <c r="FT148" i="4"/>
  <c r="FU148" i="4"/>
  <c r="FV148" i="4"/>
  <c r="FW148" i="4"/>
  <c r="FX148" i="4"/>
  <c r="FY148" i="4"/>
  <c r="FZ148" i="4"/>
  <c r="GA148" i="4"/>
  <c r="GB148" i="4"/>
  <c r="GC148" i="4"/>
  <c r="GD148" i="4"/>
  <c r="GF148" i="4"/>
  <c r="GG148" i="4"/>
  <c r="GJ148" i="4"/>
  <c r="GK148" i="4"/>
  <c r="GM148" i="4"/>
  <c r="GN148" i="4"/>
  <c r="GP148" i="4"/>
  <c r="HJ148" i="4"/>
  <c r="HK148" i="4"/>
  <c r="HL148" i="4"/>
  <c r="HM148" i="4"/>
  <c r="HN148" i="4"/>
  <c r="HO148" i="4"/>
  <c r="HP148" i="4"/>
  <c r="A149" i="4"/>
  <c r="B149" i="4"/>
  <c r="C149" i="4"/>
  <c r="D149" i="4"/>
  <c r="E149" i="4"/>
  <c r="F149" i="4"/>
  <c r="I149" i="4"/>
  <c r="J149" i="4"/>
  <c r="N149" i="4"/>
  <c r="O149" i="4"/>
  <c r="P149" i="4"/>
  <c r="Q149" i="4"/>
  <c r="R149" i="4"/>
  <c r="S149" i="4"/>
  <c r="T149" i="4"/>
  <c r="U149" i="4"/>
  <c r="V149" i="4"/>
  <c r="W149" i="4"/>
  <c r="X149" i="4"/>
  <c r="AX149" i="4"/>
  <c r="AY149" i="4"/>
  <c r="AZ149" i="4"/>
  <c r="BB149" i="4"/>
  <c r="BC149" i="4"/>
  <c r="BT149" i="4"/>
  <c r="BU149" i="4"/>
  <c r="BV149" i="4"/>
  <c r="BW149" i="4"/>
  <c r="EC149" i="4"/>
  <c r="ED149" i="4"/>
  <c r="EE149" i="4"/>
  <c r="EF149" i="4"/>
  <c r="EG149" i="4"/>
  <c r="EL149" i="4"/>
  <c r="EM149" i="4"/>
  <c r="EN149" i="4"/>
  <c r="EO149" i="4"/>
  <c r="EP149" i="4"/>
  <c r="EQ149" i="4"/>
  <c r="EV149" i="4"/>
  <c r="EX149" i="4"/>
  <c r="EY149" i="4"/>
  <c r="FA149" i="4"/>
  <c r="FB149" i="4"/>
  <c r="FC149" i="4"/>
  <c r="FD149" i="4"/>
  <c r="FE149" i="4"/>
  <c r="FF149" i="4"/>
  <c r="FG149" i="4"/>
  <c r="FH149" i="4"/>
  <c r="FI149" i="4"/>
  <c r="FJ149" i="4"/>
  <c r="FK149" i="4"/>
  <c r="FL149" i="4"/>
  <c r="FM149" i="4"/>
  <c r="FN149" i="4"/>
  <c r="FO149" i="4"/>
  <c r="FP149" i="4"/>
  <c r="FQ149" i="4"/>
  <c r="FR149" i="4"/>
  <c r="FS149" i="4"/>
  <c r="FT149" i="4"/>
  <c r="FU149" i="4"/>
  <c r="FV149" i="4"/>
  <c r="FW149" i="4"/>
  <c r="FX149" i="4"/>
  <c r="FY149" i="4"/>
  <c r="FZ149" i="4"/>
  <c r="GA149" i="4"/>
  <c r="GB149" i="4"/>
  <c r="GC149" i="4"/>
  <c r="GD149" i="4"/>
  <c r="GF149" i="4"/>
  <c r="GG149" i="4"/>
  <c r="GJ149" i="4"/>
  <c r="GK149" i="4"/>
  <c r="GM149" i="4"/>
  <c r="GN149" i="4"/>
  <c r="GP149" i="4"/>
  <c r="HJ149" i="4"/>
  <c r="HK149" i="4"/>
  <c r="HL149" i="4"/>
  <c r="HM149" i="4"/>
  <c r="HN149" i="4"/>
  <c r="HO149" i="4"/>
  <c r="HP149" i="4"/>
  <c r="A150" i="4"/>
  <c r="B150" i="4"/>
  <c r="C150" i="4"/>
  <c r="D150" i="4"/>
  <c r="E150" i="4"/>
  <c r="F150" i="4"/>
  <c r="I150" i="4"/>
  <c r="J150" i="4"/>
  <c r="N150" i="4"/>
  <c r="O150" i="4"/>
  <c r="P150" i="4"/>
  <c r="Q150" i="4"/>
  <c r="R150" i="4"/>
  <c r="S150" i="4"/>
  <c r="T150" i="4"/>
  <c r="U150" i="4"/>
  <c r="V150" i="4"/>
  <c r="W150" i="4"/>
  <c r="X150" i="4"/>
  <c r="AX150" i="4"/>
  <c r="AY150" i="4"/>
  <c r="AZ150" i="4"/>
  <c r="BB150" i="4"/>
  <c r="BC150" i="4"/>
  <c r="BT150" i="4"/>
  <c r="BU150" i="4"/>
  <c r="BV150" i="4"/>
  <c r="BW150" i="4"/>
  <c r="EC150" i="4"/>
  <c r="ED150" i="4"/>
  <c r="EE150" i="4"/>
  <c r="EF150" i="4"/>
  <c r="EG150" i="4"/>
  <c r="EL150" i="4"/>
  <c r="EM150" i="4"/>
  <c r="EN150" i="4"/>
  <c r="EO150" i="4"/>
  <c r="EP150" i="4"/>
  <c r="EQ150" i="4"/>
  <c r="EV150" i="4"/>
  <c r="EX150" i="4"/>
  <c r="EY150" i="4"/>
  <c r="FA150" i="4"/>
  <c r="FB150" i="4"/>
  <c r="FC150" i="4"/>
  <c r="FD150" i="4"/>
  <c r="FE150" i="4"/>
  <c r="FF150" i="4"/>
  <c r="FG150" i="4"/>
  <c r="FH150" i="4"/>
  <c r="FI150" i="4"/>
  <c r="FJ150" i="4"/>
  <c r="FK150" i="4"/>
  <c r="FL150" i="4"/>
  <c r="FM150" i="4"/>
  <c r="FN150" i="4"/>
  <c r="FO150" i="4"/>
  <c r="FP150" i="4"/>
  <c r="FQ150" i="4"/>
  <c r="FR150" i="4"/>
  <c r="FS150" i="4"/>
  <c r="FT150" i="4"/>
  <c r="FU150" i="4"/>
  <c r="FV150" i="4"/>
  <c r="FW150" i="4"/>
  <c r="FX150" i="4"/>
  <c r="FY150" i="4"/>
  <c r="FZ150" i="4"/>
  <c r="GA150" i="4"/>
  <c r="GB150" i="4"/>
  <c r="GC150" i="4"/>
  <c r="GD150" i="4"/>
  <c r="GF150" i="4"/>
  <c r="GG150" i="4"/>
  <c r="GJ150" i="4"/>
  <c r="GK150" i="4"/>
  <c r="GM150" i="4"/>
  <c r="GN150" i="4"/>
  <c r="GP150" i="4"/>
  <c r="HJ150" i="4"/>
  <c r="HK150" i="4"/>
  <c r="HL150" i="4"/>
  <c r="HM150" i="4"/>
  <c r="HN150" i="4"/>
  <c r="HO150" i="4"/>
  <c r="HP150" i="4"/>
  <c r="A151" i="4"/>
  <c r="B151" i="4"/>
  <c r="C151" i="4"/>
  <c r="D151" i="4"/>
  <c r="E151" i="4"/>
  <c r="F151" i="4"/>
  <c r="I151" i="4"/>
  <c r="J151" i="4"/>
  <c r="N151" i="4"/>
  <c r="O151" i="4"/>
  <c r="P151" i="4"/>
  <c r="Q151" i="4"/>
  <c r="R151" i="4"/>
  <c r="S151" i="4"/>
  <c r="T151" i="4"/>
  <c r="U151" i="4"/>
  <c r="V151" i="4"/>
  <c r="W151" i="4"/>
  <c r="X151" i="4"/>
  <c r="AX151" i="4"/>
  <c r="AY151" i="4"/>
  <c r="AZ151" i="4"/>
  <c r="BB151" i="4"/>
  <c r="BC151" i="4"/>
  <c r="BT151" i="4"/>
  <c r="BU151" i="4"/>
  <c r="BV151" i="4"/>
  <c r="BW151" i="4"/>
  <c r="EC151" i="4"/>
  <c r="ED151" i="4"/>
  <c r="EE151" i="4"/>
  <c r="EF151" i="4"/>
  <c r="EG151" i="4"/>
  <c r="EL151" i="4"/>
  <c r="EM151" i="4"/>
  <c r="EN151" i="4"/>
  <c r="EO151" i="4"/>
  <c r="EP151" i="4"/>
  <c r="EQ151" i="4"/>
  <c r="EV151" i="4"/>
  <c r="EX151" i="4"/>
  <c r="EY151" i="4"/>
  <c r="FA151" i="4"/>
  <c r="FB151" i="4"/>
  <c r="FC151" i="4"/>
  <c r="FD151" i="4"/>
  <c r="FE151" i="4"/>
  <c r="FF151" i="4"/>
  <c r="FG151" i="4"/>
  <c r="FH151" i="4"/>
  <c r="FI151" i="4"/>
  <c r="FJ151" i="4"/>
  <c r="FK151" i="4"/>
  <c r="FL151" i="4"/>
  <c r="FM151" i="4"/>
  <c r="FN151" i="4"/>
  <c r="FO151" i="4"/>
  <c r="FP151" i="4"/>
  <c r="FQ151" i="4"/>
  <c r="FR151" i="4"/>
  <c r="FS151" i="4"/>
  <c r="FT151" i="4"/>
  <c r="FU151" i="4"/>
  <c r="FV151" i="4"/>
  <c r="FW151" i="4"/>
  <c r="FX151" i="4"/>
  <c r="FY151" i="4"/>
  <c r="FZ151" i="4"/>
  <c r="GA151" i="4"/>
  <c r="GB151" i="4"/>
  <c r="GC151" i="4"/>
  <c r="GD151" i="4"/>
  <c r="GF151" i="4"/>
  <c r="GG151" i="4"/>
  <c r="GJ151" i="4"/>
  <c r="GK151" i="4"/>
  <c r="GM151" i="4"/>
  <c r="GN151" i="4"/>
  <c r="GP151" i="4"/>
  <c r="HJ151" i="4"/>
  <c r="HK151" i="4"/>
  <c r="HL151" i="4"/>
  <c r="HM151" i="4"/>
  <c r="HN151" i="4"/>
  <c r="HO151" i="4"/>
  <c r="HP151" i="4"/>
  <c r="A152" i="4"/>
  <c r="B152" i="4"/>
  <c r="C152" i="4"/>
  <c r="D152" i="4"/>
  <c r="E152" i="4"/>
  <c r="F152" i="4"/>
  <c r="I152" i="4"/>
  <c r="J152" i="4"/>
  <c r="N152" i="4"/>
  <c r="O152" i="4"/>
  <c r="P152" i="4"/>
  <c r="Q152" i="4"/>
  <c r="R152" i="4"/>
  <c r="S152" i="4"/>
  <c r="T152" i="4"/>
  <c r="U152" i="4"/>
  <c r="V152" i="4"/>
  <c r="W152" i="4"/>
  <c r="X152" i="4"/>
  <c r="AX152" i="4"/>
  <c r="AY152" i="4"/>
  <c r="AZ152" i="4"/>
  <c r="BB152" i="4"/>
  <c r="BC152" i="4"/>
  <c r="BT152" i="4"/>
  <c r="BU152" i="4"/>
  <c r="BV152" i="4"/>
  <c r="BW152" i="4"/>
  <c r="EC152" i="4"/>
  <c r="ED152" i="4"/>
  <c r="EE152" i="4"/>
  <c r="EF152" i="4"/>
  <c r="EG152" i="4"/>
  <c r="EL152" i="4"/>
  <c r="EM152" i="4"/>
  <c r="EN152" i="4"/>
  <c r="EO152" i="4"/>
  <c r="EP152" i="4"/>
  <c r="EQ152" i="4"/>
  <c r="EV152" i="4"/>
  <c r="EX152" i="4"/>
  <c r="EY152" i="4"/>
  <c r="FA152" i="4"/>
  <c r="FB152" i="4"/>
  <c r="FC152" i="4"/>
  <c r="FD152" i="4"/>
  <c r="FE152" i="4"/>
  <c r="FF152" i="4"/>
  <c r="FG152" i="4"/>
  <c r="FH152" i="4"/>
  <c r="FI152" i="4"/>
  <c r="FJ152" i="4"/>
  <c r="FK152" i="4"/>
  <c r="FL152" i="4"/>
  <c r="FM152" i="4"/>
  <c r="FN152" i="4"/>
  <c r="FO152" i="4"/>
  <c r="FP152" i="4"/>
  <c r="FQ152" i="4"/>
  <c r="FR152" i="4"/>
  <c r="FS152" i="4"/>
  <c r="FT152" i="4"/>
  <c r="FU152" i="4"/>
  <c r="FV152" i="4"/>
  <c r="FW152" i="4"/>
  <c r="FX152" i="4"/>
  <c r="FY152" i="4"/>
  <c r="FZ152" i="4"/>
  <c r="GA152" i="4"/>
  <c r="GB152" i="4"/>
  <c r="GC152" i="4"/>
  <c r="GD152" i="4"/>
  <c r="GF152" i="4"/>
  <c r="GG152" i="4"/>
  <c r="GJ152" i="4"/>
  <c r="GK152" i="4"/>
  <c r="GM152" i="4"/>
  <c r="GN152" i="4"/>
  <c r="GP152" i="4"/>
  <c r="HJ152" i="4"/>
  <c r="HK152" i="4"/>
  <c r="HL152" i="4"/>
  <c r="HM152" i="4"/>
  <c r="HN152" i="4"/>
  <c r="HO152" i="4"/>
  <c r="HP152" i="4"/>
  <c r="A153" i="4"/>
  <c r="B153" i="4"/>
  <c r="C153" i="4"/>
  <c r="D153" i="4"/>
  <c r="E153" i="4"/>
  <c r="F153" i="4"/>
  <c r="I153" i="4"/>
  <c r="J153" i="4"/>
  <c r="N153" i="4"/>
  <c r="O153" i="4"/>
  <c r="P153" i="4"/>
  <c r="Q153" i="4"/>
  <c r="R153" i="4"/>
  <c r="S153" i="4"/>
  <c r="T153" i="4"/>
  <c r="U153" i="4"/>
  <c r="V153" i="4"/>
  <c r="W153" i="4"/>
  <c r="X153" i="4"/>
  <c r="AX153" i="4"/>
  <c r="AY153" i="4"/>
  <c r="AZ153" i="4"/>
  <c r="BB153" i="4"/>
  <c r="BC153" i="4"/>
  <c r="BT153" i="4"/>
  <c r="BU153" i="4"/>
  <c r="BV153" i="4"/>
  <c r="BW153" i="4"/>
  <c r="EC153" i="4"/>
  <c r="ED153" i="4"/>
  <c r="EE153" i="4"/>
  <c r="EF153" i="4"/>
  <c r="EG153" i="4"/>
  <c r="EL153" i="4"/>
  <c r="EM153" i="4"/>
  <c r="EN153" i="4"/>
  <c r="EO153" i="4"/>
  <c r="EP153" i="4"/>
  <c r="EQ153" i="4"/>
  <c r="EV153" i="4"/>
  <c r="EX153" i="4"/>
  <c r="EY153" i="4"/>
  <c r="FA153" i="4"/>
  <c r="FB153" i="4"/>
  <c r="FC153" i="4"/>
  <c r="FD153" i="4"/>
  <c r="FE153" i="4"/>
  <c r="FF153" i="4"/>
  <c r="FG153" i="4"/>
  <c r="FH153" i="4"/>
  <c r="FI153" i="4"/>
  <c r="FJ153" i="4"/>
  <c r="FK153" i="4"/>
  <c r="FL153" i="4"/>
  <c r="FM153" i="4"/>
  <c r="FN153" i="4"/>
  <c r="FO153" i="4"/>
  <c r="FP153" i="4"/>
  <c r="FQ153" i="4"/>
  <c r="FR153" i="4"/>
  <c r="FS153" i="4"/>
  <c r="FT153" i="4"/>
  <c r="FU153" i="4"/>
  <c r="FV153" i="4"/>
  <c r="FW153" i="4"/>
  <c r="FX153" i="4"/>
  <c r="FY153" i="4"/>
  <c r="FZ153" i="4"/>
  <c r="GA153" i="4"/>
  <c r="GB153" i="4"/>
  <c r="GC153" i="4"/>
  <c r="GD153" i="4"/>
  <c r="GF153" i="4"/>
  <c r="GG153" i="4"/>
  <c r="GJ153" i="4"/>
  <c r="GK153" i="4"/>
  <c r="GM153" i="4"/>
  <c r="GN153" i="4"/>
  <c r="GP153" i="4"/>
  <c r="HJ153" i="4"/>
  <c r="HK153" i="4"/>
  <c r="HL153" i="4"/>
  <c r="HM153" i="4"/>
  <c r="HN153" i="4"/>
  <c r="HO153" i="4"/>
  <c r="HP153" i="4"/>
  <c r="A154" i="4"/>
  <c r="B154" i="4"/>
  <c r="C154" i="4"/>
  <c r="D154" i="4"/>
  <c r="E154" i="4"/>
  <c r="F154" i="4"/>
  <c r="I154" i="4"/>
  <c r="J154" i="4"/>
  <c r="N154" i="4"/>
  <c r="O154" i="4"/>
  <c r="P154" i="4"/>
  <c r="Q154" i="4"/>
  <c r="R154" i="4"/>
  <c r="S154" i="4"/>
  <c r="T154" i="4"/>
  <c r="U154" i="4"/>
  <c r="V154" i="4"/>
  <c r="W154" i="4"/>
  <c r="X154" i="4"/>
  <c r="AX154" i="4"/>
  <c r="AY154" i="4"/>
  <c r="AZ154" i="4"/>
  <c r="BB154" i="4"/>
  <c r="BC154" i="4"/>
  <c r="BT154" i="4"/>
  <c r="BU154" i="4"/>
  <c r="BV154" i="4"/>
  <c r="BW154" i="4"/>
  <c r="EC154" i="4"/>
  <c r="ED154" i="4"/>
  <c r="EE154" i="4"/>
  <c r="EF154" i="4"/>
  <c r="EG154" i="4"/>
  <c r="EL154" i="4"/>
  <c r="EM154" i="4"/>
  <c r="EN154" i="4"/>
  <c r="EO154" i="4"/>
  <c r="EP154" i="4"/>
  <c r="EQ154" i="4"/>
  <c r="EV154" i="4"/>
  <c r="EX154" i="4"/>
  <c r="EY154" i="4"/>
  <c r="FA154" i="4"/>
  <c r="FB154" i="4"/>
  <c r="FC154" i="4"/>
  <c r="FD154" i="4"/>
  <c r="FE154" i="4"/>
  <c r="FF154" i="4"/>
  <c r="FG154" i="4"/>
  <c r="FH154" i="4"/>
  <c r="FI154" i="4"/>
  <c r="FJ154" i="4"/>
  <c r="FK154" i="4"/>
  <c r="FL154" i="4"/>
  <c r="FM154" i="4"/>
  <c r="FN154" i="4"/>
  <c r="FO154" i="4"/>
  <c r="FP154" i="4"/>
  <c r="FQ154" i="4"/>
  <c r="FR154" i="4"/>
  <c r="FS154" i="4"/>
  <c r="FT154" i="4"/>
  <c r="FU154" i="4"/>
  <c r="FV154" i="4"/>
  <c r="FW154" i="4"/>
  <c r="FX154" i="4"/>
  <c r="FY154" i="4"/>
  <c r="FZ154" i="4"/>
  <c r="GA154" i="4"/>
  <c r="GB154" i="4"/>
  <c r="GC154" i="4"/>
  <c r="GD154" i="4"/>
  <c r="GF154" i="4"/>
  <c r="GG154" i="4"/>
  <c r="GJ154" i="4"/>
  <c r="GK154" i="4"/>
  <c r="GM154" i="4"/>
  <c r="GN154" i="4"/>
  <c r="GP154" i="4"/>
  <c r="HJ154" i="4"/>
  <c r="HK154" i="4"/>
  <c r="HL154" i="4"/>
  <c r="HM154" i="4"/>
  <c r="HN154" i="4"/>
  <c r="HO154" i="4"/>
  <c r="HP154" i="4"/>
  <c r="A155" i="4"/>
  <c r="B155" i="4"/>
  <c r="C155" i="4"/>
  <c r="D155" i="4"/>
  <c r="E155" i="4"/>
  <c r="F155" i="4"/>
  <c r="I155" i="4"/>
  <c r="J155" i="4"/>
  <c r="N155" i="4"/>
  <c r="O155" i="4"/>
  <c r="P155" i="4"/>
  <c r="Q155" i="4"/>
  <c r="R155" i="4"/>
  <c r="S155" i="4"/>
  <c r="T155" i="4"/>
  <c r="U155" i="4"/>
  <c r="V155" i="4"/>
  <c r="W155" i="4"/>
  <c r="X155" i="4"/>
  <c r="AX155" i="4"/>
  <c r="AY155" i="4"/>
  <c r="AZ155" i="4"/>
  <c r="BB155" i="4"/>
  <c r="BC155" i="4"/>
  <c r="BT155" i="4"/>
  <c r="BU155" i="4"/>
  <c r="BV155" i="4"/>
  <c r="BW155" i="4"/>
  <c r="EC155" i="4"/>
  <c r="ED155" i="4"/>
  <c r="EE155" i="4"/>
  <c r="EF155" i="4"/>
  <c r="EG155" i="4"/>
  <c r="EL155" i="4"/>
  <c r="EM155" i="4"/>
  <c r="EN155" i="4"/>
  <c r="EO155" i="4"/>
  <c r="EP155" i="4"/>
  <c r="EQ155" i="4"/>
  <c r="EV155" i="4"/>
  <c r="EX155" i="4"/>
  <c r="EY155" i="4"/>
  <c r="FA155" i="4"/>
  <c r="FB155" i="4"/>
  <c r="FC155" i="4"/>
  <c r="FD155" i="4"/>
  <c r="FE155" i="4"/>
  <c r="FF155" i="4"/>
  <c r="FG155" i="4"/>
  <c r="FH155" i="4"/>
  <c r="FI155" i="4"/>
  <c r="FJ155" i="4"/>
  <c r="FK155" i="4"/>
  <c r="FL155" i="4"/>
  <c r="FM155" i="4"/>
  <c r="FN155" i="4"/>
  <c r="FO155" i="4"/>
  <c r="FP155" i="4"/>
  <c r="FQ155" i="4"/>
  <c r="FR155" i="4"/>
  <c r="FS155" i="4"/>
  <c r="FT155" i="4"/>
  <c r="FU155" i="4"/>
  <c r="FV155" i="4"/>
  <c r="FW155" i="4"/>
  <c r="FX155" i="4"/>
  <c r="FY155" i="4"/>
  <c r="FZ155" i="4"/>
  <c r="GA155" i="4"/>
  <c r="GB155" i="4"/>
  <c r="GC155" i="4"/>
  <c r="GD155" i="4"/>
  <c r="GF155" i="4"/>
  <c r="GG155" i="4"/>
  <c r="GJ155" i="4"/>
  <c r="GK155" i="4"/>
  <c r="GM155" i="4"/>
  <c r="GN155" i="4"/>
  <c r="GP155" i="4"/>
  <c r="HJ155" i="4"/>
  <c r="HK155" i="4"/>
  <c r="HL155" i="4"/>
  <c r="HM155" i="4"/>
  <c r="HN155" i="4"/>
  <c r="HO155" i="4"/>
  <c r="HP155" i="4"/>
  <c r="A156" i="4"/>
  <c r="B156" i="4"/>
  <c r="C156" i="4"/>
  <c r="D156" i="4"/>
  <c r="E156" i="4"/>
  <c r="F156" i="4"/>
  <c r="I156" i="4"/>
  <c r="J156" i="4"/>
  <c r="N156" i="4"/>
  <c r="O156" i="4"/>
  <c r="P156" i="4"/>
  <c r="Q156" i="4"/>
  <c r="R156" i="4"/>
  <c r="S156" i="4"/>
  <c r="T156" i="4"/>
  <c r="U156" i="4"/>
  <c r="V156" i="4"/>
  <c r="W156" i="4"/>
  <c r="X156" i="4"/>
  <c r="AX156" i="4"/>
  <c r="AY156" i="4"/>
  <c r="AZ156" i="4"/>
  <c r="BB156" i="4"/>
  <c r="BC156" i="4"/>
  <c r="BT156" i="4"/>
  <c r="BU156" i="4"/>
  <c r="BV156" i="4"/>
  <c r="BW156" i="4"/>
  <c r="EC156" i="4"/>
  <c r="ED156" i="4"/>
  <c r="EE156" i="4"/>
  <c r="EF156" i="4"/>
  <c r="EG156" i="4"/>
  <c r="EL156" i="4"/>
  <c r="EM156" i="4"/>
  <c r="EN156" i="4"/>
  <c r="EO156" i="4"/>
  <c r="EP156" i="4"/>
  <c r="EQ156" i="4"/>
  <c r="EV156" i="4"/>
  <c r="EX156" i="4"/>
  <c r="EY156" i="4"/>
  <c r="FA156" i="4"/>
  <c r="FB156" i="4"/>
  <c r="FC156" i="4"/>
  <c r="FD156" i="4"/>
  <c r="FE156" i="4"/>
  <c r="FF156" i="4"/>
  <c r="FG156" i="4"/>
  <c r="FH156" i="4"/>
  <c r="FI156" i="4"/>
  <c r="FJ156" i="4"/>
  <c r="FK156" i="4"/>
  <c r="FL156" i="4"/>
  <c r="FM156" i="4"/>
  <c r="FN156" i="4"/>
  <c r="FO156" i="4"/>
  <c r="FP156" i="4"/>
  <c r="FQ156" i="4"/>
  <c r="FR156" i="4"/>
  <c r="FS156" i="4"/>
  <c r="FT156" i="4"/>
  <c r="FU156" i="4"/>
  <c r="FV156" i="4"/>
  <c r="FW156" i="4"/>
  <c r="FX156" i="4"/>
  <c r="FY156" i="4"/>
  <c r="FZ156" i="4"/>
  <c r="GA156" i="4"/>
  <c r="GB156" i="4"/>
  <c r="GC156" i="4"/>
  <c r="GD156" i="4"/>
  <c r="GF156" i="4"/>
  <c r="GG156" i="4"/>
  <c r="GJ156" i="4"/>
  <c r="GK156" i="4"/>
  <c r="GM156" i="4"/>
  <c r="GN156" i="4"/>
  <c r="GP156" i="4"/>
  <c r="HJ156" i="4"/>
  <c r="HK156" i="4"/>
  <c r="HL156" i="4"/>
  <c r="HM156" i="4"/>
  <c r="HN156" i="4"/>
  <c r="HO156" i="4"/>
  <c r="HP156" i="4"/>
  <c r="A157" i="4"/>
  <c r="B157" i="4"/>
  <c r="C157" i="4"/>
  <c r="D157" i="4"/>
  <c r="E157" i="4"/>
  <c r="F157" i="4"/>
  <c r="I157" i="4"/>
  <c r="J157" i="4"/>
  <c r="N157" i="4"/>
  <c r="O157" i="4"/>
  <c r="P157" i="4"/>
  <c r="Q157" i="4"/>
  <c r="R157" i="4"/>
  <c r="S157" i="4"/>
  <c r="T157" i="4"/>
  <c r="U157" i="4"/>
  <c r="V157" i="4"/>
  <c r="W157" i="4"/>
  <c r="X157" i="4"/>
  <c r="AX157" i="4"/>
  <c r="AY157" i="4"/>
  <c r="AZ157" i="4"/>
  <c r="BB157" i="4"/>
  <c r="BC157" i="4"/>
  <c r="BT157" i="4"/>
  <c r="BU157" i="4"/>
  <c r="BV157" i="4"/>
  <c r="BW157" i="4"/>
  <c r="EC157" i="4"/>
  <c r="ED157" i="4"/>
  <c r="EE157" i="4"/>
  <c r="EF157" i="4"/>
  <c r="EG157" i="4"/>
  <c r="EL157" i="4"/>
  <c r="EM157" i="4"/>
  <c r="EN157" i="4"/>
  <c r="EO157" i="4"/>
  <c r="EP157" i="4"/>
  <c r="EQ157" i="4"/>
  <c r="EV157" i="4"/>
  <c r="EX157" i="4"/>
  <c r="EY157" i="4"/>
  <c r="FA157" i="4"/>
  <c r="FB157" i="4"/>
  <c r="FC157" i="4"/>
  <c r="FD157" i="4"/>
  <c r="FE157" i="4"/>
  <c r="FF157" i="4"/>
  <c r="FG157" i="4"/>
  <c r="FH157" i="4"/>
  <c r="FI157" i="4"/>
  <c r="FJ157" i="4"/>
  <c r="FK157" i="4"/>
  <c r="FL157" i="4"/>
  <c r="FM157" i="4"/>
  <c r="FN157" i="4"/>
  <c r="FO157" i="4"/>
  <c r="FP157" i="4"/>
  <c r="FQ157" i="4"/>
  <c r="FR157" i="4"/>
  <c r="FS157" i="4"/>
  <c r="FT157" i="4"/>
  <c r="FU157" i="4"/>
  <c r="FV157" i="4"/>
  <c r="FW157" i="4"/>
  <c r="FX157" i="4"/>
  <c r="FY157" i="4"/>
  <c r="FZ157" i="4"/>
  <c r="GA157" i="4"/>
  <c r="GB157" i="4"/>
  <c r="GC157" i="4"/>
  <c r="GD157" i="4"/>
  <c r="GF157" i="4"/>
  <c r="GG157" i="4"/>
  <c r="GJ157" i="4"/>
  <c r="GK157" i="4"/>
  <c r="GM157" i="4"/>
  <c r="GN157" i="4"/>
  <c r="GP157" i="4"/>
  <c r="HJ157" i="4"/>
  <c r="HK157" i="4"/>
  <c r="HL157" i="4"/>
  <c r="HM157" i="4"/>
  <c r="HN157" i="4"/>
  <c r="HO157" i="4"/>
  <c r="HP157" i="4"/>
  <c r="A158" i="4"/>
  <c r="B158" i="4"/>
  <c r="C158" i="4"/>
  <c r="D158" i="4"/>
  <c r="E158" i="4"/>
  <c r="F158" i="4"/>
  <c r="I158" i="4"/>
  <c r="J158" i="4"/>
  <c r="N158" i="4"/>
  <c r="O158" i="4"/>
  <c r="P158" i="4"/>
  <c r="Q158" i="4"/>
  <c r="R158" i="4"/>
  <c r="S158" i="4"/>
  <c r="T158" i="4"/>
  <c r="U158" i="4"/>
  <c r="V158" i="4"/>
  <c r="W158" i="4"/>
  <c r="X158" i="4"/>
  <c r="AX158" i="4"/>
  <c r="AY158" i="4"/>
  <c r="AZ158" i="4"/>
  <c r="BB158" i="4"/>
  <c r="BC158" i="4"/>
  <c r="BT158" i="4"/>
  <c r="BU158" i="4"/>
  <c r="BV158" i="4"/>
  <c r="BW158" i="4"/>
  <c r="EC158" i="4"/>
  <c r="ED158" i="4"/>
  <c r="EE158" i="4"/>
  <c r="EF158" i="4"/>
  <c r="EG158" i="4"/>
  <c r="EL158" i="4"/>
  <c r="EM158" i="4"/>
  <c r="EN158" i="4"/>
  <c r="EO158" i="4"/>
  <c r="EP158" i="4"/>
  <c r="EQ158" i="4"/>
  <c r="EV158" i="4"/>
  <c r="EX158" i="4"/>
  <c r="EY158" i="4"/>
  <c r="FA158" i="4"/>
  <c r="FB158" i="4"/>
  <c r="FC158" i="4"/>
  <c r="FD158" i="4"/>
  <c r="FE158" i="4"/>
  <c r="FF158" i="4"/>
  <c r="FG158" i="4"/>
  <c r="FH158" i="4"/>
  <c r="FI158" i="4"/>
  <c r="FJ158" i="4"/>
  <c r="FK158" i="4"/>
  <c r="FL158" i="4"/>
  <c r="FM158" i="4"/>
  <c r="FN158" i="4"/>
  <c r="FO158" i="4"/>
  <c r="FP158" i="4"/>
  <c r="FQ158" i="4"/>
  <c r="FR158" i="4"/>
  <c r="FS158" i="4"/>
  <c r="FT158" i="4"/>
  <c r="FU158" i="4"/>
  <c r="FV158" i="4"/>
  <c r="FW158" i="4"/>
  <c r="FX158" i="4"/>
  <c r="FY158" i="4"/>
  <c r="FZ158" i="4"/>
  <c r="GA158" i="4"/>
  <c r="GB158" i="4"/>
  <c r="GC158" i="4"/>
  <c r="GD158" i="4"/>
  <c r="GF158" i="4"/>
  <c r="GG158" i="4"/>
  <c r="GJ158" i="4"/>
  <c r="GK158" i="4"/>
  <c r="GM158" i="4"/>
  <c r="GN158" i="4"/>
  <c r="GP158" i="4"/>
  <c r="HJ158" i="4"/>
  <c r="HK158" i="4"/>
  <c r="HL158" i="4"/>
  <c r="HM158" i="4"/>
  <c r="HN158" i="4"/>
  <c r="HO158" i="4"/>
  <c r="HP158" i="4"/>
  <c r="A159" i="4"/>
  <c r="B159" i="4"/>
  <c r="C159" i="4"/>
  <c r="D159" i="4"/>
  <c r="E159" i="4"/>
  <c r="F159" i="4"/>
  <c r="I159" i="4"/>
  <c r="J159" i="4"/>
  <c r="N159" i="4"/>
  <c r="O159" i="4"/>
  <c r="P159" i="4"/>
  <c r="Q159" i="4"/>
  <c r="R159" i="4"/>
  <c r="S159" i="4"/>
  <c r="T159" i="4"/>
  <c r="U159" i="4"/>
  <c r="V159" i="4"/>
  <c r="W159" i="4"/>
  <c r="X159" i="4"/>
  <c r="AX159" i="4"/>
  <c r="AY159" i="4"/>
  <c r="AZ159" i="4"/>
  <c r="BB159" i="4"/>
  <c r="BC159" i="4"/>
  <c r="BT159" i="4"/>
  <c r="BU159" i="4"/>
  <c r="BV159" i="4"/>
  <c r="BW159" i="4"/>
  <c r="EC159" i="4"/>
  <c r="ED159" i="4"/>
  <c r="EE159" i="4"/>
  <c r="EF159" i="4"/>
  <c r="EG159" i="4"/>
  <c r="EL159" i="4"/>
  <c r="EM159" i="4"/>
  <c r="EN159" i="4"/>
  <c r="EO159" i="4"/>
  <c r="EP159" i="4"/>
  <c r="EQ159" i="4"/>
  <c r="EV159" i="4"/>
  <c r="EX159" i="4"/>
  <c r="EY159" i="4"/>
  <c r="FA159" i="4"/>
  <c r="FB159" i="4"/>
  <c r="FC159" i="4"/>
  <c r="FD159" i="4"/>
  <c r="FE159" i="4"/>
  <c r="FF159" i="4"/>
  <c r="FG159" i="4"/>
  <c r="FH159" i="4"/>
  <c r="FI159" i="4"/>
  <c r="FJ159" i="4"/>
  <c r="FK159" i="4"/>
  <c r="FL159" i="4"/>
  <c r="FM159" i="4"/>
  <c r="FN159" i="4"/>
  <c r="FO159" i="4"/>
  <c r="FP159" i="4"/>
  <c r="FQ159" i="4"/>
  <c r="FR159" i="4"/>
  <c r="FS159" i="4"/>
  <c r="FT159" i="4"/>
  <c r="FU159" i="4"/>
  <c r="FV159" i="4"/>
  <c r="FW159" i="4"/>
  <c r="FX159" i="4"/>
  <c r="FY159" i="4"/>
  <c r="FZ159" i="4"/>
  <c r="GA159" i="4"/>
  <c r="GB159" i="4"/>
  <c r="GC159" i="4"/>
  <c r="GD159" i="4"/>
  <c r="GF159" i="4"/>
  <c r="GG159" i="4"/>
  <c r="GJ159" i="4"/>
  <c r="GK159" i="4"/>
  <c r="GM159" i="4"/>
  <c r="GN159" i="4"/>
  <c r="GP159" i="4"/>
  <c r="HJ159" i="4"/>
  <c r="HK159" i="4"/>
  <c r="HL159" i="4"/>
  <c r="HM159" i="4"/>
  <c r="HN159" i="4"/>
  <c r="HO159" i="4"/>
  <c r="HP159" i="4"/>
  <c r="A160" i="4"/>
  <c r="B160" i="4"/>
  <c r="C160" i="4"/>
  <c r="D160" i="4"/>
  <c r="E160" i="4"/>
  <c r="F160" i="4"/>
  <c r="I160" i="4"/>
  <c r="J160" i="4"/>
  <c r="N160" i="4"/>
  <c r="O160" i="4"/>
  <c r="P160" i="4"/>
  <c r="Q160" i="4"/>
  <c r="R160" i="4"/>
  <c r="S160" i="4"/>
  <c r="T160" i="4"/>
  <c r="U160" i="4"/>
  <c r="V160" i="4"/>
  <c r="W160" i="4"/>
  <c r="X160" i="4"/>
  <c r="AX160" i="4"/>
  <c r="AY160" i="4"/>
  <c r="AZ160" i="4"/>
  <c r="BB160" i="4"/>
  <c r="BC160" i="4"/>
  <c r="BT160" i="4"/>
  <c r="BU160" i="4"/>
  <c r="BV160" i="4"/>
  <c r="BW160" i="4"/>
  <c r="EC160" i="4"/>
  <c r="ED160" i="4"/>
  <c r="EE160" i="4"/>
  <c r="EF160" i="4"/>
  <c r="EG160" i="4"/>
  <c r="EL160" i="4"/>
  <c r="EM160" i="4"/>
  <c r="EN160" i="4"/>
  <c r="EO160" i="4"/>
  <c r="EP160" i="4"/>
  <c r="EQ160" i="4"/>
  <c r="EV160" i="4"/>
  <c r="EX160" i="4"/>
  <c r="EY160" i="4"/>
  <c r="FA160" i="4"/>
  <c r="FB160" i="4"/>
  <c r="FC160" i="4"/>
  <c r="FD160" i="4"/>
  <c r="FE160" i="4"/>
  <c r="FF160" i="4"/>
  <c r="FG160" i="4"/>
  <c r="FH160" i="4"/>
  <c r="FI160" i="4"/>
  <c r="FJ160" i="4"/>
  <c r="FK160" i="4"/>
  <c r="FL160" i="4"/>
  <c r="FM160" i="4"/>
  <c r="FN160" i="4"/>
  <c r="FO160" i="4"/>
  <c r="FP160" i="4"/>
  <c r="FQ160" i="4"/>
  <c r="FR160" i="4"/>
  <c r="FS160" i="4"/>
  <c r="FT160" i="4"/>
  <c r="FU160" i="4"/>
  <c r="FV160" i="4"/>
  <c r="FW160" i="4"/>
  <c r="FX160" i="4"/>
  <c r="FY160" i="4"/>
  <c r="FZ160" i="4"/>
  <c r="GA160" i="4"/>
  <c r="GB160" i="4"/>
  <c r="GC160" i="4"/>
  <c r="GD160" i="4"/>
  <c r="GF160" i="4"/>
  <c r="GG160" i="4"/>
  <c r="GJ160" i="4"/>
  <c r="GK160" i="4"/>
  <c r="GM160" i="4"/>
  <c r="GN160" i="4"/>
  <c r="GP160" i="4"/>
  <c r="HJ160" i="4"/>
  <c r="HK160" i="4"/>
  <c r="HL160" i="4"/>
  <c r="HM160" i="4"/>
  <c r="HN160" i="4"/>
  <c r="HO160" i="4"/>
  <c r="HP160" i="4"/>
  <c r="A161" i="4"/>
  <c r="B161" i="4"/>
  <c r="C161" i="4"/>
  <c r="D161" i="4"/>
  <c r="E161" i="4"/>
  <c r="F161" i="4"/>
  <c r="I161" i="4"/>
  <c r="J161" i="4"/>
  <c r="N161" i="4"/>
  <c r="O161" i="4"/>
  <c r="P161" i="4"/>
  <c r="Q161" i="4"/>
  <c r="R161" i="4"/>
  <c r="S161" i="4"/>
  <c r="T161" i="4"/>
  <c r="U161" i="4"/>
  <c r="V161" i="4"/>
  <c r="W161" i="4"/>
  <c r="X161" i="4"/>
  <c r="AX161" i="4"/>
  <c r="AY161" i="4"/>
  <c r="AZ161" i="4"/>
  <c r="BB161" i="4"/>
  <c r="BC161" i="4"/>
  <c r="BT161" i="4"/>
  <c r="BU161" i="4"/>
  <c r="BV161" i="4"/>
  <c r="BW161" i="4"/>
  <c r="EC161" i="4"/>
  <c r="ED161" i="4"/>
  <c r="EE161" i="4"/>
  <c r="EF161" i="4"/>
  <c r="EG161" i="4"/>
  <c r="EL161" i="4"/>
  <c r="EM161" i="4"/>
  <c r="EN161" i="4"/>
  <c r="EO161" i="4"/>
  <c r="EP161" i="4"/>
  <c r="EQ161" i="4"/>
  <c r="EV161" i="4"/>
  <c r="EX161" i="4"/>
  <c r="EY161" i="4"/>
  <c r="FA161" i="4"/>
  <c r="FB161" i="4"/>
  <c r="FC161" i="4"/>
  <c r="FD161" i="4"/>
  <c r="FE161" i="4"/>
  <c r="FF161" i="4"/>
  <c r="FG161" i="4"/>
  <c r="FH161" i="4"/>
  <c r="FI161" i="4"/>
  <c r="FJ161" i="4"/>
  <c r="FK161" i="4"/>
  <c r="FL161" i="4"/>
  <c r="FM161" i="4"/>
  <c r="FN161" i="4"/>
  <c r="FO161" i="4"/>
  <c r="FP161" i="4"/>
  <c r="FQ161" i="4"/>
  <c r="FR161" i="4"/>
  <c r="FS161" i="4"/>
  <c r="FT161" i="4"/>
  <c r="FU161" i="4"/>
  <c r="FV161" i="4"/>
  <c r="FW161" i="4"/>
  <c r="FX161" i="4"/>
  <c r="FY161" i="4"/>
  <c r="FZ161" i="4"/>
  <c r="GA161" i="4"/>
  <c r="GB161" i="4"/>
  <c r="GC161" i="4"/>
  <c r="GD161" i="4"/>
  <c r="GF161" i="4"/>
  <c r="GG161" i="4"/>
  <c r="GJ161" i="4"/>
  <c r="GK161" i="4"/>
  <c r="GM161" i="4"/>
  <c r="GN161" i="4"/>
  <c r="GP161" i="4"/>
  <c r="HJ161" i="4"/>
  <c r="HK161" i="4"/>
  <c r="HL161" i="4"/>
  <c r="HM161" i="4"/>
  <c r="HN161" i="4"/>
  <c r="HO161" i="4"/>
  <c r="HP161" i="4"/>
  <c r="A162" i="4"/>
  <c r="B162" i="4"/>
  <c r="C162" i="4"/>
  <c r="D162" i="4"/>
  <c r="E162" i="4"/>
  <c r="F162" i="4"/>
  <c r="I162" i="4"/>
  <c r="J162" i="4"/>
  <c r="N162" i="4"/>
  <c r="O162" i="4"/>
  <c r="P162" i="4"/>
  <c r="Q162" i="4"/>
  <c r="R162" i="4"/>
  <c r="S162" i="4"/>
  <c r="T162" i="4"/>
  <c r="U162" i="4"/>
  <c r="V162" i="4"/>
  <c r="W162" i="4"/>
  <c r="X162" i="4"/>
  <c r="AX162" i="4"/>
  <c r="AY162" i="4"/>
  <c r="AZ162" i="4"/>
  <c r="BB162" i="4"/>
  <c r="BC162" i="4"/>
  <c r="BT162" i="4"/>
  <c r="BU162" i="4"/>
  <c r="BV162" i="4"/>
  <c r="BW162" i="4"/>
  <c r="EC162" i="4"/>
  <c r="ED162" i="4"/>
  <c r="EE162" i="4"/>
  <c r="EF162" i="4"/>
  <c r="EG162" i="4"/>
  <c r="EL162" i="4"/>
  <c r="EM162" i="4"/>
  <c r="EN162" i="4"/>
  <c r="EO162" i="4"/>
  <c r="EP162" i="4"/>
  <c r="EQ162" i="4"/>
  <c r="EV162" i="4"/>
  <c r="EX162" i="4"/>
  <c r="EY162" i="4"/>
  <c r="FA162" i="4"/>
  <c r="FB162" i="4"/>
  <c r="FC162" i="4"/>
  <c r="FD162" i="4"/>
  <c r="FE162" i="4"/>
  <c r="FF162" i="4"/>
  <c r="FG162" i="4"/>
  <c r="FH162" i="4"/>
  <c r="FI162" i="4"/>
  <c r="FJ162" i="4"/>
  <c r="FK162" i="4"/>
  <c r="FL162" i="4"/>
  <c r="FM162" i="4"/>
  <c r="FN162" i="4"/>
  <c r="FO162" i="4"/>
  <c r="FP162" i="4"/>
  <c r="FQ162" i="4"/>
  <c r="FR162" i="4"/>
  <c r="FS162" i="4"/>
  <c r="FT162" i="4"/>
  <c r="FU162" i="4"/>
  <c r="FV162" i="4"/>
  <c r="FW162" i="4"/>
  <c r="FX162" i="4"/>
  <c r="FY162" i="4"/>
  <c r="FZ162" i="4"/>
  <c r="GA162" i="4"/>
  <c r="GB162" i="4"/>
  <c r="GC162" i="4"/>
  <c r="GD162" i="4"/>
  <c r="GF162" i="4"/>
  <c r="GG162" i="4"/>
  <c r="GJ162" i="4"/>
  <c r="GK162" i="4"/>
  <c r="GM162" i="4"/>
  <c r="GN162" i="4"/>
  <c r="GP162" i="4"/>
  <c r="HJ162" i="4"/>
  <c r="HK162" i="4"/>
  <c r="HL162" i="4"/>
  <c r="HM162" i="4"/>
  <c r="HN162" i="4"/>
  <c r="HO162" i="4"/>
  <c r="HP162" i="4"/>
  <c r="A163" i="4"/>
  <c r="B163" i="4"/>
  <c r="C163" i="4"/>
  <c r="D163" i="4"/>
  <c r="E163" i="4"/>
  <c r="F163" i="4"/>
  <c r="I163" i="4"/>
  <c r="J163" i="4"/>
  <c r="N163" i="4"/>
  <c r="O163" i="4"/>
  <c r="P163" i="4"/>
  <c r="Q163" i="4"/>
  <c r="R163" i="4"/>
  <c r="S163" i="4"/>
  <c r="T163" i="4"/>
  <c r="U163" i="4"/>
  <c r="V163" i="4"/>
  <c r="W163" i="4"/>
  <c r="X163" i="4"/>
  <c r="AX163" i="4"/>
  <c r="AY163" i="4"/>
  <c r="AZ163" i="4"/>
  <c r="BB163" i="4"/>
  <c r="BC163" i="4"/>
  <c r="BT163" i="4"/>
  <c r="BU163" i="4"/>
  <c r="BV163" i="4"/>
  <c r="BW163" i="4"/>
  <c r="EC163" i="4"/>
  <c r="ED163" i="4"/>
  <c r="EE163" i="4"/>
  <c r="EF163" i="4"/>
  <c r="EG163" i="4"/>
  <c r="EL163" i="4"/>
  <c r="EM163" i="4"/>
  <c r="EN163" i="4"/>
  <c r="EO163" i="4"/>
  <c r="EP163" i="4"/>
  <c r="EQ163" i="4"/>
  <c r="EV163" i="4"/>
  <c r="EX163" i="4"/>
  <c r="EY163" i="4"/>
  <c r="FA163" i="4"/>
  <c r="FB163" i="4"/>
  <c r="FC163" i="4"/>
  <c r="FD163" i="4"/>
  <c r="FE163" i="4"/>
  <c r="FF163" i="4"/>
  <c r="FG163" i="4"/>
  <c r="FH163" i="4"/>
  <c r="FI163" i="4"/>
  <c r="FJ163" i="4"/>
  <c r="FK163" i="4"/>
  <c r="FL163" i="4"/>
  <c r="FM163" i="4"/>
  <c r="FN163" i="4"/>
  <c r="FO163" i="4"/>
  <c r="FP163" i="4"/>
  <c r="FQ163" i="4"/>
  <c r="FR163" i="4"/>
  <c r="FS163" i="4"/>
  <c r="FT163" i="4"/>
  <c r="FU163" i="4"/>
  <c r="FV163" i="4"/>
  <c r="FW163" i="4"/>
  <c r="FX163" i="4"/>
  <c r="FY163" i="4"/>
  <c r="FZ163" i="4"/>
  <c r="GA163" i="4"/>
  <c r="GB163" i="4"/>
  <c r="GC163" i="4"/>
  <c r="GD163" i="4"/>
  <c r="GF163" i="4"/>
  <c r="GG163" i="4"/>
  <c r="GJ163" i="4"/>
  <c r="GK163" i="4"/>
  <c r="GM163" i="4"/>
  <c r="GN163" i="4"/>
  <c r="GP163" i="4"/>
  <c r="HJ163" i="4"/>
  <c r="HK163" i="4"/>
  <c r="HL163" i="4"/>
  <c r="HM163" i="4"/>
  <c r="HN163" i="4"/>
  <c r="HO163" i="4"/>
  <c r="HP163" i="4"/>
  <c r="A164" i="4"/>
  <c r="B164" i="4"/>
  <c r="C164" i="4"/>
  <c r="D164" i="4"/>
  <c r="E164" i="4"/>
  <c r="F164" i="4"/>
  <c r="I164" i="4"/>
  <c r="J164" i="4"/>
  <c r="N164" i="4"/>
  <c r="O164" i="4"/>
  <c r="P164" i="4"/>
  <c r="Q164" i="4"/>
  <c r="R164" i="4"/>
  <c r="S164" i="4"/>
  <c r="T164" i="4"/>
  <c r="U164" i="4"/>
  <c r="V164" i="4"/>
  <c r="W164" i="4"/>
  <c r="X164" i="4"/>
  <c r="AX164" i="4"/>
  <c r="AY164" i="4"/>
  <c r="AZ164" i="4"/>
  <c r="BB164" i="4"/>
  <c r="BC164" i="4"/>
  <c r="BT164" i="4"/>
  <c r="BU164" i="4"/>
  <c r="BV164" i="4"/>
  <c r="BW164" i="4"/>
  <c r="EC164" i="4"/>
  <c r="ED164" i="4"/>
  <c r="EE164" i="4"/>
  <c r="EF164" i="4"/>
  <c r="EG164" i="4"/>
  <c r="EL164" i="4"/>
  <c r="EM164" i="4"/>
  <c r="EN164" i="4"/>
  <c r="EO164" i="4"/>
  <c r="EP164" i="4"/>
  <c r="EQ164" i="4"/>
  <c r="EV164" i="4"/>
  <c r="EX164" i="4"/>
  <c r="EY164" i="4"/>
  <c r="FA164" i="4"/>
  <c r="FB164" i="4"/>
  <c r="FC164" i="4"/>
  <c r="FD164" i="4"/>
  <c r="FE164" i="4"/>
  <c r="FF164" i="4"/>
  <c r="FG164" i="4"/>
  <c r="FH164" i="4"/>
  <c r="FI164" i="4"/>
  <c r="FJ164" i="4"/>
  <c r="FK164" i="4"/>
  <c r="FL164" i="4"/>
  <c r="FM164" i="4"/>
  <c r="FN164" i="4"/>
  <c r="FO164" i="4"/>
  <c r="FP164" i="4"/>
  <c r="FQ164" i="4"/>
  <c r="FR164" i="4"/>
  <c r="FS164" i="4"/>
  <c r="FT164" i="4"/>
  <c r="FU164" i="4"/>
  <c r="FV164" i="4"/>
  <c r="FW164" i="4"/>
  <c r="FX164" i="4"/>
  <c r="FY164" i="4"/>
  <c r="FZ164" i="4"/>
  <c r="GA164" i="4"/>
  <c r="GB164" i="4"/>
  <c r="GC164" i="4"/>
  <c r="GD164" i="4"/>
  <c r="GF164" i="4"/>
  <c r="GG164" i="4"/>
  <c r="GJ164" i="4"/>
  <c r="GK164" i="4"/>
  <c r="GM164" i="4"/>
  <c r="GN164" i="4"/>
  <c r="GP164" i="4"/>
  <c r="HJ164" i="4"/>
  <c r="HK164" i="4"/>
  <c r="HL164" i="4"/>
  <c r="HM164" i="4"/>
  <c r="HN164" i="4"/>
  <c r="HO164" i="4"/>
  <c r="HP164" i="4"/>
  <c r="A165" i="4"/>
  <c r="B165" i="4"/>
  <c r="C165" i="4"/>
  <c r="D165" i="4"/>
  <c r="E165" i="4"/>
  <c r="F165" i="4"/>
  <c r="I165" i="4"/>
  <c r="J165" i="4"/>
  <c r="N165" i="4"/>
  <c r="O165" i="4"/>
  <c r="P165" i="4"/>
  <c r="Q165" i="4"/>
  <c r="R165" i="4"/>
  <c r="S165" i="4"/>
  <c r="T165" i="4"/>
  <c r="U165" i="4"/>
  <c r="V165" i="4"/>
  <c r="W165" i="4"/>
  <c r="X165" i="4"/>
  <c r="AX165" i="4"/>
  <c r="AY165" i="4"/>
  <c r="AZ165" i="4"/>
  <c r="BB165" i="4"/>
  <c r="BC165" i="4"/>
  <c r="BT165" i="4"/>
  <c r="BU165" i="4"/>
  <c r="BV165" i="4"/>
  <c r="BW165" i="4"/>
  <c r="EC165" i="4"/>
  <c r="ED165" i="4"/>
  <c r="EE165" i="4"/>
  <c r="EF165" i="4"/>
  <c r="EG165" i="4"/>
  <c r="EL165" i="4"/>
  <c r="EM165" i="4"/>
  <c r="EN165" i="4"/>
  <c r="EO165" i="4"/>
  <c r="EP165" i="4"/>
  <c r="EQ165" i="4"/>
  <c r="EV165" i="4"/>
  <c r="EX165" i="4"/>
  <c r="EY165" i="4"/>
  <c r="FA165" i="4"/>
  <c r="FB165" i="4"/>
  <c r="FC165" i="4"/>
  <c r="FD165" i="4"/>
  <c r="FE165" i="4"/>
  <c r="FF165" i="4"/>
  <c r="FG165" i="4"/>
  <c r="FH165" i="4"/>
  <c r="FI165" i="4"/>
  <c r="FJ165" i="4"/>
  <c r="FK165" i="4"/>
  <c r="FL165" i="4"/>
  <c r="FM165" i="4"/>
  <c r="FN165" i="4"/>
  <c r="FO165" i="4"/>
  <c r="FP165" i="4"/>
  <c r="FQ165" i="4"/>
  <c r="FR165" i="4"/>
  <c r="FS165" i="4"/>
  <c r="FT165" i="4"/>
  <c r="FU165" i="4"/>
  <c r="FV165" i="4"/>
  <c r="FW165" i="4"/>
  <c r="FX165" i="4"/>
  <c r="FY165" i="4"/>
  <c r="FZ165" i="4"/>
  <c r="GA165" i="4"/>
  <c r="GB165" i="4"/>
  <c r="GC165" i="4"/>
  <c r="GD165" i="4"/>
  <c r="GF165" i="4"/>
  <c r="GG165" i="4"/>
  <c r="GJ165" i="4"/>
  <c r="GK165" i="4"/>
  <c r="GM165" i="4"/>
  <c r="GN165" i="4"/>
  <c r="GP165" i="4"/>
  <c r="HJ165" i="4"/>
  <c r="HK165" i="4"/>
  <c r="HL165" i="4"/>
  <c r="HM165" i="4"/>
  <c r="HN165" i="4"/>
  <c r="HO165" i="4"/>
  <c r="HP165" i="4"/>
  <c r="A166" i="4"/>
  <c r="B166" i="4"/>
  <c r="C166" i="4"/>
  <c r="D166" i="4"/>
  <c r="E166" i="4"/>
  <c r="F166" i="4"/>
  <c r="I166" i="4"/>
  <c r="J166" i="4"/>
  <c r="N166" i="4"/>
  <c r="O166" i="4"/>
  <c r="P166" i="4"/>
  <c r="Q166" i="4"/>
  <c r="R166" i="4"/>
  <c r="S166" i="4"/>
  <c r="T166" i="4"/>
  <c r="U166" i="4"/>
  <c r="V166" i="4"/>
  <c r="W166" i="4"/>
  <c r="X166" i="4"/>
  <c r="AX166" i="4"/>
  <c r="AY166" i="4"/>
  <c r="AZ166" i="4"/>
  <c r="BB166" i="4"/>
  <c r="BC166" i="4"/>
  <c r="BT166" i="4"/>
  <c r="BU166" i="4"/>
  <c r="BV166" i="4"/>
  <c r="BW166" i="4"/>
  <c r="EC166" i="4"/>
  <c r="ED166" i="4"/>
  <c r="EE166" i="4"/>
  <c r="EF166" i="4"/>
  <c r="EG166" i="4"/>
  <c r="EL166" i="4"/>
  <c r="EM166" i="4"/>
  <c r="EN166" i="4"/>
  <c r="EO166" i="4"/>
  <c r="EP166" i="4"/>
  <c r="EQ166" i="4"/>
  <c r="EV166" i="4"/>
  <c r="EX166" i="4"/>
  <c r="EY166" i="4"/>
  <c r="FA166" i="4"/>
  <c r="FB166" i="4"/>
  <c r="FC166" i="4"/>
  <c r="FD166" i="4"/>
  <c r="FE166" i="4"/>
  <c r="FF166" i="4"/>
  <c r="FG166" i="4"/>
  <c r="FH166" i="4"/>
  <c r="FI166" i="4"/>
  <c r="FJ166" i="4"/>
  <c r="FK166" i="4"/>
  <c r="FL166" i="4"/>
  <c r="FM166" i="4"/>
  <c r="FN166" i="4"/>
  <c r="FO166" i="4"/>
  <c r="FP166" i="4"/>
  <c r="FQ166" i="4"/>
  <c r="FR166" i="4"/>
  <c r="FS166" i="4"/>
  <c r="FT166" i="4"/>
  <c r="FU166" i="4"/>
  <c r="FV166" i="4"/>
  <c r="FW166" i="4"/>
  <c r="FX166" i="4"/>
  <c r="FY166" i="4"/>
  <c r="FZ166" i="4"/>
  <c r="GA166" i="4"/>
  <c r="GB166" i="4"/>
  <c r="GC166" i="4"/>
  <c r="GD166" i="4"/>
  <c r="GF166" i="4"/>
  <c r="GG166" i="4"/>
  <c r="GJ166" i="4"/>
  <c r="GK166" i="4"/>
  <c r="GM166" i="4"/>
  <c r="GN166" i="4"/>
  <c r="GP166" i="4"/>
  <c r="HJ166" i="4"/>
  <c r="HK166" i="4"/>
  <c r="HL166" i="4"/>
  <c r="HM166" i="4"/>
  <c r="HN166" i="4"/>
  <c r="HO166" i="4"/>
  <c r="HP166" i="4"/>
  <c r="A167" i="4"/>
  <c r="B167" i="4"/>
  <c r="C167" i="4"/>
  <c r="D167" i="4"/>
  <c r="E167" i="4"/>
  <c r="F167" i="4"/>
  <c r="I167" i="4"/>
  <c r="J167" i="4"/>
  <c r="N167" i="4"/>
  <c r="O167" i="4"/>
  <c r="P167" i="4"/>
  <c r="Q167" i="4"/>
  <c r="R167" i="4"/>
  <c r="S167" i="4"/>
  <c r="T167" i="4"/>
  <c r="U167" i="4"/>
  <c r="V167" i="4"/>
  <c r="W167" i="4"/>
  <c r="X167" i="4"/>
  <c r="AX167" i="4"/>
  <c r="AY167" i="4"/>
  <c r="AZ167" i="4"/>
  <c r="BB167" i="4"/>
  <c r="BC167" i="4"/>
  <c r="BT167" i="4"/>
  <c r="BU167" i="4"/>
  <c r="BV167" i="4"/>
  <c r="BW167" i="4"/>
  <c r="EC167" i="4"/>
  <c r="ED167" i="4"/>
  <c r="EE167" i="4"/>
  <c r="EF167" i="4"/>
  <c r="EG167" i="4"/>
  <c r="EL167" i="4"/>
  <c r="EM167" i="4"/>
  <c r="EN167" i="4"/>
  <c r="EO167" i="4"/>
  <c r="EP167" i="4"/>
  <c r="EQ167" i="4"/>
  <c r="EV167" i="4"/>
  <c r="EX167" i="4"/>
  <c r="EY167" i="4"/>
  <c r="FA167" i="4"/>
  <c r="FB167" i="4"/>
  <c r="FC167" i="4"/>
  <c r="FD167" i="4"/>
  <c r="FE167" i="4"/>
  <c r="FF167" i="4"/>
  <c r="FG167" i="4"/>
  <c r="FH167" i="4"/>
  <c r="FI167" i="4"/>
  <c r="FJ167" i="4"/>
  <c r="FK167" i="4"/>
  <c r="FL167" i="4"/>
  <c r="FM167" i="4"/>
  <c r="FN167" i="4"/>
  <c r="FO167" i="4"/>
  <c r="FP167" i="4"/>
  <c r="FQ167" i="4"/>
  <c r="FR167" i="4"/>
  <c r="FS167" i="4"/>
  <c r="FT167" i="4"/>
  <c r="FU167" i="4"/>
  <c r="FV167" i="4"/>
  <c r="FW167" i="4"/>
  <c r="FX167" i="4"/>
  <c r="FY167" i="4"/>
  <c r="FZ167" i="4"/>
  <c r="GA167" i="4"/>
  <c r="GB167" i="4"/>
  <c r="GC167" i="4"/>
  <c r="GD167" i="4"/>
  <c r="GF167" i="4"/>
  <c r="GG167" i="4"/>
  <c r="GJ167" i="4"/>
  <c r="GK167" i="4"/>
  <c r="GM167" i="4"/>
  <c r="GN167" i="4"/>
  <c r="GP167" i="4"/>
  <c r="HJ167" i="4"/>
  <c r="HK167" i="4"/>
  <c r="HL167" i="4"/>
  <c r="HM167" i="4"/>
  <c r="HN167" i="4"/>
  <c r="HO167" i="4"/>
  <c r="HP167" i="4"/>
  <c r="A168" i="4"/>
  <c r="B168" i="4"/>
  <c r="C168" i="4"/>
  <c r="D168" i="4"/>
  <c r="E168" i="4"/>
  <c r="F168" i="4"/>
  <c r="I168" i="4"/>
  <c r="J168" i="4"/>
  <c r="N168" i="4"/>
  <c r="O168" i="4"/>
  <c r="P168" i="4"/>
  <c r="Q168" i="4"/>
  <c r="R168" i="4"/>
  <c r="S168" i="4"/>
  <c r="T168" i="4"/>
  <c r="U168" i="4"/>
  <c r="V168" i="4"/>
  <c r="W168" i="4"/>
  <c r="X168" i="4"/>
  <c r="AX168" i="4"/>
  <c r="AY168" i="4"/>
  <c r="AZ168" i="4"/>
  <c r="BB168" i="4"/>
  <c r="BC168" i="4"/>
  <c r="BT168" i="4"/>
  <c r="BU168" i="4"/>
  <c r="BV168" i="4"/>
  <c r="BW168" i="4"/>
  <c r="EC168" i="4"/>
  <c r="ED168" i="4"/>
  <c r="EE168" i="4"/>
  <c r="EF168" i="4"/>
  <c r="EG168" i="4"/>
  <c r="EL168" i="4"/>
  <c r="EM168" i="4"/>
  <c r="EN168" i="4"/>
  <c r="EO168" i="4"/>
  <c r="EP168" i="4"/>
  <c r="EQ168" i="4"/>
  <c r="EV168" i="4"/>
  <c r="EX168" i="4"/>
  <c r="EY168" i="4"/>
  <c r="FA168" i="4"/>
  <c r="FB168" i="4"/>
  <c r="FC168" i="4"/>
  <c r="FD168" i="4"/>
  <c r="FE168" i="4"/>
  <c r="FF168" i="4"/>
  <c r="FG168" i="4"/>
  <c r="FH168" i="4"/>
  <c r="FI168" i="4"/>
  <c r="FJ168" i="4"/>
  <c r="FK168" i="4"/>
  <c r="FL168" i="4"/>
  <c r="FM168" i="4"/>
  <c r="FN168" i="4"/>
  <c r="FO168" i="4"/>
  <c r="FP168" i="4"/>
  <c r="FQ168" i="4"/>
  <c r="FR168" i="4"/>
  <c r="FS168" i="4"/>
  <c r="FT168" i="4"/>
  <c r="FU168" i="4"/>
  <c r="FV168" i="4"/>
  <c r="FW168" i="4"/>
  <c r="FX168" i="4"/>
  <c r="FY168" i="4"/>
  <c r="FZ168" i="4"/>
  <c r="GA168" i="4"/>
  <c r="GB168" i="4"/>
  <c r="GC168" i="4"/>
  <c r="GD168" i="4"/>
  <c r="GF168" i="4"/>
  <c r="GG168" i="4"/>
  <c r="GJ168" i="4"/>
  <c r="GK168" i="4"/>
  <c r="GM168" i="4"/>
  <c r="GN168" i="4"/>
  <c r="GP168" i="4"/>
  <c r="HJ168" i="4"/>
  <c r="HK168" i="4"/>
  <c r="HL168" i="4"/>
  <c r="HM168" i="4"/>
  <c r="HN168" i="4"/>
  <c r="HO168" i="4"/>
  <c r="HP168" i="4"/>
  <c r="A169" i="4"/>
  <c r="B169" i="4"/>
  <c r="C169" i="4"/>
  <c r="D169" i="4"/>
  <c r="E169" i="4"/>
  <c r="F169" i="4"/>
  <c r="I169" i="4"/>
  <c r="J169" i="4"/>
  <c r="N169" i="4"/>
  <c r="O169" i="4"/>
  <c r="P169" i="4"/>
  <c r="Q169" i="4"/>
  <c r="R169" i="4"/>
  <c r="S169" i="4"/>
  <c r="T169" i="4"/>
  <c r="U169" i="4"/>
  <c r="V169" i="4"/>
  <c r="W169" i="4"/>
  <c r="X169" i="4"/>
  <c r="AX169" i="4"/>
  <c r="AY169" i="4"/>
  <c r="AZ169" i="4"/>
  <c r="BB169" i="4"/>
  <c r="BC169" i="4"/>
  <c r="BT169" i="4"/>
  <c r="BU169" i="4"/>
  <c r="BV169" i="4"/>
  <c r="BW169" i="4"/>
  <c r="EC169" i="4"/>
  <c r="ED169" i="4"/>
  <c r="EE169" i="4"/>
  <c r="EF169" i="4"/>
  <c r="EG169" i="4"/>
  <c r="EL169" i="4"/>
  <c r="EM169" i="4"/>
  <c r="EN169" i="4"/>
  <c r="EO169" i="4"/>
  <c r="EP169" i="4"/>
  <c r="EQ169" i="4"/>
  <c r="EV169" i="4"/>
  <c r="EX169" i="4"/>
  <c r="EY169" i="4"/>
  <c r="FA169" i="4"/>
  <c r="FB169" i="4"/>
  <c r="FC169" i="4"/>
  <c r="FD169" i="4"/>
  <c r="FE169" i="4"/>
  <c r="FF169" i="4"/>
  <c r="FG169" i="4"/>
  <c r="FH169" i="4"/>
  <c r="FI169" i="4"/>
  <c r="FJ169" i="4"/>
  <c r="FK169" i="4"/>
  <c r="FL169" i="4"/>
  <c r="FM169" i="4"/>
  <c r="FN169" i="4"/>
  <c r="FO169" i="4"/>
  <c r="FP169" i="4"/>
  <c r="FQ169" i="4"/>
  <c r="FR169" i="4"/>
  <c r="FS169" i="4"/>
  <c r="FT169" i="4"/>
  <c r="FU169" i="4"/>
  <c r="FV169" i="4"/>
  <c r="FW169" i="4"/>
  <c r="FX169" i="4"/>
  <c r="FY169" i="4"/>
  <c r="FZ169" i="4"/>
  <c r="GA169" i="4"/>
  <c r="GB169" i="4"/>
  <c r="GC169" i="4"/>
  <c r="GD169" i="4"/>
  <c r="GF169" i="4"/>
  <c r="GG169" i="4"/>
  <c r="GJ169" i="4"/>
  <c r="GK169" i="4"/>
  <c r="GM169" i="4"/>
  <c r="GN169" i="4"/>
  <c r="GP169" i="4"/>
  <c r="HJ169" i="4"/>
  <c r="HK169" i="4"/>
  <c r="HL169" i="4"/>
  <c r="HM169" i="4"/>
  <c r="HN169" i="4"/>
  <c r="HO169" i="4"/>
  <c r="HP169" i="4"/>
  <c r="A170" i="4"/>
  <c r="B170" i="4"/>
  <c r="C170" i="4"/>
  <c r="D170" i="4"/>
  <c r="E170" i="4"/>
  <c r="F170" i="4"/>
  <c r="I170" i="4"/>
  <c r="J170" i="4"/>
  <c r="N170" i="4"/>
  <c r="O170" i="4"/>
  <c r="P170" i="4"/>
  <c r="Q170" i="4"/>
  <c r="R170" i="4"/>
  <c r="S170" i="4"/>
  <c r="T170" i="4"/>
  <c r="U170" i="4"/>
  <c r="V170" i="4"/>
  <c r="W170" i="4"/>
  <c r="X170" i="4"/>
  <c r="AX170" i="4"/>
  <c r="AY170" i="4"/>
  <c r="AZ170" i="4"/>
  <c r="BB170" i="4"/>
  <c r="BC170" i="4"/>
  <c r="BT170" i="4"/>
  <c r="BU170" i="4"/>
  <c r="BV170" i="4"/>
  <c r="BW170" i="4"/>
  <c r="EC170" i="4"/>
  <c r="ED170" i="4"/>
  <c r="EE170" i="4"/>
  <c r="EF170" i="4"/>
  <c r="EG170" i="4"/>
  <c r="EL170" i="4"/>
  <c r="EM170" i="4"/>
  <c r="EN170" i="4"/>
  <c r="EO170" i="4"/>
  <c r="EP170" i="4"/>
  <c r="EQ170" i="4"/>
  <c r="EV170" i="4"/>
  <c r="EX170" i="4"/>
  <c r="EY170" i="4"/>
  <c r="FA170" i="4"/>
  <c r="FB170" i="4"/>
  <c r="FC170" i="4"/>
  <c r="FD170" i="4"/>
  <c r="FE170" i="4"/>
  <c r="FF170" i="4"/>
  <c r="FG170" i="4"/>
  <c r="FH170" i="4"/>
  <c r="FI170" i="4"/>
  <c r="FJ170" i="4"/>
  <c r="FK170" i="4"/>
  <c r="FL170" i="4"/>
  <c r="FM170" i="4"/>
  <c r="FN170" i="4"/>
  <c r="FO170" i="4"/>
  <c r="FP170" i="4"/>
  <c r="FQ170" i="4"/>
  <c r="FR170" i="4"/>
  <c r="FS170" i="4"/>
  <c r="FT170" i="4"/>
  <c r="FU170" i="4"/>
  <c r="FV170" i="4"/>
  <c r="FW170" i="4"/>
  <c r="FX170" i="4"/>
  <c r="FY170" i="4"/>
  <c r="FZ170" i="4"/>
  <c r="GA170" i="4"/>
  <c r="GB170" i="4"/>
  <c r="GC170" i="4"/>
  <c r="GD170" i="4"/>
  <c r="GF170" i="4"/>
  <c r="GG170" i="4"/>
  <c r="GJ170" i="4"/>
  <c r="GK170" i="4"/>
  <c r="GM170" i="4"/>
  <c r="GN170" i="4"/>
  <c r="GP170" i="4"/>
  <c r="HJ170" i="4"/>
  <c r="HK170" i="4"/>
  <c r="HL170" i="4"/>
  <c r="HM170" i="4"/>
  <c r="HN170" i="4"/>
  <c r="HO170" i="4"/>
  <c r="HP170" i="4"/>
  <c r="A171" i="4"/>
  <c r="B171" i="4"/>
  <c r="C171" i="4"/>
  <c r="D171" i="4"/>
  <c r="E171" i="4"/>
  <c r="F171" i="4"/>
  <c r="I171" i="4"/>
  <c r="J171" i="4"/>
  <c r="N171" i="4"/>
  <c r="O171" i="4"/>
  <c r="P171" i="4"/>
  <c r="Q171" i="4"/>
  <c r="R171" i="4"/>
  <c r="S171" i="4"/>
  <c r="T171" i="4"/>
  <c r="U171" i="4"/>
  <c r="V171" i="4"/>
  <c r="W171" i="4"/>
  <c r="X171" i="4"/>
  <c r="AX171" i="4"/>
  <c r="AY171" i="4"/>
  <c r="AZ171" i="4"/>
  <c r="BB171" i="4"/>
  <c r="BC171" i="4"/>
  <c r="BT171" i="4"/>
  <c r="BU171" i="4"/>
  <c r="BV171" i="4"/>
  <c r="BW171" i="4"/>
  <c r="EC171" i="4"/>
  <c r="ED171" i="4"/>
  <c r="EE171" i="4"/>
  <c r="EF171" i="4"/>
  <c r="EG171" i="4"/>
  <c r="EL171" i="4"/>
  <c r="EM171" i="4"/>
  <c r="EN171" i="4"/>
  <c r="EO171" i="4"/>
  <c r="EP171" i="4"/>
  <c r="EQ171" i="4"/>
  <c r="EV171" i="4"/>
  <c r="EX171" i="4"/>
  <c r="EY171" i="4"/>
  <c r="FA171" i="4"/>
  <c r="FB171" i="4"/>
  <c r="FC171" i="4"/>
  <c r="FD171" i="4"/>
  <c r="FE171" i="4"/>
  <c r="FF171" i="4"/>
  <c r="FG171" i="4"/>
  <c r="FH171" i="4"/>
  <c r="FI171" i="4"/>
  <c r="FJ171" i="4"/>
  <c r="FK171" i="4"/>
  <c r="FL171" i="4"/>
  <c r="FM171" i="4"/>
  <c r="FN171" i="4"/>
  <c r="FO171" i="4"/>
  <c r="FP171" i="4"/>
  <c r="FQ171" i="4"/>
  <c r="FR171" i="4"/>
  <c r="FS171" i="4"/>
  <c r="FT171" i="4"/>
  <c r="FU171" i="4"/>
  <c r="FV171" i="4"/>
  <c r="FW171" i="4"/>
  <c r="FX171" i="4"/>
  <c r="FY171" i="4"/>
  <c r="FZ171" i="4"/>
  <c r="GA171" i="4"/>
  <c r="GB171" i="4"/>
  <c r="GC171" i="4"/>
  <c r="GD171" i="4"/>
  <c r="GF171" i="4"/>
  <c r="GG171" i="4"/>
  <c r="GJ171" i="4"/>
  <c r="GK171" i="4"/>
  <c r="GM171" i="4"/>
  <c r="GN171" i="4"/>
  <c r="GP171" i="4"/>
  <c r="HJ171" i="4"/>
  <c r="HK171" i="4"/>
  <c r="HL171" i="4"/>
  <c r="HM171" i="4"/>
  <c r="HN171" i="4"/>
  <c r="HO171" i="4"/>
  <c r="HP171" i="4"/>
  <c r="A172" i="4"/>
  <c r="B172" i="4"/>
  <c r="C172" i="4"/>
  <c r="D172" i="4"/>
  <c r="E172" i="4"/>
  <c r="F172" i="4"/>
  <c r="I172" i="4"/>
  <c r="J172" i="4"/>
  <c r="N172" i="4"/>
  <c r="O172" i="4"/>
  <c r="P172" i="4"/>
  <c r="Q172" i="4"/>
  <c r="R172" i="4"/>
  <c r="S172" i="4"/>
  <c r="T172" i="4"/>
  <c r="U172" i="4"/>
  <c r="V172" i="4"/>
  <c r="W172" i="4"/>
  <c r="X172" i="4"/>
  <c r="AX172" i="4"/>
  <c r="AY172" i="4"/>
  <c r="AZ172" i="4"/>
  <c r="BB172" i="4"/>
  <c r="BC172" i="4"/>
  <c r="BT172" i="4"/>
  <c r="BU172" i="4"/>
  <c r="BV172" i="4"/>
  <c r="BW172" i="4"/>
  <c r="EC172" i="4"/>
  <c r="ED172" i="4"/>
  <c r="EE172" i="4"/>
  <c r="EF172" i="4"/>
  <c r="EG172" i="4"/>
  <c r="EL172" i="4"/>
  <c r="EM172" i="4"/>
  <c r="EN172" i="4"/>
  <c r="EO172" i="4"/>
  <c r="EP172" i="4"/>
  <c r="EQ172" i="4"/>
  <c r="EV172" i="4"/>
  <c r="EX172" i="4"/>
  <c r="EY172" i="4"/>
  <c r="FA172" i="4"/>
  <c r="FB172" i="4"/>
  <c r="FC172" i="4"/>
  <c r="FD172" i="4"/>
  <c r="FE172" i="4"/>
  <c r="FF172" i="4"/>
  <c r="FG172" i="4"/>
  <c r="FH172" i="4"/>
  <c r="FI172" i="4"/>
  <c r="FJ172" i="4"/>
  <c r="FK172" i="4"/>
  <c r="FL172" i="4"/>
  <c r="FM172" i="4"/>
  <c r="FN172" i="4"/>
  <c r="FO172" i="4"/>
  <c r="FP172" i="4"/>
  <c r="FQ172" i="4"/>
  <c r="FR172" i="4"/>
  <c r="FS172" i="4"/>
  <c r="FT172" i="4"/>
  <c r="FU172" i="4"/>
  <c r="FV172" i="4"/>
  <c r="FW172" i="4"/>
  <c r="FX172" i="4"/>
  <c r="FY172" i="4"/>
  <c r="FZ172" i="4"/>
  <c r="GA172" i="4"/>
  <c r="GB172" i="4"/>
  <c r="GC172" i="4"/>
  <c r="GD172" i="4"/>
  <c r="GF172" i="4"/>
  <c r="GG172" i="4"/>
  <c r="GJ172" i="4"/>
  <c r="GK172" i="4"/>
  <c r="GM172" i="4"/>
  <c r="GN172" i="4"/>
  <c r="GP172" i="4"/>
  <c r="HJ172" i="4"/>
  <c r="HK172" i="4"/>
  <c r="HL172" i="4"/>
  <c r="HM172" i="4"/>
  <c r="HN172" i="4"/>
  <c r="HO172" i="4"/>
  <c r="HP172" i="4"/>
  <c r="A173" i="4"/>
  <c r="B173" i="4"/>
  <c r="C173" i="4"/>
  <c r="D173" i="4"/>
  <c r="E173" i="4"/>
  <c r="F173" i="4"/>
  <c r="I173" i="4"/>
  <c r="J173" i="4"/>
  <c r="N173" i="4"/>
  <c r="O173" i="4"/>
  <c r="P173" i="4"/>
  <c r="Q173" i="4"/>
  <c r="R173" i="4"/>
  <c r="S173" i="4"/>
  <c r="T173" i="4"/>
  <c r="U173" i="4"/>
  <c r="V173" i="4"/>
  <c r="W173" i="4"/>
  <c r="X173" i="4"/>
  <c r="AX173" i="4"/>
  <c r="AY173" i="4"/>
  <c r="AZ173" i="4"/>
  <c r="BB173" i="4"/>
  <c r="BC173" i="4"/>
  <c r="BT173" i="4"/>
  <c r="BU173" i="4"/>
  <c r="BV173" i="4"/>
  <c r="BW173" i="4"/>
  <c r="EC173" i="4"/>
  <c r="ED173" i="4"/>
  <c r="EE173" i="4"/>
  <c r="EF173" i="4"/>
  <c r="EG173" i="4"/>
  <c r="EL173" i="4"/>
  <c r="EM173" i="4"/>
  <c r="EN173" i="4"/>
  <c r="EO173" i="4"/>
  <c r="EP173" i="4"/>
  <c r="EQ173" i="4"/>
  <c r="EV173" i="4"/>
  <c r="EX173" i="4"/>
  <c r="EY173" i="4"/>
  <c r="FA173" i="4"/>
  <c r="FB173" i="4"/>
  <c r="FC173" i="4"/>
  <c r="FD173" i="4"/>
  <c r="FE173" i="4"/>
  <c r="FF173" i="4"/>
  <c r="FG173" i="4"/>
  <c r="FH173" i="4"/>
  <c r="FI173" i="4"/>
  <c r="FJ173" i="4"/>
  <c r="FK173" i="4"/>
  <c r="FL173" i="4"/>
  <c r="FM173" i="4"/>
  <c r="FN173" i="4"/>
  <c r="FO173" i="4"/>
  <c r="FP173" i="4"/>
  <c r="FQ173" i="4"/>
  <c r="FR173" i="4"/>
  <c r="FS173" i="4"/>
  <c r="FT173" i="4"/>
  <c r="FU173" i="4"/>
  <c r="FV173" i="4"/>
  <c r="FW173" i="4"/>
  <c r="FX173" i="4"/>
  <c r="FY173" i="4"/>
  <c r="FZ173" i="4"/>
  <c r="GA173" i="4"/>
  <c r="GB173" i="4"/>
  <c r="GC173" i="4"/>
  <c r="GD173" i="4"/>
  <c r="GF173" i="4"/>
  <c r="GG173" i="4"/>
  <c r="GJ173" i="4"/>
  <c r="GK173" i="4"/>
  <c r="GM173" i="4"/>
  <c r="GN173" i="4"/>
  <c r="GP173" i="4"/>
  <c r="HJ173" i="4"/>
  <c r="HK173" i="4"/>
  <c r="HL173" i="4"/>
  <c r="HM173" i="4"/>
  <c r="HN173" i="4"/>
  <c r="HO173" i="4"/>
  <c r="HP173" i="4"/>
  <c r="A174" i="4"/>
  <c r="B174" i="4"/>
  <c r="C174" i="4"/>
  <c r="D174" i="4"/>
  <c r="E174" i="4"/>
  <c r="F174" i="4"/>
  <c r="I174" i="4"/>
  <c r="J174" i="4"/>
  <c r="N174" i="4"/>
  <c r="O174" i="4"/>
  <c r="P174" i="4"/>
  <c r="Q174" i="4"/>
  <c r="R174" i="4"/>
  <c r="S174" i="4"/>
  <c r="T174" i="4"/>
  <c r="U174" i="4"/>
  <c r="V174" i="4"/>
  <c r="W174" i="4"/>
  <c r="X174" i="4"/>
  <c r="AX174" i="4"/>
  <c r="AY174" i="4"/>
  <c r="AZ174" i="4"/>
  <c r="BB174" i="4"/>
  <c r="BC174" i="4"/>
  <c r="BT174" i="4"/>
  <c r="BU174" i="4"/>
  <c r="BV174" i="4"/>
  <c r="BW174" i="4"/>
  <c r="EC174" i="4"/>
  <c r="ED174" i="4"/>
  <c r="EE174" i="4"/>
  <c r="EF174" i="4"/>
  <c r="EG174" i="4"/>
  <c r="EL174" i="4"/>
  <c r="EM174" i="4"/>
  <c r="EN174" i="4"/>
  <c r="EO174" i="4"/>
  <c r="EP174" i="4"/>
  <c r="EQ174" i="4"/>
  <c r="EV174" i="4"/>
  <c r="EX174" i="4"/>
  <c r="EY174" i="4"/>
  <c r="FA174" i="4"/>
  <c r="FB174" i="4"/>
  <c r="FC174" i="4"/>
  <c r="FD174" i="4"/>
  <c r="FE174" i="4"/>
  <c r="FF174" i="4"/>
  <c r="FG174" i="4"/>
  <c r="FH174" i="4"/>
  <c r="FI174" i="4"/>
  <c r="FJ174" i="4"/>
  <c r="FK174" i="4"/>
  <c r="FL174" i="4"/>
  <c r="FM174" i="4"/>
  <c r="FN174" i="4"/>
  <c r="FO174" i="4"/>
  <c r="FP174" i="4"/>
  <c r="FQ174" i="4"/>
  <c r="FR174" i="4"/>
  <c r="FS174" i="4"/>
  <c r="FT174" i="4"/>
  <c r="FU174" i="4"/>
  <c r="FV174" i="4"/>
  <c r="FW174" i="4"/>
  <c r="FX174" i="4"/>
  <c r="FY174" i="4"/>
  <c r="FZ174" i="4"/>
  <c r="GA174" i="4"/>
  <c r="GB174" i="4"/>
  <c r="GC174" i="4"/>
  <c r="GD174" i="4"/>
  <c r="GF174" i="4"/>
  <c r="GG174" i="4"/>
  <c r="GJ174" i="4"/>
  <c r="GK174" i="4"/>
  <c r="GM174" i="4"/>
  <c r="GN174" i="4"/>
  <c r="GP174" i="4"/>
  <c r="HJ174" i="4"/>
  <c r="HK174" i="4"/>
  <c r="HL174" i="4"/>
  <c r="HM174" i="4"/>
  <c r="HN174" i="4"/>
  <c r="HO174" i="4"/>
  <c r="HP174" i="4"/>
  <c r="A175" i="4"/>
  <c r="B175" i="4"/>
  <c r="C175" i="4"/>
  <c r="D175" i="4"/>
  <c r="E175" i="4"/>
  <c r="F175" i="4"/>
  <c r="I175" i="4"/>
  <c r="J175" i="4"/>
  <c r="N175" i="4"/>
  <c r="O175" i="4"/>
  <c r="P175" i="4"/>
  <c r="Q175" i="4"/>
  <c r="R175" i="4"/>
  <c r="S175" i="4"/>
  <c r="T175" i="4"/>
  <c r="U175" i="4"/>
  <c r="V175" i="4"/>
  <c r="W175" i="4"/>
  <c r="X175" i="4"/>
  <c r="AX175" i="4"/>
  <c r="AY175" i="4"/>
  <c r="AZ175" i="4"/>
  <c r="BB175" i="4"/>
  <c r="BC175" i="4"/>
  <c r="BT175" i="4"/>
  <c r="BU175" i="4"/>
  <c r="BV175" i="4"/>
  <c r="BW175" i="4"/>
  <c r="EC175" i="4"/>
  <c r="ED175" i="4"/>
  <c r="EE175" i="4"/>
  <c r="EF175" i="4"/>
  <c r="EG175" i="4"/>
  <c r="EL175" i="4"/>
  <c r="EM175" i="4"/>
  <c r="EN175" i="4"/>
  <c r="EO175" i="4"/>
  <c r="EP175" i="4"/>
  <c r="EQ175" i="4"/>
  <c r="EV175" i="4"/>
  <c r="EX175" i="4"/>
  <c r="EY175" i="4"/>
  <c r="FA175" i="4"/>
  <c r="FB175" i="4"/>
  <c r="FC175" i="4"/>
  <c r="FD175" i="4"/>
  <c r="FE175" i="4"/>
  <c r="FF175" i="4"/>
  <c r="FG175" i="4"/>
  <c r="FH175" i="4"/>
  <c r="FI175" i="4"/>
  <c r="FJ175" i="4"/>
  <c r="FK175" i="4"/>
  <c r="FL175" i="4"/>
  <c r="FM175" i="4"/>
  <c r="FN175" i="4"/>
  <c r="FO175" i="4"/>
  <c r="FP175" i="4"/>
  <c r="FQ175" i="4"/>
  <c r="FR175" i="4"/>
  <c r="FS175" i="4"/>
  <c r="FT175" i="4"/>
  <c r="FU175" i="4"/>
  <c r="FV175" i="4"/>
  <c r="FW175" i="4"/>
  <c r="FX175" i="4"/>
  <c r="FY175" i="4"/>
  <c r="FZ175" i="4"/>
  <c r="GA175" i="4"/>
  <c r="GB175" i="4"/>
  <c r="GC175" i="4"/>
  <c r="GD175" i="4"/>
  <c r="GF175" i="4"/>
  <c r="GG175" i="4"/>
  <c r="GJ175" i="4"/>
  <c r="GK175" i="4"/>
  <c r="GM175" i="4"/>
  <c r="GN175" i="4"/>
  <c r="GP175" i="4"/>
  <c r="HJ175" i="4"/>
  <c r="HK175" i="4"/>
  <c r="HL175" i="4"/>
  <c r="HM175" i="4"/>
  <c r="HN175" i="4"/>
  <c r="HO175" i="4"/>
  <c r="HP175" i="4"/>
  <c r="A176" i="4"/>
  <c r="B176" i="4"/>
  <c r="C176" i="4"/>
  <c r="D176" i="4"/>
  <c r="E176" i="4"/>
  <c r="F176" i="4"/>
  <c r="I176" i="4"/>
  <c r="J176" i="4"/>
  <c r="N176" i="4"/>
  <c r="O176" i="4"/>
  <c r="P176" i="4"/>
  <c r="Q176" i="4"/>
  <c r="R176" i="4"/>
  <c r="S176" i="4"/>
  <c r="T176" i="4"/>
  <c r="U176" i="4"/>
  <c r="V176" i="4"/>
  <c r="W176" i="4"/>
  <c r="X176" i="4"/>
  <c r="AX176" i="4"/>
  <c r="AY176" i="4"/>
  <c r="AZ176" i="4"/>
  <c r="BB176" i="4"/>
  <c r="BC176" i="4"/>
  <c r="BT176" i="4"/>
  <c r="BU176" i="4"/>
  <c r="BV176" i="4"/>
  <c r="BW176" i="4"/>
  <c r="EC176" i="4"/>
  <c r="ED176" i="4"/>
  <c r="EE176" i="4"/>
  <c r="EF176" i="4"/>
  <c r="EG176" i="4"/>
  <c r="EL176" i="4"/>
  <c r="EM176" i="4"/>
  <c r="EN176" i="4"/>
  <c r="EO176" i="4"/>
  <c r="EP176" i="4"/>
  <c r="EQ176" i="4"/>
  <c r="EV176" i="4"/>
  <c r="EX176" i="4"/>
  <c r="EY176" i="4"/>
  <c r="FA176" i="4"/>
  <c r="FB176" i="4"/>
  <c r="FC176" i="4"/>
  <c r="FD176" i="4"/>
  <c r="FE176" i="4"/>
  <c r="FF176" i="4"/>
  <c r="FG176" i="4"/>
  <c r="FH176" i="4"/>
  <c r="FI176" i="4"/>
  <c r="FJ176" i="4"/>
  <c r="FK176" i="4"/>
  <c r="FL176" i="4"/>
  <c r="FM176" i="4"/>
  <c r="FN176" i="4"/>
  <c r="FO176" i="4"/>
  <c r="FP176" i="4"/>
  <c r="FQ176" i="4"/>
  <c r="FR176" i="4"/>
  <c r="FS176" i="4"/>
  <c r="FT176" i="4"/>
  <c r="FU176" i="4"/>
  <c r="FV176" i="4"/>
  <c r="FW176" i="4"/>
  <c r="FX176" i="4"/>
  <c r="FY176" i="4"/>
  <c r="FZ176" i="4"/>
  <c r="GA176" i="4"/>
  <c r="GB176" i="4"/>
  <c r="GC176" i="4"/>
  <c r="GD176" i="4"/>
  <c r="GF176" i="4"/>
  <c r="GG176" i="4"/>
  <c r="GJ176" i="4"/>
  <c r="GK176" i="4"/>
  <c r="GM176" i="4"/>
  <c r="GN176" i="4"/>
  <c r="GP176" i="4"/>
  <c r="HJ176" i="4"/>
  <c r="HK176" i="4"/>
  <c r="HL176" i="4"/>
  <c r="HM176" i="4"/>
  <c r="HN176" i="4"/>
  <c r="HO176" i="4"/>
  <c r="HP176" i="4"/>
  <c r="A177" i="4"/>
  <c r="B177" i="4"/>
  <c r="C177" i="4"/>
  <c r="D177" i="4"/>
  <c r="E177" i="4"/>
  <c r="F177" i="4"/>
  <c r="I177" i="4"/>
  <c r="J177" i="4"/>
  <c r="N177" i="4"/>
  <c r="O177" i="4"/>
  <c r="P177" i="4"/>
  <c r="Q177" i="4"/>
  <c r="R177" i="4"/>
  <c r="S177" i="4"/>
  <c r="T177" i="4"/>
  <c r="U177" i="4"/>
  <c r="V177" i="4"/>
  <c r="W177" i="4"/>
  <c r="X177" i="4"/>
  <c r="AX177" i="4"/>
  <c r="AY177" i="4"/>
  <c r="AZ177" i="4"/>
  <c r="BB177" i="4"/>
  <c r="BC177" i="4"/>
  <c r="BT177" i="4"/>
  <c r="BU177" i="4"/>
  <c r="BV177" i="4"/>
  <c r="BW177" i="4"/>
  <c r="EC177" i="4"/>
  <c r="ED177" i="4"/>
  <c r="EE177" i="4"/>
  <c r="EF177" i="4"/>
  <c r="EG177" i="4"/>
  <c r="EL177" i="4"/>
  <c r="EM177" i="4"/>
  <c r="EN177" i="4"/>
  <c r="EO177" i="4"/>
  <c r="EP177" i="4"/>
  <c r="EQ177" i="4"/>
  <c r="EV177" i="4"/>
  <c r="EX177" i="4"/>
  <c r="EY177" i="4"/>
  <c r="FA177" i="4"/>
  <c r="FB177" i="4"/>
  <c r="FC177" i="4"/>
  <c r="FD177" i="4"/>
  <c r="FE177" i="4"/>
  <c r="FF177" i="4"/>
  <c r="FG177" i="4"/>
  <c r="FH177" i="4"/>
  <c r="FI177" i="4"/>
  <c r="FJ177" i="4"/>
  <c r="FK177" i="4"/>
  <c r="FL177" i="4"/>
  <c r="FM177" i="4"/>
  <c r="FN177" i="4"/>
  <c r="FO177" i="4"/>
  <c r="FP177" i="4"/>
  <c r="FQ177" i="4"/>
  <c r="FR177" i="4"/>
  <c r="FS177" i="4"/>
  <c r="FT177" i="4"/>
  <c r="FU177" i="4"/>
  <c r="FV177" i="4"/>
  <c r="FW177" i="4"/>
  <c r="FX177" i="4"/>
  <c r="FY177" i="4"/>
  <c r="FZ177" i="4"/>
  <c r="GA177" i="4"/>
  <c r="GB177" i="4"/>
  <c r="GC177" i="4"/>
  <c r="GD177" i="4"/>
  <c r="GF177" i="4"/>
  <c r="GG177" i="4"/>
  <c r="GJ177" i="4"/>
  <c r="GK177" i="4"/>
  <c r="GM177" i="4"/>
  <c r="GN177" i="4"/>
  <c r="GP177" i="4"/>
  <c r="HJ177" i="4"/>
  <c r="HK177" i="4"/>
  <c r="HL177" i="4"/>
  <c r="HM177" i="4"/>
  <c r="HN177" i="4"/>
  <c r="HO177" i="4"/>
  <c r="HP177" i="4"/>
  <c r="A178" i="4"/>
  <c r="B178" i="4"/>
  <c r="C178" i="4"/>
  <c r="D178" i="4"/>
  <c r="E178" i="4"/>
  <c r="F178" i="4"/>
  <c r="I178" i="4"/>
  <c r="J178" i="4"/>
  <c r="N178" i="4"/>
  <c r="O178" i="4"/>
  <c r="P178" i="4"/>
  <c r="Q178" i="4"/>
  <c r="R178" i="4"/>
  <c r="S178" i="4"/>
  <c r="T178" i="4"/>
  <c r="U178" i="4"/>
  <c r="V178" i="4"/>
  <c r="W178" i="4"/>
  <c r="X178" i="4"/>
  <c r="AX178" i="4"/>
  <c r="AY178" i="4"/>
  <c r="AZ178" i="4"/>
  <c r="BB178" i="4"/>
  <c r="BC178" i="4"/>
  <c r="BT178" i="4"/>
  <c r="BU178" i="4"/>
  <c r="BV178" i="4"/>
  <c r="BW178" i="4"/>
  <c r="EC178" i="4"/>
  <c r="ED178" i="4"/>
  <c r="EE178" i="4"/>
  <c r="EF178" i="4"/>
  <c r="EG178" i="4"/>
  <c r="EL178" i="4"/>
  <c r="EM178" i="4"/>
  <c r="EN178" i="4"/>
  <c r="EO178" i="4"/>
  <c r="EP178" i="4"/>
  <c r="EQ178" i="4"/>
  <c r="EV178" i="4"/>
  <c r="EX178" i="4"/>
  <c r="EY178" i="4"/>
  <c r="FA178" i="4"/>
  <c r="FB178" i="4"/>
  <c r="FC178" i="4"/>
  <c r="FD178" i="4"/>
  <c r="FE178" i="4"/>
  <c r="FF178" i="4"/>
  <c r="FG178" i="4"/>
  <c r="FH178" i="4"/>
  <c r="FI178" i="4"/>
  <c r="FJ178" i="4"/>
  <c r="FK178" i="4"/>
  <c r="FL178" i="4"/>
  <c r="FM178" i="4"/>
  <c r="FN178" i="4"/>
  <c r="FO178" i="4"/>
  <c r="FP178" i="4"/>
  <c r="FQ178" i="4"/>
  <c r="FR178" i="4"/>
  <c r="FS178" i="4"/>
  <c r="FT178" i="4"/>
  <c r="FU178" i="4"/>
  <c r="FV178" i="4"/>
  <c r="FW178" i="4"/>
  <c r="FX178" i="4"/>
  <c r="FY178" i="4"/>
  <c r="FZ178" i="4"/>
  <c r="GA178" i="4"/>
  <c r="GB178" i="4"/>
  <c r="GC178" i="4"/>
  <c r="GD178" i="4"/>
  <c r="GF178" i="4"/>
  <c r="GG178" i="4"/>
  <c r="GJ178" i="4"/>
  <c r="GK178" i="4"/>
  <c r="GM178" i="4"/>
  <c r="GN178" i="4"/>
  <c r="GP178" i="4"/>
  <c r="HJ178" i="4"/>
  <c r="HK178" i="4"/>
  <c r="HL178" i="4"/>
  <c r="HM178" i="4"/>
  <c r="HN178" i="4"/>
  <c r="HO178" i="4"/>
  <c r="HP178" i="4"/>
  <c r="A179" i="4"/>
  <c r="B179" i="4"/>
  <c r="C179" i="4"/>
  <c r="D179" i="4"/>
  <c r="E179" i="4"/>
  <c r="F179" i="4"/>
  <c r="I179" i="4"/>
  <c r="J179" i="4"/>
  <c r="N179" i="4"/>
  <c r="O179" i="4"/>
  <c r="P179" i="4"/>
  <c r="Q179" i="4"/>
  <c r="R179" i="4"/>
  <c r="S179" i="4"/>
  <c r="T179" i="4"/>
  <c r="U179" i="4"/>
  <c r="V179" i="4"/>
  <c r="W179" i="4"/>
  <c r="X179" i="4"/>
  <c r="AX179" i="4"/>
  <c r="AY179" i="4"/>
  <c r="AZ179" i="4"/>
  <c r="BB179" i="4"/>
  <c r="BC179" i="4"/>
  <c r="BT179" i="4"/>
  <c r="BU179" i="4"/>
  <c r="BV179" i="4"/>
  <c r="BW179" i="4"/>
  <c r="EC179" i="4"/>
  <c r="ED179" i="4"/>
  <c r="EE179" i="4"/>
  <c r="EF179" i="4"/>
  <c r="EG179" i="4"/>
  <c r="EL179" i="4"/>
  <c r="EM179" i="4"/>
  <c r="EN179" i="4"/>
  <c r="EO179" i="4"/>
  <c r="EP179" i="4"/>
  <c r="EQ179" i="4"/>
  <c r="EV179" i="4"/>
  <c r="EX179" i="4"/>
  <c r="EY179" i="4"/>
  <c r="FA179" i="4"/>
  <c r="FB179" i="4"/>
  <c r="FC179" i="4"/>
  <c r="FD179" i="4"/>
  <c r="FE179" i="4"/>
  <c r="FF179" i="4"/>
  <c r="FG179" i="4"/>
  <c r="FH179" i="4"/>
  <c r="FI179" i="4"/>
  <c r="FJ179" i="4"/>
  <c r="FK179" i="4"/>
  <c r="FL179" i="4"/>
  <c r="FM179" i="4"/>
  <c r="FN179" i="4"/>
  <c r="FO179" i="4"/>
  <c r="FP179" i="4"/>
  <c r="FQ179" i="4"/>
  <c r="FR179" i="4"/>
  <c r="FS179" i="4"/>
  <c r="FT179" i="4"/>
  <c r="FU179" i="4"/>
  <c r="FV179" i="4"/>
  <c r="FW179" i="4"/>
  <c r="FX179" i="4"/>
  <c r="FY179" i="4"/>
  <c r="FZ179" i="4"/>
  <c r="GA179" i="4"/>
  <c r="GB179" i="4"/>
  <c r="GC179" i="4"/>
  <c r="GD179" i="4"/>
  <c r="GF179" i="4"/>
  <c r="GG179" i="4"/>
  <c r="GJ179" i="4"/>
  <c r="GK179" i="4"/>
  <c r="GM179" i="4"/>
  <c r="GN179" i="4"/>
  <c r="GP179" i="4"/>
  <c r="HJ179" i="4"/>
  <c r="HK179" i="4"/>
  <c r="HL179" i="4"/>
  <c r="HM179" i="4"/>
  <c r="HN179" i="4"/>
  <c r="HO179" i="4"/>
  <c r="HP179" i="4"/>
  <c r="A180" i="4"/>
  <c r="B180" i="4"/>
  <c r="C180" i="4"/>
  <c r="D180" i="4"/>
  <c r="E180" i="4"/>
  <c r="F180" i="4"/>
  <c r="I180" i="4"/>
  <c r="J180" i="4"/>
  <c r="N180" i="4"/>
  <c r="O180" i="4"/>
  <c r="P180" i="4"/>
  <c r="Q180" i="4"/>
  <c r="R180" i="4"/>
  <c r="S180" i="4"/>
  <c r="T180" i="4"/>
  <c r="U180" i="4"/>
  <c r="V180" i="4"/>
  <c r="W180" i="4"/>
  <c r="X180" i="4"/>
  <c r="AX180" i="4"/>
  <c r="AY180" i="4"/>
  <c r="AZ180" i="4"/>
  <c r="BB180" i="4"/>
  <c r="BC180" i="4"/>
  <c r="BT180" i="4"/>
  <c r="BU180" i="4"/>
  <c r="BV180" i="4"/>
  <c r="BW180" i="4"/>
  <c r="EC180" i="4"/>
  <c r="ED180" i="4"/>
  <c r="EE180" i="4"/>
  <c r="EF180" i="4"/>
  <c r="EG180" i="4"/>
  <c r="EL180" i="4"/>
  <c r="EM180" i="4"/>
  <c r="EN180" i="4"/>
  <c r="EO180" i="4"/>
  <c r="EP180" i="4"/>
  <c r="EQ180" i="4"/>
  <c r="EV180" i="4"/>
  <c r="EX180" i="4"/>
  <c r="EY180" i="4"/>
  <c r="FA180" i="4"/>
  <c r="FB180" i="4"/>
  <c r="FC180" i="4"/>
  <c r="FD180" i="4"/>
  <c r="FE180" i="4"/>
  <c r="FF180" i="4"/>
  <c r="FG180" i="4"/>
  <c r="FH180" i="4"/>
  <c r="FI180" i="4"/>
  <c r="FJ180" i="4"/>
  <c r="FK180" i="4"/>
  <c r="FL180" i="4"/>
  <c r="FM180" i="4"/>
  <c r="FN180" i="4"/>
  <c r="FO180" i="4"/>
  <c r="FP180" i="4"/>
  <c r="FQ180" i="4"/>
  <c r="FR180" i="4"/>
  <c r="FS180" i="4"/>
  <c r="FT180" i="4"/>
  <c r="FU180" i="4"/>
  <c r="FV180" i="4"/>
  <c r="FW180" i="4"/>
  <c r="FX180" i="4"/>
  <c r="FY180" i="4"/>
  <c r="FZ180" i="4"/>
  <c r="GA180" i="4"/>
  <c r="GB180" i="4"/>
  <c r="GC180" i="4"/>
  <c r="GD180" i="4"/>
  <c r="GF180" i="4"/>
  <c r="GG180" i="4"/>
  <c r="GJ180" i="4"/>
  <c r="GK180" i="4"/>
  <c r="GM180" i="4"/>
  <c r="GN180" i="4"/>
  <c r="GP180" i="4"/>
  <c r="HJ180" i="4"/>
  <c r="HK180" i="4"/>
  <c r="HL180" i="4"/>
  <c r="HM180" i="4"/>
  <c r="HN180" i="4"/>
  <c r="HO180" i="4"/>
  <c r="HP180" i="4"/>
  <c r="A181" i="4"/>
  <c r="B181" i="4"/>
  <c r="C181" i="4"/>
  <c r="D181" i="4"/>
  <c r="E181" i="4"/>
  <c r="F181" i="4"/>
  <c r="I181" i="4"/>
  <c r="J181" i="4"/>
  <c r="N181" i="4"/>
  <c r="O181" i="4"/>
  <c r="P181" i="4"/>
  <c r="Q181" i="4"/>
  <c r="R181" i="4"/>
  <c r="S181" i="4"/>
  <c r="T181" i="4"/>
  <c r="U181" i="4"/>
  <c r="V181" i="4"/>
  <c r="W181" i="4"/>
  <c r="X181" i="4"/>
  <c r="AX181" i="4"/>
  <c r="AY181" i="4"/>
  <c r="AZ181" i="4"/>
  <c r="BB181" i="4"/>
  <c r="BC181" i="4"/>
  <c r="BT181" i="4"/>
  <c r="BU181" i="4"/>
  <c r="BV181" i="4"/>
  <c r="BW181" i="4"/>
  <c r="EC181" i="4"/>
  <c r="ED181" i="4"/>
  <c r="EE181" i="4"/>
  <c r="EF181" i="4"/>
  <c r="EG181" i="4"/>
  <c r="EL181" i="4"/>
  <c r="EM181" i="4"/>
  <c r="EN181" i="4"/>
  <c r="EO181" i="4"/>
  <c r="EP181" i="4"/>
  <c r="EQ181" i="4"/>
  <c r="EV181" i="4"/>
  <c r="EX181" i="4"/>
  <c r="EY181" i="4"/>
  <c r="FA181" i="4"/>
  <c r="FB181" i="4"/>
  <c r="FC181" i="4"/>
  <c r="FD181" i="4"/>
  <c r="FE181" i="4"/>
  <c r="FF181" i="4"/>
  <c r="FG181" i="4"/>
  <c r="FH181" i="4"/>
  <c r="FI181" i="4"/>
  <c r="FJ181" i="4"/>
  <c r="FK181" i="4"/>
  <c r="FL181" i="4"/>
  <c r="FM181" i="4"/>
  <c r="FN181" i="4"/>
  <c r="FO181" i="4"/>
  <c r="FP181" i="4"/>
  <c r="FQ181" i="4"/>
  <c r="FR181" i="4"/>
  <c r="FS181" i="4"/>
  <c r="FT181" i="4"/>
  <c r="FU181" i="4"/>
  <c r="FV181" i="4"/>
  <c r="FW181" i="4"/>
  <c r="FX181" i="4"/>
  <c r="FY181" i="4"/>
  <c r="FZ181" i="4"/>
  <c r="GA181" i="4"/>
  <c r="GB181" i="4"/>
  <c r="GC181" i="4"/>
  <c r="GD181" i="4"/>
  <c r="GF181" i="4"/>
  <c r="GG181" i="4"/>
  <c r="GJ181" i="4"/>
  <c r="GK181" i="4"/>
  <c r="GM181" i="4"/>
  <c r="GN181" i="4"/>
  <c r="GP181" i="4"/>
  <c r="HJ181" i="4"/>
  <c r="HK181" i="4"/>
  <c r="HL181" i="4"/>
  <c r="HM181" i="4"/>
  <c r="HN181" i="4"/>
  <c r="HO181" i="4"/>
  <c r="HP181" i="4"/>
  <c r="A182" i="4"/>
  <c r="B182" i="4"/>
  <c r="C182" i="4"/>
  <c r="D182" i="4"/>
  <c r="E182" i="4"/>
  <c r="F182" i="4"/>
  <c r="I182" i="4"/>
  <c r="J182" i="4"/>
  <c r="N182" i="4"/>
  <c r="O182" i="4"/>
  <c r="P182" i="4"/>
  <c r="Q182" i="4"/>
  <c r="R182" i="4"/>
  <c r="S182" i="4"/>
  <c r="T182" i="4"/>
  <c r="U182" i="4"/>
  <c r="V182" i="4"/>
  <c r="W182" i="4"/>
  <c r="X182" i="4"/>
  <c r="AX182" i="4"/>
  <c r="AY182" i="4"/>
  <c r="AZ182" i="4"/>
  <c r="BB182" i="4"/>
  <c r="BC182" i="4"/>
  <c r="BT182" i="4"/>
  <c r="BU182" i="4"/>
  <c r="BV182" i="4"/>
  <c r="BW182" i="4"/>
  <c r="EC182" i="4"/>
  <c r="ED182" i="4"/>
  <c r="EE182" i="4"/>
  <c r="EF182" i="4"/>
  <c r="EG182" i="4"/>
  <c r="EL182" i="4"/>
  <c r="EM182" i="4"/>
  <c r="EN182" i="4"/>
  <c r="EO182" i="4"/>
  <c r="EP182" i="4"/>
  <c r="EQ182" i="4"/>
  <c r="EV182" i="4"/>
  <c r="EX182" i="4"/>
  <c r="EY182" i="4"/>
  <c r="FA182" i="4"/>
  <c r="FB182" i="4"/>
  <c r="FC182" i="4"/>
  <c r="FD182" i="4"/>
  <c r="FE182" i="4"/>
  <c r="FF182" i="4"/>
  <c r="FG182" i="4"/>
  <c r="FH182" i="4"/>
  <c r="FI182" i="4"/>
  <c r="FJ182" i="4"/>
  <c r="FK182" i="4"/>
  <c r="FL182" i="4"/>
  <c r="FM182" i="4"/>
  <c r="FN182" i="4"/>
  <c r="FO182" i="4"/>
  <c r="FP182" i="4"/>
  <c r="FQ182" i="4"/>
  <c r="FR182" i="4"/>
  <c r="FS182" i="4"/>
  <c r="FT182" i="4"/>
  <c r="FU182" i="4"/>
  <c r="FV182" i="4"/>
  <c r="FW182" i="4"/>
  <c r="FX182" i="4"/>
  <c r="FY182" i="4"/>
  <c r="FZ182" i="4"/>
  <c r="GA182" i="4"/>
  <c r="GB182" i="4"/>
  <c r="GC182" i="4"/>
  <c r="GD182" i="4"/>
  <c r="GF182" i="4"/>
  <c r="GG182" i="4"/>
  <c r="GJ182" i="4"/>
  <c r="GK182" i="4"/>
  <c r="GM182" i="4"/>
  <c r="GN182" i="4"/>
  <c r="GP182" i="4"/>
  <c r="HJ182" i="4"/>
  <c r="HK182" i="4"/>
  <c r="HL182" i="4"/>
  <c r="HM182" i="4"/>
  <c r="HN182" i="4"/>
  <c r="HO182" i="4"/>
  <c r="HP182" i="4"/>
  <c r="A183" i="4"/>
  <c r="B183" i="4"/>
  <c r="C183" i="4"/>
  <c r="D183" i="4"/>
  <c r="E183" i="4"/>
  <c r="F183" i="4"/>
  <c r="I183" i="4"/>
  <c r="J183" i="4"/>
  <c r="N183" i="4"/>
  <c r="O183" i="4"/>
  <c r="P183" i="4"/>
  <c r="Q183" i="4"/>
  <c r="R183" i="4"/>
  <c r="S183" i="4"/>
  <c r="T183" i="4"/>
  <c r="U183" i="4"/>
  <c r="V183" i="4"/>
  <c r="W183" i="4"/>
  <c r="X183" i="4"/>
  <c r="AX183" i="4"/>
  <c r="AY183" i="4"/>
  <c r="AZ183" i="4"/>
  <c r="BB183" i="4"/>
  <c r="BC183" i="4"/>
  <c r="BT183" i="4"/>
  <c r="BU183" i="4"/>
  <c r="BV183" i="4"/>
  <c r="BW183" i="4"/>
  <c r="EC183" i="4"/>
  <c r="ED183" i="4"/>
  <c r="EE183" i="4"/>
  <c r="EF183" i="4"/>
  <c r="EG183" i="4"/>
  <c r="EL183" i="4"/>
  <c r="EM183" i="4"/>
  <c r="EN183" i="4"/>
  <c r="EO183" i="4"/>
  <c r="EP183" i="4"/>
  <c r="EQ183" i="4"/>
  <c r="EV183" i="4"/>
  <c r="EX183" i="4"/>
  <c r="EY183" i="4"/>
  <c r="FA183" i="4"/>
  <c r="FB183" i="4"/>
  <c r="FC183" i="4"/>
  <c r="FD183" i="4"/>
  <c r="FE183" i="4"/>
  <c r="FF183" i="4"/>
  <c r="FG183" i="4"/>
  <c r="FH183" i="4"/>
  <c r="FI183" i="4"/>
  <c r="FJ183" i="4"/>
  <c r="FK183" i="4"/>
  <c r="FL183" i="4"/>
  <c r="FM183" i="4"/>
  <c r="FN183" i="4"/>
  <c r="FO183" i="4"/>
  <c r="FP183" i="4"/>
  <c r="FQ183" i="4"/>
  <c r="FR183" i="4"/>
  <c r="FS183" i="4"/>
  <c r="FT183" i="4"/>
  <c r="FU183" i="4"/>
  <c r="FV183" i="4"/>
  <c r="FW183" i="4"/>
  <c r="FX183" i="4"/>
  <c r="FY183" i="4"/>
  <c r="FZ183" i="4"/>
  <c r="GA183" i="4"/>
  <c r="GB183" i="4"/>
  <c r="GC183" i="4"/>
  <c r="GD183" i="4"/>
  <c r="GF183" i="4"/>
  <c r="GG183" i="4"/>
  <c r="GJ183" i="4"/>
  <c r="GK183" i="4"/>
  <c r="GM183" i="4"/>
  <c r="GN183" i="4"/>
  <c r="GP183" i="4"/>
  <c r="HJ183" i="4"/>
  <c r="HK183" i="4"/>
  <c r="HL183" i="4"/>
  <c r="HM183" i="4"/>
  <c r="HN183" i="4"/>
  <c r="HO183" i="4"/>
  <c r="HP183" i="4"/>
  <c r="A184" i="4"/>
  <c r="B184" i="4"/>
  <c r="C184" i="4"/>
  <c r="D184" i="4"/>
  <c r="E184" i="4"/>
  <c r="F184" i="4"/>
  <c r="I184" i="4"/>
  <c r="J184" i="4"/>
  <c r="N184" i="4"/>
  <c r="O184" i="4"/>
  <c r="P184" i="4"/>
  <c r="Q184" i="4"/>
  <c r="R184" i="4"/>
  <c r="S184" i="4"/>
  <c r="T184" i="4"/>
  <c r="U184" i="4"/>
  <c r="V184" i="4"/>
  <c r="W184" i="4"/>
  <c r="X184" i="4"/>
  <c r="AX184" i="4"/>
  <c r="AY184" i="4"/>
  <c r="AZ184" i="4"/>
  <c r="BB184" i="4"/>
  <c r="BC184" i="4"/>
  <c r="BT184" i="4"/>
  <c r="BU184" i="4"/>
  <c r="BV184" i="4"/>
  <c r="BW184" i="4"/>
  <c r="EC184" i="4"/>
  <c r="ED184" i="4"/>
  <c r="EE184" i="4"/>
  <c r="EF184" i="4"/>
  <c r="EG184" i="4"/>
  <c r="EL184" i="4"/>
  <c r="EM184" i="4"/>
  <c r="EN184" i="4"/>
  <c r="EO184" i="4"/>
  <c r="EP184" i="4"/>
  <c r="EQ184" i="4"/>
  <c r="EV184" i="4"/>
  <c r="EX184" i="4"/>
  <c r="EY184" i="4"/>
  <c r="FA184" i="4"/>
  <c r="FB184" i="4"/>
  <c r="FC184" i="4"/>
  <c r="FD184" i="4"/>
  <c r="FE184" i="4"/>
  <c r="FF184" i="4"/>
  <c r="FG184" i="4"/>
  <c r="FH184" i="4"/>
  <c r="FI184" i="4"/>
  <c r="FJ184" i="4"/>
  <c r="FK184" i="4"/>
  <c r="FL184" i="4"/>
  <c r="FM184" i="4"/>
  <c r="FN184" i="4"/>
  <c r="FO184" i="4"/>
  <c r="FP184" i="4"/>
  <c r="FQ184" i="4"/>
  <c r="FR184" i="4"/>
  <c r="FS184" i="4"/>
  <c r="FT184" i="4"/>
  <c r="FU184" i="4"/>
  <c r="FV184" i="4"/>
  <c r="FW184" i="4"/>
  <c r="FX184" i="4"/>
  <c r="FY184" i="4"/>
  <c r="FZ184" i="4"/>
  <c r="GA184" i="4"/>
  <c r="GB184" i="4"/>
  <c r="GC184" i="4"/>
  <c r="GD184" i="4"/>
  <c r="GF184" i="4"/>
  <c r="GG184" i="4"/>
  <c r="GJ184" i="4"/>
  <c r="GK184" i="4"/>
  <c r="GM184" i="4"/>
  <c r="GN184" i="4"/>
  <c r="GP184" i="4"/>
  <c r="HJ184" i="4"/>
  <c r="HK184" i="4"/>
  <c r="HL184" i="4"/>
  <c r="HM184" i="4"/>
  <c r="HN184" i="4"/>
  <c r="HO184" i="4"/>
  <c r="HP184" i="4"/>
  <c r="A185" i="4"/>
  <c r="B185" i="4"/>
  <c r="C185" i="4"/>
  <c r="D185" i="4"/>
  <c r="E185" i="4"/>
  <c r="F185" i="4"/>
  <c r="I185" i="4"/>
  <c r="J185" i="4"/>
  <c r="N185" i="4"/>
  <c r="O185" i="4"/>
  <c r="P185" i="4"/>
  <c r="Q185" i="4"/>
  <c r="R185" i="4"/>
  <c r="S185" i="4"/>
  <c r="T185" i="4"/>
  <c r="U185" i="4"/>
  <c r="V185" i="4"/>
  <c r="W185" i="4"/>
  <c r="X185" i="4"/>
  <c r="AX185" i="4"/>
  <c r="AY185" i="4"/>
  <c r="AZ185" i="4"/>
  <c r="BB185" i="4"/>
  <c r="BC185" i="4"/>
  <c r="BT185" i="4"/>
  <c r="BU185" i="4"/>
  <c r="BV185" i="4"/>
  <c r="BW185" i="4"/>
  <c r="EC185" i="4"/>
  <c r="ED185" i="4"/>
  <c r="EE185" i="4"/>
  <c r="EF185" i="4"/>
  <c r="EG185" i="4"/>
  <c r="EL185" i="4"/>
  <c r="EM185" i="4"/>
  <c r="EN185" i="4"/>
  <c r="EO185" i="4"/>
  <c r="EP185" i="4"/>
  <c r="EQ185" i="4"/>
  <c r="EV185" i="4"/>
  <c r="EX185" i="4"/>
  <c r="EY185" i="4"/>
  <c r="FA185" i="4"/>
  <c r="FB185" i="4"/>
  <c r="FC185" i="4"/>
  <c r="FD185" i="4"/>
  <c r="FE185" i="4"/>
  <c r="FF185" i="4"/>
  <c r="FG185" i="4"/>
  <c r="FH185" i="4"/>
  <c r="FI185" i="4"/>
  <c r="FJ185" i="4"/>
  <c r="FK185" i="4"/>
  <c r="FL185" i="4"/>
  <c r="FM185" i="4"/>
  <c r="FN185" i="4"/>
  <c r="FO185" i="4"/>
  <c r="FP185" i="4"/>
  <c r="FQ185" i="4"/>
  <c r="FR185" i="4"/>
  <c r="FS185" i="4"/>
  <c r="FT185" i="4"/>
  <c r="FU185" i="4"/>
  <c r="FV185" i="4"/>
  <c r="FW185" i="4"/>
  <c r="FX185" i="4"/>
  <c r="FY185" i="4"/>
  <c r="FZ185" i="4"/>
  <c r="GA185" i="4"/>
  <c r="GB185" i="4"/>
  <c r="GC185" i="4"/>
  <c r="GD185" i="4"/>
  <c r="GF185" i="4"/>
  <c r="GG185" i="4"/>
  <c r="GJ185" i="4"/>
  <c r="GK185" i="4"/>
  <c r="GM185" i="4"/>
  <c r="GN185" i="4"/>
  <c r="GP185" i="4"/>
  <c r="HJ185" i="4"/>
  <c r="HK185" i="4"/>
  <c r="HL185" i="4"/>
  <c r="HM185" i="4"/>
  <c r="HN185" i="4"/>
  <c r="HO185" i="4"/>
  <c r="HP185" i="4"/>
  <c r="A186" i="4"/>
  <c r="B186" i="4"/>
  <c r="C186" i="4"/>
  <c r="D186" i="4"/>
  <c r="E186" i="4"/>
  <c r="F186" i="4"/>
  <c r="I186" i="4"/>
  <c r="J186" i="4"/>
  <c r="N186" i="4"/>
  <c r="O186" i="4"/>
  <c r="P186" i="4"/>
  <c r="Q186" i="4"/>
  <c r="R186" i="4"/>
  <c r="S186" i="4"/>
  <c r="T186" i="4"/>
  <c r="U186" i="4"/>
  <c r="V186" i="4"/>
  <c r="W186" i="4"/>
  <c r="X186" i="4"/>
  <c r="AX186" i="4"/>
  <c r="AY186" i="4"/>
  <c r="AZ186" i="4"/>
  <c r="BB186" i="4"/>
  <c r="BC186" i="4"/>
  <c r="BT186" i="4"/>
  <c r="BU186" i="4"/>
  <c r="BV186" i="4"/>
  <c r="BW186" i="4"/>
  <c r="EC186" i="4"/>
  <c r="ED186" i="4"/>
  <c r="EE186" i="4"/>
  <c r="EF186" i="4"/>
  <c r="EG186" i="4"/>
  <c r="EL186" i="4"/>
  <c r="EM186" i="4"/>
  <c r="EN186" i="4"/>
  <c r="EO186" i="4"/>
  <c r="EP186" i="4"/>
  <c r="EQ186" i="4"/>
  <c r="EV186" i="4"/>
  <c r="EX186" i="4"/>
  <c r="EY186" i="4"/>
  <c r="FA186" i="4"/>
  <c r="FB186" i="4"/>
  <c r="FC186" i="4"/>
  <c r="FD186" i="4"/>
  <c r="FE186" i="4"/>
  <c r="FF186" i="4"/>
  <c r="FG186" i="4"/>
  <c r="FH186" i="4"/>
  <c r="FI186" i="4"/>
  <c r="FJ186" i="4"/>
  <c r="FK186" i="4"/>
  <c r="FL186" i="4"/>
  <c r="FM186" i="4"/>
  <c r="FN186" i="4"/>
  <c r="FO186" i="4"/>
  <c r="FP186" i="4"/>
  <c r="FQ186" i="4"/>
  <c r="FR186" i="4"/>
  <c r="FS186" i="4"/>
  <c r="FT186" i="4"/>
  <c r="FU186" i="4"/>
  <c r="FV186" i="4"/>
  <c r="FW186" i="4"/>
  <c r="FX186" i="4"/>
  <c r="FY186" i="4"/>
  <c r="FZ186" i="4"/>
  <c r="GA186" i="4"/>
  <c r="GB186" i="4"/>
  <c r="GC186" i="4"/>
  <c r="GD186" i="4"/>
  <c r="GF186" i="4"/>
  <c r="GG186" i="4"/>
  <c r="GJ186" i="4"/>
  <c r="GK186" i="4"/>
  <c r="GM186" i="4"/>
  <c r="GN186" i="4"/>
  <c r="GP186" i="4"/>
  <c r="HJ186" i="4"/>
  <c r="HK186" i="4"/>
  <c r="HL186" i="4"/>
  <c r="HM186" i="4"/>
  <c r="HN186" i="4"/>
  <c r="HO186" i="4"/>
  <c r="HP186" i="4"/>
  <c r="A187" i="4"/>
  <c r="B187" i="4"/>
  <c r="C187" i="4"/>
  <c r="D187" i="4"/>
  <c r="E187" i="4"/>
  <c r="F187" i="4"/>
  <c r="I187" i="4"/>
  <c r="J187" i="4"/>
  <c r="N187" i="4"/>
  <c r="O187" i="4"/>
  <c r="P187" i="4"/>
  <c r="Q187" i="4"/>
  <c r="R187" i="4"/>
  <c r="S187" i="4"/>
  <c r="T187" i="4"/>
  <c r="U187" i="4"/>
  <c r="V187" i="4"/>
  <c r="W187" i="4"/>
  <c r="X187" i="4"/>
  <c r="AX187" i="4"/>
  <c r="AY187" i="4"/>
  <c r="AZ187" i="4"/>
  <c r="BB187" i="4"/>
  <c r="BC187" i="4"/>
  <c r="BT187" i="4"/>
  <c r="BU187" i="4"/>
  <c r="BV187" i="4"/>
  <c r="BW187" i="4"/>
  <c r="EC187" i="4"/>
  <c r="ED187" i="4"/>
  <c r="EE187" i="4"/>
  <c r="EF187" i="4"/>
  <c r="EG187" i="4"/>
  <c r="EL187" i="4"/>
  <c r="EM187" i="4"/>
  <c r="EN187" i="4"/>
  <c r="EO187" i="4"/>
  <c r="EP187" i="4"/>
  <c r="EQ187" i="4"/>
  <c r="EV187" i="4"/>
  <c r="EX187" i="4"/>
  <c r="EY187" i="4"/>
  <c r="FA187" i="4"/>
  <c r="FB187" i="4"/>
  <c r="FC187" i="4"/>
  <c r="FD187" i="4"/>
  <c r="FE187" i="4"/>
  <c r="FF187" i="4"/>
  <c r="FG187" i="4"/>
  <c r="FH187" i="4"/>
  <c r="FI187" i="4"/>
  <c r="FJ187" i="4"/>
  <c r="FK187" i="4"/>
  <c r="FL187" i="4"/>
  <c r="FM187" i="4"/>
  <c r="FN187" i="4"/>
  <c r="FO187" i="4"/>
  <c r="FP187" i="4"/>
  <c r="FQ187" i="4"/>
  <c r="FR187" i="4"/>
  <c r="FS187" i="4"/>
  <c r="FT187" i="4"/>
  <c r="FU187" i="4"/>
  <c r="FV187" i="4"/>
  <c r="FW187" i="4"/>
  <c r="FX187" i="4"/>
  <c r="FY187" i="4"/>
  <c r="FZ187" i="4"/>
  <c r="GA187" i="4"/>
  <c r="GB187" i="4"/>
  <c r="GC187" i="4"/>
  <c r="GD187" i="4"/>
  <c r="GF187" i="4"/>
  <c r="GG187" i="4"/>
  <c r="GJ187" i="4"/>
  <c r="GK187" i="4"/>
  <c r="GM187" i="4"/>
  <c r="GN187" i="4"/>
  <c r="GP187" i="4"/>
  <c r="HJ187" i="4"/>
  <c r="HK187" i="4"/>
  <c r="HL187" i="4"/>
  <c r="HM187" i="4"/>
  <c r="HN187" i="4"/>
  <c r="HO187" i="4"/>
  <c r="HP187" i="4"/>
  <c r="A188" i="4"/>
  <c r="B188" i="4"/>
  <c r="C188" i="4"/>
  <c r="D188" i="4"/>
  <c r="E188" i="4"/>
  <c r="F188" i="4"/>
  <c r="I188" i="4"/>
  <c r="J188" i="4"/>
  <c r="N188" i="4"/>
  <c r="O188" i="4"/>
  <c r="P188" i="4"/>
  <c r="Q188" i="4"/>
  <c r="R188" i="4"/>
  <c r="S188" i="4"/>
  <c r="T188" i="4"/>
  <c r="U188" i="4"/>
  <c r="V188" i="4"/>
  <c r="W188" i="4"/>
  <c r="X188" i="4"/>
  <c r="AX188" i="4"/>
  <c r="AY188" i="4"/>
  <c r="AZ188" i="4"/>
  <c r="BB188" i="4"/>
  <c r="BC188" i="4"/>
  <c r="BT188" i="4"/>
  <c r="BU188" i="4"/>
  <c r="BV188" i="4"/>
  <c r="BW188" i="4"/>
  <c r="EC188" i="4"/>
  <c r="ED188" i="4"/>
  <c r="EE188" i="4"/>
  <c r="EF188" i="4"/>
  <c r="EG188" i="4"/>
  <c r="EL188" i="4"/>
  <c r="EM188" i="4"/>
  <c r="EN188" i="4"/>
  <c r="EO188" i="4"/>
  <c r="EP188" i="4"/>
  <c r="EQ188" i="4"/>
  <c r="EV188" i="4"/>
  <c r="EX188" i="4"/>
  <c r="EY188" i="4"/>
  <c r="FA188" i="4"/>
  <c r="FB188" i="4"/>
  <c r="FC188" i="4"/>
  <c r="FD188" i="4"/>
  <c r="FE188" i="4"/>
  <c r="FF188" i="4"/>
  <c r="FG188" i="4"/>
  <c r="FH188" i="4"/>
  <c r="FI188" i="4"/>
  <c r="FJ188" i="4"/>
  <c r="FK188" i="4"/>
  <c r="FL188" i="4"/>
  <c r="FM188" i="4"/>
  <c r="FN188" i="4"/>
  <c r="FO188" i="4"/>
  <c r="FP188" i="4"/>
  <c r="FQ188" i="4"/>
  <c r="FR188" i="4"/>
  <c r="FS188" i="4"/>
  <c r="FT188" i="4"/>
  <c r="FU188" i="4"/>
  <c r="FV188" i="4"/>
  <c r="FW188" i="4"/>
  <c r="FX188" i="4"/>
  <c r="FY188" i="4"/>
  <c r="FZ188" i="4"/>
  <c r="GA188" i="4"/>
  <c r="GB188" i="4"/>
  <c r="GC188" i="4"/>
  <c r="GD188" i="4"/>
  <c r="GF188" i="4"/>
  <c r="GG188" i="4"/>
  <c r="GJ188" i="4"/>
  <c r="GK188" i="4"/>
  <c r="GM188" i="4"/>
  <c r="GN188" i="4"/>
  <c r="GP188" i="4"/>
  <c r="HJ188" i="4"/>
  <c r="HK188" i="4"/>
  <c r="HL188" i="4"/>
  <c r="HM188" i="4"/>
  <c r="HN188" i="4"/>
  <c r="HO188" i="4"/>
  <c r="HP188" i="4"/>
  <c r="A189" i="4"/>
  <c r="B189" i="4"/>
  <c r="C189" i="4"/>
  <c r="D189" i="4"/>
  <c r="E189" i="4"/>
  <c r="F189" i="4"/>
  <c r="I189" i="4"/>
  <c r="J189" i="4"/>
  <c r="N189" i="4"/>
  <c r="O189" i="4"/>
  <c r="P189" i="4"/>
  <c r="Q189" i="4"/>
  <c r="R189" i="4"/>
  <c r="S189" i="4"/>
  <c r="T189" i="4"/>
  <c r="U189" i="4"/>
  <c r="V189" i="4"/>
  <c r="W189" i="4"/>
  <c r="X189" i="4"/>
  <c r="AX189" i="4"/>
  <c r="AY189" i="4"/>
  <c r="AZ189" i="4"/>
  <c r="BB189" i="4"/>
  <c r="BC189" i="4"/>
  <c r="BT189" i="4"/>
  <c r="BU189" i="4"/>
  <c r="BV189" i="4"/>
  <c r="BW189" i="4"/>
  <c r="EC189" i="4"/>
  <c r="ED189" i="4"/>
  <c r="EE189" i="4"/>
  <c r="EF189" i="4"/>
  <c r="EG189" i="4"/>
  <c r="EL189" i="4"/>
  <c r="EM189" i="4"/>
  <c r="EN189" i="4"/>
  <c r="EO189" i="4"/>
  <c r="EP189" i="4"/>
  <c r="EQ189" i="4"/>
  <c r="EV189" i="4"/>
  <c r="EX189" i="4"/>
  <c r="EY189" i="4"/>
  <c r="FA189" i="4"/>
  <c r="FB189" i="4"/>
  <c r="FC189" i="4"/>
  <c r="FD189" i="4"/>
  <c r="FE189" i="4"/>
  <c r="FF189" i="4"/>
  <c r="FG189" i="4"/>
  <c r="FH189" i="4"/>
  <c r="FI189" i="4"/>
  <c r="FJ189" i="4"/>
  <c r="FK189" i="4"/>
  <c r="FL189" i="4"/>
  <c r="FM189" i="4"/>
  <c r="FN189" i="4"/>
  <c r="FO189" i="4"/>
  <c r="FP189" i="4"/>
  <c r="FQ189" i="4"/>
  <c r="FR189" i="4"/>
  <c r="FS189" i="4"/>
  <c r="FT189" i="4"/>
  <c r="FU189" i="4"/>
  <c r="FV189" i="4"/>
  <c r="FW189" i="4"/>
  <c r="FX189" i="4"/>
  <c r="FY189" i="4"/>
  <c r="FZ189" i="4"/>
  <c r="GA189" i="4"/>
  <c r="GB189" i="4"/>
  <c r="GC189" i="4"/>
  <c r="GD189" i="4"/>
  <c r="GF189" i="4"/>
  <c r="GG189" i="4"/>
  <c r="GJ189" i="4"/>
  <c r="GK189" i="4"/>
  <c r="GM189" i="4"/>
  <c r="GN189" i="4"/>
  <c r="GP189" i="4"/>
  <c r="HJ189" i="4"/>
  <c r="HK189" i="4"/>
  <c r="HL189" i="4"/>
  <c r="HM189" i="4"/>
  <c r="HN189" i="4"/>
  <c r="HO189" i="4"/>
  <c r="HP189" i="4"/>
  <c r="A190" i="4"/>
  <c r="B190" i="4"/>
  <c r="C190" i="4"/>
  <c r="D190" i="4"/>
  <c r="E190" i="4"/>
  <c r="F190" i="4"/>
  <c r="I190" i="4"/>
  <c r="J190" i="4"/>
  <c r="N190" i="4"/>
  <c r="O190" i="4"/>
  <c r="P190" i="4"/>
  <c r="Q190" i="4"/>
  <c r="R190" i="4"/>
  <c r="S190" i="4"/>
  <c r="T190" i="4"/>
  <c r="U190" i="4"/>
  <c r="V190" i="4"/>
  <c r="W190" i="4"/>
  <c r="X190" i="4"/>
  <c r="AX190" i="4"/>
  <c r="AY190" i="4"/>
  <c r="AZ190" i="4"/>
  <c r="BB190" i="4"/>
  <c r="BC190" i="4"/>
  <c r="BT190" i="4"/>
  <c r="BU190" i="4"/>
  <c r="BV190" i="4"/>
  <c r="BW190" i="4"/>
  <c r="EC190" i="4"/>
  <c r="ED190" i="4"/>
  <c r="EE190" i="4"/>
  <c r="EF190" i="4"/>
  <c r="EG190" i="4"/>
  <c r="EL190" i="4"/>
  <c r="EM190" i="4"/>
  <c r="EN190" i="4"/>
  <c r="EO190" i="4"/>
  <c r="EP190" i="4"/>
  <c r="EQ190" i="4"/>
  <c r="EV190" i="4"/>
  <c r="EX190" i="4"/>
  <c r="EY190" i="4"/>
  <c r="FA190" i="4"/>
  <c r="FB190" i="4"/>
  <c r="FC190" i="4"/>
  <c r="FD190" i="4"/>
  <c r="FE190" i="4"/>
  <c r="FF190" i="4"/>
  <c r="FG190" i="4"/>
  <c r="FH190" i="4"/>
  <c r="FI190" i="4"/>
  <c r="FJ190" i="4"/>
  <c r="FK190" i="4"/>
  <c r="FL190" i="4"/>
  <c r="FM190" i="4"/>
  <c r="FN190" i="4"/>
  <c r="FO190" i="4"/>
  <c r="FP190" i="4"/>
  <c r="FQ190" i="4"/>
  <c r="FR190" i="4"/>
  <c r="FS190" i="4"/>
  <c r="FT190" i="4"/>
  <c r="FU190" i="4"/>
  <c r="FV190" i="4"/>
  <c r="FW190" i="4"/>
  <c r="FX190" i="4"/>
  <c r="FY190" i="4"/>
  <c r="FZ190" i="4"/>
  <c r="GA190" i="4"/>
  <c r="GB190" i="4"/>
  <c r="GC190" i="4"/>
  <c r="GD190" i="4"/>
  <c r="GF190" i="4"/>
  <c r="GG190" i="4"/>
  <c r="GJ190" i="4"/>
  <c r="GK190" i="4"/>
  <c r="GM190" i="4"/>
  <c r="GN190" i="4"/>
  <c r="GP190" i="4"/>
  <c r="HJ190" i="4"/>
  <c r="HK190" i="4"/>
  <c r="HL190" i="4"/>
  <c r="HM190" i="4"/>
  <c r="HN190" i="4"/>
  <c r="HO190" i="4"/>
  <c r="HP190" i="4"/>
  <c r="A191" i="4"/>
  <c r="B191" i="4"/>
  <c r="C191" i="4"/>
  <c r="D191" i="4"/>
  <c r="E191" i="4"/>
  <c r="F191" i="4"/>
  <c r="I191" i="4"/>
  <c r="J191" i="4"/>
  <c r="N191" i="4"/>
  <c r="O191" i="4"/>
  <c r="P191" i="4"/>
  <c r="Q191" i="4"/>
  <c r="R191" i="4"/>
  <c r="S191" i="4"/>
  <c r="T191" i="4"/>
  <c r="U191" i="4"/>
  <c r="V191" i="4"/>
  <c r="W191" i="4"/>
  <c r="X191" i="4"/>
  <c r="AX191" i="4"/>
  <c r="AY191" i="4"/>
  <c r="AZ191" i="4"/>
  <c r="BB191" i="4"/>
  <c r="BC191" i="4"/>
  <c r="BT191" i="4"/>
  <c r="BU191" i="4"/>
  <c r="BV191" i="4"/>
  <c r="BW191" i="4"/>
  <c r="EC191" i="4"/>
  <c r="ED191" i="4"/>
  <c r="EE191" i="4"/>
  <c r="EF191" i="4"/>
  <c r="EG191" i="4"/>
  <c r="EL191" i="4"/>
  <c r="EM191" i="4"/>
  <c r="EN191" i="4"/>
  <c r="EO191" i="4"/>
  <c r="EP191" i="4"/>
  <c r="EQ191" i="4"/>
  <c r="EV191" i="4"/>
  <c r="EX191" i="4"/>
  <c r="EY191" i="4"/>
  <c r="FA191" i="4"/>
  <c r="FB191" i="4"/>
  <c r="FC191" i="4"/>
  <c r="FD191" i="4"/>
  <c r="FE191" i="4"/>
  <c r="FF191" i="4"/>
  <c r="FG191" i="4"/>
  <c r="FH191" i="4"/>
  <c r="FI191" i="4"/>
  <c r="FJ191" i="4"/>
  <c r="FK191" i="4"/>
  <c r="FL191" i="4"/>
  <c r="FM191" i="4"/>
  <c r="FN191" i="4"/>
  <c r="FO191" i="4"/>
  <c r="FP191" i="4"/>
  <c r="FQ191" i="4"/>
  <c r="FR191" i="4"/>
  <c r="FS191" i="4"/>
  <c r="FT191" i="4"/>
  <c r="FU191" i="4"/>
  <c r="FV191" i="4"/>
  <c r="FW191" i="4"/>
  <c r="FX191" i="4"/>
  <c r="FY191" i="4"/>
  <c r="FZ191" i="4"/>
  <c r="GA191" i="4"/>
  <c r="GB191" i="4"/>
  <c r="GC191" i="4"/>
  <c r="GD191" i="4"/>
  <c r="GF191" i="4"/>
  <c r="GG191" i="4"/>
  <c r="GJ191" i="4"/>
  <c r="GK191" i="4"/>
  <c r="GM191" i="4"/>
  <c r="GN191" i="4"/>
  <c r="GP191" i="4"/>
  <c r="HJ191" i="4"/>
  <c r="HK191" i="4"/>
  <c r="HL191" i="4"/>
  <c r="HM191" i="4"/>
  <c r="HN191" i="4"/>
  <c r="HO191" i="4"/>
  <c r="HP191" i="4"/>
  <c r="A192" i="4"/>
  <c r="B192" i="4"/>
  <c r="C192" i="4"/>
  <c r="D192" i="4"/>
  <c r="E192" i="4"/>
  <c r="F192" i="4"/>
  <c r="I192" i="4"/>
  <c r="J192" i="4"/>
  <c r="N192" i="4"/>
  <c r="O192" i="4"/>
  <c r="P192" i="4"/>
  <c r="Q192" i="4"/>
  <c r="R192" i="4"/>
  <c r="S192" i="4"/>
  <c r="T192" i="4"/>
  <c r="U192" i="4"/>
  <c r="V192" i="4"/>
  <c r="W192" i="4"/>
  <c r="X192" i="4"/>
  <c r="AX192" i="4"/>
  <c r="AY192" i="4"/>
  <c r="AZ192" i="4"/>
  <c r="BB192" i="4"/>
  <c r="BC192" i="4"/>
  <c r="BT192" i="4"/>
  <c r="BU192" i="4"/>
  <c r="BV192" i="4"/>
  <c r="BW192" i="4"/>
  <c r="EC192" i="4"/>
  <c r="ED192" i="4"/>
  <c r="EE192" i="4"/>
  <c r="EF192" i="4"/>
  <c r="EG192" i="4"/>
  <c r="EL192" i="4"/>
  <c r="EM192" i="4"/>
  <c r="EN192" i="4"/>
  <c r="EO192" i="4"/>
  <c r="EP192" i="4"/>
  <c r="EQ192" i="4"/>
  <c r="EV192" i="4"/>
  <c r="EX192" i="4"/>
  <c r="EY192" i="4"/>
  <c r="FA192" i="4"/>
  <c r="FB192" i="4"/>
  <c r="FC192" i="4"/>
  <c r="FD192" i="4"/>
  <c r="FE192" i="4"/>
  <c r="FF192" i="4"/>
  <c r="FG192" i="4"/>
  <c r="FH192" i="4"/>
  <c r="FI192" i="4"/>
  <c r="FJ192" i="4"/>
  <c r="FK192" i="4"/>
  <c r="FL192" i="4"/>
  <c r="FM192" i="4"/>
  <c r="FN192" i="4"/>
  <c r="FO192" i="4"/>
  <c r="FP192" i="4"/>
  <c r="FQ192" i="4"/>
  <c r="FR192" i="4"/>
  <c r="FS192" i="4"/>
  <c r="FT192" i="4"/>
  <c r="FU192" i="4"/>
  <c r="FV192" i="4"/>
  <c r="FW192" i="4"/>
  <c r="FX192" i="4"/>
  <c r="FY192" i="4"/>
  <c r="FZ192" i="4"/>
  <c r="GA192" i="4"/>
  <c r="GB192" i="4"/>
  <c r="GC192" i="4"/>
  <c r="GD192" i="4"/>
  <c r="GF192" i="4"/>
  <c r="GG192" i="4"/>
  <c r="GJ192" i="4"/>
  <c r="GK192" i="4"/>
  <c r="GM192" i="4"/>
  <c r="GN192" i="4"/>
  <c r="GP192" i="4"/>
  <c r="HJ192" i="4"/>
  <c r="HK192" i="4"/>
  <c r="HL192" i="4"/>
  <c r="HM192" i="4"/>
  <c r="HN192" i="4"/>
  <c r="HO192" i="4"/>
  <c r="HP192" i="4"/>
  <c r="A193" i="4"/>
  <c r="B193" i="4"/>
  <c r="C193" i="4"/>
  <c r="D193" i="4"/>
  <c r="E193" i="4"/>
  <c r="F193" i="4"/>
  <c r="I193" i="4"/>
  <c r="J193" i="4"/>
  <c r="N193" i="4"/>
  <c r="O193" i="4"/>
  <c r="P193" i="4"/>
  <c r="Q193" i="4"/>
  <c r="R193" i="4"/>
  <c r="S193" i="4"/>
  <c r="T193" i="4"/>
  <c r="U193" i="4"/>
  <c r="V193" i="4"/>
  <c r="W193" i="4"/>
  <c r="X193" i="4"/>
  <c r="AX193" i="4"/>
  <c r="AY193" i="4"/>
  <c r="AZ193" i="4"/>
  <c r="BB193" i="4"/>
  <c r="BC193" i="4"/>
  <c r="BT193" i="4"/>
  <c r="BU193" i="4"/>
  <c r="BV193" i="4"/>
  <c r="BW193" i="4"/>
  <c r="EC193" i="4"/>
  <c r="ED193" i="4"/>
  <c r="EE193" i="4"/>
  <c r="EF193" i="4"/>
  <c r="EG193" i="4"/>
  <c r="EL193" i="4"/>
  <c r="EM193" i="4"/>
  <c r="EN193" i="4"/>
  <c r="EO193" i="4"/>
  <c r="EP193" i="4"/>
  <c r="EQ193" i="4"/>
  <c r="EV193" i="4"/>
  <c r="EX193" i="4"/>
  <c r="EY193" i="4"/>
  <c r="FA193" i="4"/>
  <c r="FB193" i="4"/>
  <c r="FC193" i="4"/>
  <c r="FD193" i="4"/>
  <c r="FE193" i="4"/>
  <c r="FF193" i="4"/>
  <c r="FG193" i="4"/>
  <c r="FH193" i="4"/>
  <c r="FI193" i="4"/>
  <c r="FJ193" i="4"/>
  <c r="FK193" i="4"/>
  <c r="FL193" i="4"/>
  <c r="FM193" i="4"/>
  <c r="FN193" i="4"/>
  <c r="FO193" i="4"/>
  <c r="FP193" i="4"/>
  <c r="FQ193" i="4"/>
  <c r="FR193" i="4"/>
  <c r="FS193" i="4"/>
  <c r="FT193" i="4"/>
  <c r="FU193" i="4"/>
  <c r="FV193" i="4"/>
  <c r="FW193" i="4"/>
  <c r="FX193" i="4"/>
  <c r="FY193" i="4"/>
  <c r="FZ193" i="4"/>
  <c r="GA193" i="4"/>
  <c r="GB193" i="4"/>
  <c r="GC193" i="4"/>
  <c r="GD193" i="4"/>
  <c r="GF193" i="4"/>
  <c r="GG193" i="4"/>
  <c r="GJ193" i="4"/>
  <c r="GK193" i="4"/>
  <c r="GM193" i="4"/>
  <c r="GN193" i="4"/>
  <c r="GP193" i="4"/>
  <c r="HJ193" i="4"/>
  <c r="HK193" i="4"/>
  <c r="HL193" i="4"/>
  <c r="HM193" i="4"/>
  <c r="HN193" i="4"/>
  <c r="HO193" i="4"/>
  <c r="HP193" i="4"/>
  <c r="A194" i="4"/>
  <c r="B194" i="4"/>
  <c r="C194" i="4"/>
  <c r="D194" i="4"/>
  <c r="E194" i="4"/>
  <c r="F194" i="4"/>
  <c r="I194" i="4"/>
  <c r="J194" i="4"/>
  <c r="N194" i="4"/>
  <c r="O194" i="4"/>
  <c r="P194" i="4"/>
  <c r="Q194" i="4"/>
  <c r="R194" i="4"/>
  <c r="S194" i="4"/>
  <c r="T194" i="4"/>
  <c r="U194" i="4"/>
  <c r="V194" i="4"/>
  <c r="W194" i="4"/>
  <c r="X194" i="4"/>
  <c r="AX194" i="4"/>
  <c r="AY194" i="4"/>
  <c r="AZ194" i="4"/>
  <c r="BB194" i="4"/>
  <c r="BC194" i="4"/>
  <c r="BT194" i="4"/>
  <c r="BU194" i="4"/>
  <c r="BV194" i="4"/>
  <c r="BW194" i="4"/>
  <c r="EC194" i="4"/>
  <c r="ED194" i="4"/>
  <c r="EE194" i="4"/>
  <c r="EF194" i="4"/>
  <c r="EG194" i="4"/>
  <c r="EL194" i="4"/>
  <c r="EM194" i="4"/>
  <c r="EN194" i="4"/>
  <c r="EO194" i="4"/>
  <c r="EP194" i="4"/>
  <c r="EQ194" i="4"/>
  <c r="EV194" i="4"/>
  <c r="EX194" i="4"/>
  <c r="EY194" i="4"/>
  <c r="FA194" i="4"/>
  <c r="FB194" i="4"/>
  <c r="FC194" i="4"/>
  <c r="FD194" i="4"/>
  <c r="FE194" i="4"/>
  <c r="FF194" i="4"/>
  <c r="FG194" i="4"/>
  <c r="FH194" i="4"/>
  <c r="FI194" i="4"/>
  <c r="FJ194" i="4"/>
  <c r="FK194" i="4"/>
  <c r="FL194" i="4"/>
  <c r="FM194" i="4"/>
  <c r="FN194" i="4"/>
  <c r="FO194" i="4"/>
  <c r="FP194" i="4"/>
  <c r="FQ194" i="4"/>
  <c r="FR194" i="4"/>
  <c r="FS194" i="4"/>
  <c r="FT194" i="4"/>
  <c r="FU194" i="4"/>
  <c r="FV194" i="4"/>
  <c r="FW194" i="4"/>
  <c r="FX194" i="4"/>
  <c r="FY194" i="4"/>
  <c r="FZ194" i="4"/>
  <c r="GA194" i="4"/>
  <c r="GB194" i="4"/>
  <c r="GC194" i="4"/>
  <c r="GD194" i="4"/>
  <c r="GF194" i="4"/>
  <c r="GG194" i="4"/>
  <c r="GJ194" i="4"/>
  <c r="GK194" i="4"/>
  <c r="GM194" i="4"/>
  <c r="GN194" i="4"/>
  <c r="GP194" i="4"/>
  <c r="HJ194" i="4"/>
  <c r="HK194" i="4"/>
  <c r="HL194" i="4"/>
  <c r="HM194" i="4"/>
  <c r="HN194" i="4"/>
  <c r="HO194" i="4"/>
  <c r="HP194" i="4"/>
  <c r="A195" i="4"/>
  <c r="B195" i="4"/>
  <c r="C195" i="4"/>
  <c r="D195" i="4"/>
  <c r="E195" i="4"/>
  <c r="F195" i="4"/>
  <c r="I195" i="4"/>
  <c r="J195" i="4"/>
  <c r="N195" i="4"/>
  <c r="O195" i="4"/>
  <c r="P195" i="4"/>
  <c r="Q195" i="4"/>
  <c r="R195" i="4"/>
  <c r="S195" i="4"/>
  <c r="T195" i="4"/>
  <c r="U195" i="4"/>
  <c r="V195" i="4"/>
  <c r="W195" i="4"/>
  <c r="X195" i="4"/>
  <c r="AX195" i="4"/>
  <c r="AY195" i="4"/>
  <c r="AZ195" i="4"/>
  <c r="BB195" i="4"/>
  <c r="BC195" i="4"/>
  <c r="BT195" i="4"/>
  <c r="BU195" i="4"/>
  <c r="BV195" i="4"/>
  <c r="BW195" i="4"/>
  <c r="EC195" i="4"/>
  <c r="ED195" i="4"/>
  <c r="EE195" i="4"/>
  <c r="EF195" i="4"/>
  <c r="EG195" i="4"/>
  <c r="EL195" i="4"/>
  <c r="EM195" i="4"/>
  <c r="EN195" i="4"/>
  <c r="EO195" i="4"/>
  <c r="EP195" i="4"/>
  <c r="EQ195" i="4"/>
  <c r="EV195" i="4"/>
  <c r="EX195" i="4"/>
  <c r="EY195" i="4"/>
  <c r="FA195" i="4"/>
  <c r="FB195" i="4"/>
  <c r="FC195" i="4"/>
  <c r="FD195" i="4"/>
  <c r="FE195" i="4"/>
  <c r="FF195" i="4"/>
  <c r="FG195" i="4"/>
  <c r="FH195" i="4"/>
  <c r="FI195" i="4"/>
  <c r="FJ195" i="4"/>
  <c r="FK195" i="4"/>
  <c r="FL195" i="4"/>
  <c r="FM195" i="4"/>
  <c r="FN195" i="4"/>
  <c r="FO195" i="4"/>
  <c r="FP195" i="4"/>
  <c r="FQ195" i="4"/>
  <c r="FR195" i="4"/>
  <c r="FS195" i="4"/>
  <c r="FT195" i="4"/>
  <c r="FU195" i="4"/>
  <c r="FV195" i="4"/>
  <c r="FW195" i="4"/>
  <c r="FX195" i="4"/>
  <c r="FY195" i="4"/>
  <c r="FZ195" i="4"/>
  <c r="GA195" i="4"/>
  <c r="GB195" i="4"/>
  <c r="GC195" i="4"/>
  <c r="GD195" i="4"/>
  <c r="GF195" i="4"/>
  <c r="GG195" i="4"/>
  <c r="GJ195" i="4"/>
  <c r="GK195" i="4"/>
  <c r="GM195" i="4"/>
  <c r="GN195" i="4"/>
  <c r="GP195" i="4"/>
  <c r="HJ195" i="4"/>
  <c r="HK195" i="4"/>
  <c r="HL195" i="4"/>
  <c r="HM195" i="4"/>
  <c r="HN195" i="4"/>
  <c r="HO195" i="4"/>
  <c r="HP195" i="4"/>
  <c r="A196" i="4"/>
  <c r="B196" i="4"/>
  <c r="C196" i="4"/>
  <c r="D196" i="4"/>
  <c r="E196" i="4"/>
  <c r="F196" i="4"/>
  <c r="I196" i="4"/>
  <c r="J196" i="4"/>
  <c r="N196" i="4"/>
  <c r="O196" i="4"/>
  <c r="P196" i="4"/>
  <c r="Q196" i="4"/>
  <c r="R196" i="4"/>
  <c r="S196" i="4"/>
  <c r="T196" i="4"/>
  <c r="U196" i="4"/>
  <c r="V196" i="4"/>
  <c r="W196" i="4"/>
  <c r="X196" i="4"/>
  <c r="AX196" i="4"/>
  <c r="AY196" i="4"/>
  <c r="AZ196" i="4"/>
  <c r="BB196" i="4"/>
  <c r="BC196" i="4"/>
  <c r="BT196" i="4"/>
  <c r="BU196" i="4"/>
  <c r="BV196" i="4"/>
  <c r="BW196" i="4"/>
  <c r="EC196" i="4"/>
  <c r="ED196" i="4"/>
  <c r="EE196" i="4"/>
  <c r="EF196" i="4"/>
  <c r="EG196" i="4"/>
  <c r="EL196" i="4"/>
  <c r="EM196" i="4"/>
  <c r="EN196" i="4"/>
  <c r="EO196" i="4"/>
  <c r="EP196" i="4"/>
  <c r="EQ196" i="4"/>
  <c r="EV196" i="4"/>
  <c r="EX196" i="4"/>
  <c r="EY196" i="4"/>
  <c r="FA196" i="4"/>
  <c r="FB196" i="4"/>
  <c r="FC196" i="4"/>
  <c r="FD196" i="4"/>
  <c r="FE196" i="4"/>
  <c r="FF196" i="4"/>
  <c r="FG196" i="4"/>
  <c r="FH196" i="4"/>
  <c r="FI196" i="4"/>
  <c r="FJ196" i="4"/>
  <c r="FK196" i="4"/>
  <c r="FL196" i="4"/>
  <c r="FM196" i="4"/>
  <c r="FN196" i="4"/>
  <c r="FO196" i="4"/>
  <c r="FP196" i="4"/>
  <c r="FQ196" i="4"/>
  <c r="FR196" i="4"/>
  <c r="FS196" i="4"/>
  <c r="FT196" i="4"/>
  <c r="FU196" i="4"/>
  <c r="FV196" i="4"/>
  <c r="FW196" i="4"/>
  <c r="FX196" i="4"/>
  <c r="FY196" i="4"/>
  <c r="FZ196" i="4"/>
  <c r="GA196" i="4"/>
  <c r="GB196" i="4"/>
  <c r="GC196" i="4"/>
  <c r="GD196" i="4"/>
  <c r="GF196" i="4"/>
  <c r="GG196" i="4"/>
  <c r="GJ196" i="4"/>
  <c r="GK196" i="4"/>
  <c r="GM196" i="4"/>
  <c r="GN196" i="4"/>
  <c r="GP196" i="4"/>
  <c r="HJ196" i="4"/>
  <c r="HK196" i="4"/>
  <c r="HL196" i="4"/>
  <c r="HM196" i="4"/>
  <c r="HN196" i="4"/>
  <c r="HO196" i="4"/>
  <c r="HP196" i="4"/>
  <c r="A197" i="4"/>
  <c r="B197" i="4"/>
  <c r="C197" i="4"/>
  <c r="D197" i="4"/>
  <c r="E197" i="4"/>
  <c r="F197" i="4"/>
  <c r="I197" i="4"/>
  <c r="J197" i="4"/>
  <c r="N197" i="4"/>
  <c r="O197" i="4"/>
  <c r="P197" i="4"/>
  <c r="Q197" i="4"/>
  <c r="R197" i="4"/>
  <c r="S197" i="4"/>
  <c r="T197" i="4"/>
  <c r="U197" i="4"/>
  <c r="V197" i="4"/>
  <c r="W197" i="4"/>
  <c r="X197" i="4"/>
  <c r="AX197" i="4"/>
  <c r="AY197" i="4"/>
  <c r="AZ197" i="4"/>
  <c r="BB197" i="4"/>
  <c r="BC197" i="4"/>
  <c r="BT197" i="4"/>
  <c r="BU197" i="4"/>
  <c r="BV197" i="4"/>
  <c r="BW197" i="4"/>
  <c r="EC197" i="4"/>
  <c r="ED197" i="4"/>
  <c r="EE197" i="4"/>
  <c r="EF197" i="4"/>
  <c r="EG197" i="4"/>
  <c r="EL197" i="4"/>
  <c r="EM197" i="4"/>
  <c r="EN197" i="4"/>
  <c r="EO197" i="4"/>
  <c r="EP197" i="4"/>
  <c r="EQ197" i="4"/>
  <c r="EV197" i="4"/>
  <c r="EX197" i="4"/>
  <c r="EY197" i="4"/>
  <c r="FA197" i="4"/>
  <c r="FB197" i="4"/>
  <c r="FC197" i="4"/>
  <c r="FD197" i="4"/>
  <c r="FE197" i="4"/>
  <c r="FF197" i="4"/>
  <c r="FG197" i="4"/>
  <c r="FH197" i="4"/>
  <c r="FI197" i="4"/>
  <c r="FJ197" i="4"/>
  <c r="FK197" i="4"/>
  <c r="FL197" i="4"/>
  <c r="FM197" i="4"/>
  <c r="FN197" i="4"/>
  <c r="FO197" i="4"/>
  <c r="FP197" i="4"/>
  <c r="FQ197" i="4"/>
  <c r="FR197" i="4"/>
  <c r="FS197" i="4"/>
  <c r="FT197" i="4"/>
  <c r="FU197" i="4"/>
  <c r="FV197" i="4"/>
  <c r="FW197" i="4"/>
  <c r="FX197" i="4"/>
  <c r="FY197" i="4"/>
  <c r="FZ197" i="4"/>
  <c r="GA197" i="4"/>
  <c r="GB197" i="4"/>
  <c r="GC197" i="4"/>
  <c r="GD197" i="4"/>
  <c r="GF197" i="4"/>
  <c r="GG197" i="4"/>
  <c r="GJ197" i="4"/>
  <c r="GK197" i="4"/>
  <c r="GM197" i="4"/>
  <c r="GN197" i="4"/>
  <c r="GP197" i="4"/>
  <c r="HJ197" i="4"/>
  <c r="HK197" i="4"/>
  <c r="HL197" i="4"/>
  <c r="HM197" i="4"/>
  <c r="HN197" i="4"/>
  <c r="HO197" i="4"/>
  <c r="HP197" i="4"/>
  <c r="A198" i="4"/>
  <c r="B198" i="4"/>
  <c r="C198" i="4"/>
  <c r="D198" i="4"/>
  <c r="E198" i="4"/>
  <c r="F198" i="4"/>
  <c r="I198" i="4"/>
  <c r="J198" i="4"/>
  <c r="N198" i="4"/>
  <c r="O198" i="4"/>
  <c r="P198" i="4"/>
  <c r="Q198" i="4"/>
  <c r="R198" i="4"/>
  <c r="S198" i="4"/>
  <c r="T198" i="4"/>
  <c r="U198" i="4"/>
  <c r="V198" i="4"/>
  <c r="W198" i="4"/>
  <c r="X198" i="4"/>
  <c r="AX198" i="4"/>
  <c r="AY198" i="4"/>
  <c r="AZ198" i="4"/>
  <c r="BB198" i="4"/>
  <c r="BC198" i="4"/>
  <c r="BT198" i="4"/>
  <c r="BU198" i="4"/>
  <c r="BV198" i="4"/>
  <c r="BW198" i="4"/>
  <c r="EC198" i="4"/>
  <c r="ED198" i="4"/>
  <c r="EE198" i="4"/>
  <c r="EF198" i="4"/>
  <c r="EG198" i="4"/>
  <c r="EL198" i="4"/>
  <c r="EM198" i="4"/>
  <c r="EN198" i="4"/>
  <c r="EO198" i="4"/>
  <c r="EP198" i="4"/>
  <c r="EQ198" i="4"/>
  <c r="EV198" i="4"/>
  <c r="EX198" i="4"/>
  <c r="EY198" i="4"/>
  <c r="FA198" i="4"/>
  <c r="FB198" i="4"/>
  <c r="FC198" i="4"/>
  <c r="FD198" i="4"/>
  <c r="FE198" i="4"/>
  <c r="FF198" i="4"/>
  <c r="FG198" i="4"/>
  <c r="FH198" i="4"/>
  <c r="FI198" i="4"/>
  <c r="FJ198" i="4"/>
  <c r="FK198" i="4"/>
  <c r="FL198" i="4"/>
  <c r="FM198" i="4"/>
  <c r="FN198" i="4"/>
  <c r="FO198" i="4"/>
  <c r="FP198" i="4"/>
  <c r="FQ198" i="4"/>
  <c r="FR198" i="4"/>
  <c r="FS198" i="4"/>
  <c r="FT198" i="4"/>
  <c r="FU198" i="4"/>
  <c r="FV198" i="4"/>
  <c r="FW198" i="4"/>
  <c r="FX198" i="4"/>
  <c r="FY198" i="4"/>
  <c r="FZ198" i="4"/>
  <c r="GA198" i="4"/>
  <c r="GB198" i="4"/>
  <c r="GC198" i="4"/>
  <c r="GD198" i="4"/>
  <c r="GF198" i="4"/>
  <c r="GG198" i="4"/>
  <c r="GJ198" i="4"/>
  <c r="GK198" i="4"/>
  <c r="GM198" i="4"/>
  <c r="GN198" i="4"/>
  <c r="GP198" i="4"/>
  <c r="HJ198" i="4"/>
  <c r="HK198" i="4"/>
  <c r="HL198" i="4"/>
  <c r="HM198" i="4"/>
  <c r="HN198" i="4"/>
  <c r="HO198" i="4"/>
  <c r="HP198" i="4"/>
  <c r="A199" i="4"/>
  <c r="B199" i="4"/>
  <c r="C199" i="4"/>
  <c r="D199" i="4"/>
  <c r="E199" i="4"/>
  <c r="F199" i="4"/>
  <c r="I199" i="4"/>
  <c r="J199" i="4"/>
  <c r="N199" i="4"/>
  <c r="O199" i="4"/>
  <c r="P199" i="4"/>
  <c r="Q199" i="4"/>
  <c r="R199" i="4"/>
  <c r="S199" i="4"/>
  <c r="T199" i="4"/>
  <c r="U199" i="4"/>
  <c r="V199" i="4"/>
  <c r="W199" i="4"/>
  <c r="X199" i="4"/>
  <c r="AX199" i="4"/>
  <c r="AY199" i="4"/>
  <c r="AZ199" i="4"/>
  <c r="BB199" i="4"/>
  <c r="BC199" i="4"/>
  <c r="BT199" i="4"/>
  <c r="BU199" i="4"/>
  <c r="BV199" i="4"/>
  <c r="BW199" i="4"/>
  <c r="EC199" i="4"/>
  <c r="ED199" i="4"/>
  <c r="EE199" i="4"/>
  <c r="EF199" i="4"/>
  <c r="EG199" i="4"/>
  <c r="EL199" i="4"/>
  <c r="EM199" i="4"/>
  <c r="EN199" i="4"/>
  <c r="EO199" i="4"/>
  <c r="EP199" i="4"/>
  <c r="EQ199" i="4"/>
  <c r="EV199" i="4"/>
  <c r="EX199" i="4"/>
  <c r="EY199" i="4"/>
  <c r="FA199" i="4"/>
  <c r="FB199" i="4"/>
  <c r="FC199" i="4"/>
  <c r="FD199" i="4"/>
  <c r="FE199" i="4"/>
  <c r="FF199" i="4"/>
  <c r="FG199" i="4"/>
  <c r="FH199" i="4"/>
  <c r="FI199" i="4"/>
  <c r="FJ199" i="4"/>
  <c r="FK199" i="4"/>
  <c r="FL199" i="4"/>
  <c r="FM199" i="4"/>
  <c r="FN199" i="4"/>
  <c r="FO199" i="4"/>
  <c r="FP199" i="4"/>
  <c r="FQ199" i="4"/>
  <c r="FR199" i="4"/>
  <c r="FS199" i="4"/>
  <c r="FT199" i="4"/>
  <c r="FU199" i="4"/>
  <c r="FV199" i="4"/>
  <c r="FW199" i="4"/>
  <c r="FX199" i="4"/>
  <c r="FY199" i="4"/>
  <c r="FZ199" i="4"/>
  <c r="GA199" i="4"/>
  <c r="GB199" i="4"/>
  <c r="GC199" i="4"/>
  <c r="GD199" i="4"/>
  <c r="GF199" i="4"/>
  <c r="GG199" i="4"/>
  <c r="GJ199" i="4"/>
  <c r="GK199" i="4"/>
  <c r="GM199" i="4"/>
  <c r="GN199" i="4"/>
  <c r="GP199" i="4"/>
  <c r="HJ199" i="4"/>
  <c r="HK199" i="4"/>
  <c r="HL199" i="4"/>
  <c r="HM199" i="4"/>
  <c r="HN199" i="4"/>
  <c r="HO199" i="4"/>
  <c r="HP199" i="4"/>
  <c r="A200" i="4"/>
  <c r="B200" i="4"/>
  <c r="C200" i="4"/>
  <c r="D200" i="4"/>
  <c r="E200" i="4"/>
  <c r="F200" i="4"/>
  <c r="I200" i="4"/>
  <c r="J200" i="4"/>
  <c r="N200" i="4"/>
  <c r="O200" i="4"/>
  <c r="P200" i="4"/>
  <c r="Q200" i="4"/>
  <c r="R200" i="4"/>
  <c r="S200" i="4"/>
  <c r="T200" i="4"/>
  <c r="U200" i="4"/>
  <c r="V200" i="4"/>
  <c r="W200" i="4"/>
  <c r="X200" i="4"/>
  <c r="AX200" i="4"/>
  <c r="AY200" i="4"/>
  <c r="AZ200" i="4"/>
  <c r="BB200" i="4"/>
  <c r="BC200" i="4"/>
  <c r="BT200" i="4"/>
  <c r="BU200" i="4"/>
  <c r="BV200" i="4"/>
  <c r="BW200" i="4"/>
  <c r="EC200" i="4"/>
  <c r="ED200" i="4"/>
  <c r="EE200" i="4"/>
  <c r="EF200" i="4"/>
  <c r="EG200" i="4"/>
  <c r="EL200" i="4"/>
  <c r="EM200" i="4"/>
  <c r="EN200" i="4"/>
  <c r="EO200" i="4"/>
  <c r="EP200" i="4"/>
  <c r="EQ200" i="4"/>
  <c r="EV200" i="4"/>
  <c r="EX200" i="4"/>
  <c r="EY200" i="4"/>
  <c r="FA200" i="4"/>
  <c r="FB200" i="4"/>
  <c r="FC200" i="4"/>
  <c r="FD200" i="4"/>
  <c r="FE200" i="4"/>
  <c r="FF200" i="4"/>
  <c r="FG200" i="4"/>
  <c r="FH200" i="4"/>
  <c r="FI200" i="4"/>
  <c r="FJ200" i="4"/>
  <c r="FK200" i="4"/>
  <c r="FL200" i="4"/>
  <c r="FM200" i="4"/>
  <c r="FN200" i="4"/>
  <c r="FO200" i="4"/>
  <c r="FP200" i="4"/>
  <c r="FQ200" i="4"/>
  <c r="FR200" i="4"/>
  <c r="FS200" i="4"/>
  <c r="FT200" i="4"/>
  <c r="FU200" i="4"/>
  <c r="FV200" i="4"/>
  <c r="FW200" i="4"/>
  <c r="FX200" i="4"/>
  <c r="FY200" i="4"/>
  <c r="FZ200" i="4"/>
  <c r="GA200" i="4"/>
  <c r="GB200" i="4"/>
  <c r="GC200" i="4"/>
  <c r="GD200" i="4"/>
  <c r="GF200" i="4"/>
  <c r="GG200" i="4"/>
  <c r="GJ200" i="4"/>
  <c r="GK200" i="4"/>
  <c r="GM200" i="4"/>
  <c r="GN200" i="4"/>
  <c r="GP200" i="4"/>
  <c r="HJ200" i="4"/>
  <c r="HK200" i="4"/>
  <c r="HL200" i="4"/>
  <c r="HM200" i="4"/>
  <c r="HN200" i="4"/>
  <c r="HO200" i="4"/>
  <c r="HP200" i="4"/>
  <c r="A201" i="4"/>
  <c r="B201" i="4"/>
  <c r="C201" i="4"/>
  <c r="D201" i="4"/>
  <c r="E201" i="4"/>
  <c r="F201" i="4"/>
  <c r="I201" i="4"/>
  <c r="J201" i="4"/>
  <c r="N201" i="4"/>
  <c r="O201" i="4"/>
  <c r="P201" i="4"/>
  <c r="Q201" i="4"/>
  <c r="R201" i="4"/>
  <c r="S201" i="4"/>
  <c r="T201" i="4"/>
  <c r="U201" i="4"/>
  <c r="V201" i="4"/>
  <c r="W201" i="4"/>
  <c r="X201" i="4"/>
  <c r="AX201" i="4"/>
  <c r="AY201" i="4"/>
  <c r="AZ201" i="4"/>
  <c r="BB201" i="4"/>
  <c r="BC201" i="4"/>
  <c r="BT201" i="4"/>
  <c r="BU201" i="4"/>
  <c r="BV201" i="4"/>
  <c r="BW201" i="4"/>
  <c r="EC201" i="4"/>
  <c r="ED201" i="4"/>
  <c r="EE201" i="4"/>
  <c r="EF201" i="4"/>
  <c r="EG201" i="4"/>
  <c r="EL201" i="4"/>
  <c r="EM201" i="4"/>
  <c r="EN201" i="4"/>
  <c r="EO201" i="4"/>
  <c r="EP201" i="4"/>
  <c r="EQ201" i="4"/>
  <c r="EV201" i="4"/>
  <c r="EX201" i="4"/>
  <c r="EY201" i="4"/>
  <c r="FA201" i="4"/>
  <c r="FB201" i="4"/>
  <c r="FC201" i="4"/>
  <c r="FD201" i="4"/>
  <c r="FE201" i="4"/>
  <c r="FF201" i="4"/>
  <c r="FG201" i="4"/>
  <c r="FH201" i="4"/>
  <c r="FI201" i="4"/>
  <c r="FJ201" i="4"/>
  <c r="FK201" i="4"/>
  <c r="FL201" i="4"/>
  <c r="FM201" i="4"/>
  <c r="FN201" i="4"/>
  <c r="FO201" i="4"/>
  <c r="FP201" i="4"/>
  <c r="FQ201" i="4"/>
  <c r="FR201" i="4"/>
  <c r="FS201" i="4"/>
  <c r="FT201" i="4"/>
  <c r="FU201" i="4"/>
  <c r="FV201" i="4"/>
  <c r="FW201" i="4"/>
  <c r="FX201" i="4"/>
  <c r="FY201" i="4"/>
  <c r="FZ201" i="4"/>
  <c r="GA201" i="4"/>
  <c r="GB201" i="4"/>
  <c r="GC201" i="4"/>
  <c r="GD201" i="4"/>
  <c r="GF201" i="4"/>
  <c r="GG201" i="4"/>
  <c r="GJ201" i="4"/>
  <c r="GK201" i="4"/>
  <c r="GM201" i="4"/>
  <c r="GN201" i="4"/>
  <c r="GP201" i="4"/>
  <c r="HJ201" i="4"/>
  <c r="HK201" i="4"/>
  <c r="HL201" i="4"/>
  <c r="HM201" i="4"/>
  <c r="HN201" i="4"/>
  <c r="HO201" i="4"/>
  <c r="HP201" i="4"/>
  <c r="A202" i="4"/>
  <c r="B202" i="4"/>
  <c r="C202" i="4"/>
  <c r="D202" i="4"/>
  <c r="E202" i="4"/>
  <c r="F202" i="4"/>
  <c r="I202" i="4"/>
  <c r="J202" i="4"/>
  <c r="N202" i="4"/>
  <c r="O202" i="4"/>
  <c r="P202" i="4"/>
  <c r="Q202" i="4"/>
  <c r="R202" i="4"/>
  <c r="S202" i="4"/>
  <c r="T202" i="4"/>
  <c r="U202" i="4"/>
  <c r="V202" i="4"/>
  <c r="W202" i="4"/>
  <c r="X202" i="4"/>
  <c r="AX202" i="4"/>
  <c r="AY202" i="4"/>
  <c r="AZ202" i="4"/>
  <c r="BB202" i="4"/>
  <c r="BC202" i="4"/>
  <c r="BT202" i="4"/>
  <c r="BU202" i="4"/>
  <c r="BV202" i="4"/>
  <c r="BW202" i="4"/>
  <c r="EC202" i="4"/>
  <c r="ED202" i="4"/>
  <c r="EE202" i="4"/>
  <c r="EF202" i="4"/>
  <c r="EG202" i="4"/>
  <c r="EL202" i="4"/>
  <c r="EM202" i="4"/>
  <c r="EN202" i="4"/>
  <c r="EO202" i="4"/>
  <c r="EP202" i="4"/>
  <c r="EQ202" i="4"/>
  <c r="EV202" i="4"/>
  <c r="EX202" i="4"/>
  <c r="EY202" i="4"/>
  <c r="FA202" i="4"/>
  <c r="FB202" i="4"/>
  <c r="FC202" i="4"/>
  <c r="FD202" i="4"/>
  <c r="FE202" i="4"/>
  <c r="FF202" i="4"/>
  <c r="FG202" i="4"/>
  <c r="FH202" i="4"/>
  <c r="FI202" i="4"/>
  <c r="FJ202" i="4"/>
  <c r="FK202" i="4"/>
  <c r="FL202" i="4"/>
  <c r="FM202" i="4"/>
  <c r="FN202" i="4"/>
  <c r="FO202" i="4"/>
  <c r="FP202" i="4"/>
  <c r="FQ202" i="4"/>
  <c r="FR202" i="4"/>
  <c r="FS202" i="4"/>
  <c r="FT202" i="4"/>
  <c r="FU202" i="4"/>
  <c r="FV202" i="4"/>
  <c r="FW202" i="4"/>
  <c r="FX202" i="4"/>
  <c r="FY202" i="4"/>
  <c r="FZ202" i="4"/>
  <c r="GA202" i="4"/>
  <c r="GB202" i="4"/>
  <c r="GC202" i="4"/>
  <c r="GD202" i="4"/>
  <c r="GF202" i="4"/>
  <c r="GG202" i="4"/>
  <c r="GJ202" i="4"/>
  <c r="GK202" i="4"/>
  <c r="GM202" i="4"/>
  <c r="GN202" i="4"/>
  <c r="GP202" i="4"/>
  <c r="HJ202" i="4"/>
  <c r="HK202" i="4"/>
  <c r="HL202" i="4"/>
  <c r="HM202" i="4"/>
  <c r="HN202" i="4"/>
  <c r="HO202" i="4"/>
  <c r="HP202" i="4"/>
  <c r="A203" i="4"/>
  <c r="B203" i="4"/>
  <c r="C203" i="4"/>
  <c r="D203" i="4"/>
  <c r="E203" i="4"/>
  <c r="F203" i="4"/>
  <c r="I203" i="4"/>
  <c r="J203" i="4"/>
  <c r="N203" i="4"/>
  <c r="O203" i="4"/>
  <c r="P203" i="4"/>
  <c r="Q203" i="4"/>
  <c r="R203" i="4"/>
  <c r="S203" i="4"/>
  <c r="T203" i="4"/>
  <c r="U203" i="4"/>
  <c r="V203" i="4"/>
  <c r="W203" i="4"/>
  <c r="X203" i="4"/>
  <c r="AX203" i="4"/>
  <c r="AY203" i="4"/>
  <c r="AZ203" i="4"/>
  <c r="BB203" i="4"/>
  <c r="BC203" i="4"/>
  <c r="BT203" i="4"/>
  <c r="BU203" i="4"/>
  <c r="BV203" i="4"/>
  <c r="BW203" i="4"/>
  <c r="EC203" i="4"/>
  <c r="ED203" i="4"/>
  <c r="EE203" i="4"/>
  <c r="EF203" i="4"/>
  <c r="EG203" i="4"/>
  <c r="EL203" i="4"/>
  <c r="EM203" i="4"/>
  <c r="EN203" i="4"/>
  <c r="EO203" i="4"/>
  <c r="EP203" i="4"/>
  <c r="EQ203" i="4"/>
  <c r="EV203" i="4"/>
  <c r="EX203" i="4"/>
  <c r="EY203" i="4"/>
  <c r="FA203" i="4"/>
  <c r="FB203" i="4"/>
  <c r="FC203" i="4"/>
  <c r="FD203" i="4"/>
  <c r="FE203" i="4"/>
  <c r="FF203" i="4"/>
  <c r="FG203" i="4"/>
  <c r="FH203" i="4"/>
  <c r="FI203" i="4"/>
  <c r="FJ203" i="4"/>
  <c r="FK203" i="4"/>
  <c r="FL203" i="4"/>
  <c r="FM203" i="4"/>
  <c r="FN203" i="4"/>
  <c r="FO203" i="4"/>
  <c r="FP203" i="4"/>
  <c r="FQ203" i="4"/>
  <c r="FR203" i="4"/>
  <c r="FS203" i="4"/>
  <c r="FT203" i="4"/>
  <c r="FU203" i="4"/>
  <c r="FV203" i="4"/>
  <c r="FW203" i="4"/>
  <c r="FX203" i="4"/>
  <c r="FY203" i="4"/>
  <c r="FZ203" i="4"/>
  <c r="GA203" i="4"/>
  <c r="GB203" i="4"/>
  <c r="GC203" i="4"/>
  <c r="GD203" i="4"/>
  <c r="GF203" i="4"/>
  <c r="GG203" i="4"/>
  <c r="GJ203" i="4"/>
  <c r="GK203" i="4"/>
  <c r="GM203" i="4"/>
  <c r="GN203" i="4"/>
  <c r="GP203" i="4"/>
  <c r="HJ203" i="4"/>
  <c r="HK203" i="4"/>
  <c r="HL203" i="4"/>
  <c r="HM203" i="4"/>
  <c r="HN203" i="4"/>
  <c r="HO203" i="4"/>
  <c r="HP203" i="4"/>
  <c r="A204" i="4"/>
  <c r="B204" i="4"/>
  <c r="C204" i="4"/>
  <c r="D204" i="4"/>
  <c r="E204" i="4"/>
  <c r="F204" i="4"/>
  <c r="I204" i="4"/>
  <c r="J204" i="4"/>
  <c r="N204" i="4"/>
  <c r="O204" i="4"/>
  <c r="P204" i="4"/>
  <c r="Q204" i="4"/>
  <c r="R204" i="4"/>
  <c r="S204" i="4"/>
  <c r="T204" i="4"/>
  <c r="U204" i="4"/>
  <c r="V204" i="4"/>
  <c r="W204" i="4"/>
  <c r="X204" i="4"/>
  <c r="AX204" i="4"/>
  <c r="AY204" i="4"/>
  <c r="AZ204" i="4"/>
  <c r="BB204" i="4"/>
  <c r="BC204" i="4"/>
  <c r="BT204" i="4"/>
  <c r="BU204" i="4"/>
  <c r="BV204" i="4"/>
  <c r="BW204" i="4"/>
  <c r="EC204" i="4"/>
  <c r="ED204" i="4"/>
  <c r="EE204" i="4"/>
  <c r="EF204" i="4"/>
  <c r="EG204" i="4"/>
  <c r="EL204" i="4"/>
  <c r="EM204" i="4"/>
  <c r="EN204" i="4"/>
  <c r="EO204" i="4"/>
  <c r="EP204" i="4"/>
  <c r="EQ204" i="4"/>
  <c r="EV204" i="4"/>
  <c r="EX204" i="4"/>
  <c r="EY204" i="4"/>
  <c r="FA204" i="4"/>
  <c r="FB204" i="4"/>
  <c r="FC204" i="4"/>
  <c r="FD204" i="4"/>
  <c r="FE204" i="4"/>
  <c r="FF204" i="4"/>
  <c r="FG204" i="4"/>
  <c r="FH204" i="4"/>
  <c r="FI204" i="4"/>
  <c r="FJ204" i="4"/>
  <c r="FK204" i="4"/>
  <c r="FL204" i="4"/>
  <c r="FM204" i="4"/>
  <c r="FN204" i="4"/>
  <c r="FO204" i="4"/>
  <c r="FP204" i="4"/>
  <c r="FQ204" i="4"/>
  <c r="FR204" i="4"/>
  <c r="FS204" i="4"/>
  <c r="FT204" i="4"/>
  <c r="FU204" i="4"/>
  <c r="FV204" i="4"/>
  <c r="FW204" i="4"/>
  <c r="FX204" i="4"/>
  <c r="FY204" i="4"/>
  <c r="FZ204" i="4"/>
  <c r="GA204" i="4"/>
  <c r="GB204" i="4"/>
  <c r="GC204" i="4"/>
  <c r="GD204" i="4"/>
  <c r="GF204" i="4"/>
  <c r="GG204" i="4"/>
  <c r="GJ204" i="4"/>
  <c r="GK204" i="4"/>
  <c r="GM204" i="4"/>
  <c r="GN204" i="4"/>
  <c r="GP204" i="4"/>
  <c r="HJ204" i="4"/>
  <c r="HK204" i="4"/>
  <c r="HL204" i="4"/>
  <c r="HM204" i="4"/>
  <c r="HN204" i="4"/>
  <c r="HO204" i="4"/>
  <c r="HP204" i="4"/>
  <c r="A205" i="4"/>
  <c r="B205" i="4"/>
  <c r="C205" i="4"/>
  <c r="D205" i="4"/>
  <c r="E205" i="4"/>
  <c r="F205" i="4"/>
  <c r="I205" i="4"/>
  <c r="J205" i="4"/>
  <c r="N205" i="4"/>
  <c r="O205" i="4"/>
  <c r="P205" i="4"/>
  <c r="Q205" i="4"/>
  <c r="R205" i="4"/>
  <c r="S205" i="4"/>
  <c r="T205" i="4"/>
  <c r="U205" i="4"/>
  <c r="V205" i="4"/>
  <c r="W205" i="4"/>
  <c r="X205" i="4"/>
  <c r="AX205" i="4"/>
  <c r="AY205" i="4"/>
  <c r="AZ205" i="4"/>
  <c r="BB205" i="4"/>
  <c r="BC205" i="4"/>
  <c r="BT205" i="4"/>
  <c r="BU205" i="4"/>
  <c r="BV205" i="4"/>
  <c r="BW205" i="4"/>
  <c r="EC205" i="4"/>
  <c r="ED205" i="4"/>
  <c r="EE205" i="4"/>
  <c r="EF205" i="4"/>
  <c r="EG205" i="4"/>
  <c r="EL205" i="4"/>
  <c r="EM205" i="4"/>
  <c r="EN205" i="4"/>
  <c r="EO205" i="4"/>
  <c r="EP205" i="4"/>
  <c r="EQ205" i="4"/>
  <c r="EV205" i="4"/>
  <c r="EX205" i="4"/>
  <c r="EY205" i="4"/>
  <c r="FA205" i="4"/>
  <c r="FB205" i="4"/>
  <c r="FC205" i="4"/>
  <c r="FD205" i="4"/>
  <c r="FE205" i="4"/>
  <c r="FF205" i="4"/>
  <c r="FG205" i="4"/>
  <c r="FH205" i="4"/>
  <c r="FI205" i="4"/>
  <c r="FJ205" i="4"/>
  <c r="FK205" i="4"/>
  <c r="FL205" i="4"/>
  <c r="FM205" i="4"/>
  <c r="FN205" i="4"/>
  <c r="FO205" i="4"/>
  <c r="FP205" i="4"/>
  <c r="FQ205" i="4"/>
  <c r="FR205" i="4"/>
  <c r="FS205" i="4"/>
  <c r="FT205" i="4"/>
  <c r="FU205" i="4"/>
  <c r="FV205" i="4"/>
  <c r="FW205" i="4"/>
  <c r="FX205" i="4"/>
  <c r="FY205" i="4"/>
  <c r="FZ205" i="4"/>
  <c r="GA205" i="4"/>
  <c r="GB205" i="4"/>
  <c r="GC205" i="4"/>
  <c r="GD205" i="4"/>
  <c r="GF205" i="4"/>
  <c r="GG205" i="4"/>
  <c r="GJ205" i="4"/>
  <c r="GK205" i="4"/>
  <c r="GM205" i="4"/>
  <c r="GN205" i="4"/>
  <c r="GP205" i="4"/>
  <c r="HJ205" i="4"/>
  <c r="HK205" i="4"/>
  <c r="HL205" i="4"/>
  <c r="HM205" i="4"/>
  <c r="HN205" i="4"/>
  <c r="HO205" i="4"/>
  <c r="HP205" i="4"/>
  <c r="A206" i="4"/>
  <c r="B206" i="4"/>
  <c r="C206" i="4"/>
  <c r="D206" i="4"/>
  <c r="E206" i="4"/>
  <c r="F206" i="4"/>
  <c r="I206" i="4"/>
  <c r="J206" i="4"/>
  <c r="N206" i="4"/>
  <c r="O206" i="4"/>
  <c r="P206" i="4"/>
  <c r="Q206" i="4"/>
  <c r="R206" i="4"/>
  <c r="S206" i="4"/>
  <c r="T206" i="4"/>
  <c r="U206" i="4"/>
  <c r="V206" i="4"/>
  <c r="W206" i="4"/>
  <c r="X206" i="4"/>
  <c r="AX206" i="4"/>
  <c r="AY206" i="4"/>
  <c r="AZ206" i="4"/>
  <c r="BB206" i="4"/>
  <c r="BC206" i="4"/>
  <c r="BT206" i="4"/>
  <c r="BU206" i="4"/>
  <c r="BV206" i="4"/>
  <c r="BW206" i="4"/>
  <c r="EC206" i="4"/>
  <c r="ED206" i="4"/>
  <c r="EE206" i="4"/>
  <c r="EF206" i="4"/>
  <c r="EG206" i="4"/>
  <c r="EL206" i="4"/>
  <c r="EM206" i="4"/>
  <c r="EN206" i="4"/>
  <c r="EO206" i="4"/>
  <c r="EP206" i="4"/>
  <c r="EQ206" i="4"/>
  <c r="EV206" i="4"/>
  <c r="EX206" i="4"/>
  <c r="EY206" i="4"/>
  <c r="FA206" i="4"/>
  <c r="FB206" i="4"/>
  <c r="FC206" i="4"/>
  <c r="FD206" i="4"/>
  <c r="FE206" i="4"/>
  <c r="FF206" i="4"/>
  <c r="FG206" i="4"/>
  <c r="FH206" i="4"/>
  <c r="FI206" i="4"/>
  <c r="FJ206" i="4"/>
  <c r="FK206" i="4"/>
  <c r="FL206" i="4"/>
  <c r="FM206" i="4"/>
  <c r="FN206" i="4"/>
  <c r="FO206" i="4"/>
  <c r="FP206" i="4"/>
  <c r="FQ206" i="4"/>
  <c r="FR206" i="4"/>
  <c r="FS206" i="4"/>
  <c r="FT206" i="4"/>
  <c r="FU206" i="4"/>
  <c r="FV206" i="4"/>
  <c r="FW206" i="4"/>
  <c r="FX206" i="4"/>
  <c r="FY206" i="4"/>
  <c r="FZ206" i="4"/>
  <c r="GA206" i="4"/>
  <c r="GB206" i="4"/>
  <c r="GC206" i="4"/>
  <c r="GD206" i="4"/>
  <c r="GF206" i="4"/>
  <c r="GG206" i="4"/>
  <c r="GJ206" i="4"/>
  <c r="GK206" i="4"/>
  <c r="GM206" i="4"/>
  <c r="GN206" i="4"/>
  <c r="GP206" i="4"/>
  <c r="HJ206" i="4"/>
  <c r="HK206" i="4"/>
  <c r="HL206" i="4"/>
  <c r="HM206" i="4"/>
  <c r="HN206" i="4"/>
  <c r="HO206" i="4"/>
  <c r="HP206" i="4"/>
  <c r="A207" i="4"/>
  <c r="B207" i="4"/>
  <c r="C207" i="4"/>
  <c r="D207" i="4"/>
  <c r="E207" i="4"/>
  <c r="F207" i="4"/>
  <c r="I207" i="4"/>
  <c r="J207" i="4"/>
  <c r="N207" i="4"/>
  <c r="O207" i="4"/>
  <c r="P207" i="4"/>
  <c r="Q207" i="4"/>
  <c r="R207" i="4"/>
  <c r="S207" i="4"/>
  <c r="T207" i="4"/>
  <c r="U207" i="4"/>
  <c r="V207" i="4"/>
  <c r="W207" i="4"/>
  <c r="X207" i="4"/>
  <c r="AX207" i="4"/>
  <c r="AY207" i="4"/>
  <c r="AZ207" i="4"/>
  <c r="BB207" i="4"/>
  <c r="BC207" i="4"/>
  <c r="BT207" i="4"/>
  <c r="BU207" i="4"/>
  <c r="BV207" i="4"/>
  <c r="BW207" i="4"/>
  <c r="EC207" i="4"/>
  <c r="ED207" i="4"/>
  <c r="EE207" i="4"/>
  <c r="EF207" i="4"/>
  <c r="EG207" i="4"/>
  <c r="EL207" i="4"/>
  <c r="EM207" i="4"/>
  <c r="EN207" i="4"/>
  <c r="EO207" i="4"/>
  <c r="EP207" i="4"/>
  <c r="EQ207" i="4"/>
  <c r="EV207" i="4"/>
  <c r="EX207" i="4"/>
  <c r="EY207" i="4"/>
  <c r="FA207" i="4"/>
  <c r="FB207" i="4"/>
  <c r="FC207" i="4"/>
  <c r="FD207" i="4"/>
  <c r="FE207" i="4"/>
  <c r="FF207" i="4"/>
  <c r="FG207" i="4"/>
  <c r="FH207" i="4"/>
  <c r="FI207" i="4"/>
  <c r="FJ207" i="4"/>
  <c r="FK207" i="4"/>
  <c r="FL207" i="4"/>
  <c r="FM207" i="4"/>
  <c r="FN207" i="4"/>
  <c r="FO207" i="4"/>
  <c r="FP207" i="4"/>
  <c r="FQ207" i="4"/>
  <c r="FR207" i="4"/>
  <c r="FS207" i="4"/>
  <c r="FT207" i="4"/>
  <c r="FU207" i="4"/>
  <c r="FV207" i="4"/>
  <c r="FW207" i="4"/>
  <c r="FX207" i="4"/>
  <c r="FY207" i="4"/>
  <c r="FZ207" i="4"/>
  <c r="GA207" i="4"/>
  <c r="GB207" i="4"/>
  <c r="GC207" i="4"/>
  <c r="GD207" i="4"/>
  <c r="GF207" i="4"/>
  <c r="GG207" i="4"/>
  <c r="GJ207" i="4"/>
  <c r="GK207" i="4"/>
  <c r="GM207" i="4"/>
  <c r="GN207" i="4"/>
  <c r="GP207" i="4"/>
  <c r="HJ207" i="4"/>
  <c r="HK207" i="4"/>
  <c r="HL207" i="4"/>
  <c r="HM207" i="4"/>
  <c r="HN207" i="4"/>
  <c r="HO207" i="4"/>
  <c r="HP207" i="4"/>
  <c r="A208" i="4"/>
  <c r="B208" i="4"/>
  <c r="C208" i="4"/>
  <c r="D208" i="4"/>
  <c r="E208" i="4"/>
  <c r="F208" i="4"/>
  <c r="I208" i="4"/>
  <c r="J208" i="4"/>
  <c r="N208" i="4"/>
  <c r="O208" i="4"/>
  <c r="P208" i="4"/>
  <c r="Q208" i="4"/>
  <c r="R208" i="4"/>
  <c r="S208" i="4"/>
  <c r="T208" i="4"/>
  <c r="U208" i="4"/>
  <c r="V208" i="4"/>
  <c r="W208" i="4"/>
  <c r="X208" i="4"/>
  <c r="AX208" i="4"/>
  <c r="AY208" i="4"/>
  <c r="AZ208" i="4"/>
  <c r="BB208" i="4"/>
  <c r="BC208" i="4"/>
  <c r="BT208" i="4"/>
  <c r="BU208" i="4"/>
  <c r="BV208" i="4"/>
  <c r="BW208" i="4"/>
  <c r="EC208" i="4"/>
  <c r="ED208" i="4"/>
  <c r="EE208" i="4"/>
  <c r="EF208" i="4"/>
  <c r="EG208" i="4"/>
  <c r="EL208" i="4"/>
  <c r="EM208" i="4"/>
  <c r="EN208" i="4"/>
  <c r="EO208" i="4"/>
  <c r="EP208" i="4"/>
  <c r="EQ208" i="4"/>
  <c r="EV208" i="4"/>
  <c r="EX208" i="4"/>
  <c r="EY208" i="4"/>
  <c r="FA208" i="4"/>
  <c r="FB208" i="4"/>
  <c r="FC208" i="4"/>
  <c r="FD208" i="4"/>
  <c r="FE208" i="4"/>
  <c r="FF208" i="4"/>
  <c r="FG208" i="4"/>
  <c r="FH208" i="4"/>
  <c r="FI208" i="4"/>
  <c r="FJ208" i="4"/>
  <c r="FK208" i="4"/>
  <c r="FL208" i="4"/>
  <c r="FM208" i="4"/>
  <c r="FN208" i="4"/>
  <c r="FO208" i="4"/>
  <c r="FP208" i="4"/>
  <c r="FQ208" i="4"/>
  <c r="FR208" i="4"/>
  <c r="FS208" i="4"/>
  <c r="FT208" i="4"/>
  <c r="FU208" i="4"/>
  <c r="FV208" i="4"/>
  <c r="FW208" i="4"/>
  <c r="FX208" i="4"/>
  <c r="FY208" i="4"/>
  <c r="FZ208" i="4"/>
  <c r="GA208" i="4"/>
  <c r="GB208" i="4"/>
  <c r="GC208" i="4"/>
  <c r="GD208" i="4"/>
  <c r="GF208" i="4"/>
  <c r="GG208" i="4"/>
  <c r="GJ208" i="4"/>
  <c r="GK208" i="4"/>
  <c r="GM208" i="4"/>
  <c r="GN208" i="4"/>
  <c r="GP208" i="4"/>
  <c r="HJ208" i="4"/>
  <c r="HK208" i="4"/>
  <c r="HL208" i="4"/>
  <c r="HM208" i="4"/>
  <c r="HN208" i="4"/>
  <c r="HO208" i="4"/>
  <c r="HP208" i="4"/>
  <c r="A209" i="4"/>
  <c r="B209" i="4"/>
  <c r="C209" i="4"/>
  <c r="D209" i="4"/>
  <c r="E209" i="4"/>
  <c r="F209" i="4"/>
  <c r="I209" i="4"/>
  <c r="J209" i="4"/>
  <c r="N209" i="4"/>
  <c r="O209" i="4"/>
  <c r="P209" i="4"/>
  <c r="Q209" i="4"/>
  <c r="R209" i="4"/>
  <c r="S209" i="4"/>
  <c r="T209" i="4"/>
  <c r="U209" i="4"/>
  <c r="V209" i="4"/>
  <c r="W209" i="4"/>
  <c r="X209" i="4"/>
  <c r="AX209" i="4"/>
  <c r="AY209" i="4"/>
  <c r="AZ209" i="4"/>
  <c r="BB209" i="4"/>
  <c r="BC209" i="4"/>
  <c r="BT209" i="4"/>
  <c r="BU209" i="4"/>
  <c r="BV209" i="4"/>
  <c r="BW209" i="4"/>
  <c r="EC209" i="4"/>
  <c r="ED209" i="4"/>
  <c r="EE209" i="4"/>
  <c r="EF209" i="4"/>
  <c r="EG209" i="4"/>
  <c r="EL209" i="4"/>
  <c r="EM209" i="4"/>
  <c r="EN209" i="4"/>
  <c r="EO209" i="4"/>
  <c r="EP209" i="4"/>
  <c r="EQ209" i="4"/>
  <c r="EV209" i="4"/>
  <c r="EX209" i="4"/>
  <c r="EY209" i="4"/>
  <c r="FA209" i="4"/>
  <c r="FB209" i="4"/>
  <c r="FC209" i="4"/>
  <c r="FD209" i="4"/>
  <c r="FE209" i="4"/>
  <c r="FF209" i="4"/>
  <c r="FG209" i="4"/>
  <c r="FH209" i="4"/>
  <c r="FI209" i="4"/>
  <c r="FJ209" i="4"/>
  <c r="FK209" i="4"/>
  <c r="FL209" i="4"/>
  <c r="FM209" i="4"/>
  <c r="FN209" i="4"/>
  <c r="FO209" i="4"/>
  <c r="FP209" i="4"/>
  <c r="FQ209" i="4"/>
  <c r="FR209" i="4"/>
  <c r="FS209" i="4"/>
  <c r="FT209" i="4"/>
  <c r="FU209" i="4"/>
  <c r="FV209" i="4"/>
  <c r="FW209" i="4"/>
  <c r="FX209" i="4"/>
  <c r="FY209" i="4"/>
  <c r="FZ209" i="4"/>
  <c r="GA209" i="4"/>
  <c r="GB209" i="4"/>
  <c r="GC209" i="4"/>
  <c r="GD209" i="4"/>
  <c r="GF209" i="4"/>
  <c r="GG209" i="4"/>
  <c r="GJ209" i="4"/>
  <c r="GK209" i="4"/>
  <c r="GM209" i="4"/>
  <c r="GN209" i="4"/>
  <c r="GP209" i="4"/>
  <c r="HJ209" i="4"/>
  <c r="HK209" i="4"/>
  <c r="HL209" i="4"/>
  <c r="HM209" i="4"/>
  <c r="HN209" i="4"/>
  <c r="HO209" i="4"/>
  <c r="HP209" i="4"/>
  <c r="A210" i="4"/>
  <c r="B210" i="4"/>
  <c r="C210" i="4"/>
  <c r="D210" i="4"/>
  <c r="E210" i="4"/>
  <c r="F210" i="4"/>
  <c r="I210" i="4"/>
  <c r="J210" i="4"/>
  <c r="N210" i="4"/>
  <c r="O210" i="4"/>
  <c r="P210" i="4"/>
  <c r="Q210" i="4"/>
  <c r="R210" i="4"/>
  <c r="S210" i="4"/>
  <c r="T210" i="4"/>
  <c r="U210" i="4"/>
  <c r="V210" i="4"/>
  <c r="W210" i="4"/>
  <c r="X210" i="4"/>
  <c r="AX210" i="4"/>
  <c r="AY210" i="4"/>
  <c r="AZ210" i="4"/>
  <c r="BB210" i="4"/>
  <c r="BC210" i="4"/>
  <c r="BT210" i="4"/>
  <c r="BU210" i="4"/>
  <c r="BV210" i="4"/>
  <c r="BW210" i="4"/>
  <c r="EC210" i="4"/>
  <c r="ED210" i="4"/>
  <c r="EE210" i="4"/>
  <c r="EF210" i="4"/>
  <c r="EG210" i="4"/>
  <c r="EL210" i="4"/>
  <c r="EM210" i="4"/>
  <c r="EN210" i="4"/>
  <c r="EO210" i="4"/>
  <c r="EP210" i="4"/>
  <c r="EQ210" i="4"/>
  <c r="EV210" i="4"/>
  <c r="EX210" i="4"/>
  <c r="EY210" i="4"/>
  <c r="FA210" i="4"/>
  <c r="FB210" i="4"/>
  <c r="FC210" i="4"/>
  <c r="FD210" i="4"/>
  <c r="FE210" i="4"/>
  <c r="FF210" i="4"/>
  <c r="FG210" i="4"/>
  <c r="FH210" i="4"/>
  <c r="FI210" i="4"/>
  <c r="FJ210" i="4"/>
  <c r="FK210" i="4"/>
  <c r="FL210" i="4"/>
  <c r="FM210" i="4"/>
  <c r="FN210" i="4"/>
  <c r="FO210" i="4"/>
  <c r="FP210" i="4"/>
  <c r="FQ210" i="4"/>
  <c r="FR210" i="4"/>
  <c r="FS210" i="4"/>
  <c r="FT210" i="4"/>
  <c r="FU210" i="4"/>
  <c r="FV210" i="4"/>
  <c r="FW210" i="4"/>
  <c r="FX210" i="4"/>
  <c r="FY210" i="4"/>
  <c r="FZ210" i="4"/>
  <c r="GA210" i="4"/>
  <c r="GB210" i="4"/>
  <c r="GC210" i="4"/>
  <c r="GD210" i="4"/>
  <c r="GF210" i="4"/>
  <c r="GG210" i="4"/>
  <c r="GJ210" i="4"/>
  <c r="GK210" i="4"/>
  <c r="GM210" i="4"/>
  <c r="GN210" i="4"/>
  <c r="GP210" i="4"/>
  <c r="HJ210" i="4"/>
  <c r="HK210" i="4"/>
  <c r="HL210" i="4"/>
  <c r="HM210" i="4"/>
  <c r="HN210" i="4"/>
  <c r="HO210" i="4"/>
  <c r="HP210" i="4"/>
  <c r="A211" i="4"/>
  <c r="B211" i="4"/>
  <c r="C211" i="4"/>
  <c r="D211" i="4"/>
  <c r="E211" i="4"/>
  <c r="F211" i="4"/>
  <c r="I211" i="4"/>
  <c r="J211" i="4"/>
  <c r="N211" i="4"/>
  <c r="O211" i="4"/>
  <c r="P211" i="4"/>
  <c r="Q211" i="4"/>
  <c r="R211" i="4"/>
  <c r="S211" i="4"/>
  <c r="T211" i="4"/>
  <c r="U211" i="4"/>
  <c r="V211" i="4"/>
  <c r="W211" i="4"/>
  <c r="X211" i="4"/>
  <c r="AX211" i="4"/>
  <c r="AY211" i="4"/>
  <c r="AZ211" i="4"/>
  <c r="BB211" i="4"/>
  <c r="BC211" i="4"/>
  <c r="BT211" i="4"/>
  <c r="BU211" i="4"/>
  <c r="BV211" i="4"/>
  <c r="BW211" i="4"/>
  <c r="EC211" i="4"/>
  <c r="ED211" i="4"/>
  <c r="EE211" i="4"/>
  <c r="EF211" i="4"/>
  <c r="EG211" i="4"/>
  <c r="EL211" i="4"/>
  <c r="EM211" i="4"/>
  <c r="EN211" i="4"/>
  <c r="EO211" i="4"/>
  <c r="EP211" i="4"/>
  <c r="EQ211" i="4"/>
  <c r="EV211" i="4"/>
  <c r="EX211" i="4"/>
  <c r="EY211" i="4"/>
  <c r="FA211" i="4"/>
  <c r="FB211" i="4"/>
  <c r="FC211" i="4"/>
  <c r="FD211" i="4"/>
  <c r="FE211" i="4"/>
  <c r="FF211" i="4"/>
  <c r="FG211" i="4"/>
  <c r="FH211" i="4"/>
  <c r="FI211" i="4"/>
  <c r="FJ211" i="4"/>
  <c r="FK211" i="4"/>
  <c r="FL211" i="4"/>
  <c r="FM211" i="4"/>
  <c r="FN211" i="4"/>
  <c r="FO211" i="4"/>
  <c r="FP211" i="4"/>
  <c r="FQ211" i="4"/>
  <c r="FR211" i="4"/>
  <c r="FS211" i="4"/>
  <c r="FT211" i="4"/>
  <c r="FU211" i="4"/>
  <c r="FV211" i="4"/>
  <c r="FW211" i="4"/>
  <c r="FX211" i="4"/>
  <c r="FY211" i="4"/>
  <c r="FZ211" i="4"/>
  <c r="GA211" i="4"/>
  <c r="GB211" i="4"/>
  <c r="GC211" i="4"/>
  <c r="GD211" i="4"/>
  <c r="GF211" i="4"/>
  <c r="GG211" i="4"/>
  <c r="GJ211" i="4"/>
  <c r="GK211" i="4"/>
  <c r="GM211" i="4"/>
  <c r="GN211" i="4"/>
  <c r="GP211" i="4"/>
  <c r="HJ211" i="4"/>
  <c r="HK211" i="4"/>
  <c r="HL211" i="4"/>
  <c r="HM211" i="4"/>
  <c r="HN211" i="4"/>
  <c r="HO211" i="4"/>
  <c r="HP211" i="4"/>
  <c r="A212" i="4"/>
  <c r="B212" i="4"/>
  <c r="C212" i="4"/>
  <c r="D212" i="4"/>
  <c r="E212" i="4"/>
  <c r="F212" i="4"/>
  <c r="I212" i="4"/>
  <c r="J212" i="4"/>
  <c r="N212" i="4"/>
  <c r="O212" i="4"/>
  <c r="P212" i="4"/>
  <c r="Q212" i="4"/>
  <c r="R212" i="4"/>
  <c r="S212" i="4"/>
  <c r="T212" i="4"/>
  <c r="U212" i="4"/>
  <c r="V212" i="4"/>
  <c r="W212" i="4"/>
  <c r="X212" i="4"/>
  <c r="AX212" i="4"/>
  <c r="AY212" i="4"/>
  <c r="AZ212" i="4"/>
  <c r="BB212" i="4"/>
  <c r="BC212" i="4"/>
  <c r="BT212" i="4"/>
  <c r="BU212" i="4"/>
  <c r="BV212" i="4"/>
  <c r="BW212" i="4"/>
  <c r="EC212" i="4"/>
  <c r="ED212" i="4"/>
  <c r="EE212" i="4"/>
  <c r="EF212" i="4"/>
  <c r="EG212" i="4"/>
  <c r="EL212" i="4"/>
  <c r="EM212" i="4"/>
  <c r="EN212" i="4"/>
  <c r="EO212" i="4"/>
  <c r="EP212" i="4"/>
  <c r="EQ212" i="4"/>
  <c r="EV212" i="4"/>
  <c r="EX212" i="4"/>
  <c r="EY212" i="4"/>
  <c r="FA212" i="4"/>
  <c r="FB212" i="4"/>
  <c r="FC212" i="4"/>
  <c r="FD212" i="4"/>
  <c r="FE212" i="4"/>
  <c r="FF212" i="4"/>
  <c r="FG212" i="4"/>
  <c r="FH212" i="4"/>
  <c r="FI212" i="4"/>
  <c r="FJ212" i="4"/>
  <c r="FK212" i="4"/>
  <c r="FL212" i="4"/>
  <c r="FM212" i="4"/>
  <c r="FN212" i="4"/>
  <c r="FO212" i="4"/>
  <c r="FP212" i="4"/>
  <c r="FQ212" i="4"/>
  <c r="FR212" i="4"/>
  <c r="FS212" i="4"/>
  <c r="FT212" i="4"/>
  <c r="FU212" i="4"/>
  <c r="FV212" i="4"/>
  <c r="FW212" i="4"/>
  <c r="FX212" i="4"/>
  <c r="FY212" i="4"/>
  <c r="FZ212" i="4"/>
  <c r="GA212" i="4"/>
  <c r="GB212" i="4"/>
  <c r="GC212" i="4"/>
  <c r="GD212" i="4"/>
  <c r="GF212" i="4"/>
  <c r="GG212" i="4"/>
  <c r="GJ212" i="4"/>
  <c r="GK212" i="4"/>
  <c r="GM212" i="4"/>
  <c r="GN212" i="4"/>
  <c r="GP212" i="4"/>
  <c r="HJ212" i="4"/>
  <c r="HK212" i="4"/>
  <c r="HL212" i="4"/>
  <c r="HM212" i="4"/>
  <c r="HN212" i="4"/>
  <c r="HO212" i="4"/>
  <c r="HP212" i="4"/>
  <c r="A213" i="4"/>
  <c r="B213" i="4"/>
  <c r="C213" i="4"/>
  <c r="D213" i="4"/>
  <c r="E213" i="4"/>
  <c r="F213" i="4"/>
  <c r="I213" i="4"/>
  <c r="J213" i="4"/>
  <c r="N213" i="4"/>
  <c r="O213" i="4"/>
  <c r="P213" i="4"/>
  <c r="Q213" i="4"/>
  <c r="R213" i="4"/>
  <c r="S213" i="4"/>
  <c r="T213" i="4"/>
  <c r="U213" i="4"/>
  <c r="V213" i="4"/>
  <c r="W213" i="4"/>
  <c r="X213" i="4"/>
  <c r="AX213" i="4"/>
  <c r="AY213" i="4"/>
  <c r="AZ213" i="4"/>
  <c r="BB213" i="4"/>
  <c r="BC213" i="4"/>
  <c r="BT213" i="4"/>
  <c r="BU213" i="4"/>
  <c r="BV213" i="4"/>
  <c r="BW213" i="4"/>
  <c r="EC213" i="4"/>
  <c r="ED213" i="4"/>
  <c r="EE213" i="4"/>
  <c r="EF213" i="4"/>
  <c r="EG213" i="4"/>
  <c r="EL213" i="4"/>
  <c r="EM213" i="4"/>
  <c r="EN213" i="4"/>
  <c r="EO213" i="4"/>
  <c r="EP213" i="4"/>
  <c r="EQ213" i="4"/>
  <c r="EV213" i="4"/>
  <c r="EX213" i="4"/>
  <c r="EY213" i="4"/>
  <c r="FA213" i="4"/>
  <c r="FB213" i="4"/>
  <c r="FC213" i="4"/>
  <c r="FD213" i="4"/>
  <c r="FE213" i="4"/>
  <c r="FF213" i="4"/>
  <c r="FG213" i="4"/>
  <c r="FH213" i="4"/>
  <c r="FI213" i="4"/>
  <c r="FJ213" i="4"/>
  <c r="FK213" i="4"/>
  <c r="FL213" i="4"/>
  <c r="FM213" i="4"/>
  <c r="FN213" i="4"/>
  <c r="FO213" i="4"/>
  <c r="FP213" i="4"/>
  <c r="FQ213" i="4"/>
  <c r="FR213" i="4"/>
  <c r="FS213" i="4"/>
  <c r="FT213" i="4"/>
  <c r="FU213" i="4"/>
  <c r="FV213" i="4"/>
  <c r="FW213" i="4"/>
  <c r="FX213" i="4"/>
  <c r="FY213" i="4"/>
  <c r="FZ213" i="4"/>
  <c r="GA213" i="4"/>
  <c r="GB213" i="4"/>
  <c r="GC213" i="4"/>
  <c r="GD213" i="4"/>
  <c r="GF213" i="4"/>
  <c r="GG213" i="4"/>
  <c r="GJ213" i="4"/>
  <c r="GK213" i="4"/>
  <c r="GM213" i="4"/>
  <c r="GN213" i="4"/>
  <c r="GP213" i="4"/>
  <c r="HJ213" i="4"/>
  <c r="HK213" i="4"/>
  <c r="HL213" i="4"/>
  <c r="HM213" i="4"/>
  <c r="HN213" i="4"/>
  <c r="HO213" i="4"/>
  <c r="HP213" i="4"/>
  <c r="A214" i="4"/>
  <c r="B214" i="4"/>
  <c r="C214" i="4"/>
  <c r="D214" i="4"/>
  <c r="E214" i="4"/>
  <c r="F214" i="4"/>
  <c r="I214" i="4"/>
  <c r="J214" i="4"/>
  <c r="N214" i="4"/>
  <c r="O214" i="4"/>
  <c r="P214" i="4"/>
  <c r="Q214" i="4"/>
  <c r="R214" i="4"/>
  <c r="S214" i="4"/>
  <c r="T214" i="4"/>
  <c r="U214" i="4"/>
  <c r="V214" i="4"/>
  <c r="W214" i="4"/>
  <c r="X214" i="4"/>
  <c r="AX214" i="4"/>
  <c r="AY214" i="4"/>
  <c r="AZ214" i="4"/>
  <c r="BB214" i="4"/>
  <c r="BC214" i="4"/>
  <c r="BT214" i="4"/>
  <c r="BU214" i="4"/>
  <c r="BV214" i="4"/>
  <c r="BW214" i="4"/>
  <c r="EC214" i="4"/>
  <c r="ED214" i="4"/>
  <c r="EE214" i="4"/>
  <c r="EF214" i="4"/>
  <c r="EG214" i="4"/>
  <c r="EL214" i="4"/>
  <c r="EM214" i="4"/>
  <c r="EN214" i="4"/>
  <c r="EO214" i="4"/>
  <c r="EP214" i="4"/>
  <c r="EQ214" i="4"/>
  <c r="EV214" i="4"/>
  <c r="EX214" i="4"/>
  <c r="EY214" i="4"/>
  <c r="FA214" i="4"/>
  <c r="FB214" i="4"/>
  <c r="FC214" i="4"/>
  <c r="FD214" i="4"/>
  <c r="FE214" i="4"/>
  <c r="FF214" i="4"/>
  <c r="FG214" i="4"/>
  <c r="FH214" i="4"/>
  <c r="FI214" i="4"/>
  <c r="FJ214" i="4"/>
  <c r="FK214" i="4"/>
  <c r="FL214" i="4"/>
  <c r="FM214" i="4"/>
  <c r="FN214" i="4"/>
  <c r="FO214" i="4"/>
  <c r="FP214" i="4"/>
  <c r="FQ214" i="4"/>
  <c r="FR214" i="4"/>
  <c r="FS214" i="4"/>
  <c r="FT214" i="4"/>
  <c r="FU214" i="4"/>
  <c r="FV214" i="4"/>
  <c r="FW214" i="4"/>
  <c r="FX214" i="4"/>
  <c r="FY214" i="4"/>
  <c r="FZ214" i="4"/>
  <c r="GA214" i="4"/>
  <c r="GB214" i="4"/>
  <c r="GC214" i="4"/>
  <c r="GD214" i="4"/>
  <c r="GF214" i="4"/>
  <c r="GG214" i="4"/>
  <c r="GJ214" i="4"/>
  <c r="GK214" i="4"/>
  <c r="GM214" i="4"/>
  <c r="GN214" i="4"/>
  <c r="GP214" i="4"/>
  <c r="HJ214" i="4"/>
  <c r="HK214" i="4"/>
  <c r="HL214" i="4"/>
  <c r="HM214" i="4"/>
  <c r="HN214" i="4"/>
  <c r="HO214" i="4"/>
  <c r="HP214" i="4"/>
  <c r="A215" i="4"/>
  <c r="B215" i="4"/>
  <c r="C215" i="4"/>
  <c r="D215" i="4"/>
  <c r="E215" i="4"/>
  <c r="F215" i="4"/>
  <c r="I215" i="4"/>
  <c r="J215" i="4"/>
  <c r="N215" i="4"/>
  <c r="O215" i="4"/>
  <c r="P215" i="4"/>
  <c r="Q215" i="4"/>
  <c r="R215" i="4"/>
  <c r="S215" i="4"/>
  <c r="T215" i="4"/>
  <c r="U215" i="4"/>
  <c r="V215" i="4"/>
  <c r="W215" i="4"/>
  <c r="X215" i="4"/>
  <c r="AX215" i="4"/>
  <c r="AY215" i="4"/>
  <c r="AZ215" i="4"/>
  <c r="BB215" i="4"/>
  <c r="BC215" i="4"/>
  <c r="BT215" i="4"/>
  <c r="BU215" i="4"/>
  <c r="BV215" i="4"/>
  <c r="BW215" i="4"/>
  <c r="EC215" i="4"/>
  <c r="ED215" i="4"/>
  <c r="EE215" i="4"/>
  <c r="EF215" i="4"/>
  <c r="EG215" i="4"/>
  <c r="EL215" i="4"/>
  <c r="EM215" i="4"/>
  <c r="EN215" i="4"/>
  <c r="EO215" i="4"/>
  <c r="EP215" i="4"/>
  <c r="EQ215" i="4"/>
  <c r="EV215" i="4"/>
  <c r="EX215" i="4"/>
  <c r="EY215" i="4"/>
  <c r="FA215" i="4"/>
  <c r="FB215" i="4"/>
  <c r="FC215" i="4"/>
  <c r="FD215" i="4"/>
  <c r="FE215" i="4"/>
  <c r="FF215" i="4"/>
  <c r="FG215" i="4"/>
  <c r="FH215" i="4"/>
  <c r="FI215" i="4"/>
  <c r="FJ215" i="4"/>
  <c r="FK215" i="4"/>
  <c r="FL215" i="4"/>
  <c r="FM215" i="4"/>
  <c r="FN215" i="4"/>
  <c r="FO215" i="4"/>
  <c r="FP215" i="4"/>
  <c r="FQ215" i="4"/>
  <c r="FR215" i="4"/>
  <c r="FS215" i="4"/>
  <c r="FT215" i="4"/>
  <c r="FU215" i="4"/>
  <c r="FV215" i="4"/>
  <c r="FW215" i="4"/>
  <c r="FX215" i="4"/>
  <c r="FY215" i="4"/>
  <c r="FZ215" i="4"/>
  <c r="GA215" i="4"/>
  <c r="GB215" i="4"/>
  <c r="GC215" i="4"/>
  <c r="GD215" i="4"/>
  <c r="GF215" i="4"/>
  <c r="GG215" i="4"/>
  <c r="GJ215" i="4"/>
  <c r="GK215" i="4"/>
  <c r="GM215" i="4"/>
  <c r="GN215" i="4"/>
  <c r="GP215" i="4"/>
  <c r="HJ215" i="4"/>
  <c r="HK215" i="4"/>
  <c r="HL215" i="4"/>
  <c r="HM215" i="4"/>
  <c r="HN215" i="4"/>
  <c r="HO215" i="4"/>
  <c r="HP215" i="4"/>
  <c r="A216" i="4"/>
  <c r="B216" i="4"/>
  <c r="C216" i="4"/>
  <c r="D216" i="4"/>
  <c r="E216" i="4"/>
  <c r="F216" i="4"/>
  <c r="I216" i="4"/>
  <c r="J216" i="4"/>
  <c r="N216" i="4"/>
  <c r="O216" i="4"/>
  <c r="P216" i="4"/>
  <c r="Q216" i="4"/>
  <c r="R216" i="4"/>
  <c r="S216" i="4"/>
  <c r="T216" i="4"/>
  <c r="U216" i="4"/>
  <c r="V216" i="4"/>
  <c r="W216" i="4"/>
  <c r="X216" i="4"/>
  <c r="AX216" i="4"/>
  <c r="AY216" i="4"/>
  <c r="AZ216" i="4"/>
  <c r="BB216" i="4"/>
  <c r="BC216" i="4"/>
  <c r="BT216" i="4"/>
  <c r="BU216" i="4"/>
  <c r="BV216" i="4"/>
  <c r="BW216" i="4"/>
  <c r="EC216" i="4"/>
  <c r="ED216" i="4"/>
  <c r="EE216" i="4"/>
  <c r="EF216" i="4"/>
  <c r="EG216" i="4"/>
  <c r="EL216" i="4"/>
  <c r="EM216" i="4"/>
  <c r="EN216" i="4"/>
  <c r="EO216" i="4"/>
  <c r="EP216" i="4"/>
  <c r="EQ216" i="4"/>
  <c r="EV216" i="4"/>
  <c r="EX216" i="4"/>
  <c r="EY216" i="4"/>
  <c r="FA216" i="4"/>
  <c r="FB216" i="4"/>
  <c r="FC216" i="4"/>
  <c r="FD216" i="4"/>
  <c r="FE216" i="4"/>
  <c r="FF216" i="4"/>
  <c r="FG216" i="4"/>
  <c r="FH216" i="4"/>
  <c r="FI216" i="4"/>
  <c r="FJ216" i="4"/>
  <c r="FK216" i="4"/>
  <c r="FL216" i="4"/>
  <c r="FM216" i="4"/>
  <c r="FN216" i="4"/>
  <c r="FO216" i="4"/>
  <c r="FP216" i="4"/>
  <c r="FQ216" i="4"/>
  <c r="FR216" i="4"/>
  <c r="FS216" i="4"/>
  <c r="FT216" i="4"/>
  <c r="FU216" i="4"/>
  <c r="FV216" i="4"/>
  <c r="FW216" i="4"/>
  <c r="FX216" i="4"/>
  <c r="FY216" i="4"/>
  <c r="FZ216" i="4"/>
  <c r="GA216" i="4"/>
  <c r="GB216" i="4"/>
  <c r="GC216" i="4"/>
  <c r="GD216" i="4"/>
  <c r="GF216" i="4"/>
  <c r="GG216" i="4"/>
  <c r="GJ216" i="4"/>
  <c r="GK216" i="4"/>
  <c r="GM216" i="4"/>
  <c r="GN216" i="4"/>
  <c r="GP216" i="4"/>
  <c r="HJ216" i="4"/>
  <c r="HK216" i="4"/>
  <c r="HL216" i="4"/>
  <c r="HM216" i="4"/>
  <c r="HN216" i="4"/>
  <c r="HO216" i="4"/>
  <c r="HP216" i="4"/>
  <c r="A217" i="4"/>
  <c r="B217" i="4"/>
  <c r="C217" i="4"/>
  <c r="D217" i="4"/>
  <c r="E217" i="4"/>
  <c r="F217" i="4"/>
  <c r="I217" i="4"/>
  <c r="J217" i="4"/>
  <c r="N217" i="4"/>
  <c r="O217" i="4"/>
  <c r="P217" i="4"/>
  <c r="Q217" i="4"/>
  <c r="R217" i="4"/>
  <c r="S217" i="4"/>
  <c r="T217" i="4"/>
  <c r="U217" i="4"/>
  <c r="V217" i="4"/>
  <c r="W217" i="4"/>
  <c r="X217" i="4"/>
  <c r="AX217" i="4"/>
  <c r="AY217" i="4"/>
  <c r="AZ217" i="4"/>
  <c r="BB217" i="4"/>
  <c r="BC217" i="4"/>
  <c r="BT217" i="4"/>
  <c r="BU217" i="4"/>
  <c r="BV217" i="4"/>
  <c r="BW217" i="4"/>
  <c r="EC217" i="4"/>
  <c r="ED217" i="4"/>
  <c r="EE217" i="4"/>
  <c r="EF217" i="4"/>
  <c r="EG217" i="4"/>
  <c r="EL217" i="4"/>
  <c r="EM217" i="4"/>
  <c r="EN217" i="4"/>
  <c r="EO217" i="4"/>
  <c r="EP217" i="4"/>
  <c r="EQ217" i="4"/>
  <c r="EV217" i="4"/>
  <c r="EX217" i="4"/>
  <c r="EY217" i="4"/>
  <c r="FA217" i="4"/>
  <c r="FB217" i="4"/>
  <c r="FC217" i="4"/>
  <c r="FD217" i="4"/>
  <c r="FE217" i="4"/>
  <c r="FF217" i="4"/>
  <c r="FG217" i="4"/>
  <c r="FH217" i="4"/>
  <c r="FI217" i="4"/>
  <c r="FJ217" i="4"/>
  <c r="FK217" i="4"/>
  <c r="FL217" i="4"/>
  <c r="FM217" i="4"/>
  <c r="FN217" i="4"/>
  <c r="FO217" i="4"/>
  <c r="FP217" i="4"/>
  <c r="FQ217" i="4"/>
  <c r="FR217" i="4"/>
  <c r="FS217" i="4"/>
  <c r="FT217" i="4"/>
  <c r="FU217" i="4"/>
  <c r="FV217" i="4"/>
  <c r="FW217" i="4"/>
  <c r="FX217" i="4"/>
  <c r="FY217" i="4"/>
  <c r="FZ217" i="4"/>
  <c r="GA217" i="4"/>
  <c r="GB217" i="4"/>
  <c r="GC217" i="4"/>
  <c r="GD217" i="4"/>
  <c r="GF217" i="4"/>
  <c r="GG217" i="4"/>
  <c r="GJ217" i="4"/>
  <c r="GK217" i="4"/>
  <c r="GM217" i="4"/>
  <c r="GN217" i="4"/>
  <c r="GP217" i="4"/>
  <c r="HJ217" i="4"/>
  <c r="HK217" i="4"/>
  <c r="HL217" i="4"/>
  <c r="HM217" i="4"/>
  <c r="HN217" i="4"/>
  <c r="HO217" i="4"/>
  <c r="HP217" i="4"/>
  <c r="A218" i="4"/>
  <c r="B218" i="4"/>
  <c r="C218" i="4"/>
  <c r="D218" i="4"/>
  <c r="E218" i="4"/>
  <c r="F218" i="4"/>
  <c r="I218" i="4"/>
  <c r="J218" i="4"/>
  <c r="N218" i="4"/>
  <c r="O218" i="4"/>
  <c r="P218" i="4"/>
  <c r="Q218" i="4"/>
  <c r="R218" i="4"/>
  <c r="S218" i="4"/>
  <c r="T218" i="4"/>
  <c r="U218" i="4"/>
  <c r="V218" i="4"/>
  <c r="W218" i="4"/>
  <c r="X218" i="4"/>
  <c r="AX218" i="4"/>
  <c r="AY218" i="4"/>
  <c r="AZ218" i="4"/>
  <c r="BB218" i="4"/>
  <c r="BC218" i="4"/>
  <c r="BT218" i="4"/>
  <c r="BU218" i="4"/>
  <c r="BV218" i="4"/>
  <c r="BW218" i="4"/>
  <c r="EC218" i="4"/>
  <c r="ED218" i="4"/>
  <c r="EE218" i="4"/>
  <c r="EF218" i="4"/>
  <c r="EG218" i="4"/>
  <c r="EL218" i="4"/>
  <c r="EM218" i="4"/>
  <c r="EN218" i="4"/>
  <c r="EO218" i="4"/>
  <c r="EP218" i="4"/>
  <c r="EQ218" i="4"/>
  <c r="EV218" i="4"/>
  <c r="EX218" i="4"/>
  <c r="EY218" i="4"/>
  <c r="FA218" i="4"/>
  <c r="FB218" i="4"/>
  <c r="FC218" i="4"/>
  <c r="FD218" i="4"/>
  <c r="FE218" i="4"/>
  <c r="FF218" i="4"/>
  <c r="FG218" i="4"/>
  <c r="FH218" i="4"/>
  <c r="FI218" i="4"/>
  <c r="FJ218" i="4"/>
  <c r="FK218" i="4"/>
  <c r="FL218" i="4"/>
  <c r="FM218" i="4"/>
  <c r="FN218" i="4"/>
  <c r="FO218" i="4"/>
  <c r="FP218" i="4"/>
  <c r="FQ218" i="4"/>
  <c r="FR218" i="4"/>
  <c r="FS218" i="4"/>
  <c r="FT218" i="4"/>
  <c r="FU218" i="4"/>
  <c r="FV218" i="4"/>
  <c r="FW218" i="4"/>
  <c r="FX218" i="4"/>
  <c r="FY218" i="4"/>
  <c r="FZ218" i="4"/>
  <c r="GA218" i="4"/>
  <c r="GB218" i="4"/>
  <c r="GC218" i="4"/>
  <c r="GD218" i="4"/>
  <c r="GF218" i="4"/>
  <c r="GG218" i="4"/>
  <c r="GJ218" i="4"/>
  <c r="GK218" i="4"/>
  <c r="GM218" i="4"/>
  <c r="GN218" i="4"/>
  <c r="GP218" i="4"/>
  <c r="HJ218" i="4"/>
  <c r="HK218" i="4"/>
  <c r="HL218" i="4"/>
  <c r="HM218" i="4"/>
  <c r="HN218" i="4"/>
  <c r="HO218" i="4"/>
  <c r="HP218" i="4"/>
  <c r="A219" i="4"/>
  <c r="B219" i="4"/>
  <c r="C219" i="4"/>
  <c r="D219" i="4"/>
  <c r="E219" i="4"/>
  <c r="F219" i="4"/>
  <c r="I219" i="4"/>
  <c r="J219" i="4"/>
  <c r="N219" i="4"/>
  <c r="O219" i="4"/>
  <c r="P219" i="4"/>
  <c r="Q219" i="4"/>
  <c r="R219" i="4"/>
  <c r="S219" i="4"/>
  <c r="T219" i="4"/>
  <c r="U219" i="4"/>
  <c r="V219" i="4"/>
  <c r="W219" i="4"/>
  <c r="X219" i="4"/>
  <c r="AX219" i="4"/>
  <c r="AY219" i="4"/>
  <c r="AZ219" i="4"/>
  <c r="BB219" i="4"/>
  <c r="BC219" i="4"/>
  <c r="BT219" i="4"/>
  <c r="BU219" i="4"/>
  <c r="BV219" i="4"/>
  <c r="BW219" i="4"/>
  <c r="EC219" i="4"/>
  <c r="ED219" i="4"/>
  <c r="EE219" i="4"/>
  <c r="EF219" i="4"/>
  <c r="EG219" i="4"/>
  <c r="EL219" i="4"/>
  <c r="EM219" i="4"/>
  <c r="EN219" i="4"/>
  <c r="EO219" i="4"/>
  <c r="EP219" i="4"/>
  <c r="EQ219" i="4"/>
  <c r="EV219" i="4"/>
  <c r="EX219" i="4"/>
  <c r="EY219" i="4"/>
  <c r="FA219" i="4"/>
  <c r="FB219" i="4"/>
  <c r="FC219" i="4"/>
  <c r="FD219" i="4"/>
  <c r="FE219" i="4"/>
  <c r="FF219" i="4"/>
  <c r="FG219" i="4"/>
  <c r="FH219" i="4"/>
  <c r="FI219" i="4"/>
  <c r="FJ219" i="4"/>
  <c r="FK219" i="4"/>
  <c r="FL219" i="4"/>
  <c r="FM219" i="4"/>
  <c r="FN219" i="4"/>
  <c r="FO219" i="4"/>
  <c r="FP219" i="4"/>
  <c r="FQ219" i="4"/>
  <c r="FR219" i="4"/>
  <c r="FS219" i="4"/>
  <c r="FT219" i="4"/>
  <c r="FU219" i="4"/>
  <c r="FV219" i="4"/>
  <c r="FW219" i="4"/>
  <c r="FX219" i="4"/>
  <c r="FY219" i="4"/>
  <c r="FZ219" i="4"/>
  <c r="GA219" i="4"/>
  <c r="GB219" i="4"/>
  <c r="GC219" i="4"/>
  <c r="GD219" i="4"/>
  <c r="GF219" i="4"/>
  <c r="GG219" i="4"/>
  <c r="GJ219" i="4"/>
  <c r="GK219" i="4"/>
  <c r="GM219" i="4"/>
  <c r="GN219" i="4"/>
  <c r="GP219" i="4"/>
  <c r="HJ219" i="4"/>
  <c r="HK219" i="4"/>
  <c r="HL219" i="4"/>
  <c r="HM219" i="4"/>
  <c r="HN219" i="4"/>
  <c r="HO219" i="4"/>
  <c r="HP219" i="4"/>
  <c r="A220" i="4"/>
  <c r="B220" i="4"/>
  <c r="C220" i="4"/>
  <c r="D220" i="4"/>
  <c r="E220" i="4"/>
  <c r="F220" i="4"/>
  <c r="I220" i="4"/>
  <c r="J220" i="4"/>
  <c r="N220" i="4"/>
  <c r="O220" i="4"/>
  <c r="P220" i="4"/>
  <c r="Q220" i="4"/>
  <c r="R220" i="4"/>
  <c r="S220" i="4"/>
  <c r="T220" i="4"/>
  <c r="U220" i="4"/>
  <c r="V220" i="4"/>
  <c r="W220" i="4"/>
  <c r="X220" i="4"/>
  <c r="AX220" i="4"/>
  <c r="AY220" i="4"/>
  <c r="AZ220" i="4"/>
  <c r="BB220" i="4"/>
  <c r="BC220" i="4"/>
  <c r="BT220" i="4"/>
  <c r="BU220" i="4"/>
  <c r="BV220" i="4"/>
  <c r="BW220" i="4"/>
  <c r="EC220" i="4"/>
  <c r="ED220" i="4"/>
  <c r="EE220" i="4"/>
  <c r="EF220" i="4"/>
  <c r="EG220" i="4"/>
  <c r="EL220" i="4"/>
  <c r="EM220" i="4"/>
  <c r="EN220" i="4"/>
  <c r="EO220" i="4"/>
  <c r="EP220" i="4"/>
  <c r="EQ220" i="4"/>
  <c r="EV220" i="4"/>
  <c r="EX220" i="4"/>
  <c r="EY220" i="4"/>
  <c r="FA220" i="4"/>
  <c r="FB220" i="4"/>
  <c r="FC220" i="4"/>
  <c r="FD220" i="4"/>
  <c r="FE220" i="4"/>
  <c r="FF220" i="4"/>
  <c r="FG220" i="4"/>
  <c r="FH220" i="4"/>
  <c r="FI220" i="4"/>
  <c r="FJ220" i="4"/>
  <c r="FK220" i="4"/>
  <c r="FL220" i="4"/>
  <c r="FM220" i="4"/>
  <c r="FN220" i="4"/>
  <c r="FO220" i="4"/>
  <c r="FP220" i="4"/>
  <c r="FQ220" i="4"/>
  <c r="FR220" i="4"/>
  <c r="FS220" i="4"/>
  <c r="FT220" i="4"/>
  <c r="FU220" i="4"/>
  <c r="FV220" i="4"/>
  <c r="FW220" i="4"/>
  <c r="FX220" i="4"/>
  <c r="FY220" i="4"/>
  <c r="FZ220" i="4"/>
  <c r="GA220" i="4"/>
  <c r="GB220" i="4"/>
  <c r="GC220" i="4"/>
  <c r="GD220" i="4"/>
  <c r="GF220" i="4"/>
  <c r="GG220" i="4"/>
  <c r="GJ220" i="4"/>
  <c r="GK220" i="4"/>
  <c r="GM220" i="4"/>
  <c r="GN220" i="4"/>
  <c r="GP220" i="4"/>
  <c r="HJ220" i="4"/>
  <c r="HK220" i="4"/>
  <c r="HL220" i="4"/>
  <c r="HM220" i="4"/>
  <c r="HN220" i="4"/>
  <c r="HO220" i="4"/>
  <c r="HP220" i="4"/>
  <c r="A221" i="4"/>
  <c r="B221" i="4"/>
  <c r="C221" i="4"/>
  <c r="D221" i="4"/>
  <c r="E221" i="4"/>
  <c r="F221" i="4"/>
  <c r="I221" i="4"/>
  <c r="J221" i="4"/>
  <c r="N221" i="4"/>
  <c r="O221" i="4"/>
  <c r="P221" i="4"/>
  <c r="Q221" i="4"/>
  <c r="R221" i="4"/>
  <c r="S221" i="4"/>
  <c r="T221" i="4"/>
  <c r="U221" i="4"/>
  <c r="V221" i="4"/>
  <c r="W221" i="4"/>
  <c r="X221" i="4"/>
  <c r="AX221" i="4"/>
  <c r="AY221" i="4"/>
  <c r="AZ221" i="4"/>
  <c r="BB221" i="4"/>
  <c r="BC221" i="4"/>
  <c r="BT221" i="4"/>
  <c r="BU221" i="4"/>
  <c r="BV221" i="4"/>
  <c r="BW221" i="4"/>
  <c r="EC221" i="4"/>
  <c r="ED221" i="4"/>
  <c r="EE221" i="4"/>
  <c r="EF221" i="4"/>
  <c r="EG221" i="4"/>
  <c r="EL221" i="4"/>
  <c r="EM221" i="4"/>
  <c r="EN221" i="4"/>
  <c r="EO221" i="4"/>
  <c r="EP221" i="4"/>
  <c r="EQ221" i="4"/>
  <c r="EV221" i="4"/>
  <c r="EX221" i="4"/>
  <c r="EY221" i="4"/>
  <c r="FA221" i="4"/>
  <c r="FB221" i="4"/>
  <c r="FC221" i="4"/>
  <c r="FD221" i="4"/>
  <c r="FE221" i="4"/>
  <c r="FF221" i="4"/>
  <c r="FG221" i="4"/>
  <c r="FH221" i="4"/>
  <c r="FI221" i="4"/>
  <c r="FJ221" i="4"/>
  <c r="FK221" i="4"/>
  <c r="FL221" i="4"/>
  <c r="FM221" i="4"/>
  <c r="FN221" i="4"/>
  <c r="FO221" i="4"/>
  <c r="FP221" i="4"/>
  <c r="FQ221" i="4"/>
  <c r="FR221" i="4"/>
  <c r="FS221" i="4"/>
  <c r="FT221" i="4"/>
  <c r="FU221" i="4"/>
  <c r="FV221" i="4"/>
  <c r="FW221" i="4"/>
  <c r="FX221" i="4"/>
  <c r="FY221" i="4"/>
  <c r="FZ221" i="4"/>
  <c r="GA221" i="4"/>
  <c r="GB221" i="4"/>
  <c r="GC221" i="4"/>
  <c r="GD221" i="4"/>
  <c r="GF221" i="4"/>
  <c r="GG221" i="4"/>
  <c r="GJ221" i="4"/>
  <c r="GK221" i="4"/>
  <c r="GM221" i="4"/>
  <c r="GN221" i="4"/>
  <c r="GP221" i="4"/>
  <c r="HJ221" i="4"/>
  <c r="HK221" i="4"/>
  <c r="HL221" i="4"/>
  <c r="HM221" i="4"/>
  <c r="HN221" i="4"/>
  <c r="HO221" i="4"/>
  <c r="HP221" i="4"/>
  <c r="A222" i="4"/>
  <c r="B222" i="4"/>
  <c r="C222" i="4"/>
  <c r="D222" i="4"/>
  <c r="E222" i="4"/>
  <c r="F222" i="4"/>
  <c r="I222" i="4"/>
  <c r="J222" i="4"/>
  <c r="N222" i="4"/>
  <c r="O222" i="4"/>
  <c r="P222" i="4"/>
  <c r="Q222" i="4"/>
  <c r="R222" i="4"/>
  <c r="S222" i="4"/>
  <c r="T222" i="4"/>
  <c r="U222" i="4"/>
  <c r="V222" i="4"/>
  <c r="W222" i="4"/>
  <c r="X222" i="4"/>
  <c r="AX222" i="4"/>
  <c r="AY222" i="4"/>
  <c r="AZ222" i="4"/>
  <c r="BB222" i="4"/>
  <c r="BC222" i="4"/>
  <c r="BT222" i="4"/>
  <c r="BU222" i="4"/>
  <c r="BV222" i="4"/>
  <c r="BW222" i="4"/>
  <c r="EC222" i="4"/>
  <c r="ED222" i="4"/>
  <c r="EE222" i="4"/>
  <c r="EF222" i="4"/>
  <c r="EG222" i="4"/>
  <c r="EL222" i="4"/>
  <c r="EM222" i="4"/>
  <c r="EN222" i="4"/>
  <c r="EO222" i="4"/>
  <c r="EP222" i="4"/>
  <c r="EQ222" i="4"/>
  <c r="EV222" i="4"/>
  <c r="EX222" i="4"/>
  <c r="EY222" i="4"/>
  <c r="FA222" i="4"/>
  <c r="FB222" i="4"/>
  <c r="FC222" i="4"/>
  <c r="FD222" i="4"/>
  <c r="FE222" i="4"/>
  <c r="FF222" i="4"/>
  <c r="FG222" i="4"/>
  <c r="FH222" i="4"/>
  <c r="FI222" i="4"/>
  <c r="FJ222" i="4"/>
  <c r="FK222" i="4"/>
  <c r="FL222" i="4"/>
  <c r="FM222" i="4"/>
  <c r="FN222" i="4"/>
  <c r="FO222" i="4"/>
  <c r="FP222" i="4"/>
  <c r="FQ222" i="4"/>
  <c r="FR222" i="4"/>
  <c r="FS222" i="4"/>
  <c r="FT222" i="4"/>
  <c r="FU222" i="4"/>
  <c r="FV222" i="4"/>
  <c r="FW222" i="4"/>
  <c r="FX222" i="4"/>
  <c r="FY222" i="4"/>
  <c r="FZ222" i="4"/>
  <c r="GA222" i="4"/>
  <c r="GB222" i="4"/>
  <c r="GC222" i="4"/>
  <c r="GD222" i="4"/>
  <c r="GF222" i="4"/>
  <c r="GG222" i="4"/>
  <c r="GJ222" i="4"/>
  <c r="GK222" i="4"/>
  <c r="GM222" i="4"/>
  <c r="GN222" i="4"/>
  <c r="GP222" i="4"/>
  <c r="HJ222" i="4"/>
  <c r="HK222" i="4"/>
  <c r="HL222" i="4"/>
  <c r="HM222" i="4"/>
  <c r="HN222" i="4"/>
  <c r="HO222" i="4"/>
  <c r="HP222" i="4"/>
  <c r="A223" i="4"/>
  <c r="B223" i="4"/>
  <c r="C223" i="4"/>
  <c r="D223" i="4"/>
  <c r="E223" i="4"/>
  <c r="F223" i="4"/>
  <c r="I223" i="4"/>
  <c r="J223" i="4"/>
  <c r="N223" i="4"/>
  <c r="O223" i="4"/>
  <c r="P223" i="4"/>
  <c r="Q223" i="4"/>
  <c r="R223" i="4"/>
  <c r="S223" i="4"/>
  <c r="T223" i="4"/>
  <c r="U223" i="4"/>
  <c r="V223" i="4"/>
  <c r="W223" i="4"/>
  <c r="X223" i="4"/>
  <c r="AX223" i="4"/>
  <c r="AY223" i="4"/>
  <c r="AZ223" i="4"/>
  <c r="BB223" i="4"/>
  <c r="BC223" i="4"/>
  <c r="BT223" i="4"/>
  <c r="BU223" i="4"/>
  <c r="BV223" i="4"/>
  <c r="BW223" i="4"/>
  <c r="EC223" i="4"/>
  <c r="ED223" i="4"/>
  <c r="EE223" i="4"/>
  <c r="EF223" i="4"/>
  <c r="EG223" i="4"/>
  <c r="EL223" i="4"/>
  <c r="EM223" i="4"/>
  <c r="EN223" i="4"/>
  <c r="EO223" i="4"/>
  <c r="EP223" i="4"/>
  <c r="EQ223" i="4"/>
  <c r="EV223" i="4"/>
  <c r="EX223" i="4"/>
  <c r="EY223" i="4"/>
  <c r="FA223" i="4"/>
  <c r="FB223" i="4"/>
  <c r="FC223" i="4"/>
  <c r="FD223" i="4"/>
  <c r="FE223" i="4"/>
  <c r="FF223" i="4"/>
  <c r="FG223" i="4"/>
  <c r="FH223" i="4"/>
  <c r="FI223" i="4"/>
  <c r="FJ223" i="4"/>
  <c r="FK223" i="4"/>
  <c r="FL223" i="4"/>
  <c r="FM223" i="4"/>
  <c r="FN223" i="4"/>
  <c r="FO223" i="4"/>
  <c r="FP223" i="4"/>
  <c r="FQ223" i="4"/>
  <c r="FR223" i="4"/>
  <c r="FS223" i="4"/>
  <c r="FT223" i="4"/>
  <c r="FU223" i="4"/>
  <c r="FV223" i="4"/>
  <c r="FW223" i="4"/>
  <c r="FX223" i="4"/>
  <c r="FY223" i="4"/>
  <c r="FZ223" i="4"/>
  <c r="GA223" i="4"/>
  <c r="GB223" i="4"/>
  <c r="GC223" i="4"/>
  <c r="GD223" i="4"/>
  <c r="GF223" i="4"/>
  <c r="GG223" i="4"/>
  <c r="GJ223" i="4"/>
  <c r="GK223" i="4"/>
  <c r="GM223" i="4"/>
  <c r="GN223" i="4"/>
  <c r="GP223" i="4"/>
  <c r="HJ223" i="4"/>
  <c r="HK223" i="4"/>
  <c r="HL223" i="4"/>
  <c r="HM223" i="4"/>
  <c r="HN223" i="4"/>
  <c r="HO223" i="4"/>
  <c r="HP223" i="4"/>
  <c r="A224" i="4"/>
  <c r="B224" i="4"/>
  <c r="C224" i="4"/>
  <c r="D224" i="4"/>
  <c r="E224" i="4"/>
  <c r="F224" i="4"/>
  <c r="I224" i="4"/>
  <c r="J224" i="4"/>
  <c r="N224" i="4"/>
  <c r="O224" i="4"/>
  <c r="P224" i="4"/>
  <c r="Q224" i="4"/>
  <c r="R224" i="4"/>
  <c r="S224" i="4"/>
  <c r="T224" i="4"/>
  <c r="U224" i="4"/>
  <c r="V224" i="4"/>
  <c r="W224" i="4"/>
  <c r="X224" i="4"/>
  <c r="AX224" i="4"/>
  <c r="AY224" i="4"/>
  <c r="AZ224" i="4"/>
  <c r="BB224" i="4"/>
  <c r="BC224" i="4"/>
  <c r="BT224" i="4"/>
  <c r="BU224" i="4"/>
  <c r="BV224" i="4"/>
  <c r="BW224" i="4"/>
  <c r="EC224" i="4"/>
  <c r="ED224" i="4"/>
  <c r="EE224" i="4"/>
  <c r="EF224" i="4"/>
  <c r="EG224" i="4"/>
  <c r="EL224" i="4"/>
  <c r="EM224" i="4"/>
  <c r="EN224" i="4"/>
  <c r="EO224" i="4"/>
  <c r="EP224" i="4"/>
  <c r="EQ224" i="4"/>
  <c r="EV224" i="4"/>
  <c r="EX224" i="4"/>
  <c r="EY224" i="4"/>
  <c r="FA224" i="4"/>
  <c r="FB224" i="4"/>
  <c r="FC224" i="4"/>
  <c r="FD224" i="4"/>
  <c r="FE224" i="4"/>
  <c r="FF224" i="4"/>
  <c r="FG224" i="4"/>
  <c r="FH224" i="4"/>
  <c r="FI224" i="4"/>
  <c r="FJ224" i="4"/>
  <c r="FK224" i="4"/>
  <c r="FL224" i="4"/>
  <c r="FM224" i="4"/>
  <c r="FN224" i="4"/>
  <c r="FO224" i="4"/>
  <c r="FP224" i="4"/>
  <c r="FQ224" i="4"/>
  <c r="FR224" i="4"/>
  <c r="FS224" i="4"/>
  <c r="FT224" i="4"/>
  <c r="FU224" i="4"/>
  <c r="FV224" i="4"/>
  <c r="FW224" i="4"/>
  <c r="FX224" i="4"/>
  <c r="FY224" i="4"/>
  <c r="FZ224" i="4"/>
  <c r="GA224" i="4"/>
  <c r="GB224" i="4"/>
  <c r="GC224" i="4"/>
  <c r="GD224" i="4"/>
  <c r="GF224" i="4"/>
  <c r="GG224" i="4"/>
  <c r="GJ224" i="4"/>
  <c r="GK224" i="4"/>
  <c r="GM224" i="4"/>
  <c r="GN224" i="4"/>
  <c r="GP224" i="4"/>
  <c r="HJ224" i="4"/>
  <c r="HK224" i="4"/>
  <c r="HL224" i="4"/>
  <c r="HM224" i="4"/>
  <c r="HN224" i="4"/>
  <c r="HO224" i="4"/>
  <c r="HP224" i="4"/>
  <c r="A225" i="4"/>
  <c r="B225" i="4"/>
  <c r="C225" i="4"/>
  <c r="D225" i="4"/>
  <c r="E225" i="4"/>
  <c r="F225" i="4"/>
  <c r="I225" i="4"/>
  <c r="J225" i="4"/>
  <c r="N225" i="4"/>
  <c r="O225" i="4"/>
  <c r="P225" i="4"/>
  <c r="Q225" i="4"/>
  <c r="R225" i="4"/>
  <c r="S225" i="4"/>
  <c r="T225" i="4"/>
  <c r="U225" i="4"/>
  <c r="V225" i="4"/>
  <c r="W225" i="4"/>
  <c r="X225" i="4"/>
  <c r="AX225" i="4"/>
  <c r="AY225" i="4"/>
  <c r="AZ225" i="4"/>
  <c r="BB225" i="4"/>
  <c r="BC225" i="4"/>
  <c r="BT225" i="4"/>
  <c r="BU225" i="4"/>
  <c r="BV225" i="4"/>
  <c r="BW225" i="4"/>
  <c r="EC225" i="4"/>
  <c r="ED225" i="4"/>
  <c r="EE225" i="4"/>
  <c r="EF225" i="4"/>
  <c r="EG225" i="4"/>
  <c r="EL225" i="4"/>
  <c r="EM225" i="4"/>
  <c r="EN225" i="4"/>
  <c r="EO225" i="4"/>
  <c r="EP225" i="4"/>
  <c r="EQ225" i="4"/>
  <c r="EV225" i="4"/>
  <c r="EX225" i="4"/>
  <c r="EY225" i="4"/>
  <c r="FA225" i="4"/>
  <c r="FB225" i="4"/>
  <c r="FC225" i="4"/>
  <c r="FD225" i="4"/>
  <c r="FE225" i="4"/>
  <c r="FF225" i="4"/>
  <c r="FG225" i="4"/>
  <c r="FH225" i="4"/>
  <c r="FI225" i="4"/>
  <c r="FJ225" i="4"/>
  <c r="FK225" i="4"/>
  <c r="FL225" i="4"/>
  <c r="FM225" i="4"/>
  <c r="FN225" i="4"/>
  <c r="FO225" i="4"/>
  <c r="FP225" i="4"/>
  <c r="FQ225" i="4"/>
  <c r="FR225" i="4"/>
  <c r="FS225" i="4"/>
  <c r="FT225" i="4"/>
  <c r="FU225" i="4"/>
  <c r="FV225" i="4"/>
  <c r="FW225" i="4"/>
  <c r="FX225" i="4"/>
  <c r="FY225" i="4"/>
  <c r="FZ225" i="4"/>
  <c r="GA225" i="4"/>
  <c r="GB225" i="4"/>
  <c r="GC225" i="4"/>
  <c r="GD225" i="4"/>
  <c r="GF225" i="4"/>
  <c r="GG225" i="4"/>
  <c r="GJ225" i="4"/>
  <c r="GK225" i="4"/>
  <c r="GM225" i="4"/>
  <c r="GN225" i="4"/>
  <c r="GP225" i="4"/>
  <c r="HJ225" i="4"/>
  <c r="HK225" i="4"/>
  <c r="HL225" i="4"/>
  <c r="HM225" i="4"/>
  <c r="HN225" i="4"/>
  <c r="HO225" i="4"/>
  <c r="HP225" i="4"/>
  <c r="A226" i="4"/>
  <c r="B226" i="4"/>
  <c r="C226" i="4"/>
  <c r="D226" i="4"/>
  <c r="E226" i="4"/>
  <c r="F226" i="4"/>
  <c r="I226" i="4"/>
  <c r="J226" i="4"/>
  <c r="N226" i="4"/>
  <c r="O226" i="4"/>
  <c r="P226" i="4"/>
  <c r="Q226" i="4"/>
  <c r="R226" i="4"/>
  <c r="S226" i="4"/>
  <c r="T226" i="4"/>
  <c r="U226" i="4"/>
  <c r="V226" i="4"/>
  <c r="W226" i="4"/>
  <c r="X226" i="4"/>
  <c r="AX226" i="4"/>
  <c r="AY226" i="4"/>
  <c r="AZ226" i="4"/>
  <c r="BB226" i="4"/>
  <c r="BC226" i="4"/>
  <c r="BT226" i="4"/>
  <c r="BU226" i="4"/>
  <c r="BV226" i="4"/>
  <c r="BW226" i="4"/>
  <c r="EC226" i="4"/>
  <c r="ED226" i="4"/>
  <c r="EE226" i="4"/>
  <c r="EF226" i="4"/>
  <c r="EG226" i="4"/>
  <c r="EL226" i="4"/>
  <c r="EM226" i="4"/>
  <c r="EN226" i="4"/>
  <c r="EO226" i="4"/>
  <c r="EP226" i="4"/>
  <c r="EQ226" i="4"/>
  <c r="EV226" i="4"/>
  <c r="EX226" i="4"/>
  <c r="EY226" i="4"/>
  <c r="FA226" i="4"/>
  <c r="FB226" i="4"/>
  <c r="FC226" i="4"/>
  <c r="FD226" i="4"/>
  <c r="FE226" i="4"/>
  <c r="FF226" i="4"/>
  <c r="FG226" i="4"/>
  <c r="FH226" i="4"/>
  <c r="FI226" i="4"/>
  <c r="FJ226" i="4"/>
  <c r="FK226" i="4"/>
  <c r="FL226" i="4"/>
  <c r="FM226" i="4"/>
  <c r="FN226" i="4"/>
  <c r="FO226" i="4"/>
  <c r="FP226" i="4"/>
  <c r="FQ226" i="4"/>
  <c r="FR226" i="4"/>
  <c r="FS226" i="4"/>
  <c r="FT226" i="4"/>
  <c r="FU226" i="4"/>
  <c r="FV226" i="4"/>
  <c r="FW226" i="4"/>
  <c r="FX226" i="4"/>
  <c r="FY226" i="4"/>
  <c r="FZ226" i="4"/>
  <c r="GA226" i="4"/>
  <c r="GB226" i="4"/>
  <c r="GC226" i="4"/>
  <c r="GD226" i="4"/>
  <c r="GF226" i="4"/>
  <c r="GG226" i="4"/>
  <c r="GJ226" i="4"/>
  <c r="GK226" i="4"/>
  <c r="GM226" i="4"/>
  <c r="GN226" i="4"/>
  <c r="GP226" i="4"/>
  <c r="HJ226" i="4"/>
  <c r="HK226" i="4"/>
  <c r="HL226" i="4"/>
  <c r="HM226" i="4"/>
  <c r="HN226" i="4"/>
  <c r="HO226" i="4"/>
  <c r="HP226" i="4"/>
  <c r="A227" i="4"/>
  <c r="B227" i="4"/>
  <c r="C227" i="4"/>
  <c r="D227" i="4"/>
  <c r="E227" i="4"/>
  <c r="F227" i="4"/>
  <c r="I227" i="4"/>
  <c r="J227" i="4"/>
  <c r="N227" i="4"/>
  <c r="O227" i="4"/>
  <c r="P227" i="4"/>
  <c r="Q227" i="4"/>
  <c r="R227" i="4"/>
  <c r="S227" i="4"/>
  <c r="T227" i="4"/>
  <c r="U227" i="4"/>
  <c r="V227" i="4"/>
  <c r="W227" i="4"/>
  <c r="X227" i="4"/>
  <c r="AX227" i="4"/>
  <c r="AY227" i="4"/>
  <c r="AZ227" i="4"/>
  <c r="BB227" i="4"/>
  <c r="BC227" i="4"/>
  <c r="BT227" i="4"/>
  <c r="BU227" i="4"/>
  <c r="BV227" i="4"/>
  <c r="BW227" i="4"/>
  <c r="EC227" i="4"/>
  <c r="ED227" i="4"/>
  <c r="EE227" i="4"/>
  <c r="EF227" i="4"/>
  <c r="EG227" i="4"/>
  <c r="EL227" i="4"/>
  <c r="EM227" i="4"/>
  <c r="EN227" i="4"/>
  <c r="EO227" i="4"/>
  <c r="EP227" i="4"/>
  <c r="EQ227" i="4"/>
  <c r="EV227" i="4"/>
  <c r="EX227" i="4"/>
  <c r="EY227" i="4"/>
  <c r="FA227" i="4"/>
  <c r="FB227" i="4"/>
  <c r="FC227" i="4"/>
  <c r="FD227" i="4"/>
  <c r="FE227" i="4"/>
  <c r="FF227" i="4"/>
  <c r="FG227" i="4"/>
  <c r="FH227" i="4"/>
  <c r="FI227" i="4"/>
  <c r="FJ227" i="4"/>
  <c r="FK227" i="4"/>
  <c r="FL227" i="4"/>
  <c r="FM227" i="4"/>
  <c r="FN227" i="4"/>
  <c r="FO227" i="4"/>
  <c r="FP227" i="4"/>
  <c r="FQ227" i="4"/>
  <c r="FR227" i="4"/>
  <c r="FS227" i="4"/>
  <c r="FT227" i="4"/>
  <c r="FU227" i="4"/>
  <c r="FV227" i="4"/>
  <c r="FW227" i="4"/>
  <c r="FX227" i="4"/>
  <c r="FY227" i="4"/>
  <c r="FZ227" i="4"/>
  <c r="GA227" i="4"/>
  <c r="GB227" i="4"/>
  <c r="GC227" i="4"/>
  <c r="GD227" i="4"/>
  <c r="GF227" i="4"/>
  <c r="GG227" i="4"/>
  <c r="GJ227" i="4"/>
  <c r="GK227" i="4"/>
  <c r="GM227" i="4"/>
  <c r="GN227" i="4"/>
  <c r="GP227" i="4"/>
  <c r="HJ227" i="4"/>
  <c r="HK227" i="4"/>
  <c r="HL227" i="4"/>
  <c r="HM227" i="4"/>
  <c r="HN227" i="4"/>
  <c r="HO227" i="4"/>
  <c r="HP227" i="4"/>
  <c r="A228" i="4"/>
  <c r="B228" i="4"/>
  <c r="C228" i="4"/>
  <c r="D228" i="4"/>
  <c r="E228" i="4"/>
  <c r="F228" i="4"/>
  <c r="I228" i="4"/>
  <c r="J228" i="4"/>
  <c r="N228" i="4"/>
  <c r="O228" i="4"/>
  <c r="P228" i="4"/>
  <c r="Q228" i="4"/>
  <c r="R228" i="4"/>
  <c r="S228" i="4"/>
  <c r="T228" i="4"/>
  <c r="U228" i="4"/>
  <c r="V228" i="4"/>
  <c r="W228" i="4"/>
  <c r="X228" i="4"/>
  <c r="AX228" i="4"/>
  <c r="AY228" i="4"/>
  <c r="AZ228" i="4"/>
  <c r="BB228" i="4"/>
  <c r="BC228" i="4"/>
  <c r="BT228" i="4"/>
  <c r="BU228" i="4"/>
  <c r="BV228" i="4"/>
  <c r="BW228" i="4"/>
  <c r="EC228" i="4"/>
  <c r="ED228" i="4"/>
  <c r="EE228" i="4"/>
  <c r="EF228" i="4"/>
  <c r="EG228" i="4"/>
  <c r="EL228" i="4"/>
  <c r="EM228" i="4"/>
  <c r="EN228" i="4"/>
  <c r="EO228" i="4"/>
  <c r="EP228" i="4"/>
  <c r="EQ228" i="4"/>
  <c r="EV228" i="4"/>
  <c r="EX228" i="4"/>
  <c r="EY228" i="4"/>
  <c r="FA228" i="4"/>
  <c r="FB228" i="4"/>
  <c r="FC228" i="4"/>
  <c r="FD228" i="4"/>
  <c r="FE228" i="4"/>
  <c r="FF228" i="4"/>
  <c r="FG228" i="4"/>
  <c r="FH228" i="4"/>
  <c r="FI228" i="4"/>
  <c r="FJ228" i="4"/>
  <c r="FK228" i="4"/>
  <c r="FL228" i="4"/>
  <c r="FM228" i="4"/>
  <c r="FN228" i="4"/>
  <c r="FO228" i="4"/>
  <c r="FP228" i="4"/>
  <c r="FQ228" i="4"/>
  <c r="FR228" i="4"/>
  <c r="FS228" i="4"/>
  <c r="FT228" i="4"/>
  <c r="FU228" i="4"/>
  <c r="FV228" i="4"/>
  <c r="FW228" i="4"/>
  <c r="FX228" i="4"/>
  <c r="FY228" i="4"/>
  <c r="FZ228" i="4"/>
  <c r="GA228" i="4"/>
  <c r="GB228" i="4"/>
  <c r="GC228" i="4"/>
  <c r="GD228" i="4"/>
  <c r="GF228" i="4"/>
  <c r="GG228" i="4"/>
  <c r="GJ228" i="4"/>
  <c r="GK228" i="4"/>
  <c r="GM228" i="4"/>
  <c r="GN228" i="4"/>
  <c r="GP228" i="4"/>
  <c r="HJ228" i="4"/>
  <c r="HK228" i="4"/>
  <c r="HL228" i="4"/>
  <c r="HM228" i="4"/>
  <c r="HN228" i="4"/>
  <c r="HO228" i="4"/>
  <c r="HP228" i="4"/>
  <c r="A229" i="4"/>
  <c r="B229" i="4"/>
  <c r="C229" i="4"/>
  <c r="D229" i="4"/>
  <c r="E229" i="4"/>
  <c r="F229" i="4"/>
  <c r="I229" i="4"/>
  <c r="J229" i="4"/>
  <c r="N229" i="4"/>
  <c r="O229" i="4"/>
  <c r="P229" i="4"/>
  <c r="Q229" i="4"/>
  <c r="R229" i="4"/>
  <c r="S229" i="4"/>
  <c r="T229" i="4"/>
  <c r="U229" i="4"/>
  <c r="V229" i="4"/>
  <c r="W229" i="4"/>
  <c r="X229" i="4"/>
  <c r="AX229" i="4"/>
  <c r="AY229" i="4"/>
  <c r="AZ229" i="4"/>
  <c r="BB229" i="4"/>
  <c r="BC229" i="4"/>
  <c r="BT229" i="4"/>
  <c r="BU229" i="4"/>
  <c r="BV229" i="4"/>
  <c r="BW229" i="4"/>
  <c r="EC229" i="4"/>
  <c r="ED229" i="4"/>
  <c r="EE229" i="4"/>
  <c r="EF229" i="4"/>
  <c r="EG229" i="4"/>
  <c r="EL229" i="4"/>
  <c r="EM229" i="4"/>
  <c r="EN229" i="4"/>
  <c r="EO229" i="4"/>
  <c r="EP229" i="4"/>
  <c r="EQ229" i="4"/>
  <c r="EV229" i="4"/>
  <c r="EX229" i="4"/>
  <c r="EY229" i="4"/>
  <c r="FA229" i="4"/>
  <c r="FB229" i="4"/>
  <c r="FC229" i="4"/>
  <c r="FD229" i="4"/>
  <c r="FE229" i="4"/>
  <c r="FF229" i="4"/>
  <c r="FG229" i="4"/>
  <c r="FH229" i="4"/>
  <c r="FI229" i="4"/>
  <c r="FJ229" i="4"/>
  <c r="FK229" i="4"/>
  <c r="FL229" i="4"/>
  <c r="FM229" i="4"/>
  <c r="FN229" i="4"/>
  <c r="FO229" i="4"/>
  <c r="FP229" i="4"/>
  <c r="FQ229" i="4"/>
  <c r="FR229" i="4"/>
  <c r="FS229" i="4"/>
  <c r="FT229" i="4"/>
  <c r="FU229" i="4"/>
  <c r="FV229" i="4"/>
  <c r="FW229" i="4"/>
  <c r="FX229" i="4"/>
  <c r="FY229" i="4"/>
  <c r="FZ229" i="4"/>
  <c r="GA229" i="4"/>
  <c r="GB229" i="4"/>
  <c r="GC229" i="4"/>
  <c r="GD229" i="4"/>
  <c r="GF229" i="4"/>
  <c r="GG229" i="4"/>
  <c r="GJ229" i="4"/>
  <c r="GK229" i="4"/>
  <c r="GM229" i="4"/>
  <c r="GN229" i="4"/>
  <c r="GP229" i="4"/>
  <c r="HJ229" i="4"/>
  <c r="HK229" i="4"/>
  <c r="HL229" i="4"/>
  <c r="HM229" i="4"/>
  <c r="HN229" i="4"/>
  <c r="HO229" i="4"/>
  <c r="HP229" i="4"/>
  <c r="A230" i="4"/>
  <c r="B230" i="4"/>
  <c r="C230" i="4"/>
  <c r="D230" i="4"/>
  <c r="E230" i="4"/>
  <c r="F230" i="4"/>
  <c r="I230" i="4"/>
  <c r="J230" i="4"/>
  <c r="N230" i="4"/>
  <c r="O230" i="4"/>
  <c r="P230" i="4"/>
  <c r="Q230" i="4"/>
  <c r="R230" i="4"/>
  <c r="S230" i="4"/>
  <c r="T230" i="4"/>
  <c r="U230" i="4"/>
  <c r="V230" i="4"/>
  <c r="W230" i="4"/>
  <c r="X230" i="4"/>
  <c r="AX230" i="4"/>
  <c r="AY230" i="4"/>
  <c r="AZ230" i="4"/>
  <c r="BB230" i="4"/>
  <c r="BC230" i="4"/>
  <c r="BT230" i="4"/>
  <c r="BU230" i="4"/>
  <c r="BV230" i="4"/>
  <c r="BW230" i="4"/>
  <c r="EC230" i="4"/>
  <c r="ED230" i="4"/>
  <c r="EE230" i="4"/>
  <c r="EF230" i="4"/>
  <c r="EG230" i="4"/>
  <c r="EL230" i="4"/>
  <c r="EM230" i="4"/>
  <c r="EN230" i="4"/>
  <c r="EO230" i="4"/>
  <c r="EP230" i="4"/>
  <c r="EQ230" i="4"/>
  <c r="EV230" i="4"/>
  <c r="EX230" i="4"/>
  <c r="EY230" i="4"/>
  <c r="FA230" i="4"/>
  <c r="FB230" i="4"/>
  <c r="FC230" i="4"/>
  <c r="FD230" i="4"/>
  <c r="FE230" i="4"/>
  <c r="FF230" i="4"/>
  <c r="FG230" i="4"/>
  <c r="FH230" i="4"/>
  <c r="FI230" i="4"/>
  <c r="FJ230" i="4"/>
  <c r="FK230" i="4"/>
  <c r="FL230" i="4"/>
  <c r="FM230" i="4"/>
  <c r="FN230" i="4"/>
  <c r="FO230" i="4"/>
  <c r="FP230" i="4"/>
  <c r="FQ230" i="4"/>
  <c r="FR230" i="4"/>
  <c r="FS230" i="4"/>
  <c r="FT230" i="4"/>
  <c r="FU230" i="4"/>
  <c r="FV230" i="4"/>
  <c r="FW230" i="4"/>
  <c r="FX230" i="4"/>
  <c r="FY230" i="4"/>
  <c r="FZ230" i="4"/>
  <c r="GA230" i="4"/>
  <c r="GB230" i="4"/>
  <c r="GC230" i="4"/>
  <c r="GD230" i="4"/>
  <c r="GF230" i="4"/>
  <c r="GG230" i="4"/>
  <c r="GJ230" i="4"/>
  <c r="GK230" i="4"/>
  <c r="GM230" i="4"/>
  <c r="GN230" i="4"/>
  <c r="GP230" i="4"/>
  <c r="HJ230" i="4"/>
  <c r="HK230" i="4"/>
  <c r="HL230" i="4"/>
  <c r="HM230" i="4"/>
  <c r="HN230" i="4"/>
  <c r="HO230" i="4"/>
  <c r="HP230" i="4"/>
  <c r="A231" i="4"/>
  <c r="B231" i="4"/>
  <c r="C231" i="4"/>
  <c r="D231" i="4"/>
  <c r="E231" i="4"/>
  <c r="F231" i="4"/>
  <c r="I231" i="4"/>
  <c r="J231" i="4"/>
  <c r="N231" i="4"/>
  <c r="O231" i="4"/>
  <c r="P231" i="4"/>
  <c r="Q231" i="4"/>
  <c r="R231" i="4"/>
  <c r="S231" i="4"/>
  <c r="T231" i="4"/>
  <c r="U231" i="4"/>
  <c r="V231" i="4"/>
  <c r="W231" i="4"/>
  <c r="X231" i="4"/>
  <c r="AX231" i="4"/>
  <c r="AY231" i="4"/>
  <c r="AZ231" i="4"/>
  <c r="BB231" i="4"/>
  <c r="BC231" i="4"/>
  <c r="BT231" i="4"/>
  <c r="BU231" i="4"/>
  <c r="BV231" i="4"/>
  <c r="BW231" i="4"/>
  <c r="EC231" i="4"/>
  <c r="ED231" i="4"/>
  <c r="EE231" i="4"/>
  <c r="EF231" i="4"/>
  <c r="EG231" i="4"/>
  <c r="EL231" i="4"/>
  <c r="EM231" i="4"/>
  <c r="EN231" i="4"/>
  <c r="EO231" i="4"/>
  <c r="EP231" i="4"/>
  <c r="EQ231" i="4"/>
  <c r="EV231" i="4"/>
  <c r="EX231" i="4"/>
  <c r="EY231" i="4"/>
  <c r="FA231" i="4"/>
  <c r="FB231" i="4"/>
  <c r="FC231" i="4"/>
  <c r="FD231" i="4"/>
  <c r="FE231" i="4"/>
  <c r="FF231" i="4"/>
  <c r="FG231" i="4"/>
  <c r="FH231" i="4"/>
  <c r="FI231" i="4"/>
  <c r="FJ231" i="4"/>
  <c r="FK231" i="4"/>
  <c r="FL231" i="4"/>
  <c r="FM231" i="4"/>
  <c r="FN231" i="4"/>
  <c r="FO231" i="4"/>
  <c r="FP231" i="4"/>
  <c r="FQ231" i="4"/>
  <c r="FR231" i="4"/>
  <c r="FS231" i="4"/>
  <c r="FT231" i="4"/>
  <c r="FU231" i="4"/>
  <c r="FV231" i="4"/>
  <c r="FW231" i="4"/>
  <c r="FX231" i="4"/>
  <c r="FY231" i="4"/>
  <c r="FZ231" i="4"/>
  <c r="GA231" i="4"/>
  <c r="GB231" i="4"/>
  <c r="GC231" i="4"/>
  <c r="GD231" i="4"/>
  <c r="GF231" i="4"/>
  <c r="GG231" i="4"/>
  <c r="GJ231" i="4"/>
  <c r="GK231" i="4"/>
  <c r="GM231" i="4"/>
  <c r="GN231" i="4"/>
  <c r="GP231" i="4"/>
  <c r="HJ231" i="4"/>
  <c r="HK231" i="4"/>
  <c r="HL231" i="4"/>
  <c r="HM231" i="4"/>
  <c r="HN231" i="4"/>
  <c r="HO231" i="4"/>
  <c r="HP231" i="4"/>
  <c r="A232" i="4"/>
  <c r="B232" i="4"/>
  <c r="C232" i="4"/>
  <c r="D232" i="4"/>
  <c r="E232" i="4"/>
  <c r="F232" i="4"/>
  <c r="I232" i="4"/>
  <c r="J232" i="4"/>
  <c r="N232" i="4"/>
  <c r="O232" i="4"/>
  <c r="P232" i="4"/>
  <c r="Q232" i="4"/>
  <c r="R232" i="4"/>
  <c r="S232" i="4"/>
  <c r="T232" i="4"/>
  <c r="U232" i="4"/>
  <c r="V232" i="4"/>
  <c r="W232" i="4"/>
  <c r="X232" i="4"/>
  <c r="AX232" i="4"/>
  <c r="AY232" i="4"/>
  <c r="AZ232" i="4"/>
  <c r="BB232" i="4"/>
  <c r="BC232" i="4"/>
  <c r="BT232" i="4"/>
  <c r="BU232" i="4"/>
  <c r="BV232" i="4"/>
  <c r="BW232" i="4"/>
  <c r="EC232" i="4"/>
  <c r="ED232" i="4"/>
  <c r="EE232" i="4"/>
  <c r="EF232" i="4"/>
  <c r="EG232" i="4"/>
  <c r="EL232" i="4"/>
  <c r="EM232" i="4"/>
  <c r="EN232" i="4"/>
  <c r="EO232" i="4"/>
  <c r="EP232" i="4"/>
  <c r="EQ232" i="4"/>
  <c r="EV232" i="4"/>
  <c r="EX232" i="4"/>
  <c r="EY232" i="4"/>
  <c r="FA232" i="4"/>
  <c r="FB232" i="4"/>
  <c r="FC232" i="4"/>
  <c r="FD232" i="4"/>
  <c r="FE232" i="4"/>
  <c r="FF232" i="4"/>
  <c r="FG232" i="4"/>
  <c r="FH232" i="4"/>
  <c r="FI232" i="4"/>
  <c r="FJ232" i="4"/>
  <c r="FK232" i="4"/>
  <c r="FL232" i="4"/>
  <c r="FM232" i="4"/>
  <c r="FN232" i="4"/>
  <c r="FO232" i="4"/>
  <c r="FP232" i="4"/>
  <c r="FQ232" i="4"/>
  <c r="FR232" i="4"/>
  <c r="FS232" i="4"/>
  <c r="FT232" i="4"/>
  <c r="FU232" i="4"/>
  <c r="FV232" i="4"/>
  <c r="FW232" i="4"/>
  <c r="FX232" i="4"/>
  <c r="FY232" i="4"/>
  <c r="FZ232" i="4"/>
  <c r="GA232" i="4"/>
  <c r="GB232" i="4"/>
  <c r="GC232" i="4"/>
  <c r="GD232" i="4"/>
  <c r="GF232" i="4"/>
  <c r="GG232" i="4"/>
  <c r="GJ232" i="4"/>
  <c r="GK232" i="4"/>
  <c r="GM232" i="4"/>
  <c r="GN232" i="4"/>
  <c r="GP232" i="4"/>
  <c r="HJ232" i="4"/>
  <c r="HK232" i="4"/>
  <c r="HL232" i="4"/>
  <c r="HM232" i="4"/>
  <c r="HN232" i="4"/>
  <c r="HO232" i="4"/>
  <c r="HP232" i="4"/>
  <c r="A233" i="4"/>
  <c r="B233" i="4"/>
  <c r="C233" i="4"/>
  <c r="D233" i="4"/>
  <c r="E233" i="4"/>
  <c r="F233" i="4"/>
  <c r="I233" i="4"/>
  <c r="J233" i="4"/>
  <c r="N233" i="4"/>
  <c r="O233" i="4"/>
  <c r="P233" i="4"/>
  <c r="Q233" i="4"/>
  <c r="R233" i="4"/>
  <c r="S233" i="4"/>
  <c r="T233" i="4"/>
  <c r="U233" i="4"/>
  <c r="V233" i="4"/>
  <c r="W233" i="4"/>
  <c r="X233" i="4"/>
  <c r="AX233" i="4"/>
  <c r="AY233" i="4"/>
  <c r="AZ233" i="4"/>
  <c r="BB233" i="4"/>
  <c r="BC233" i="4"/>
  <c r="BT233" i="4"/>
  <c r="BU233" i="4"/>
  <c r="BV233" i="4"/>
  <c r="BW233" i="4"/>
  <c r="EC233" i="4"/>
  <c r="ED233" i="4"/>
  <c r="EE233" i="4"/>
  <c r="EF233" i="4"/>
  <c r="EG233" i="4"/>
  <c r="EL233" i="4"/>
  <c r="EM233" i="4"/>
  <c r="EN233" i="4"/>
  <c r="EO233" i="4"/>
  <c r="EP233" i="4"/>
  <c r="EQ233" i="4"/>
  <c r="EV233" i="4"/>
  <c r="EX233" i="4"/>
  <c r="EY233" i="4"/>
  <c r="FA233" i="4"/>
  <c r="FB233" i="4"/>
  <c r="FC233" i="4"/>
  <c r="FD233" i="4"/>
  <c r="FE233" i="4"/>
  <c r="FF233" i="4"/>
  <c r="FG233" i="4"/>
  <c r="FH233" i="4"/>
  <c r="FI233" i="4"/>
  <c r="FJ233" i="4"/>
  <c r="FK233" i="4"/>
  <c r="FL233" i="4"/>
  <c r="FM233" i="4"/>
  <c r="FN233" i="4"/>
  <c r="FO233" i="4"/>
  <c r="FP233" i="4"/>
  <c r="FQ233" i="4"/>
  <c r="FR233" i="4"/>
  <c r="FS233" i="4"/>
  <c r="FT233" i="4"/>
  <c r="FU233" i="4"/>
  <c r="FV233" i="4"/>
  <c r="FW233" i="4"/>
  <c r="FX233" i="4"/>
  <c r="FY233" i="4"/>
  <c r="FZ233" i="4"/>
  <c r="GA233" i="4"/>
  <c r="GB233" i="4"/>
  <c r="GC233" i="4"/>
  <c r="GD233" i="4"/>
  <c r="GF233" i="4"/>
  <c r="GG233" i="4"/>
  <c r="GJ233" i="4"/>
  <c r="GK233" i="4"/>
  <c r="GM233" i="4"/>
  <c r="GN233" i="4"/>
  <c r="GP233" i="4"/>
  <c r="HJ233" i="4"/>
  <c r="HK233" i="4"/>
  <c r="HL233" i="4"/>
  <c r="HM233" i="4"/>
  <c r="HN233" i="4"/>
  <c r="HO233" i="4"/>
  <c r="HP233" i="4"/>
  <c r="A234" i="4"/>
  <c r="B234" i="4"/>
  <c r="C234" i="4"/>
  <c r="D234" i="4"/>
  <c r="E234" i="4"/>
  <c r="F234" i="4"/>
  <c r="I234" i="4"/>
  <c r="J234" i="4"/>
  <c r="N234" i="4"/>
  <c r="O234" i="4"/>
  <c r="P234" i="4"/>
  <c r="Q234" i="4"/>
  <c r="R234" i="4"/>
  <c r="S234" i="4"/>
  <c r="T234" i="4"/>
  <c r="U234" i="4"/>
  <c r="V234" i="4"/>
  <c r="W234" i="4"/>
  <c r="X234" i="4"/>
  <c r="AX234" i="4"/>
  <c r="AY234" i="4"/>
  <c r="AZ234" i="4"/>
  <c r="BB234" i="4"/>
  <c r="BC234" i="4"/>
  <c r="BT234" i="4"/>
  <c r="BU234" i="4"/>
  <c r="BV234" i="4"/>
  <c r="BW234" i="4"/>
  <c r="EC234" i="4"/>
  <c r="ED234" i="4"/>
  <c r="EE234" i="4"/>
  <c r="EF234" i="4"/>
  <c r="EG234" i="4"/>
  <c r="EL234" i="4"/>
  <c r="EM234" i="4"/>
  <c r="EN234" i="4"/>
  <c r="EO234" i="4"/>
  <c r="EP234" i="4"/>
  <c r="EQ234" i="4"/>
  <c r="EV234" i="4"/>
  <c r="EX234" i="4"/>
  <c r="EY234" i="4"/>
  <c r="FA234" i="4"/>
  <c r="FB234" i="4"/>
  <c r="FC234" i="4"/>
  <c r="FD234" i="4"/>
  <c r="FE234" i="4"/>
  <c r="FF234" i="4"/>
  <c r="FG234" i="4"/>
  <c r="FH234" i="4"/>
  <c r="FI234" i="4"/>
  <c r="FJ234" i="4"/>
  <c r="FK234" i="4"/>
  <c r="FL234" i="4"/>
  <c r="FM234" i="4"/>
  <c r="FN234" i="4"/>
  <c r="FO234" i="4"/>
  <c r="FP234" i="4"/>
  <c r="FQ234" i="4"/>
  <c r="FR234" i="4"/>
  <c r="FS234" i="4"/>
  <c r="FT234" i="4"/>
  <c r="FU234" i="4"/>
  <c r="FV234" i="4"/>
  <c r="FW234" i="4"/>
  <c r="FX234" i="4"/>
  <c r="FY234" i="4"/>
  <c r="FZ234" i="4"/>
  <c r="GA234" i="4"/>
  <c r="GB234" i="4"/>
  <c r="GC234" i="4"/>
  <c r="GD234" i="4"/>
  <c r="GF234" i="4"/>
  <c r="GG234" i="4"/>
  <c r="GJ234" i="4"/>
  <c r="GK234" i="4"/>
  <c r="GM234" i="4"/>
  <c r="GN234" i="4"/>
  <c r="GP234" i="4"/>
  <c r="HJ234" i="4"/>
  <c r="HK234" i="4"/>
  <c r="HL234" i="4"/>
  <c r="HM234" i="4"/>
  <c r="HN234" i="4"/>
  <c r="HO234" i="4"/>
  <c r="HP234" i="4"/>
  <c r="A235" i="4"/>
  <c r="B235" i="4"/>
  <c r="C235" i="4"/>
  <c r="D235" i="4"/>
  <c r="E235" i="4"/>
  <c r="F235" i="4"/>
  <c r="I235" i="4"/>
  <c r="J235" i="4"/>
  <c r="N235" i="4"/>
  <c r="O235" i="4"/>
  <c r="P235" i="4"/>
  <c r="Q235" i="4"/>
  <c r="R235" i="4"/>
  <c r="S235" i="4"/>
  <c r="T235" i="4"/>
  <c r="U235" i="4"/>
  <c r="V235" i="4"/>
  <c r="W235" i="4"/>
  <c r="X235" i="4"/>
  <c r="AX235" i="4"/>
  <c r="AY235" i="4"/>
  <c r="AZ235" i="4"/>
  <c r="BB235" i="4"/>
  <c r="BC235" i="4"/>
  <c r="BT235" i="4"/>
  <c r="BU235" i="4"/>
  <c r="BV235" i="4"/>
  <c r="BW235" i="4"/>
  <c r="EC235" i="4"/>
  <c r="ED235" i="4"/>
  <c r="EE235" i="4"/>
  <c r="EF235" i="4"/>
  <c r="EG235" i="4"/>
  <c r="EL235" i="4"/>
  <c r="EM235" i="4"/>
  <c r="EN235" i="4"/>
  <c r="EO235" i="4"/>
  <c r="EP235" i="4"/>
  <c r="EQ235" i="4"/>
  <c r="EV235" i="4"/>
  <c r="EX235" i="4"/>
  <c r="EY235" i="4"/>
  <c r="FA235" i="4"/>
  <c r="FB235" i="4"/>
  <c r="FC235" i="4"/>
  <c r="FD235" i="4"/>
  <c r="FE235" i="4"/>
  <c r="FF235" i="4"/>
  <c r="FG235" i="4"/>
  <c r="FH235" i="4"/>
  <c r="FI235" i="4"/>
  <c r="FJ235" i="4"/>
  <c r="FK235" i="4"/>
  <c r="FL235" i="4"/>
  <c r="FM235" i="4"/>
  <c r="FN235" i="4"/>
  <c r="FO235" i="4"/>
  <c r="FP235" i="4"/>
  <c r="FQ235" i="4"/>
  <c r="FR235" i="4"/>
  <c r="FS235" i="4"/>
  <c r="FT235" i="4"/>
  <c r="FU235" i="4"/>
  <c r="FV235" i="4"/>
  <c r="FW235" i="4"/>
  <c r="FX235" i="4"/>
  <c r="FY235" i="4"/>
  <c r="FZ235" i="4"/>
  <c r="GA235" i="4"/>
  <c r="GB235" i="4"/>
  <c r="GC235" i="4"/>
  <c r="GD235" i="4"/>
  <c r="GF235" i="4"/>
  <c r="GG235" i="4"/>
  <c r="GJ235" i="4"/>
  <c r="GK235" i="4"/>
  <c r="GM235" i="4"/>
  <c r="GN235" i="4"/>
  <c r="GP235" i="4"/>
  <c r="HJ235" i="4"/>
  <c r="HK235" i="4"/>
  <c r="HL235" i="4"/>
  <c r="HM235" i="4"/>
  <c r="HN235" i="4"/>
  <c r="HO235" i="4"/>
  <c r="HP235" i="4"/>
  <c r="A236" i="4"/>
  <c r="B236" i="4"/>
  <c r="C236" i="4"/>
  <c r="D236" i="4"/>
  <c r="E236" i="4"/>
  <c r="F236" i="4"/>
  <c r="I236" i="4"/>
  <c r="J236" i="4"/>
  <c r="N236" i="4"/>
  <c r="O236" i="4"/>
  <c r="P236" i="4"/>
  <c r="Q236" i="4"/>
  <c r="R236" i="4"/>
  <c r="S236" i="4"/>
  <c r="T236" i="4"/>
  <c r="U236" i="4"/>
  <c r="V236" i="4"/>
  <c r="W236" i="4"/>
  <c r="X236" i="4"/>
  <c r="AX236" i="4"/>
  <c r="AY236" i="4"/>
  <c r="AZ236" i="4"/>
  <c r="BB236" i="4"/>
  <c r="BC236" i="4"/>
  <c r="BT236" i="4"/>
  <c r="BU236" i="4"/>
  <c r="BV236" i="4"/>
  <c r="BW236" i="4"/>
  <c r="EC236" i="4"/>
  <c r="ED236" i="4"/>
  <c r="EE236" i="4"/>
  <c r="EF236" i="4"/>
  <c r="EG236" i="4"/>
  <c r="EL236" i="4"/>
  <c r="EM236" i="4"/>
  <c r="EN236" i="4"/>
  <c r="EO236" i="4"/>
  <c r="EP236" i="4"/>
  <c r="EQ236" i="4"/>
  <c r="EV236" i="4"/>
  <c r="EX236" i="4"/>
  <c r="EY236" i="4"/>
  <c r="FA236" i="4"/>
  <c r="FB236" i="4"/>
  <c r="FC236" i="4"/>
  <c r="FD236" i="4"/>
  <c r="FE236" i="4"/>
  <c r="FF236" i="4"/>
  <c r="FG236" i="4"/>
  <c r="FH236" i="4"/>
  <c r="FI236" i="4"/>
  <c r="FJ236" i="4"/>
  <c r="FK236" i="4"/>
  <c r="FL236" i="4"/>
  <c r="FM236" i="4"/>
  <c r="FN236" i="4"/>
  <c r="FO236" i="4"/>
  <c r="FP236" i="4"/>
  <c r="FQ236" i="4"/>
  <c r="FR236" i="4"/>
  <c r="FS236" i="4"/>
  <c r="FT236" i="4"/>
  <c r="FU236" i="4"/>
  <c r="FV236" i="4"/>
  <c r="FW236" i="4"/>
  <c r="FX236" i="4"/>
  <c r="FY236" i="4"/>
  <c r="FZ236" i="4"/>
  <c r="GA236" i="4"/>
  <c r="GB236" i="4"/>
  <c r="GC236" i="4"/>
  <c r="GD236" i="4"/>
  <c r="GF236" i="4"/>
  <c r="GG236" i="4"/>
  <c r="GJ236" i="4"/>
  <c r="GK236" i="4"/>
  <c r="GM236" i="4"/>
  <c r="GN236" i="4"/>
  <c r="GP236" i="4"/>
  <c r="HJ236" i="4"/>
  <c r="HK236" i="4"/>
  <c r="HL236" i="4"/>
  <c r="HM236" i="4"/>
  <c r="HN236" i="4"/>
  <c r="HO236" i="4"/>
  <c r="HP236" i="4"/>
  <c r="A237" i="4"/>
  <c r="B237" i="4"/>
  <c r="C237" i="4"/>
  <c r="D237" i="4"/>
  <c r="E237" i="4"/>
  <c r="F237" i="4"/>
  <c r="I237" i="4"/>
  <c r="J237" i="4"/>
  <c r="N237" i="4"/>
  <c r="O237" i="4"/>
  <c r="P237" i="4"/>
  <c r="Q237" i="4"/>
  <c r="R237" i="4"/>
  <c r="S237" i="4"/>
  <c r="T237" i="4"/>
  <c r="U237" i="4"/>
  <c r="V237" i="4"/>
  <c r="W237" i="4"/>
  <c r="X237" i="4"/>
  <c r="AX237" i="4"/>
  <c r="AY237" i="4"/>
  <c r="AZ237" i="4"/>
  <c r="BB237" i="4"/>
  <c r="BC237" i="4"/>
  <c r="BT237" i="4"/>
  <c r="BU237" i="4"/>
  <c r="BV237" i="4"/>
  <c r="BW237" i="4"/>
  <c r="EC237" i="4"/>
  <c r="ED237" i="4"/>
  <c r="EE237" i="4"/>
  <c r="EF237" i="4"/>
  <c r="EG237" i="4"/>
  <c r="EL237" i="4"/>
  <c r="EM237" i="4"/>
  <c r="EN237" i="4"/>
  <c r="EO237" i="4"/>
  <c r="EP237" i="4"/>
  <c r="EQ237" i="4"/>
  <c r="EV237" i="4"/>
  <c r="EX237" i="4"/>
  <c r="EY237" i="4"/>
  <c r="FA237" i="4"/>
  <c r="FB237" i="4"/>
  <c r="FC237" i="4"/>
  <c r="FD237" i="4"/>
  <c r="FE237" i="4"/>
  <c r="FF237" i="4"/>
  <c r="FG237" i="4"/>
  <c r="FH237" i="4"/>
  <c r="FI237" i="4"/>
  <c r="FJ237" i="4"/>
  <c r="FK237" i="4"/>
  <c r="FL237" i="4"/>
  <c r="FM237" i="4"/>
  <c r="FN237" i="4"/>
  <c r="FO237" i="4"/>
  <c r="FP237" i="4"/>
  <c r="FQ237" i="4"/>
  <c r="FR237" i="4"/>
  <c r="FS237" i="4"/>
  <c r="FT237" i="4"/>
  <c r="FU237" i="4"/>
  <c r="FV237" i="4"/>
  <c r="FW237" i="4"/>
  <c r="FX237" i="4"/>
  <c r="FY237" i="4"/>
  <c r="FZ237" i="4"/>
  <c r="GA237" i="4"/>
  <c r="GB237" i="4"/>
  <c r="GC237" i="4"/>
  <c r="GD237" i="4"/>
  <c r="GF237" i="4"/>
  <c r="GG237" i="4"/>
  <c r="GJ237" i="4"/>
  <c r="GK237" i="4"/>
  <c r="GM237" i="4"/>
  <c r="GN237" i="4"/>
  <c r="GP237" i="4"/>
  <c r="HJ237" i="4"/>
  <c r="HK237" i="4"/>
  <c r="HL237" i="4"/>
  <c r="HM237" i="4"/>
  <c r="HN237" i="4"/>
  <c r="HO237" i="4"/>
  <c r="HP237" i="4"/>
  <c r="A238" i="4"/>
  <c r="B238" i="4"/>
  <c r="C238" i="4"/>
  <c r="D238" i="4"/>
  <c r="E238" i="4"/>
  <c r="F238" i="4"/>
  <c r="I238" i="4"/>
  <c r="J238" i="4"/>
  <c r="N238" i="4"/>
  <c r="O238" i="4"/>
  <c r="P238" i="4"/>
  <c r="Q238" i="4"/>
  <c r="R238" i="4"/>
  <c r="S238" i="4"/>
  <c r="T238" i="4"/>
  <c r="U238" i="4"/>
  <c r="V238" i="4"/>
  <c r="W238" i="4"/>
  <c r="X238" i="4"/>
  <c r="AX238" i="4"/>
  <c r="AY238" i="4"/>
  <c r="AZ238" i="4"/>
  <c r="BB238" i="4"/>
  <c r="BC238" i="4"/>
  <c r="BT238" i="4"/>
  <c r="BU238" i="4"/>
  <c r="BV238" i="4"/>
  <c r="BW238" i="4"/>
  <c r="EC238" i="4"/>
  <c r="ED238" i="4"/>
  <c r="EE238" i="4"/>
  <c r="EF238" i="4"/>
  <c r="EG238" i="4"/>
  <c r="EL238" i="4"/>
  <c r="EM238" i="4"/>
  <c r="EN238" i="4"/>
  <c r="EO238" i="4"/>
  <c r="EP238" i="4"/>
  <c r="EQ238" i="4"/>
  <c r="EV238" i="4"/>
  <c r="EX238" i="4"/>
  <c r="EY238" i="4"/>
  <c r="FA238" i="4"/>
  <c r="FB238" i="4"/>
  <c r="FC238" i="4"/>
  <c r="FD238" i="4"/>
  <c r="FE238" i="4"/>
  <c r="FF238" i="4"/>
  <c r="FG238" i="4"/>
  <c r="FH238" i="4"/>
  <c r="FI238" i="4"/>
  <c r="FJ238" i="4"/>
  <c r="FK238" i="4"/>
  <c r="FL238" i="4"/>
  <c r="FM238" i="4"/>
  <c r="FN238" i="4"/>
  <c r="FO238" i="4"/>
  <c r="FP238" i="4"/>
  <c r="FQ238" i="4"/>
  <c r="FR238" i="4"/>
  <c r="FS238" i="4"/>
  <c r="FT238" i="4"/>
  <c r="FU238" i="4"/>
  <c r="FV238" i="4"/>
  <c r="FW238" i="4"/>
  <c r="FX238" i="4"/>
  <c r="FY238" i="4"/>
  <c r="FZ238" i="4"/>
  <c r="GA238" i="4"/>
  <c r="GB238" i="4"/>
  <c r="GC238" i="4"/>
  <c r="GD238" i="4"/>
  <c r="GF238" i="4"/>
  <c r="GG238" i="4"/>
  <c r="GJ238" i="4"/>
  <c r="GK238" i="4"/>
  <c r="GM238" i="4"/>
  <c r="GN238" i="4"/>
  <c r="GP238" i="4"/>
  <c r="HJ238" i="4"/>
  <c r="HK238" i="4"/>
  <c r="HL238" i="4"/>
  <c r="HM238" i="4"/>
  <c r="HN238" i="4"/>
  <c r="HO238" i="4"/>
  <c r="HP238" i="4"/>
  <c r="A239" i="4"/>
  <c r="B239" i="4"/>
  <c r="C239" i="4"/>
  <c r="D239" i="4"/>
  <c r="E239" i="4"/>
  <c r="F239" i="4"/>
  <c r="I239" i="4"/>
  <c r="J239" i="4"/>
  <c r="N239" i="4"/>
  <c r="O239" i="4"/>
  <c r="P239" i="4"/>
  <c r="Q239" i="4"/>
  <c r="R239" i="4"/>
  <c r="S239" i="4"/>
  <c r="T239" i="4"/>
  <c r="U239" i="4"/>
  <c r="V239" i="4"/>
  <c r="W239" i="4"/>
  <c r="X239" i="4"/>
  <c r="AX239" i="4"/>
  <c r="AY239" i="4"/>
  <c r="AZ239" i="4"/>
  <c r="BB239" i="4"/>
  <c r="BC239" i="4"/>
  <c r="BT239" i="4"/>
  <c r="BU239" i="4"/>
  <c r="BV239" i="4"/>
  <c r="BW239" i="4"/>
  <c r="EC239" i="4"/>
  <c r="ED239" i="4"/>
  <c r="EE239" i="4"/>
  <c r="EF239" i="4"/>
  <c r="EG239" i="4"/>
  <c r="EL239" i="4"/>
  <c r="EM239" i="4"/>
  <c r="EN239" i="4"/>
  <c r="EO239" i="4"/>
  <c r="EP239" i="4"/>
  <c r="EQ239" i="4"/>
  <c r="EV239" i="4"/>
  <c r="EX239" i="4"/>
  <c r="EY239" i="4"/>
  <c r="FA239" i="4"/>
  <c r="FB239" i="4"/>
  <c r="FC239" i="4"/>
  <c r="FD239" i="4"/>
  <c r="FE239" i="4"/>
  <c r="FF239" i="4"/>
  <c r="FG239" i="4"/>
  <c r="FH239" i="4"/>
  <c r="FI239" i="4"/>
  <c r="FJ239" i="4"/>
  <c r="FK239" i="4"/>
  <c r="FL239" i="4"/>
  <c r="FM239" i="4"/>
  <c r="FN239" i="4"/>
  <c r="FO239" i="4"/>
  <c r="FP239" i="4"/>
  <c r="FQ239" i="4"/>
  <c r="FR239" i="4"/>
  <c r="FS239" i="4"/>
  <c r="FT239" i="4"/>
  <c r="FU239" i="4"/>
  <c r="FV239" i="4"/>
  <c r="FW239" i="4"/>
  <c r="FX239" i="4"/>
  <c r="FY239" i="4"/>
  <c r="FZ239" i="4"/>
  <c r="GA239" i="4"/>
  <c r="GB239" i="4"/>
  <c r="GC239" i="4"/>
  <c r="GD239" i="4"/>
  <c r="GF239" i="4"/>
  <c r="GG239" i="4"/>
  <c r="GJ239" i="4"/>
  <c r="GK239" i="4"/>
  <c r="GM239" i="4"/>
  <c r="GN239" i="4"/>
  <c r="GP239" i="4"/>
  <c r="HJ239" i="4"/>
  <c r="HK239" i="4"/>
  <c r="HL239" i="4"/>
  <c r="HM239" i="4"/>
  <c r="HN239" i="4"/>
  <c r="HO239" i="4"/>
  <c r="HP239" i="4"/>
  <c r="A240" i="4"/>
  <c r="B240" i="4"/>
  <c r="C240" i="4"/>
  <c r="D240" i="4"/>
  <c r="E240" i="4"/>
  <c r="F240" i="4"/>
  <c r="I240" i="4"/>
  <c r="J240" i="4"/>
  <c r="N240" i="4"/>
  <c r="O240" i="4"/>
  <c r="P240" i="4"/>
  <c r="Q240" i="4"/>
  <c r="R240" i="4"/>
  <c r="S240" i="4"/>
  <c r="T240" i="4"/>
  <c r="U240" i="4"/>
  <c r="V240" i="4"/>
  <c r="W240" i="4"/>
  <c r="X240" i="4"/>
  <c r="AX240" i="4"/>
  <c r="AY240" i="4"/>
  <c r="AZ240" i="4"/>
  <c r="BB240" i="4"/>
  <c r="BC240" i="4"/>
  <c r="BT240" i="4"/>
  <c r="BU240" i="4"/>
  <c r="BV240" i="4"/>
  <c r="BW240" i="4"/>
  <c r="EC240" i="4"/>
  <c r="ED240" i="4"/>
  <c r="EE240" i="4"/>
  <c r="EF240" i="4"/>
  <c r="EG240" i="4"/>
  <c r="EL240" i="4"/>
  <c r="EM240" i="4"/>
  <c r="EN240" i="4"/>
  <c r="EO240" i="4"/>
  <c r="EP240" i="4"/>
  <c r="EQ240" i="4"/>
  <c r="EV240" i="4"/>
  <c r="EX240" i="4"/>
  <c r="EY240" i="4"/>
  <c r="FA240" i="4"/>
  <c r="FB240" i="4"/>
  <c r="FC240" i="4"/>
  <c r="FD240" i="4"/>
  <c r="FE240" i="4"/>
  <c r="FF240" i="4"/>
  <c r="FG240" i="4"/>
  <c r="FH240" i="4"/>
  <c r="FI240" i="4"/>
  <c r="FJ240" i="4"/>
  <c r="FK240" i="4"/>
  <c r="FL240" i="4"/>
  <c r="FM240" i="4"/>
  <c r="FN240" i="4"/>
  <c r="FO240" i="4"/>
  <c r="FP240" i="4"/>
  <c r="FQ240" i="4"/>
  <c r="FR240" i="4"/>
  <c r="FS240" i="4"/>
  <c r="FT240" i="4"/>
  <c r="FU240" i="4"/>
  <c r="FV240" i="4"/>
  <c r="FW240" i="4"/>
  <c r="FX240" i="4"/>
  <c r="FY240" i="4"/>
  <c r="FZ240" i="4"/>
  <c r="GA240" i="4"/>
  <c r="GB240" i="4"/>
  <c r="GC240" i="4"/>
  <c r="GD240" i="4"/>
  <c r="GF240" i="4"/>
  <c r="GG240" i="4"/>
  <c r="GJ240" i="4"/>
  <c r="GK240" i="4"/>
  <c r="GM240" i="4"/>
  <c r="GN240" i="4"/>
  <c r="GP240" i="4"/>
  <c r="HJ240" i="4"/>
  <c r="HK240" i="4"/>
  <c r="HL240" i="4"/>
  <c r="HM240" i="4"/>
  <c r="HN240" i="4"/>
  <c r="HO240" i="4"/>
  <c r="HP240" i="4"/>
  <c r="A241" i="4"/>
  <c r="B241" i="4"/>
  <c r="C241" i="4"/>
  <c r="D241" i="4"/>
  <c r="E241" i="4"/>
  <c r="F241" i="4"/>
  <c r="I241" i="4"/>
  <c r="J241" i="4"/>
  <c r="N241" i="4"/>
  <c r="O241" i="4"/>
  <c r="P241" i="4"/>
  <c r="Q241" i="4"/>
  <c r="R241" i="4"/>
  <c r="S241" i="4"/>
  <c r="T241" i="4"/>
  <c r="U241" i="4"/>
  <c r="V241" i="4"/>
  <c r="W241" i="4"/>
  <c r="X241" i="4"/>
  <c r="AX241" i="4"/>
  <c r="AY241" i="4"/>
  <c r="AZ241" i="4"/>
  <c r="BB241" i="4"/>
  <c r="BC241" i="4"/>
  <c r="BT241" i="4"/>
  <c r="BU241" i="4"/>
  <c r="BV241" i="4"/>
  <c r="BW241" i="4"/>
  <c r="EC241" i="4"/>
  <c r="ED241" i="4"/>
  <c r="EE241" i="4"/>
  <c r="EF241" i="4"/>
  <c r="EG241" i="4"/>
  <c r="EL241" i="4"/>
  <c r="EM241" i="4"/>
  <c r="EN241" i="4"/>
  <c r="EO241" i="4"/>
  <c r="EP241" i="4"/>
  <c r="EQ241" i="4"/>
  <c r="EV241" i="4"/>
  <c r="EX241" i="4"/>
  <c r="EY241" i="4"/>
  <c r="FA241" i="4"/>
  <c r="FB241" i="4"/>
  <c r="FC241" i="4"/>
  <c r="FD241" i="4"/>
  <c r="FE241" i="4"/>
  <c r="FF241" i="4"/>
  <c r="FG241" i="4"/>
  <c r="FH241" i="4"/>
  <c r="FI241" i="4"/>
  <c r="FJ241" i="4"/>
  <c r="FK241" i="4"/>
  <c r="FL241" i="4"/>
  <c r="FM241" i="4"/>
  <c r="FN241" i="4"/>
  <c r="FO241" i="4"/>
  <c r="FP241" i="4"/>
  <c r="FQ241" i="4"/>
  <c r="FR241" i="4"/>
  <c r="FS241" i="4"/>
  <c r="FT241" i="4"/>
  <c r="FU241" i="4"/>
  <c r="FV241" i="4"/>
  <c r="FW241" i="4"/>
  <c r="FX241" i="4"/>
  <c r="FY241" i="4"/>
  <c r="FZ241" i="4"/>
  <c r="GA241" i="4"/>
  <c r="GB241" i="4"/>
  <c r="GC241" i="4"/>
  <c r="GD241" i="4"/>
  <c r="GF241" i="4"/>
  <c r="GG241" i="4"/>
  <c r="GJ241" i="4"/>
  <c r="GK241" i="4"/>
  <c r="GM241" i="4"/>
  <c r="GN241" i="4"/>
  <c r="GP241" i="4"/>
  <c r="HJ241" i="4"/>
  <c r="HK241" i="4"/>
  <c r="HL241" i="4"/>
  <c r="HM241" i="4"/>
  <c r="HN241" i="4"/>
  <c r="HO241" i="4"/>
  <c r="HP241" i="4"/>
  <c r="A242" i="4"/>
  <c r="B242" i="4"/>
  <c r="C242" i="4"/>
  <c r="D242" i="4"/>
  <c r="E242" i="4"/>
  <c r="F242" i="4"/>
  <c r="I242" i="4"/>
  <c r="J242" i="4"/>
  <c r="N242" i="4"/>
  <c r="O242" i="4"/>
  <c r="P242" i="4"/>
  <c r="Q242" i="4"/>
  <c r="R242" i="4"/>
  <c r="S242" i="4"/>
  <c r="T242" i="4"/>
  <c r="U242" i="4"/>
  <c r="V242" i="4"/>
  <c r="W242" i="4"/>
  <c r="X242" i="4"/>
  <c r="AX242" i="4"/>
  <c r="AY242" i="4"/>
  <c r="AZ242" i="4"/>
  <c r="BB242" i="4"/>
  <c r="BC242" i="4"/>
  <c r="BT242" i="4"/>
  <c r="BU242" i="4"/>
  <c r="BV242" i="4"/>
  <c r="BW242" i="4"/>
  <c r="EC242" i="4"/>
  <c r="ED242" i="4"/>
  <c r="EE242" i="4"/>
  <c r="EF242" i="4"/>
  <c r="EG242" i="4"/>
  <c r="EL242" i="4"/>
  <c r="EM242" i="4"/>
  <c r="EN242" i="4"/>
  <c r="EO242" i="4"/>
  <c r="EP242" i="4"/>
  <c r="EQ242" i="4"/>
  <c r="EV242" i="4"/>
  <c r="EX242" i="4"/>
  <c r="EY242" i="4"/>
  <c r="FA242" i="4"/>
  <c r="FB242" i="4"/>
  <c r="FC242" i="4"/>
  <c r="FD242" i="4"/>
  <c r="FE242" i="4"/>
  <c r="FF242" i="4"/>
  <c r="FG242" i="4"/>
  <c r="FH242" i="4"/>
  <c r="FI242" i="4"/>
  <c r="FJ242" i="4"/>
  <c r="FK242" i="4"/>
  <c r="FL242" i="4"/>
  <c r="FM242" i="4"/>
  <c r="FN242" i="4"/>
  <c r="FO242" i="4"/>
  <c r="FP242" i="4"/>
  <c r="FQ242" i="4"/>
  <c r="FR242" i="4"/>
  <c r="FS242" i="4"/>
  <c r="FT242" i="4"/>
  <c r="FU242" i="4"/>
  <c r="FV242" i="4"/>
  <c r="FW242" i="4"/>
  <c r="FX242" i="4"/>
  <c r="FY242" i="4"/>
  <c r="FZ242" i="4"/>
  <c r="GA242" i="4"/>
  <c r="GB242" i="4"/>
  <c r="GC242" i="4"/>
  <c r="GD242" i="4"/>
  <c r="GF242" i="4"/>
  <c r="GG242" i="4"/>
  <c r="GJ242" i="4"/>
  <c r="GK242" i="4"/>
  <c r="GM242" i="4"/>
  <c r="GN242" i="4"/>
  <c r="GP242" i="4"/>
  <c r="HJ242" i="4"/>
  <c r="HK242" i="4"/>
  <c r="HL242" i="4"/>
  <c r="HM242" i="4"/>
  <c r="HN242" i="4"/>
  <c r="HO242" i="4"/>
  <c r="HP242" i="4"/>
  <c r="A243" i="4"/>
  <c r="B243" i="4"/>
  <c r="C243" i="4"/>
  <c r="D243" i="4"/>
  <c r="E243" i="4"/>
  <c r="F243" i="4"/>
  <c r="I243" i="4"/>
  <c r="J243" i="4"/>
  <c r="N243" i="4"/>
  <c r="O243" i="4"/>
  <c r="P243" i="4"/>
  <c r="Q243" i="4"/>
  <c r="R243" i="4"/>
  <c r="S243" i="4"/>
  <c r="T243" i="4"/>
  <c r="U243" i="4"/>
  <c r="V243" i="4"/>
  <c r="W243" i="4"/>
  <c r="X243" i="4"/>
  <c r="AX243" i="4"/>
  <c r="AY243" i="4"/>
  <c r="AZ243" i="4"/>
  <c r="BB243" i="4"/>
  <c r="BC243" i="4"/>
  <c r="BT243" i="4"/>
  <c r="BU243" i="4"/>
  <c r="BV243" i="4"/>
  <c r="BW243" i="4"/>
  <c r="EC243" i="4"/>
  <c r="ED243" i="4"/>
  <c r="EE243" i="4"/>
  <c r="EF243" i="4"/>
  <c r="EG243" i="4"/>
  <c r="EL243" i="4"/>
  <c r="EM243" i="4"/>
  <c r="EN243" i="4"/>
  <c r="EO243" i="4"/>
  <c r="EP243" i="4"/>
  <c r="EQ243" i="4"/>
  <c r="EV243" i="4"/>
  <c r="EX243" i="4"/>
  <c r="EY243" i="4"/>
  <c r="FA243" i="4"/>
  <c r="FB243" i="4"/>
  <c r="FC243" i="4"/>
  <c r="FD243" i="4"/>
  <c r="FE243" i="4"/>
  <c r="FF243" i="4"/>
  <c r="FG243" i="4"/>
  <c r="FH243" i="4"/>
  <c r="FI243" i="4"/>
  <c r="FJ243" i="4"/>
  <c r="FK243" i="4"/>
  <c r="FL243" i="4"/>
  <c r="FM243" i="4"/>
  <c r="FN243" i="4"/>
  <c r="FO243" i="4"/>
  <c r="FP243" i="4"/>
  <c r="FQ243" i="4"/>
  <c r="FR243" i="4"/>
  <c r="FS243" i="4"/>
  <c r="FT243" i="4"/>
  <c r="FU243" i="4"/>
  <c r="FV243" i="4"/>
  <c r="FW243" i="4"/>
  <c r="FX243" i="4"/>
  <c r="FY243" i="4"/>
  <c r="FZ243" i="4"/>
  <c r="GA243" i="4"/>
  <c r="GB243" i="4"/>
  <c r="GC243" i="4"/>
  <c r="GD243" i="4"/>
  <c r="GF243" i="4"/>
  <c r="GG243" i="4"/>
  <c r="GJ243" i="4"/>
  <c r="GK243" i="4"/>
  <c r="GM243" i="4"/>
  <c r="GN243" i="4"/>
  <c r="GP243" i="4"/>
  <c r="HJ243" i="4"/>
  <c r="HK243" i="4"/>
  <c r="HL243" i="4"/>
  <c r="HM243" i="4"/>
  <c r="HN243" i="4"/>
  <c r="HO243" i="4"/>
  <c r="HP243" i="4"/>
  <c r="A244" i="4"/>
  <c r="B244" i="4"/>
  <c r="C244" i="4"/>
  <c r="D244" i="4"/>
  <c r="E244" i="4"/>
  <c r="F244" i="4"/>
  <c r="I244" i="4"/>
  <c r="J244" i="4"/>
  <c r="N244" i="4"/>
  <c r="O244" i="4"/>
  <c r="P244" i="4"/>
  <c r="Q244" i="4"/>
  <c r="R244" i="4"/>
  <c r="S244" i="4"/>
  <c r="T244" i="4"/>
  <c r="U244" i="4"/>
  <c r="V244" i="4"/>
  <c r="W244" i="4"/>
  <c r="X244" i="4"/>
  <c r="AX244" i="4"/>
  <c r="AY244" i="4"/>
  <c r="AZ244" i="4"/>
  <c r="BB244" i="4"/>
  <c r="BC244" i="4"/>
  <c r="BT244" i="4"/>
  <c r="BU244" i="4"/>
  <c r="BV244" i="4"/>
  <c r="BW244" i="4"/>
  <c r="EC244" i="4"/>
  <c r="ED244" i="4"/>
  <c r="EE244" i="4"/>
  <c r="EF244" i="4"/>
  <c r="EG244" i="4"/>
  <c r="EL244" i="4"/>
  <c r="EM244" i="4"/>
  <c r="EN244" i="4"/>
  <c r="EO244" i="4"/>
  <c r="EP244" i="4"/>
  <c r="EQ244" i="4"/>
  <c r="EV244" i="4"/>
  <c r="EX244" i="4"/>
  <c r="EY244" i="4"/>
  <c r="FA244" i="4"/>
  <c r="FB244" i="4"/>
  <c r="FC244" i="4"/>
  <c r="FD244" i="4"/>
  <c r="FE244" i="4"/>
  <c r="FF244" i="4"/>
  <c r="FG244" i="4"/>
  <c r="FH244" i="4"/>
  <c r="FI244" i="4"/>
  <c r="FJ244" i="4"/>
  <c r="FK244" i="4"/>
  <c r="FL244" i="4"/>
  <c r="FM244" i="4"/>
  <c r="FN244" i="4"/>
  <c r="FO244" i="4"/>
  <c r="FP244" i="4"/>
  <c r="FQ244" i="4"/>
  <c r="FR244" i="4"/>
  <c r="FS244" i="4"/>
  <c r="FT244" i="4"/>
  <c r="FU244" i="4"/>
  <c r="FV244" i="4"/>
  <c r="FW244" i="4"/>
  <c r="FX244" i="4"/>
  <c r="FY244" i="4"/>
  <c r="FZ244" i="4"/>
  <c r="GA244" i="4"/>
  <c r="GB244" i="4"/>
  <c r="GC244" i="4"/>
  <c r="GD244" i="4"/>
  <c r="GF244" i="4"/>
  <c r="GG244" i="4"/>
  <c r="GJ244" i="4"/>
  <c r="GK244" i="4"/>
  <c r="GM244" i="4"/>
  <c r="GN244" i="4"/>
  <c r="GP244" i="4"/>
  <c r="HJ244" i="4"/>
  <c r="HK244" i="4"/>
  <c r="HL244" i="4"/>
  <c r="HM244" i="4"/>
  <c r="HN244" i="4"/>
  <c r="HO244" i="4"/>
  <c r="HP244" i="4"/>
  <c r="A245" i="4"/>
  <c r="B245" i="4"/>
  <c r="C245" i="4"/>
  <c r="D245" i="4"/>
  <c r="E245" i="4"/>
  <c r="F245" i="4"/>
  <c r="I245" i="4"/>
  <c r="J245" i="4"/>
  <c r="N245" i="4"/>
  <c r="O245" i="4"/>
  <c r="P245" i="4"/>
  <c r="Q245" i="4"/>
  <c r="R245" i="4"/>
  <c r="S245" i="4"/>
  <c r="T245" i="4"/>
  <c r="U245" i="4"/>
  <c r="V245" i="4"/>
  <c r="W245" i="4"/>
  <c r="X245" i="4"/>
  <c r="AX245" i="4"/>
  <c r="AY245" i="4"/>
  <c r="AZ245" i="4"/>
  <c r="BB245" i="4"/>
  <c r="BC245" i="4"/>
  <c r="BT245" i="4"/>
  <c r="BU245" i="4"/>
  <c r="BV245" i="4"/>
  <c r="BW245" i="4"/>
  <c r="EC245" i="4"/>
  <c r="ED245" i="4"/>
  <c r="EE245" i="4"/>
  <c r="EF245" i="4"/>
  <c r="EG245" i="4"/>
  <c r="EL245" i="4"/>
  <c r="EM245" i="4"/>
  <c r="EN245" i="4"/>
  <c r="EO245" i="4"/>
  <c r="EP245" i="4"/>
  <c r="EQ245" i="4"/>
  <c r="EV245" i="4"/>
  <c r="EX245" i="4"/>
  <c r="EY245" i="4"/>
  <c r="FA245" i="4"/>
  <c r="FB245" i="4"/>
  <c r="FC245" i="4"/>
  <c r="FD245" i="4"/>
  <c r="FE245" i="4"/>
  <c r="FF245" i="4"/>
  <c r="FG245" i="4"/>
  <c r="FH245" i="4"/>
  <c r="FI245" i="4"/>
  <c r="FJ245" i="4"/>
  <c r="FK245" i="4"/>
  <c r="FL245" i="4"/>
  <c r="FM245" i="4"/>
  <c r="FN245" i="4"/>
  <c r="FO245" i="4"/>
  <c r="FP245" i="4"/>
  <c r="FQ245" i="4"/>
  <c r="FR245" i="4"/>
  <c r="FS245" i="4"/>
  <c r="FT245" i="4"/>
  <c r="FU245" i="4"/>
  <c r="FV245" i="4"/>
  <c r="FW245" i="4"/>
  <c r="FX245" i="4"/>
  <c r="FY245" i="4"/>
  <c r="FZ245" i="4"/>
  <c r="GA245" i="4"/>
  <c r="GB245" i="4"/>
  <c r="GC245" i="4"/>
  <c r="GD245" i="4"/>
  <c r="GF245" i="4"/>
  <c r="GG245" i="4"/>
  <c r="GJ245" i="4"/>
  <c r="GK245" i="4"/>
  <c r="GM245" i="4"/>
  <c r="GN245" i="4"/>
  <c r="GP245" i="4"/>
  <c r="HJ245" i="4"/>
  <c r="HK245" i="4"/>
  <c r="HL245" i="4"/>
  <c r="HM245" i="4"/>
  <c r="HN245" i="4"/>
  <c r="HO245" i="4"/>
  <c r="HP245" i="4"/>
  <c r="A246" i="4"/>
  <c r="B246" i="4"/>
  <c r="C246" i="4"/>
  <c r="D246" i="4"/>
  <c r="E246" i="4"/>
  <c r="F246" i="4"/>
  <c r="I246" i="4"/>
  <c r="J246" i="4"/>
  <c r="N246" i="4"/>
  <c r="O246" i="4"/>
  <c r="P246" i="4"/>
  <c r="Q246" i="4"/>
  <c r="R246" i="4"/>
  <c r="S246" i="4"/>
  <c r="T246" i="4"/>
  <c r="U246" i="4"/>
  <c r="V246" i="4"/>
  <c r="W246" i="4"/>
  <c r="X246" i="4"/>
  <c r="AX246" i="4"/>
  <c r="AY246" i="4"/>
  <c r="AZ246" i="4"/>
  <c r="BB246" i="4"/>
  <c r="BC246" i="4"/>
  <c r="BT246" i="4"/>
  <c r="BU246" i="4"/>
  <c r="BV246" i="4"/>
  <c r="BW246" i="4"/>
  <c r="EC246" i="4"/>
  <c r="ED246" i="4"/>
  <c r="EE246" i="4"/>
  <c r="EF246" i="4"/>
  <c r="EG246" i="4"/>
  <c r="EL246" i="4"/>
  <c r="EM246" i="4"/>
  <c r="EN246" i="4"/>
  <c r="EO246" i="4"/>
  <c r="EP246" i="4"/>
  <c r="EQ246" i="4"/>
  <c r="EV246" i="4"/>
  <c r="EX246" i="4"/>
  <c r="EY246" i="4"/>
  <c r="FA246" i="4"/>
  <c r="FB246" i="4"/>
  <c r="FC246" i="4"/>
  <c r="FD246" i="4"/>
  <c r="FE246" i="4"/>
  <c r="FF246" i="4"/>
  <c r="FG246" i="4"/>
  <c r="FH246" i="4"/>
  <c r="FI246" i="4"/>
  <c r="FJ246" i="4"/>
  <c r="FK246" i="4"/>
  <c r="FL246" i="4"/>
  <c r="FM246" i="4"/>
  <c r="FN246" i="4"/>
  <c r="FO246" i="4"/>
  <c r="FP246" i="4"/>
  <c r="FQ246" i="4"/>
  <c r="FR246" i="4"/>
  <c r="FS246" i="4"/>
  <c r="FT246" i="4"/>
  <c r="FU246" i="4"/>
  <c r="FV246" i="4"/>
  <c r="FW246" i="4"/>
  <c r="FX246" i="4"/>
  <c r="FY246" i="4"/>
  <c r="FZ246" i="4"/>
  <c r="GA246" i="4"/>
  <c r="GB246" i="4"/>
  <c r="GC246" i="4"/>
  <c r="GD246" i="4"/>
  <c r="GF246" i="4"/>
  <c r="GG246" i="4"/>
  <c r="GJ246" i="4"/>
  <c r="GK246" i="4"/>
  <c r="GM246" i="4"/>
  <c r="GN246" i="4"/>
  <c r="GP246" i="4"/>
  <c r="HJ246" i="4"/>
  <c r="HK246" i="4"/>
  <c r="HL246" i="4"/>
  <c r="HM246" i="4"/>
  <c r="HN246" i="4"/>
  <c r="HO246" i="4"/>
  <c r="HP246" i="4"/>
  <c r="A247" i="4"/>
  <c r="B247" i="4"/>
  <c r="C247" i="4"/>
  <c r="D247" i="4"/>
  <c r="E247" i="4"/>
  <c r="F247" i="4"/>
  <c r="I247" i="4"/>
  <c r="J247" i="4"/>
  <c r="N247" i="4"/>
  <c r="O247" i="4"/>
  <c r="P247" i="4"/>
  <c r="Q247" i="4"/>
  <c r="R247" i="4"/>
  <c r="S247" i="4"/>
  <c r="T247" i="4"/>
  <c r="U247" i="4"/>
  <c r="V247" i="4"/>
  <c r="W247" i="4"/>
  <c r="X247" i="4"/>
  <c r="AX247" i="4"/>
  <c r="AY247" i="4"/>
  <c r="AZ247" i="4"/>
  <c r="BB247" i="4"/>
  <c r="BC247" i="4"/>
  <c r="BT247" i="4"/>
  <c r="BU247" i="4"/>
  <c r="BV247" i="4"/>
  <c r="BW247" i="4"/>
  <c r="EC247" i="4"/>
  <c r="ED247" i="4"/>
  <c r="EE247" i="4"/>
  <c r="EF247" i="4"/>
  <c r="EG247" i="4"/>
  <c r="EL247" i="4"/>
  <c r="EM247" i="4"/>
  <c r="EN247" i="4"/>
  <c r="EO247" i="4"/>
  <c r="EP247" i="4"/>
  <c r="EQ247" i="4"/>
  <c r="EV247" i="4"/>
  <c r="EX247" i="4"/>
  <c r="EY247" i="4"/>
  <c r="FA247" i="4"/>
  <c r="FB247" i="4"/>
  <c r="FC247" i="4"/>
  <c r="FD247" i="4"/>
  <c r="FE247" i="4"/>
  <c r="FF247" i="4"/>
  <c r="FG247" i="4"/>
  <c r="FH247" i="4"/>
  <c r="FI247" i="4"/>
  <c r="FJ247" i="4"/>
  <c r="FK247" i="4"/>
  <c r="FL247" i="4"/>
  <c r="FM247" i="4"/>
  <c r="FN247" i="4"/>
  <c r="FO247" i="4"/>
  <c r="FP247" i="4"/>
  <c r="FQ247" i="4"/>
  <c r="FR247" i="4"/>
  <c r="FS247" i="4"/>
  <c r="FT247" i="4"/>
  <c r="FU247" i="4"/>
  <c r="FV247" i="4"/>
  <c r="FW247" i="4"/>
  <c r="FX247" i="4"/>
  <c r="FY247" i="4"/>
  <c r="FZ247" i="4"/>
  <c r="GA247" i="4"/>
  <c r="GB247" i="4"/>
  <c r="GC247" i="4"/>
  <c r="GD247" i="4"/>
  <c r="GF247" i="4"/>
  <c r="GG247" i="4"/>
  <c r="GJ247" i="4"/>
  <c r="GK247" i="4"/>
  <c r="GM247" i="4"/>
  <c r="GN247" i="4"/>
  <c r="GP247" i="4"/>
  <c r="HJ247" i="4"/>
  <c r="HK247" i="4"/>
  <c r="HL247" i="4"/>
  <c r="HM247" i="4"/>
  <c r="HN247" i="4"/>
  <c r="HO247" i="4"/>
  <c r="HP247" i="4"/>
  <c r="A248" i="4"/>
  <c r="B248" i="4"/>
  <c r="C248" i="4"/>
  <c r="D248" i="4"/>
  <c r="E248" i="4"/>
  <c r="F248" i="4"/>
  <c r="I248" i="4"/>
  <c r="J248" i="4"/>
  <c r="N248" i="4"/>
  <c r="O248" i="4"/>
  <c r="P248" i="4"/>
  <c r="Q248" i="4"/>
  <c r="R248" i="4"/>
  <c r="S248" i="4"/>
  <c r="T248" i="4"/>
  <c r="U248" i="4"/>
  <c r="V248" i="4"/>
  <c r="W248" i="4"/>
  <c r="X248" i="4"/>
  <c r="AX248" i="4"/>
  <c r="AY248" i="4"/>
  <c r="AZ248" i="4"/>
  <c r="BB248" i="4"/>
  <c r="BC248" i="4"/>
  <c r="BT248" i="4"/>
  <c r="BU248" i="4"/>
  <c r="BV248" i="4"/>
  <c r="BW248" i="4"/>
  <c r="EC248" i="4"/>
  <c r="ED248" i="4"/>
  <c r="EE248" i="4"/>
  <c r="EF248" i="4"/>
  <c r="EG248" i="4"/>
  <c r="EL248" i="4"/>
  <c r="EM248" i="4"/>
  <c r="EN248" i="4"/>
  <c r="EO248" i="4"/>
  <c r="EP248" i="4"/>
  <c r="EQ248" i="4"/>
  <c r="EV248" i="4"/>
  <c r="EX248" i="4"/>
  <c r="EY248" i="4"/>
  <c r="FA248" i="4"/>
  <c r="FB248" i="4"/>
  <c r="FC248" i="4"/>
  <c r="FD248" i="4"/>
  <c r="FE248" i="4"/>
  <c r="FF248" i="4"/>
  <c r="FG248" i="4"/>
  <c r="FH248" i="4"/>
  <c r="FI248" i="4"/>
  <c r="FJ248" i="4"/>
  <c r="FK248" i="4"/>
  <c r="FL248" i="4"/>
  <c r="FM248" i="4"/>
  <c r="FN248" i="4"/>
  <c r="FO248" i="4"/>
  <c r="FP248" i="4"/>
  <c r="FQ248" i="4"/>
  <c r="FR248" i="4"/>
  <c r="FS248" i="4"/>
  <c r="FT248" i="4"/>
  <c r="FU248" i="4"/>
  <c r="FV248" i="4"/>
  <c r="FW248" i="4"/>
  <c r="FX248" i="4"/>
  <c r="FY248" i="4"/>
  <c r="FZ248" i="4"/>
  <c r="GA248" i="4"/>
  <c r="GB248" i="4"/>
  <c r="GC248" i="4"/>
  <c r="GD248" i="4"/>
  <c r="GF248" i="4"/>
  <c r="GG248" i="4"/>
  <c r="GJ248" i="4"/>
  <c r="GK248" i="4"/>
  <c r="GM248" i="4"/>
  <c r="GN248" i="4"/>
  <c r="GP248" i="4"/>
  <c r="HJ248" i="4"/>
  <c r="HK248" i="4"/>
  <c r="HL248" i="4"/>
  <c r="HM248" i="4"/>
  <c r="HN248" i="4"/>
  <c r="HO248" i="4"/>
  <c r="HP248" i="4"/>
  <c r="A249" i="4"/>
  <c r="B249" i="4"/>
  <c r="C249" i="4"/>
  <c r="D249" i="4"/>
  <c r="E249" i="4"/>
  <c r="F249" i="4"/>
  <c r="I249" i="4"/>
  <c r="J249" i="4"/>
  <c r="N249" i="4"/>
  <c r="O249" i="4"/>
  <c r="P249" i="4"/>
  <c r="Q249" i="4"/>
  <c r="R249" i="4"/>
  <c r="S249" i="4"/>
  <c r="T249" i="4"/>
  <c r="U249" i="4"/>
  <c r="V249" i="4"/>
  <c r="W249" i="4"/>
  <c r="X249" i="4"/>
  <c r="AX249" i="4"/>
  <c r="AY249" i="4"/>
  <c r="AZ249" i="4"/>
  <c r="BB249" i="4"/>
  <c r="BC249" i="4"/>
  <c r="BT249" i="4"/>
  <c r="BU249" i="4"/>
  <c r="BV249" i="4"/>
  <c r="BW249" i="4"/>
  <c r="EC249" i="4"/>
  <c r="ED249" i="4"/>
  <c r="EE249" i="4"/>
  <c r="EF249" i="4"/>
  <c r="EG249" i="4"/>
  <c r="EL249" i="4"/>
  <c r="EM249" i="4"/>
  <c r="EN249" i="4"/>
  <c r="EO249" i="4"/>
  <c r="EP249" i="4"/>
  <c r="EQ249" i="4"/>
  <c r="EV249" i="4"/>
  <c r="EX249" i="4"/>
  <c r="EY249" i="4"/>
  <c r="FA249" i="4"/>
  <c r="FB249" i="4"/>
  <c r="FC249" i="4"/>
  <c r="FD249" i="4"/>
  <c r="FE249" i="4"/>
  <c r="FF249" i="4"/>
  <c r="FG249" i="4"/>
  <c r="FH249" i="4"/>
  <c r="FI249" i="4"/>
  <c r="FJ249" i="4"/>
  <c r="FK249" i="4"/>
  <c r="FL249" i="4"/>
  <c r="FM249" i="4"/>
  <c r="FN249" i="4"/>
  <c r="FO249" i="4"/>
  <c r="FP249" i="4"/>
  <c r="FQ249" i="4"/>
  <c r="FR249" i="4"/>
  <c r="FS249" i="4"/>
  <c r="FT249" i="4"/>
  <c r="FU249" i="4"/>
  <c r="FV249" i="4"/>
  <c r="FW249" i="4"/>
  <c r="FX249" i="4"/>
  <c r="FY249" i="4"/>
  <c r="FZ249" i="4"/>
  <c r="GA249" i="4"/>
  <c r="GB249" i="4"/>
  <c r="GC249" i="4"/>
  <c r="GD249" i="4"/>
  <c r="GF249" i="4"/>
  <c r="GG249" i="4"/>
  <c r="GJ249" i="4"/>
  <c r="GK249" i="4"/>
  <c r="GM249" i="4"/>
  <c r="GN249" i="4"/>
  <c r="GP249" i="4"/>
  <c r="HJ249" i="4"/>
  <c r="HK249" i="4"/>
  <c r="HL249" i="4"/>
  <c r="HM249" i="4"/>
  <c r="HN249" i="4"/>
  <c r="HO249" i="4"/>
  <c r="HP249" i="4"/>
  <c r="A250" i="4"/>
  <c r="B250" i="4"/>
  <c r="C250" i="4"/>
  <c r="D250" i="4"/>
  <c r="E250" i="4"/>
  <c r="F250" i="4"/>
  <c r="I250" i="4"/>
  <c r="J250" i="4"/>
  <c r="N250" i="4"/>
  <c r="O250" i="4"/>
  <c r="P250" i="4"/>
  <c r="Q250" i="4"/>
  <c r="R250" i="4"/>
  <c r="S250" i="4"/>
  <c r="T250" i="4"/>
  <c r="U250" i="4"/>
  <c r="V250" i="4"/>
  <c r="W250" i="4"/>
  <c r="X250" i="4"/>
  <c r="AX250" i="4"/>
  <c r="AY250" i="4"/>
  <c r="AZ250" i="4"/>
  <c r="BB250" i="4"/>
  <c r="BC250" i="4"/>
  <c r="BT250" i="4"/>
  <c r="BU250" i="4"/>
  <c r="BV250" i="4"/>
  <c r="BW250" i="4"/>
  <c r="EC250" i="4"/>
  <c r="ED250" i="4"/>
  <c r="EE250" i="4"/>
  <c r="EF250" i="4"/>
  <c r="EG250" i="4"/>
  <c r="EL250" i="4"/>
  <c r="EM250" i="4"/>
  <c r="EN250" i="4"/>
  <c r="EO250" i="4"/>
  <c r="EP250" i="4"/>
  <c r="EQ250" i="4"/>
  <c r="EV250" i="4"/>
  <c r="EX250" i="4"/>
  <c r="EY250" i="4"/>
  <c r="FA250" i="4"/>
  <c r="FB250" i="4"/>
  <c r="FC250" i="4"/>
  <c r="FD250" i="4"/>
  <c r="FE250" i="4"/>
  <c r="FF250" i="4"/>
  <c r="FG250" i="4"/>
  <c r="FH250" i="4"/>
  <c r="FI250" i="4"/>
  <c r="FJ250" i="4"/>
  <c r="FK250" i="4"/>
  <c r="FL250" i="4"/>
  <c r="FM250" i="4"/>
  <c r="FN250" i="4"/>
  <c r="FO250" i="4"/>
  <c r="FP250" i="4"/>
  <c r="FQ250" i="4"/>
  <c r="FR250" i="4"/>
  <c r="FS250" i="4"/>
  <c r="FT250" i="4"/>
  <c r="FU250" i="4"/>
  <c r="FV250" i="4"/>
  <c r="FW250" i="4"/>
  <c r="FX250" i="4"/>
  <c r="FY250" i="4"/>
  <c r="FZ250" i="4"/>
  <c r="GA250" i="4"/>
  <c r="GB250" i="4"/>
  <c r="GC250" i="4"/>
  <c r="GD250" i="4"/>
  <c r="GF250" i="4"/>
  <c r="GG250" i="4"/>
  <c r="GJ250" i="4"/>
  <c r="GK250" i="4"/>
  <c r="GM250" i="4"/>
  <c r="GN250" i="4"/>
  <c r="GP250" i="4"/>
  <c r="HJ250" i="4"/>
  <c r="HK250" i="4"/>
  <c r="HL250" i="4"/>
  <c r="HM250" i="4"/>
  <c r="HN250" i="4"/>
  <c r="HO250" i="4"/>
  <c r="HP250" i="4"/>
  <c r="A251" i="4"/>
  <c r="B251" i="4"/>
  <c r="C251" i="4"/>
  <c r="D251" i="4"/>
  <c r="E251" i="4"/>
  <c r="F251" i="4"/>
  <c r="I251" i="4"/>
  <c r="J251" i="4"/>
  <c r="N251" i="4"/>
  <c r="O251" i="4"/>
  <c r="P251" i="4"/>
  <c r="Q251" i="4"/>
  <c r="R251" i="4"/>
  <c r="S251" i="4"/>
  <c r="T251" i="4"/>
  <c r="U251" i="4"/>
  <c r="V251" i="4"/>
  <c r="W251" i="4"/>
  <c r="X251" i="4"/>
  <c r="AX251" i="4"/>
  <c r="AY251" i="4"/>
  <c r="AZ251" i="4"/>
  <c r="BB251" i="4"/>
  <c r="BC251" i="4"/>
  <c r="BT251" i="4"/>
  <c r="BU251" i="4"/>
  <c r="BV251" i="4"/>
  <c r="BW251" i="4"/>
  <c r="EC251" i="4"/>
  <c r="ED251" i="4"/>
  <c r="EE251" i="4"/>
  <c r="EF251" i="4"/>
  <c r="EG251" i="4"/>
  <c r="EL251" i="4"/>
  <c r="EM251" i="4"/>
  <c r="EN251" i="4"/>
  <c r="EO251" i="4"/>
  <c r="EP251" i="4"/>
  <c r="EQ251" i="4"/>
  <c r="EV251" i="4"/>
  <c r="EX251" i="4"/>
  <c r="EY251" i="4"/>
  <c r="FA251" i="4"/>
  <c r="FB251" i="4"/>
  <c r="FC251" i="4"/>
  <c r="FD251" i="4"/>
  <c r="FE251" i="4"/>
  <c r="FF251" i="4"/>
  <c r="FG251" i="4"/>
  <c r="FH251" i="4"/>
  <c r="FI251" i="4"/>
  <c r="FJ251" i="4"/>
  <c r="FK251" i="4"/>
  <c r="FL251" i="4"/>
  <c r="FM251" i="4"/>
  <c r="FN251" i="4"/>
  <c r="FO251" i="4"/>
  <c r="FP251" i="4"/>
  <c r="FQ251" i="4"/>
  <c r="FR251" i="4"/>
  <c r="FS251" i="4"/>
  <c r="FT251" i="4"/>
  <c r="FU251" i="4"/>
  <c r="FV251" i="4"/>
  <c r="FW251" i="4"/>
  <c r="FX251" i="4"/>
  <c r="FY251" i="4"/>
  <c r="FZ251" i="4"/>
  <c r="GA251" i="4"/>
  <c r="GB251" i="4"/>
  <c r="GC251" i="4"/>
  <c r="GD251" i="4"/>
  <c r="GF251" i="4"/>
  <c r="GG251" i="4"/>
  <c r="GJ251" i="4"/>
  <c r="GK251" i="4"/>
  <c r="GM251" i="4"/>
  <c r="GN251" i="4"/>
  <c r="GP251" i="4"/>
  <c r="HJ251" i="4"/>
  <c r="HK251" i="4"/>
  <c r="HL251" i="4"/>
  <c r="HM251" i="4"/>
  <c r="HN251" i="4"/>
  <c r="HO251" i="4"/>
  <c r="HP251" i="4"/>
  <c r="HR251" i="4"/>
  <c r="HS251" i="4"/>
  <c r="HT251" i="4"/>
  <c r="HU251" i="4"/>
  <c r="HV251" i="4"/>
  <c r="HW251" i="4"/>
  <c r="HX251" i="4"/>
  <c r="HY251" i="4"/>
  <c r="A252" i="4"/>
  <c r="B252" i="4"/>
  <c r="C252" i="4"/>
  <c r="D252" i="4"/>
  <c r="E252" i="4"/>
  <c r="F252" i="4"/>
  <c r="I252" i="4"/>
  <c r="J252" i="4"/>
  <c r="N252" i="4"/>
  <c r="O252" i="4"/>
  <c r="P252" i="4"/>
  <c r="Q252" i="4"/>
  <c r="R252" i="4"/>
  <c r="S252" i="4"/>
  <c r="T252" i="4"/>
  <c r="U252" i="4"/>
  <c r="V252" i="4"/>
  <c r="W252" i="4"/>
  <c r="X252" i="4"/>
  <c r="AX252" i="4"/>
  <c r="AY252" i="4"/>
  <c r="AZ252" i="4"/>
  <c r="BB252" i="4"/>
  <c r="BC252" i="4"/>
  <c r="BT252" i="4"/>
  <c r="BU252" i="4"/>
  <c r="BV252" i="4"/>
  <c r="BW252" i="4"/>
  <c r="EC252" i="4"/>
  <c r="ED252" i="4"/>
  <c r="EE252" i="4"/>
  <c r="EF252" i="4"/>
  <c r="EG252" i="4"/>
  <c r="EL252" i="4"/>
  <c r="EM252" i="4"/>
  <c r="EN252" i="4"/>
  <c r="EO252" i="4"/>
  <c r="EP252" i="4"/>
  <c r="EQ252" i="4"/>
  <c r="EV252" i="4"/>
  <c r="EX252" i="4"/>
  <c r="EY252" i="4"/>
  <c r="FA252" i="4"/>
  <c r="FB252" i="4"/>
  <c r="FC252" i="4"/>
  <c r="FD252" i="4"/>
  <c r="FE252" i="4"/>
  <c r="FF252" i="4"/>
  <c r="FG252" i="4"/>
  <c r="FH252" i="4"/>
  <c r="FI252" i="4"/>
  <c r="FJ252" i="4"/>
  <c r="FK252" i="4"/>
  <c r="FL252" i="4"/>
  <c r="FM252" i="4"/>
  <c r="FN252" i="4"/>
  <c r="FO252" i="4"/>
  <c r="FP252" i="4"/>
  <c r="FQ252" i="4"/>
  <c r="FR252" i="4"/>
  <c r="FS252" i="4"/>
  <c r="FT252" i="4"/>
  <c r="FU252" i="4"/>
  <c r="FV252" i="4"/>
  <c r="FW252" i="4"/>
  <c r="FX252" i="4"/>
  <c r="FY252" i="4"/>
  <c r="FZ252" i="4"/>
  <c r="GA252" i="4"/>
  <c r="GB252" i="4"/>
  <c r="GC252" i="4"/>
  <c r="GD252" i="4"/>
  <c r="GF252" i="4"/>
  <c r="GG252" i="4"/>
  <c r="GJ252" i="4"/>
  <c r="GK252" i="4"/>
  <c r="GM252" i="4"/>
  <c r="GN252" i="4"/>
  <c r="GP252" i="4"/>
  <c r="HJ252" i="4"/>
  <c r="HK252" i="4"/>
  <c r="HL252" i="4"/>
  <c r="HM252" i="4"/>
  <c r="HN252" i="4"/>
  <c r="HO252" i="4"/>
  <c r="HP252" i="4"/>
  <c r="HR252" i="4"/>
  <c r="HS252" i="4"/>
  <c r="HT252" i="4"/>
  <c r="HU252" i="4"/>
  <c r="HV252" i="4"/>
  <c r="HW252" i="4"/>
  <c r="HX252" i="4"/>
  <c r="HY252" i="4"/>
  <c r="A253" i="4"/>
  <c r="B253" i="4"/>
  <c r="C253" i="4"/>
  <c r="D253" i="4"/>
  <c r="E253" i="4"/>
  <c r="F253" i="4"/>
  <c r="I253" i="4"/>
  <c r="J253" i="4"/>
  <c r="N253" i="4"/>
  <c r="O253" i="4"/>
  <c r="P253" i="4"/>
  <c r="Q253" i="4"/>
  <c r="R253" i="4"/>
  <c r="S253" i="4"/>
  <c r="T253" i="4"/>
  <c r="U253" i="4"/>
  <c r="V253" i="4"/>
  <c r="W253" i="4"/>
  <c r="X253" i="4"/>
  <c r="AX253" i="4"/>
  <c r="AY253" i="4"/>
  <c r="AZ253" i="4"/>
  <c r="BB253" i="4"/>
  <c r="BC253" i="4"/>
  <c r="BT253" i="4"/>
  <c r="BU253" i="4"/>
  <c r="BV253" i="4"/>
  <c r="BW253" i="4"/>
  <c r="EC253" i="4"/>
  <c r="ED253" i="4"/>
  <c r="EE253" i="4"/>
  <c r="EF253" i="4"/>
  <c r="EG253" i="4"/>
  <c r="EL253" i="4"/>
  <c r="EM253" i="4"/>
  <c r="EN253" i="4"/>
  <c r="EO253" i="4"/>
  <c r="EP253" i="4"/>
  <c r="EQ253" i="4"/>
  <c r="EV253" i="4"/>
  <c r="EX253" i="4"/>
  <c r="EY253" i="4"/>
  <c r="FA253" i="4"/>
  <c r="FB253" i="4"/>
  <c r="FC253" i="4"/>
  <c r="FD253" i="4"/>
  <c r="FE253" i="4"/>
  <c r="FF253" i="4"/>
  <c r="FG253" i="4"/>
  <c r="FH253" i="4"/>
  <c r="FI253" i="4"/>
  <c r="FJ253" i="4"/>
  <c r="FK253" i="4"/>
  <c r="FL253" i="4"/>
  <c r="FM253" i="4"/>
  <c r="FN253" i="4"/>
  <c r="FO253" i="4"/>
  <c r="FP253" i="4"/>
  <c r="FQ253" i="4"/>
  <c r="FR253" i="4"/>
  <c r="FS253" i="4"/>
  <c r="FT253" i="4"/>
  <c r="FU253" i="4"/>
  <c r="FV253" i="4"/>
  <c r="FW253" i="4"/>
  <c r="FX253" i="4"/>
  <c r="FY253" i="4"/>
  <c r="FZ253" i="4"/>
  <c r="GA253" i="4"/>
  <c r="GB253" i="4"/>
  <c r="GC253" i="4"/>
  <c r="GD253" i="4"/>
  <c r="GF253" i="4"/>
  <c r="GG253" i="4"/>
  <c r="GJ253" i="4"/>
  <c r="GK253" i="4"/>
  <c r="GM253" i="4"/>
  <c r="GN253" i="4"/>
  <c r="GP253" i="4"/>
  <c r="HJ253" i="4"/>
  <c r="HK253" i="4"/>
  <c r="HL253" i="4"/>
  <c r="HM253" i="4"/>
  <c r="HN253" i="4"/>
  <c r="HO253" i="4"/>
  <c r="HP253" i="4"/>
  <c r="HR253" i="4"/>
  <c r="HS253" i="4"/>
  <c r="HT253" i="4"/>
  <c r="HU253" i="4"/>
  <c r="HV253" i="4"/>
  <c r="HW253" i="4"/>
  <c r="HX253" i="4"/>
  <c r="HY253" i="4"/>
  <c r="A254" i="4"/>
  <c r="B254" i="4"/>
  <c r="C254" i="4"/>
  <c r="D254" i="4"/>
  <c r="E254" i="4"/>
  <c r="F254" i="4"/>
  <c r="I254" i="4"/>
  <c r="J254" i="4"/>
  <c r="N254" i="4"/>
  <c r="O254" i="4"/>
  <c r="P254" i="4"/>
  <c r="Q254" i="4"/>
  <c r="R254" i="4"/>
  <c r="S254" i="4"/>
  <c r="T254" i="4"/>
  <c r="U254" i="4"/>
  <c r="V254" i="4"/>
  <c r="W254" i="4"/>
  <c r="X254" i="4"/>
  <c r="AX254" i="4"/>
  <c r="AY254" i="4"/>
  <c r="AZ254" i="4"/>
  <c r="BB254" i="4"/>
  <c r="BC254" i="4"/>
  <c r="BT254" i="4"/>
  <c r="BU254" i="4"/>
  <c r="BV254" i="4"/>
  <c r="BW254" i="4"/>
  <c r="EC254" i="4"/>
  <c r="ED254" i="4"/>
  <c r="EE254" i="4"/>
  <c r="EF254" i="4"/>
  <c r="EG254" i="4"/>
  <c r="EL254" i="4"/>
  <c r="EM254" i="4"/>
  <c r="EN254" i="4"/>
  <c r="EO254" i="4"/>
  <c r="EP254" i="4"/>
  <c r="EQ254" i="4"/>
  <c r="EV254" i="4"/>
  <c r="EX254" i="4"/>
  <c r="EY254" i="4"/>
  <c r="FA254" i="4"/>
  <c r="FB254" i="4"/>
  <c r="FC254" i="4"/>
  <c r="FD254" i="4"/>
  <c r="FE254" i="4"/>
  <c r="FF254" i="4"/>
  <c r="FG254" i="4"/>
  <c r="FH254" i="4"/>
  <c r="FI254" i="4"/>
  <c r="FJ254" i="4"/>
  <c r="FK254" i="4"/>
  <c r="FL254" i="4"/>
  <c r="FM254" i="4"/>
  <c r="FN254" i="4"/>
  <c r="FO254" i="4"/>
  <c r="FP254" i="4"/>
  <c r="FQ254" i="4"/>
  <c r="FR254" i="4"/>
  <c r="FS254" i="4"/>
  <c r="FT254" i="4"/>
  <c r="FU254" i="4"/>
  <c r="FV254" i="4"/>
  <c r="FW254" i="4"/>
  <c r="FX254" i="4"/>
  <c r="FY254" i="4"/>
  <c r="FZ254" i="4"/>
  <c r="GA254" i="4"/>
  <c r="GB254" i="4"/>
  <c r="GC254" i="4"/>
  <c r="GD254" i="4"/>
  <c r="GF254" i="4"/>
  <c r="GG254" i="4"/>
  <c r="GJ254" i="4"/>
  <c r="GK254" i="4"/>
  <c r="GM254" i="4"/>
  <c r="GN254" i="4"/>
  <c r="GP254" i="4"/>
  <c r="HJ254" i="4"/>
  <c r="HK254" i="4"/>
  <c r="HL254" i="4"/>
  <c r="HM254" i="4"/>
  <c r="HN254" i="4"/>
  <c r="HO254" i="4"/>
  <c r="HP254" i="4"/>
  <c r="HR254" i="4"/>
  <c r="HS254" i="4"/>
  <c r="HT254" i="4"/>
  <c r="HU254" i="4"/>
  <c r="HV254" i="4"/>
  <c r="HW254" i="4"/>
  <c r="HX254" i="4"/>
  <c r="HY254" i="4"/>
  <c r="A255" i="4"/>
  <c r="B255" i="4"/>
  <c r="C255" i="4"/>
  <c r="D255" i="4"/>
  <c r="E255" i="4"/>
  <c r="F255" i="4"/>
  <c r="I255" i="4"/>
  <c r="J255" i="4"/>
  <c r="N255" i="4"/>
  <c r="O255" i="4"/>
  <c r="P255" i="4"/>
  <c r="Q255" i="4"/>
  <c r="R255" i="4"/>
  <c r="S255" i="4"/>
  <c r="T255" i="4"/>
  <c r="U255" i="4"/>
  <c r="V255" i="4"/>
  <c r="W255" i="4"/>
  <c r="X255" i="4"/>
  <c r="AX255" i="4"/>
  <c r="AY255" i="4"/>
  <c r="AZ255" i="4"/>
  <c r="BB255" i="4"/>
  <c r="BC255" i="4"/>
  <c r="BT255" i="4"/>
  <c r="BU255" i="4"/>
  <c r="BV255" i="4"/>
  <c r="BW255" i="4"/>
  <c r="EC255" i="4"/>
  <c r="ED255" i="4"/>
  <c r="EE255" i="4"/>
  <c r="EF255" i="4"/>
  <c r="EG255" i="4"/>
  <c r="EL255" i="4"/>
  <c r="EM255" i="4"/>
  <c r="EN255" i="4"/>
  <c r="EO255" i="4"/>
  <c r="EP255" i="4"/>
  <c r="EQ255" i="4"/>
  <c r="EV255" i="4"/>
  <c r="EX255" i="4"/>
  <c r="EY255" i="4"/>
  <c r="FA255" i="4"/>
  <c r="FB255" i="4"/>
  <c r="FC255" i="4"/>
  <c r="FD255" i="4"/>
  <c r="FE255" i="4"/>
  <c r="FF255" i="4"/>
  <c r="FG255" i="4"/>
  <c r="FH255" i="4"/>
  <c r="FI255" i="4"/>
  <c r="FJ255" i="4"/>
  <c r="FK255" i="4"/>
  <c r="FL255" i="4"/>
  <c r="FM255" i="4"/>
  <c r="FN255" i="4"/>
  <c r="FO255" i="4"/>
  <c r="FP255" i="4"/>
  <c r="FQ255" i="4"/>
  <c r="FR255" i="4"/>
  <c r="FS255" i="4"/>
  <c r="FT255" i="4"/>
  <c r="FU255" i="4"/>
  <c r="FV255" i="4"/>
  <c r="FW255" i="4"/>
  <c r="FX255" i="4"/>
  <c r="FY255" i="4"/>
  <c r="FZ255" i="4"/>
  <c r="GA255" i="4"/>
  <c r="GB255" i="4"/>
  <c r="GC255" i="4"/>
  <c r="GD255" i="4"/>
  <c r="GF255" i="4"/>
  <c r="GG255" i="4"/>
  <c r="GJ255" i="4"/>
  <c r="GK255" i="4"/>
  <c r="GM255" i="4"/>
  <c r="GN255" i="4"/>
  <c r="GP255" i="4"/>
  <c r="HJ255" i="4"/>
  <c r="HK255" i="4"/>
  <c r="HL255" i="4"/>
  <c r="HM255" i="4"/>
  <c r="HN255" i="4"/>
  <c r="HO255" i="4"/>
  <c r="HP255" i="4"/>
  <c r="HR255" i="4"/>
  <c r="HS255" i="4"/>
  <c r="HT255" i="4"/>
  <c r="HU255" i="4"/>
  <c r="HV255" i="4"/>
  <c r="HW255" i="4"/>
  <c r="HX255" i="4"/>
  <c r="HY255" i="4"/>
  <c r="A256" i="4"/>
  <c r="B256" i="4"/>
  <c r="C256" i="4"/>
  <c r="D256" i="4"/>
  <c r="E256" i="4"/>
  <c r="F256" i="4"/>
  <c r="I256" i="4"/>
  <c r="J256" i="4"/>
  <c r="N256" i="4"/>
  <c r="O256" i="4"/>
  <c r="P256" i="4"/>
  <c r="Q256" i="4"/>
  <c r="R256" i="4"/>
  <c r="S256" i="4"/>
  <c r="T256" i="4"/>
  <c r="U256" i="4"/>
  <c r="V256" i="4"/>
  <c r="W256" i="4"/>
  <c r="X256" i="4"/>
  <c r="AX256" i="4"/>
  <c r="AY256" i="4"/>
  <c r="AZ256" i="4"/>
  <c r="BB256" i="4"/>
  <c r="BC256" i="4"/>
  <c r="BT256" i="4"/>
  <c r="BU256" i="4"/>
  <c r="BV256" i="4"/>
  <c r="BW256" i="4"/>
  <c r="EC256" i="4"/>
  <c r="ED256" i="4"/>
  <c r="EE256" i="4"/>
  <c r="EF256" i="4"/>
  <c r="EG256" i="4"/>
  <c r="EL256" i="4"/>
  <c r="EM256" i="4"/>
  <c r="EN256" i="4"/>
  <c r="EO256" i="4"/>
  <c r="EP256" i="4"/>
  <c r="EQ256" i="4"/>
  <c r="EV256" i="4"/>
  <c r="EX256" i="4"/>
  <c r="EY256" i="4"/>
  <c r="FA256" i="4"/>
  <c r="FB256" i="4"/>
  <c r="FC256" i="4"/>
  <c r="FD256" i="4"/>
  <c r="FE256" i="4"/>
  <c r="FF256" i="4"/>
  <c r="FG256" i="4"/>
  <c r="FH256" i="4"/>
  <c r="FI256" i="4"/>
  <c r="FJ256" i="4"/>
  <c r="FK256" i="4"/>
  <c r="FL256" i="4"/>
  <c r="FM256" i="4"/>
  <c r="FN256" i="4"/>
  <c r="FO256" i="4"/>
  <c r="FP256" i="4"/>
  <c r="FQ256" i="4"/>
  <c r="FR256" i="4"/>
  <c r="FS256" i="4"/>
  <c r="FT256" i="4"/>
  <c r="FU256" i="4"/>
  <c r="FV256" i="4"/>
  <c r="FW256" i="4"/>
  <c r="FX256" i="4"/>
  <c r="FY256" i="4"/>
  <c r="FZ256" i="4"/>
  <c r="GA256" i="4"/>
  <c r="GB256" i="4"/>
  <c r="GC256" i="4"/>
  <c r="GD256" i="4"/>
  <c r="GF256" i="4"/>
  <c r="GG256" i="4"/>
  <c r="GJ256" i="4"/>
  <c r="GK256" i="4"/>
  <c r="GM256" i="4"/>
  <c r="GN256" i="4"/>
  <c r="GP256" i="4"/>
  <c r="HJ256" i="4"/>
  <c r="HK256" i="4"/>
  <c r="HL256" i="4"/>
  <c r="HM256" i="4"/>
  <c r="HN256" i="4"/>
  <c r="HO256" i="4"/>
  <c r="HP256" i="4"/>
  <c r="HR256" i="4"/>
  <c r="HS256" i="4"/>
  <c r="HT256" i="4"/>
  <c r="HU256" i="4"/>
  <c r="HV256" i="4"/>
  <c r="HW256" i="4"/>
  <c r="HX256" i="4"/>
  <c r="HY256" i="4"/>
  <c r="A257" i="4"/>
  <c r="B257" i="4"/>
  <c r="C257" i="4"/>
  <c r="D257" i="4"/>
  <c r="E257" i="4"/>
  <c r="F257" i="4"/>
  <c r="I257" i="4"/>
  <c r="J257" i="4"/>
  <c r="N257" i="4"/>
  <c r="O257" i="4"/>
  <c r="P257" i="4"/>
  <c r="Q257" i="4"/>
  <c r="R257" i="4"/>
  <c r="S257" i="4"/>
  <c r="T257" i="4"/>
  <c r="U257" i="4"/>
  <c r="V257" i="4"/>
  <c r="W257" i="4"/>
  <c r="X257" i="4"/>
  <c r="AX257" i="4"/>
  <c r="AY257" i="4"/>
  <c r="AZ257" i="4"/>
  <c r="BB257" i="4"/>
  <c r="BC257" i="4"/>
  <c r="BT257" i="4"/>
  <c r="BU257" i="4"/>
  <c r="BV257" i="4"/>
  <c r="BW257" i="4"/>
  <c r="EC257" i="4"/>
  <c r="ED257" i="4"/>
  <c r="EE257" i="4"/>
  <c r="EF257" i="4"/>
  <c r="EG257" i="4"/>
  <c r="EL257" i="4"/>
  <c r="EM257" i="4"/>
  <c r="EN257" i="4"/>
  <c r="EO257" i="4"/>
  <c r="EP257" i="4"/>
  <c r="EQ257" i="4"/>
  <c r="EV257" i="4"/>
  <c r="EX257" i="4"/>
  <c r="EY257" i="4"/>
  <c r="FA257" i="4"/>
  <c r="FB257" i="4"/>
  <c r="FC257" i="4"/>
  <c r="FD257" i="4"/>
  <c r="FE257" i="4"/>
  <c r="FF257" i="4"/>
  <c r="FG257" i="4"/>
  <c r="FH257" i="4"/>
  <c r="FI257" i="4"/>
  <c r="FJ257" i="4"/>
  <c r="FK257" i="4"/>
  <c r="FL257" i="4"/>
  <c r="FM257" i="4"/>
  <c r="FN257" i="4"/>
  <c r="FO257" i="4"/>
  <c r="FP257" i="4"/>
  <c r="FQ257" i="4"/>
  <c r="FR257" i="4"/>
  <c r="FS257" i="4"/>
  <c r="FT257" i="4"/>
  <c r="FU257" i="4"/>
  <c r="FV257" i="4"/>
  <c r="FW257" i="4"/>
  <c r="FX257" i="4"/>
  <c r="FY257" i="4"/>
  <c r="FZ257" i="4"/>
  <c r="GA257" i="4"/>
  <c r="GB257" i="4"/>
  <c r="GC257" i="4"/>
  <c r="GD257" i="4"/>
  <c r="GF257" i="4"/>
  <c r="GG257" i="4"/>
  <c r="GJ257" i="4"/>
  <c r="GK257" i="4"/>
  <c r="GM257" i="4"/>
  <c r="GN257" i="4"/>
  <c r="GP257" i="4"/>
  <c r="HJ257" i="4"/>
  <c r="HK257" i="4"/>
  <c r="HL257" i="4"/>
  <c r="HM257" i="4"/>
  <c r="HN257" i="4"/>
  <c r="HO257" i="4"/>
  <c r="HP257" i="4"/>
  <c r="HR257" i="4"/>
  <c r="HS257" i="4"/>
  <c r="HT257" i="4"/>
  <c r="HU257" i="4"/>
  <c r="HV257" i="4"/>
  <c r="HW257" i="4"/>
  <c r="HX257" i="4"/>
  <c r="HY257" i="4"/>
  <c r="A258" i="4"/>
  <c r="B258" i="4"/>
  <c r="C258" i="4"/>
  <c r="D258" i="4"/>
  <c r="E258" i="4"/>
  <c r="F258" i="4"/>
  <c r="I258" i="4"/>
  <c r="J258" i="4"/>
  <c r="N258" i="4"/>
  <c r="O258" i="4"/>
  <c r="P258" i="4"/>
  <c r="Q258" i="4"/>
  <c r="R258" i="4"/>
  <c r="S258" i="4"/>
  <c r="T258" i="4"/>
  <c r="U258" i="4"/>
  <c r="V258" i="4"/>
  <c r="W258" i="4"/>
  <c r="X258" i="4"/>
  <c r="AX258" i="4"/>
  <c r="AY258" i="4"/>
  <c r="AZ258" i="4"/>
  <c r="BB258" i="4"/>
  <c r="BC258" i="4"/>
  <c r="BT258" i="4"/>
  <c r="BU258" i="4"/>
  <c r="BV258" i="4"/>
  <c r="BW258" i="4"/>
  <c r="EC258" i="4"/>
  <c r="ED258" i="4"/>
  <c r="EE258" i="4"/>
  <c r="EF258" i="4"/>
  <c r="EG258" i="4"/>
  <c r="EL258" i="4"/>
  <c r="EM258" i="4"/>
  <c r="EN258" i="4"/>
  <c r="EO258" i="4"/>
  <c r="EP258" i="4"/>
  <c r="EQ258" i="4"/>
  <c r="EV258" i="4"/>
  <c r="EX258" i="4"/>
  <c r="EY258" i="4"/>
  <c r="FA258" i="4"/>
  <c r="FB258" i="4"/>
  <c r="FC258" i="4"/>
  <c r="FD258" i="4"/>
  <c r="FE258" i="4"/>
  <c r="FF258" i="4"/>
  <c r="FG258" i="4"/>
  <c r="FH258" i="4"/>
  <c r="FI258" i="4"/>
  <c r="FJ258" i="4"/>
  <c r="FK258" i="4"/>
  <c r="FL258" i="4"/>
  <c r="FM258" i="4"/>
  <c r="FN258" i="4"/>
  <c r="FO258" i="4"/>
  <c r="FP258" i="4"/>
  <c r="FQ258" i="4"/>
  <c r="FR258" i="4"/>
  <c r="FS258" i="4"/>
  <c r="FT258" i="4"/>
  <c r="FU258" i="4"/>
  <c r="FV258" i="4"/>
  <c r="FW258" i="4"/>
  <c r="FX258" i="4"/>
  <c r="FY258" i="4"/>
  <c r="FZ258" i="4"/>
  <c r="GA258" i="4"/>
  <c r="GB258" i="4"/>
  <c r="GC258" i="4"/>
  <c r="GD258" i="4"/>
  <c r="GF258" i="4"/>
  <c r="GG258" i="4"/>
  <c r="GJ258" i="4"/>
  <c r="GK258" i="4"/>
  <c r="GM258" i="4"/>
  <c r="GN258" i="4"/>
  <c r="GP258" i="4"/>
  <c r="HJ258" i="4"/>
  <c r="HK258" i="4"/>
  <c r="HL258" i="4"/>
  <c r="HM258" i="4"/>
  <c r="HN258" i="4"/>
  <c r="HO258" i="4"/>
  <c r="HP258" i="4"/>
  <c r="HR258" i="4"/>
  <c r="HS258" i="4"/>
  <c r="HT258" i="4"/>
  <c r="HU258" i="4"/>
  <c r="HV258" i="4"/>
  <c r="HW258" i="4"/>
  <c r="HX258" i="4"/>
  <c r="HY258" i="4"/>
  <c r="A259" i="4"/>
  <c r="B259" i="4"/>
  <c r="C259" i="4"/>
  <c r="D259" i="4"/>
  <c r="E259" i="4"/>
  <c r="F259" i="4"/>
  <c r="I259" i="4"/>
  <c r="J259" i="4"/>
  <c r="N259" i="4"/>
  <c r="O259" i="4"/>
  <c r="P259" i="4"/>
  <c r="Q259" i="4"/>
  <c r="R259" i="4"/>
  <c r="S259" i="4"/>
  <c r="T259" i="4"/>
  <c r="U259" i="4"/>
  <c r="V259" i="4"/>
  <c r="W259" i="4"/>
  <c r="X259" i="4"/>
  <c r="AX259" i="4"/>
  <c r="AY259" i="4"/>
  <c r="AZ259" i="4"/>
  <c r="BB259" i="4"/>
  <c r="BC259" i="4"/>
  <c r="BT259" i="4"/>
  <c r="BU259" i="4"/>
  <c r="BV259" i="4"/>
  <c r="BW259" i="4"/>
  <c r="EC259" i="4"/>
  <c r="ED259" i="4"/>
  <c r="EE259" i="4"/>
  <c r="EF259" i="4"/>
  <c r="EG259" i="4"/>
  <c r="EL259" i="4"/>
  <c r="EM259" i="4"/>
  <c r="EN259" i="4"/>
  <c r="EO259" i="4"/>
  <c r="EP259" i="4"/>
  <c r="EQ259" i="4"/>
  <c r="EV259" i="4"/>
  <c r="EX259" i="4"/>
  <c r="EY259" i="4"/>
  <c r="FA259" i="4"/>
  <c r="FB259" i="4"/>
  <c r="FC259" i="4"/>
  <c r="FD259" i="4"/>
  <c r="FE259" i="4"/>
  <c r="FF259" i="4"/>
  <c r="FG259" i="4"/>
  <c r="FH259" i="4"/>
  <c r="FI259" i="4"/>
  <c r="FJ259" i="4"/>
  <c r="FK259" i="4"/>
  <c r="FL259" i="4"/>
  <c r="FM259" i="4"/>
  <c r="FN259" i="4"/>
  <c r="FO259" i="4"/>
  <c r="FP259" i="4"/>
  <c r="FQ259" i="4"/>
  <c r="FR259" i="4"/>
  <c r="FS259" i="4"/>
  <c r="FT259" i="4"/>
  <c r="FU259" i="4"/>
  <c r="FV259" i="4"/>
  <c r="FW259" i="4"/>
  <c r="FX259" i="4"/>
  <c r="FY259" i="4"/>
  <c r="FZ259" i="4"/>
  <c r="GA259" i="4"/>
  <c r="GB259" i="4"/>
  <c r="GC259" i="4"/>
  <c r="GD259" i="4"/>
  <c r="GF259" i="4"/>
  <c r="GG259" i="4"/>
  <c r="GJ259" i="4"/>
  <c r="GK259" i="4"/>
  <c r="GM259" i="4"/>
  <c r="GN259" i="4"/>
  <c r="GP259" i="4"/>
  <c r="HJ259" i="4"/>
  <c r="HK259" i="4"/>
  <c r="HL259" i="4"/>
  <c r="HM259" i="4"/>
  <c r="HN259" i="4"/>
  <c r="HO259" i="4"/>
  <c r="HP259" i="4"/>
  <c r="HR259" i="4"/>
  <c r="HS259" i="4"/>
  <c r="HT259" i="4"/>
  <c r="HU259" i="4"/>
  <c r="HV259" i="4"/>
  <c r="HW259" i="4"/>
  <c r="HX259" i="4"/>
  <c r="HY259" i="4"/>
  <c r="A260" i="4"/>
  <c r="B260" i="4"/>
  <c r="C260" i="4"/>
  <c r="D260" i="4"/>
  <c r="E260" i="4"/>
  <c r="F260" i="4"/>
  <c r="I260" i="4"/>
  <c r="J260" i="4"/>
  <c r="N260" i="4"/>
  <c r="O260" i="4"/>
  <c r="P260" i="4"/>
  <c r="Q260" i="4"/>
  <c r="R260" i="4"/>
  <c r="S260" i="4"/>
  <c r="T260" i="4"/>
  <c r="U260" i="4"/>
  <c r="V260" i="4"/>
  <c r="W260" i="4"/>
  <c r="X260" i="4"/>
  <c r="AX260" i="4"/>
  <c r="AY260" i="4"/>
  <c r="AZ260" i="4"/>
  <c r="BB260" i="4"/>
  <c r="BC260" i="4"/>
  <c r="BT260" i="4"/>
  <c r="BU260" i="4"/>
  <c r="BV260" i="4"/>
  <c r="BW260" i="4"/>
  <c r="EC260" i="4"/>
  <c r="ED260" i="4"/>
  <c r="EE260" i="4"/>
  <c r="EF260" i="4"/>
  <c r="EG260" i="4"/>
  <c r="EL260" i="4"/>
  <c r="EM260" i="4"/>
  <c r="EN260" i="4"/>
  <c r="EO260" i="4"/>
  <c r="EP260" i="4"/>
  <c r="EQ260" i="4"/>
  <c r="EV260" i="4"/>
  <c r="EX260" i="4"/>
  <c r="EY260" i="4"/>
  <c r="FA260" i="4"/>
  <c r="FB260" i="4"/>
  <c r="FC260" i="4"/>
  <c r="FD260" i="4"/>
  <c r="FE260" i="4"/>
  <c r="FF260" i="4"/>
  <c r="FG260" i="4"/>
  <c r="FH260" i="4"/>
  <c r="FI260" i="4"/>
  <c r="FJ260" i="4"/>
  <c r="FK260" i="4"/>
  <c r="FL260" i="4"/>
  <c r="FM260" i="4"/>
  <c r="FN260" i="4"/>
  <c r="FO260" i="4"/>
  <c r="FP260" i="4"/>
  <c r="FQ260" i="4"/>
  <c r="FR260" i="4"/>
  <c r="FS260" i="4"/>
  <c r="FT260" i="4"/>
  <c r="FU260" i="4"/>
  <c r="FV260" i="4"/>
  <c r="FW260" i="4"/>
  <c r="FX260" i="4"/>
  <c r="FY260" i="4"/>
  <c r="FZ260" i="4"/>
  <c r="GA260" i="4"/>
  <c r="GB260" i="4"/>
  <c r="GC260" i="4"/>
  <c r="GD260" i="4"/>
  <c r="GF260" i="4"/>
  <c r="GG260" i="4"/>
  <c r="GJ260" i="4"/>
  <c r="GK260" i="4"/>
  <c r="GM260" i="4"/>
  <c r="GN260" i="4"/>
  <c r="GP260" i="4"/>
  <c r="HJ260" i="4"/>
  <c r="HK260" i="4"/>
  <c r="HL260" i="4"/>
  <c r="HM260" i="4"/>
  <c r="HN260" i="4"/>
  <c r="HO260" i="4"/>
  <c r="HP260" i="4"/>
  <c r="HR260" i="4"/>
  <c r="HS260" i="4"/>
  <c r="HT260" i="4"/>
  <c r="HU260" i="4"/>
  <c r="HV260" i="4"/>
  <c r="HW260" i="4"/>
  <c r="HX260" i="4"/>
  <c r="HY260" i="4"/>
  <c r="A261" i="4"/>
  <c r="B261" i="4"/>
  <c r="C261" i="4"/>
  <c r="D261" i="4"/>
  <c r="E261" i="4"/>
  <c r="F261" i="4"/>
  <c r="I261" i="4"/>
  <c r="J261" i="4"/>
  <c r="N261" i="4"/>
  <c r="O261" i="4"/>
  <c r="P261" i="4"/>
  <c r="Q261" i="4"/>
  <c r="R261" i="4"/>
  <c r="S261" i="4"/>
  <c r="T261" i="4"/>
  <c r="U261" i="4"/>
  <c r="V261" i="4"/>
  <c r="W261" i="4"/>
  <c r="X261" i="4"/>
  <c r="AX261" i="4"/>
  <c r="AY261" i="4"/>
  <c r="AZ261" i="4"/>
  <c r="BB261" i="4"/>
  <c r="BC261" i="4"/>
  <c r="BT261" i="4"/>
  <c r="BU261" i="4"/>
  <c r="BV261" i="4"/>
  <c r="BW261" i="4"/>
  <c r="EC261" i="4"/>
  <c r="ED261" i="4"/>
  <c r="EE261" i="4"/>
  <c r="EF261" i="4"/>
  <c r="EG261" i="4"/>
  <c r="EL261" i="4"/>
  <c r="EM261" i="4"/>
  <c r="EN261" i="4"/>
  <c r="EO261" i="4"/>
  <c r="EP261" i="4"/>
  <c r="EQ261" i="4"/>
  <c r="EV261" i="4"/>
  <c r="EX261" i="4"/>
  <c r="EY261" i="4"/>
  <c r="FA261" i="4"/>
  <c r="FB261" i="4"/>
  <c r="FC261" i="4"/>
  <c r="FD261" i="4"/>
  <c r="FE261" i="4"/>
  <c r="FF261" i="4"/>
  <c r="FG261" i="4"/>
  <c r="FH261" i="4"/>
  <c r="FI261" i="4"/>
  <c r="FJ261" i="4"/>
  <c r="FK261" i="4"/>
  <c r="FL261" i="4"/>
  <c r="FM261" i="4"/>
  <c r="FN261" i="4"/>
  <c r="FO261" i="4"/>
  <c r="FP261" i="4"/>
  <c r="FQ261" i="4"/>
  <c r="FR261" i="4"/>
  <c r="FS261" i="4"/>
  <c r="FT261" i="4"/>
  <c r="FU261" i="4"/>
  <c r="FV261" i="4"/>
  <c r="FW261" i="4"/>
  <c r="FX261" i="4"/>
  <c r="FY261" i="4"/>
  <c r="FZ261" i="4"/>
  <c r="GA261" i="4"/>
  <c r="GB261" i="4"/>
  <c r="GC261" i="4"/>
  <c r="GD261" i="4"/>
  <c r="GF261" i="4"/>
  <c r="GG261" i="4"/>
  <c r="GJ261" i="4"/>
  <c r="GK261" i="4"/>
  <c r="GM261" i="4"/>
  <c r="GN261" i="4"/>
  <c r="GP261" i="4"/>
  <c r="HJ261" i="4"/>
  <c r="HK261" i="4"/>
  <c r="HL261" i="4"/>
  <c r="HM261" i="4"/>
  <c r="HN261" i="4"/>
  <c r="HO261" i="4"/>
  <c r="HP261" i="4"/>
  <c r="HR261" i="4"/>
  <c r="HS261" i="4"/>
  <c r="HT261" i="4"/>
  <c r="HU261" i="4"/>
  <c r="HV261" i="4"/>
  <c r="HW261" i="4"/>
  <c r="HX261" i="4"/>
  <c r="HY261" i="4"/>
  <c r="A262" i="4"/>
  <c r="B262" i="4"/>
  <c r="C262" i="4"/>
  <c r="D262" i="4"/>
  <c r="E262" i="4"/>
  <c r="F262" i="4"/>
  <c r="I262" i="4"/>
  <c r="J262" i="4"/>
  <c r="N262" i="4"/>
  <c r="O262" i="4"/>
  <c r="P262" i="4"/>
  <c r="Q262" i="4"/>
  <c r="R262" i="4"/>
  <c r="S262" i="4"/>
  <c r="T262" i="4"/>
  <c r="U262" i="4"/>
  <c r="V262" i="4"/>
  <c r="W262" i="4"/>
  <c r="X262" i="4"/>
  <c r="AX262" i="4"/>
  <c r="AY262" i="4"/>
  <c r="AZ262" i="4"/>
  <c r="BB262" i="4"/>
  <c r="BC262" i="4"/>
  <c r="BT262" i="4"/>
  <c r="BU262" i="4"/>
  <c r="BV262" i="4"/>
  <c r="BW262" i="4"/>
  <c r="EC262" i="4"/>
  <c r="ED262" i="4"/>
  <c r="EE262" i="4"/>
  <c r="EF262" i="4"/>
  <c r="EG262" i="4"/>
  <c r="EL262" i="4"/>
  <c r="EM262" i="4"/>
  <c r="EN262" i="4"/>
  <c r="EO262" i="4"/>
  <c r="EP262" i="4"/>
  <c r="EQ262" i="4"/>
  <c r="EV262" i="4"/>
  <c r="EX262" i="4"/>
  <c r="EY262" i="4"/>
  <c r="FA262" i="4"/>
  <c r="FB262" i="4"/>
  <c r="FC262" i="4"/>
  <c r="FD262" i="4"/>
  <c r="FE262" i="4"/>
  <c r="FF262" i="4"/>
  <c r="FG262" i="4"/>
  <c r="FH262" i="4"/>
  <c r="FI262" i="4"/>
  <c r="FJ262" i="4"/>
  <c r="FK262" i="4"/>
  <c r="FL262" i="4"/>
  <c r="FM262" i="4"/>
  <c r="FN262" i="4"/>
  <c r="FO262" i="4"/>
  <c r="FP262" i="4"/>
  <c r="FQ262" i="4"/>
  <c r="FR262" i="4"/>
  <c r="FS262" i="4"/>
  <c r="FT262" i="4"/>
  <c r="FU262" i="4"/>
  <c r="FV262" i="4"/>
  <c r="FW262" i="4"/>
  <c r="FX262" i="4"/>
  <c r="FY262" i="4"/>
  <c r="FZ262" i="4"/>
  <c r="GA262" i="4"/>
  <c r="GB262" i="4"/>
  <c r="GC262" i="4"/>
  <c r="GD262" i="4"/>
  <c r="GF262" i="4"/>
  <c r="GG262" i="4"/>
  <c r="GJ262" i="4"/>
  <c r="GK262" i="4"/>
  <c r="GM262" i="4"/>
  <c r="GN262" i="4"/>
  <c r="GP262" i="4"/>
  <c r="HJ262" i="4"/>
  <c r="HK262" i="4"/>
  <c r="HL262" i="4"/>
  <c r="HM262" i="4"/>
  <c r="HN262" i="4"/>
  <c r="HO262" i="4"/>
  <c r="HP262" i="4"/>
  <c r="HR262" i="4"/>
  <c r="HS262" i="4"/>
  <c r="HT262" i="4"/>
  <c r="HU262" i="4"/>
  <c r="HV262" i="4"/>
  <c r="HW262" i="4"/>
  <c r="HX262" i="4"/>
  <c r="HY262" i="4"/>
  <c r="A263" i="4"/>
  <c r="B263" i="4"/>
  <c r="C263" i="4"/>
  <c r="D263" i="4"/>
  <c r="E263" i="4"/>
  <c r="F263" i="4"/>
  <c r="I263" i="4"/>
  <c r="J263" i="4"/>
  <c r="N263" i="4"/>
  <c r="O263" i="4"/>
  <c r="P263" i="4"/>
  <c r="Q263" i="4"/>
  <c r="R263" i="4"/>
  <c r="S263" i="4"/>
  <c r="T263" i="4"/>
  <c r="U263" i="4"/>
  <c r="V263" i="4"/>
  <c r="W263" i="4"/>
  <c r="X263" i="4"/>
  <c r="AX263" i="4"/>
  <c r="AY263" i="4"/>
  <c r="AZ263" i="4"/>
  <c r="BB263" i="4"/>
  <c r="BC263" i="4"/>
  <c r="BT263" i="4"/>
  <c r="BU263" i="4"/>
  <c r="BV263" i="4"/>
  <c r="BW263" i="4"/>
  <c r="EC263" i="4"/>
  <c r="ED263" i="4"/>
  <c r="EE263" i="4"/>
  <c r="EF263" i="4"/>
  <c r="EG263" i="4"/>
  <c r="EL263" i="4"/>
  <c r="EM263" i="4"/>
  <c r="EN263" i="4"/>
  <c r="EO263" i="4"/>
  <c r="EP263" i="4"/>
  <c r="EQ263" i="4"/>
  <c r="EV263" i="4"/>
  <c r="EX263" i="4"/>
  <c r="EY263" i="4"/>
  <c r="FA263" i="4"/>
  <c r="FB263" i="4"/>
  <c r="FC263" i="4"/>
  <c r="FD263" i="4"/>
  <c r="FE263" i="4"/>
  <c r="FF263" i="4"/>
  <c r="FG263" i="4"/>
  <c r="FH263" i="4"/>
  <c r="FI263" i="4"/>
  <c r="FJ263" i="4"/>
  <c r="FK263" i="4"/>
  <c r="FL263" i="4"/>
  <c r="FM263" i="4"/>
  <c r="FN263" i="4"/>
  <c r="FO263" i="4"/>
  <c r="FP263" i="4"/>
  <c r="FQ263" i="4"/>
  <c r="FR263" i="4"/>
  <c r="FS263" i="4"/>
  <c r="FT263" i="4"/>
  <c r="FU263" i="4"/>
  <c r="FV263" i="4"/>
  <c r="FW263" i="4"/>
  <c r="FX263" i="4"/>
  <c r="FY263" i="4"/>
  <c r="FZ263" i="4"/>
  <c r="GA263" i="4"/>
  <c r="GB263" i="4"/>
  <c r="GC263" i="4"/>
  <c r="GD263" i="4"/>
  <c r="GF263" i="4"/>
  <c r="GG263" i="4"/>
  <c r="GJ263" i="4"/>
  <c r="GK263" i="4"/>
  <c r="GM263" i="4"/>
  <c r="GN263" i="4"/>
  <c r="GP263" i="4"/>
  <c r="HJ263" i="4"/>
  <c r="HK263" i="4"/>
  <c r="HL263" i="4"/>
  <c r="HM263" i="4"/>
  <c r="HN263" i="4"/>
  <c r="HO263" i="4"/>
  <c r="HP263" i="4"/>
  <c r="HR263" i="4"/>
  <c r="HS263" i="4"/>
  <c r="HT263" i="4"/>
  <c r="HU263" i="4"/>
  <c r="HV263" i="4"/>
  <c r="HW263" i="4"/>
  <c r="HX263" i="4"/>
  <c r="HY263" i="4"/>
  <c r="A264" i="4"/>
  <c r="B264" i="4"/>
  <c r="C264" i="4"/>
  <c r="D264" i="4"/>
  <c r="E264" i="4"/>
  <c r="F264" i="4"/>
  <c r="I264" i="4"/>
  <c r="J264" i="4"/>
  <c r="N264" i="4"/>
  <c r="O264" i="4"/>
  <c r="P264" i="4"/>
  <c r="Q264" i="4"/>
  <c r="R264" i="4"/>
  <c r="S264" i="4"/>
  <c r="T264" i="4"/>
  <c r="U264" i="4"/>
  <c r="V264" i="4"/>
  <c r="W264" i="4"/>
  <c r="X264" i="4"/>
  <c r="AX264" i="4"/>
  <c r="AY264" i="4"/>
  <c r="AZ264" i="4"/>
  <c r="BB264" i="4"/>
  <c r="BC264" i="4"/>
  <c r="BT264" i="4"/>
  <c r="BU264" i="4"/>
  <c r="BV264" i="4"/>
  <c r="BW264" i="4"/>
  <c r="EC264" i="4"/>
  <c r="ED264" i="4"/>
  <c r="EE264" i="4"/>
  <c r="EF264" i="4"/>
  <c r="EG264" i="4"/>
  <c r="EL264" i="4"/>
  <c r="EM264" i="4"/>
  <c r="EN264" i="4"/>
  <c r="EO264" i="4"/>
  <c r="EP264" i="4"/>
  <c r="EQ264" i="4"/>
  <c r="EV264" i="4"/>
  <c r="EX264" i="4"/>
  <c r="EY264" i="4"/>
  <c r="FA264" i="4"/>
  <c r="FB264" i="4"/>
  <c r="FC264" i="4"/>
  <c r="FD264" i="4"/>
  <c r="FE264" i="4"/>
  <c r="FF264" i="4"/>
  <c r="FG264" i="4"/>
  <c r="FH264" i="4"/>
  <c r="FI264" i="4"/>
  <c r="FJ264" i="4"/>
  <c r="FK264" i="4"/>
  <c r="FL264" i="4"/>
  <c r="FM264" i="4"/>
  <c r="FN264" i="4"/>
  <c r="FO264" i="4"/>
  <c r="FP264" i="4"/>
  <c r="FQ264" i="4"/>
  <c r="FR264" i="4"/>
  <c r="FS264" i="4"/>
  <c r="FT264" i="4"/>
  <c r="FU264" i="4"/>
  <c r="FV264" i="4"/>
  <c r="FW264" i="4"/>
  <c r="FX264" i="4"/>
  <c r="FY264" i="4"/>
  <c r="FZ264" i="4"/>
  <c r="GA264" i="4"/>
  <c r="GB264" i="4"/>
  <c r="GC264" i="4"/>
  <c r="GD264" i="4"/>
  <c r="GF264" i="4"/>
  <c r="GG264" i="4"/>
  <c r="GJ264" i="4"/>
  <c r="GK264" i="4"/>
  <c r="GM264" i="4"/>
  <c r="GN264" i="4"/>
  <c r="GP264" i="4"/>
  <c r="HJ264" i="4"/>
  <c r="HK264" i="4"/>
  <c r="HL264" i="4"/>
  <c r="HM264" i="4"/>
  <c r="HN264" i="4"/>
  <c r="HO264" i="4"/>
  <c r="HP264" i="4"/>
  <c r="HR264" i="4"/>
  <c r="HS264" i="4"/>
  <c r="HT264" i="4"/>
  <c r="HU264" i="4"/>
  <c r="HV264" i="4"/>
  <c r="HW264" i="4"/>
  <c r="HX264" i="4"/>
  <c r="HY264" i="4"/>
  <c r="A265" i="4"/>
  <c r="B265" i="4"/>
  <c r="C265" i="4"/>
  <c r="D265" i="4"/>
  <c r="E265" i="4"/>
  <c r="F265" i="4"/>
  <c r="I265" i="4"/>
  <c r="J265" i="4"/>
  <c r="N265" i="4"/>
  <c r="O265" i="4"/>
  <c r="P265" i="4"/>
  <c r="Q265" i="4"/>
  <c r="R265" i="4"/>
  <c r="S265" i="4"/>
  <c r="T265" i="4"/>
  <c r="U265" i="4"/>
  <c r="V265" i="4"/>
  <c r="W265" i="4"/>
  <c r="X265" i="4"/>
  <c r="AX265" i="4"/>
  <c r="AY265" i="4"/>
  <c r="AZ265" i="4"/>
  <c r="BB265" i="4"/>
  <c r="BC265" i="4"/>
  <c r="BT265" i="4"/>
  <c r="BU265" i="4"/>
  <c r="BV265" i="4"/>
  <c r="BW265" i="4"/>
  <c r="EC265" i="4"/>
  <c r="ED265" i="4"/>
  <c r="EE265" i="4"/>
  <c r="EF265" i="4"/>
  <c r="EG265" i="4"/>
  <c r="EL265" i="4"/>
  <c r="EM265" i="4"/>
  <c r="EN265" i="4"/>
  <c r="EO265" i="4"/>
  <c r="EP265" i="4"/>
  <c r="EQ265" i="4"/>
  <c r="EV265" i="4"/>
  <c r="EX265" i="4"/>
  <c r="EY265" i="4"/>
  <c r="FA265" i="4"/>
  <c r="FB265" i="4"/>
  <c r="FC265" i="4"/>
  <c r="FD265" i="4"/>
  <c r="FE265" i="4"/>
  <c r="FF265" i="4"/>
  <c r="FG265" i="4"/>
  <c r="FH265" i="4"/>
  <c r="FI265" i="4"/>
  <c r="FJ265" i="4"/>
  <c r="FK265" i="4"/>
  <c r="FL265" i="4"/>
  <c r="FM265" i="4"/>
  <c r="FN265" i="4"/>
  <c r="FO265" i="4"/>
  <c r="FP265" i="4"/>
  <c r="FQ265" i="4"/>
  <c r="FR265" i="4"/>
  <c r="FS265" i="4"/>
  <c r="FT265" i="4"/>
  <c r="FU265" i="4"/>
  <c r="FV265" i="4"/>
  <c r="FW265" i="4"/>
  <c r="FX265" i="4"/>
  <c r="FY265" i="4"/>
  <c r="FZ265" i="4"/>
  <c r="GA265" i="4"/>
  <c r="GB265" i="4"/>
  <c r="GC265" i="4"/>
  <c r="GD265" i="4"/>
  <c r="GF265" i="4"/>
  <c r="GG265" i="4"/>
  <c r="GJ265" i="4"/>
  <c r="GK265" i="4"/>
  <c r="GM265" i="4"/>
  <c r="GN265" i="4"/>
  <c r="GP265" i="4"/>
  <c r="HJ265" i="4"/>
  <c r="HK265" i="4"/>
  <c r="HL265" i="4"/>
  <c r="HM265" i="4"/>
  <c r="HN265" i="4"/>
  <c r="HO265" i="4"/>
  <c r="HP265" i="4"/>
  <c r="HR265" i="4"/>
  <c r="HS265" i="4"/>
  <c r="HT265" i="4"/>
  <c r="HU265" i="4"/>
  <c r="HV265" i="4"/>
  <c r="HW265" i="4"/>
  <c r="HX265" i="4"/>
  <c r="HY265" i="4"/>
  <c r="A266" i="4"/>
  <c r="B266" i="4"/>
  <c r="C266" i="4"/>
  <c r="D266" i="4"/>
  <c r="E266" i="4"/>
  <c r="F266" i="4"/>
  <c r="I266" i="4"/>
  <c r="J266" i="4"/>
  <c r="N266" i="4"/>
  <c r="O266" i="4"/>
  <c r="P266" i="4"/>
  <c r="Q266" i="4"/>
  <c r="R266" i="4"/>
  <c r="S266" i="4"/>
  <c r="T266" i="4"/>
  <c r="U266" i="4"/>
  <c r="V266" i="4"/>
  <c r="W266" i="4"/>
  <c r="X266" i="4"/>
  <c r="AX266" i="4"/>
  <c r="AY266" i="4"/>
  <c r="AZ266" i="4"/>
  <c r="BB266" i="4"/>
  <c r="BC266" i="4"/>
  <c r="BT266" i="4"/>
  <c r="BU266" i="4"/>
  <c r="BV266" i="4"/>
  <c r="BW266" i="4"/>
  <c r="EC266" i="4"/>
  <c r="ED266" i="4"/>
  <c r="EE266" i="4"/>
  <c r="EF266" i="4"/>
  <c r="EG266" i="4"/>
  <c r="EL266" i="4"/>
  <c r="EM266" i="4"/>
  <c r="EN266" i="4"/>
  <c r="EO266" i="4"/>
  <c r="EP266" i="4"/>
  <c r="EQ266" i="4"/>
  <c r="EV266" i="4"/>
  <c r="EX266" i="4"/>
  <c r="EY266" i="4"/>
  <c r="FA266" i="4"/>
  <c r="FB266" i="4"/>
  <c r="FC266" i="4"/>
  <c r="FD266" i="4"/>
  <c r="FE266" i="4"/>
  <c r="FF266" i="4"/>
  <c r="FG266" i="4"/>
  <c r="FH266" i="4"/>
  <c r="FI266" i="4"/>
  <c r="FJ266" i="4"/>
  <c r="FK266" i="4"/>
  <c r="FL266" i="4"/>
  <c r="FM266" i="4"/>
  <c r="FN266" i="4"/>
  <c r="FO266" i="4"/>
  <c r="FP266" i="4"/>
  <c r="FQ266" i="4"/>
  <c r="FR266" i="4"/>
  <c r="FS266" i="4"/>
  <c r="FT266" i="4"/>
  <c r="FU266" i="4"/>
  <c r="FV266" i="4"/>
  <c r="FW266" i="4"/>
  <c r="FX266" i="4"/>
  <c r="FY266" i="4"/>
  <c r="FZ266" i="4"/>
  <c r="GA266" i="4"/>
  <c r="GB266" i="4"/>
  <c r="GC266" i="4"/>
  <c r="GD266" i="4"/>
  <c r="GF266" i="4"/>
  <c r="GG266" i="4"/>
  <c r="GJ266" i="4"/>
  <c r="GK266" i="4"/>
  <c r="GM266" i="4"/>
  <c r="GN266" i="4"/>
  <c r="GP266" i="4"/>
  <c r="HJ266" i="4"/>
  <c r="HK266" i="4"/>
  <c r="HL266" i="4"/>
  <c r="HM266" i="4"/>
  <c r="HN266" i="4"/>
  <c r="HO266" i="4"/>
  <c r="HP266" i="4"/>
  <c r="HR266" i="4"/>
  <c r="HS266" i="4"/>
  <c r="HT266" i="4"/>
  <c r="HU266" i="4"/>
  <c r="HV266" i="4"/>
  <c r="HW266" i="4"/>
  <c r="HX266" i="4"/>
  <c r="HY266" i="4"/>
  <c r="A267" i="4"/>
  <c r="B267" i="4"/>
  <c r="C267" i="4"/>
  <c r="D267" i="4"/>
  <c r="E267" i="4"/>
  <c r="F267" i="4"/>
  <c r="I267" i="4"/>
  <c r="J267" i="4"/>
  <c r="N267" i="4"/>
  <c r="O267" i="4"/>
  <c r="P267" i="4"/>
  <c r="Q267" i="4"/>
  <c r="R267" i="4"/>
  <c r="S267" i="4"/>
  <c r="T267" i="4"/>
  <c r="U267" i="4"/>
  <c r="V267" i="4"/>
  <c r="W267" i="4"/>
  <c r="X267" i="4"/>
  <c r="AX267" i="4"/>
  <c r="AY267" i="4"/>
  <c r="AZ267" i="4"/>
  <c r="BB267" i="4"/>
  <c r="BC267" i="4"/>
  <c r="BT267" i="4"/>
  <c r="BU267" i="4"/>
  <c r="BV267" i="4"/>
  <c r="BW267" i="4"/>
  <c r="EC267" i="4"/>
  <c r="ED267" i="4"/>
  <c r="EE267" i="4"/>
  <c r="EF267" i="4"/>
  <c r="EG267" i="4"/>
  <c r="EL267" i="4"/>
  <c r="EM267" i="4"/>
  <c r="EN267" i="4"/>
  <c r="EO267" i="4"/>
  <c r="EP267" i="4"/>
  <c r="EQ267" i="4"/>
  <c r="EV267" i="4"/>
  <c r="EX267" i="4"/>
  <c r="EY267" i="4"/>
  <c r="FA267" i="4"/>
  <c r="FB267" i="4"/>
  <c r="FC267" i="4"/>
  <c r="FD267" i="4"/>
  <c r="FE267" i="4"/>
  <c r="FF267" i="4"/>
  <c r="FG267" i="4"/>
  <c r="FH267" i="4"/>
  <c r="FI267" i="4"/>
  <c r="FJ267" i="4"/>
  <c r="FK267" i="4"/>
  <c r="FL267" i="4"/>
  <c r="FM267" i="4"/>
  <c r="FN267" i="4"/>
  <c r="FO267" i="4"/>
  <c r="FP267" i="4"/>
  <c r="FQ267" i="4"/>
  <c r="FR267" i="4"/>
  <c r="FS267" i="4"/>
  <c r="FT267" i="4"/>
  <c r="FU267" i="4"/>
  <c r="FV267" i="4"/>
  <c r="FW267" i="4"/>
  <c r="FX267" i="4"/>
  <c r="FY267" i="4"/>
  <c r="FZ267" i="4"/>
  <c r="GA267" i="4"/>
  <c r="GB267" i="4"/>
  <c r="GC267" i="4"/>
  <c r="GD267" i="4"/>
  <c r="GF267" i="4"/>
  <c r="GG267" i="4"/>
  <c r="GJ267" i="4"/>
  <c r="GK267" i="4"/>
  <c r="GM267" i="4"/>
  <c r="GN267" i="4"/>
  <c r="GP267" i="4"/>
  <c r="HJ267" i="4"/>
  <c r="HK267" i="4"/>
  <c r="HL267" i="4"/>
  <c r="HM267" i="4"/>
  <c r="HN267" i="4"/>
  <c r="HO267" i="4"/>
  <c r="HP267" i="4"/>
  <c r="HR267" i="4"/>
  <c r="HS267" i="4"/>
  <c r="HT267" i="4"/>
  <c r="HU267" i="4"/>
  <c r="HV267" i="4"/>
  <c r="HW267" i="4"/>
  <c r="HX267" i="4"/>
  <c r="HY267" i="4"/>
  <c r="A268" i="4"/>
  <c r="B268" i="4"/>
  <c r="C268" i="4"/>
  <c r="D268" i="4"/>
  <c r="E268" i="4"/>
  <c r="F268" i="4"/>
  <c r="I268" i="4"/>
  <c r="J268" i="4"/>
  <c r="N268" i="4"/>
  <c r="O268" i="4"/>
  <c r="P268" i="4"/>
  <c r="Q268" i="4"/>
  <c r="R268" i="4"/>
  <c r="S268" i="4"/>
  <c r="T268" i="4"/>
  <c r="U268" i="4"/>
  <c r="V268" i="4"/>
  <c r="W268" i="4"/>
  <c r="X268" i="4"/>
  <c r="AX268" i="4"/>
  <c r="AY268" i="4"/>
  <c r="AZ268" i="4"/>
  <c r="BB268" i="4"/>
  <c r="BC268" i="4"/>
  <c r="BT268" i="4"/>
  <c r="BU268" i="4"/>
  <c r="BV268" i="4"/>
  <c r="BW268" i="4"/>
  <c r="EC268" i="4"/>
  <c r="ED268" i="4"/>
  <c r="EE268" i="4"/>
  <c r="EF268" i="4"/>
  <c r="EG268" i="4"/>
  <c r="EL268" i="4"/>
  <c r="EM268" i="4"/>
  <c r="EN268" i="4"/>
  <c r="EO268" i="4"/>
  <c r="EP268" i="4"/>
  <c r="EQ268" i="4"/>
  <c r="EV268" i="4"/>
  <c r="EX268" i="4"/>
  <c r="EY268" i="4"/>
  <c r="FA268" i="4"/>
  <c r="FB268" i="4"/>
  <c r="FC268" i="4"/>
  <c r="FD268" i="4"/>
  <c r="FE268" i="4"/>
  <c r="FF268" i="4"/>
  <c r="FG268" i="4"/>
  <c r="FH268" i="4"/>
  <c r="FI268" i="4"/>
  <c r="FJ268" i="4"/>
  <c r="FK268" i="4"/>
  <c r="FL268" i="4"/>
  <c r="FM268" i="4"/>
  <c r="FN268" i="4"/>
  <c r="FO268" i="4"/>
  <c r="FP268" i="4"/>
  <c r="FQ268" i="4"/>
  <c r="FR268" i="4"/>
  <c r="FS268" i="4"/>
  <c r="FT268" i="4"/>
  <c r="FU268" i="4"/>
  <c r="FV268" i="4"/>
  <c r="FW268" i="4"/>
  <c r="FX268" i="4"/>
  <c r="FY268" i="4"/>
  <c r="FZ268" i="4"/>
  <c r="GA268" i="4"/>
  <c r="GB268" i="4"/>
  <c r="GC268" i="4"/>
  <c r="GD268" i="4"/>
  <c r="GF268" i="4"/>
  <c r="GG268" i="4"/>
  <c r="GJ268" i="4"/>
  <c r="GK268" i="4"/>
  <c r="GM268" i="4"/>
  <c r="GN268" i="4"/>
  <c r="GP268" i="4"/>
  <c r="HJ268" i="4"/>
  <c r="HK268" i="4"/>
  <c r="HL268" i="4"/>
  <c r="HM268" i="4"/>
  <c r="HN268" i="4"/>
  <c r="HO268" i="4"/>
  <c r="HP268" i="4"/>
  <c r="HR268" i="4"/>
  <c r="HS268" i="4"/>
  <c r="HT268" i="4"/>
  <c r="HU268" i="4"/>
  <c r="HV268" i="4"/>
  <c r="HW268" i="4"/>
  <c r="HX268" i="4"/>
  <c r="HY268" i="4"/>
  <c r="A269" i="4"/>
  <c r="B269" i="4"/>
  <c r="C269" i="4"/>
  <c r="D269" i="4"/>
  <c r="E269" i="4"/>
  <c r="F269" i="4"/>
  <c r="I269" i="4"/>
  <c r="J269" i="4"/>
  <c r="N269" i="4"/>
  <c r="O269" i="4"/>
  <c r="P269" i="4"/>
  <c r="Q269" i="4"/>
  <c r="R269" i="4"/>
  <c r="S269" i="4"/>
  <c r="T269" i="4"/>
  <c r="U269" i="4"/>
  <c r="V269" i="4"/>
  <c r="W269" i="4"/>
  <c r="X269" i="4"/>
  <c r="AX269" i="4"/>
  <c r="AY269" i="4"/>
  <c r="AZ269" i="4"/>
  <c r="BB269" i="4"/>
  <c r="BC269" i="4"/>
  <c r="BT269" i="4"/>
  <c r="BU269" i="4"/>
  <c r="BV269" i="4"/>
  <c r="BW269" i="4"/>
  <c r="EC269" i="4"/>
  <c r="ED269" i="4"/>
  <c r="EE269" i="4"/>
  <c r="EF269" i="4"/>
  <c r="EG269" i="4"/>
  <c r="EL269" i="4"/>
  <c r="EM269" i="4"/>
  <c r="EN269" i="4"/>
  <c r="EO269" i="4"/>
  <c r="EP269" i="4"/>
  <c r="EQ269" i="4"/>
  <c r="EV269" i="4"/>
  <c r="EX269" i="4"/>
  <c r="EY269" i="4"/>
  <c r="FA269" i="4"/>
  <c r="FB269" i="4"/>
  <c r="FC269" i="4"/>
  <c r="FD269" i="4"/>
  <c r="FE269" i="4"/>
  <c r="FF269" i="4"/>
  <c r="FG269" i="4"/>
  <c r="FH269" i="4"/>
  <c r="FI269" i="4"/>
  <c r="FJ269" i="4"/>
  <c r="FK269" i="4"/>
  <c r="FL269" i="4"/>
  <c r="FM269" i="4"/>
  <c r="FN269" i="4"/>
  <c r="FO269" i="4"/>
  <c r="FP269" i="4"/>
  <c r="FQ269" i="4"/>
  <c r="FR269" i="4"/>
  <c r="FS269" i="4"/>
  <c r="FT269" i="4"/>
  <c r="FU269" i="4"/>
  <c r="FV269" i="4"/>
  <c r="FW269" i="4"/>
  <c r="FX269" i="4"/>
  <c r="FY269" i="4"/>
  <c r="FZ269" i="4"/>
  <c r="GA269" i="4"/>
  <c r="GB269" i="4"/>
  <c r="GC269" i="4"/>
  <c r="GD269" i="4"/>
  <c r="GF269" i="4"/>
  <c r="GG269" i="4"/>
  <c r="GJ269" i="4"/>
  <c r="GK269" i="4"/>
  <c r="GM269" i="4"/>
  <c r="GN269" i="4"/>
  <c r="GP269" i="4"/>
  <c r="HJ269" i="4"/>
  <c r="HK269" i="4"/>
  <c r="HL269" i="4"/>
  <c r="HM269" i="4"/>
  <c r="HN269" i="4"/>
  <c r="HO269" i="4"/>
  <c r="HP269" i="4"/>
  <c r="HR269" i="4"/>
  <c r="HS269" i="4"/>
  <c r="HT269" i="4"/>
  <c r="HU269" i="4"/>
  <c r="HV269" i="4"/>
  <c r="HW269" i="4"/>
  <c r="HX269" i="4"/>
  <c r="HY269" i="4"/>
  <c r="A270" i="4"/>
  <c r="B270" i="4"/>
  <c r="C270" i="4"/>
  <c r="D270" i="4"/>
  <c r="E270" i="4"/>
  <c r="F270" i="4"/>
  <c r="I270" i="4"/>
  <c r="J270" i="4"/>
  <c r="N270" i="4"/>
  <c r="O270" i="4"/>
  <c r="P270" i="4"/>
  <c r="Q270" i="4"/>
  <c r="R270" i="4"/>
  <c r="S270" i="4"/>
  <c r="T270" i="4"/>
  <c r="U270" i="4"/>
  <c r="V270" i="4"/>
  <c r="W270" i="4"/>
  <c r="X270" i="4"/>
  <c r="AX270" i="4"/>
  <c r="AY270" i="4"/>
  <c r="AZ270" i="4"/>
  <c r="BB270" i="4"/>
  <c r="BC270" i="4"/>
  <c r="BT270" i="4"/>
  <c r="BU270" i="4"/>
  <c r="BV270" i="4"/>
  <c r="BW270" i="4"/>
  <c r="EC270" i="4"/>
  <c r="ED270" i="4"/>
  <c r="EE270" i="4"/>
  <c r="EF270" i="4"/>
  <c r="EG270" i="4"/>
  <c r="EL270" i="4"/>
  <c r="EM270" i="4"/>
  <c r="EN270" i="4"/>
  <c r="EO270" i="4"/>
  <c r="EP270" i="4"/>
  <c r="EQ270" i="4"/>
  <c r="EV270" i="4"/>
  <c r="EX270" i="4"/>
  <c r="EY270" i="4"/>
  <c r="FA270" i="4"/>
  <c r="FB270" i="4"/>
  <c r="FC270" i="4"/>
  <c r="FD270" i="4"/>
  <c r="FE270" i="4"/>
  <c r="FF270" i="4"/>
  <c r="FG270" i="4"/>
  <c r="FH270" i="4"/>
  <c r="FI270" i="4"/>
  <c r="FJ270" i="4"/>
  <c r="FK270" i="4"/>
  <c r="FL270" i="4"/>
  <c r="FM270" i="4"/>
  <c r="FN270" i="4"/>
  <c r="FO270" i="4"/>
  <c r="FP270" i="4"/>
  <c r="FQ270" i="4"/>
  <c r="FR270" i="4"/>
  <c r="FS270" i="4"/>
  <c r="FT270" i="4"/>
  <c r="FU270" i="4"/>
  <c r="FV270" i="4"/>
  <c r="FW270" i="4"/>
  <c r="FX270" i="4"/>
  <c r="FY270" i="4"/>
  <c r="FZ270" i="4"/>
  <c r="GA270" i="4"/>
  <c r="GB270" i="4"/>
  <c r="GC270" i="4"/>
  <c r="GD270" i="4"/>
  <c r="GF270" i="4"/>
  <c r="GG270" i="4"/>
  <c r="GJ270" i="4"/>
  <c r="GK270" i="4"/>
  <c r="GM270" i="4"/>
  <c r="GN270" i="4"/>
  <c r="GP270" i="4"/>
  <c r="HJ270" i="4"/>
  <c r="HK270" i="4"/>
  <c r="HL270" i="4"/>
  <c r="HM270" i="4"/>
  <c r="HN270" i="4"/>
  <c r="HO270" i="4"/>
  <c r="HP270" i="4"/>
  <c r="HR270" i="4"/>
  <c r="HS270" i="4"/>
  <c r="HT270" i="4"/>
  <c r="HU270" i="4"/>
  <c r="HV270" i="4"/>
  <c r="HW270" i="4"/>
  <c r="HX270" i="4"/>
  <c r="HY270" i="4"/>
  <c r="A271" i="4"/>
  <c r="B271" i="4"/>
  <c r="C271" i="4"/>
  <c r="D271" i="4"/>
  <c r="E271" i="4"/>
  <c r="F271" i="4"/>
  <c r="I271" i="4"/>
  <c r="J271" i="4"/>
  <c r="N271" i="4"/>
  <c r="O271" i="4"/>
  <c r="P271" i="4"/>
  <c r="Q271" i="4"/>
  <c r="R271" i="4"/>
  <c r="S271" i="4"/>
  <c r="T271" i="4"/>
  <c r="U271" i="4"/>
  <c r="V271" i="4"/>
  <c r="W271" i="4"/>
  <c r="X271" i="4"/>
  <c r="AX271" i="4"/>
  <c r="AY271" i="4"/>
  <c r="AZ271" i="4"/>
  <c r="BB271" i="4"/>
  <c r="BC271" i="4"/>
  <c r="BT271" i="4"/>
  <c r="BU271" i="4"/>
  <c r="BV271" i="4"/>
  <c r="BW271" i="4"/>
  <c r="EC271" i="4"/>
  <c r="ED271" i="4"/>
  <c r="EE271" i="4"/>
  <c r="EF271" i="4"/>
  <c r="EG271" i="4"/>
  <c r="EL271" i="4"/>
  <c r="EM271" i="4"/>
  <c r="EN271" i="4"/>
  <c r="EO271" i="4"/>
  <c r="EP271" i="4"/>
  <c r="EQ271" i="4"/>
  <c r="EV271" i="4"/>
  <c r="EX271" i="4"/>
  <c r="EY271" i="4"/>
  <c r="FA271" i="4"/>
  <c r="FB271" i="4"/>
  <c r="FC271" i="4"/>
  <c r="FD271" i="4"/>
  <c r="FE271" i="4"/>
  <c r="FF271" i="4"/>
  <c r="FG271" i="4"/>
  <c r="FH271" i="4"/>
  <c r="FI271" i="4"/>
  <c r="FJ271" i="4"/>
  <c r="FK271" i="4"/>
  <c r="FL271" i="4"/>
  <c r="FM271" i="4"/>
  <c r="FN271" i="4"/>
  <c r="FO271" i="4"/>
  <c r="FP271" i="4"/>
  <c r="FQ271" i="4"/>
  <c r="FR271" i="4"/>
  <c r="FS271" i="4"/>
  <c r="FT271" i="4"/>
  <c r="FU271" i="4"/>
  <c r="FV271" i="4"/>
  <c r="FW271" i="4"/>
  <c r="FX271" i="4"/>
  <c r="FY271" i="4"/>
  <c r="FZ271" i="4"/>
  <c r="GA271" i="4"/>
  <c r="GB271" i="4"/>
  <c r="GC271" i="4"/>
  <c r="GD271" i="4"/>
  <c r="GF271" i="4"/>
  <c r="GG271" i="4"/>
  <c r="GJ271" i="4"/>
  <c r="GK271" i="4"/>
  <c r="GM271" i="4"/>
  <c r="GN271" i="4"/>
  <c r="GP271" i="4"/>
  <c r="HJ271" i="4"/>
  <c r="HK271" i="4"/>
  <c r="HL271" i="4"/>
  <c r="HM271" i="4"/>
  <c r="HN271" i="4"/>
  <c r="HO271" i="4"/>
  <c r="HP271" i="4"/>
  <c r="HR271" i="4"/>
  <c r="HS271" i="4"/>
  <c r="HT271" i="4"/>
  <c r="HU271" i="4"/>
  <c r="HV271" i="4"/>
  <c r="HW271" i="4"/>
  <c r="HX271" i="4"/>
  <c r="HY271" i="4"/>
  <c r="A272" i="4"/>
  <c r="B272" i="4"/>
  <c r="C272" i="4"/>
  <c r="D272" i="4"/>
  <c r="E272" i="4"/>
  <c r="F272" i="4"/>
  <c r="I272" i="4"/>
  <c r="J272" i="4"/>
  <c r="N272" i="4"/>
  <c r="O272" i="4"/>
  <c r="P272" i="4"/>
  <c r="Q272" i="4"/>
  <c r="R272" i="4"/>
  <c r="S272" i="4"/>
  <c r="T272" i="4"/>
  <c r="U272" i="4"/>
  <c r="V272" i="4"/>
  <c r="W272" i="4"/>
  <c r="X272" i="4"/>
  <c r="AX272" i="4"/>
  <c r="AY272" i="4"/>
  <c r="AZ272" i="4"/>
  <c r="BB272" i="4"/>
  <c r="BC272" i="4"/>
  <c r="BT272" i="4"/>
  <c r="BU272" i="4"/>
  <c r="BV272" i="4"/>
  <c r="BW272" i="4"/>
  <c r="EC272" i="4"/>
  <c r="ED272" i="4"/>
  <c r="EE272" i="4"/>
  <c r="EF272" i="4"/>
  <c r="EG272" i="4"/>
  <c r="EL272" i="4"/>
  <c r="EM272" i="4"/>
  <c r="EN272" i="4"/>
  <c r="EO272" i="4"/>
  <c r="EP272" i="4"/>
  <c r="EQ272" i="4"/>
  <c r="EV272" i="4"/>
  <c r="EX272" i="4"/>
  <c r="EY272" i="4"/>
  <c r="FA272" i="4"/>
  <c r="FB272" i="4"/>
  <c r="FC272" i="4"/>
  <c r="FD272" i="4"/>
  <c r="FE272" i="4"/>
  <c r="FF272" i="4"/>
  <c r="FG272" i="4"/>
  <c r="FH272" i="4"/>
  <c r="FI272" i="4"/>
  <c r="FJ272" i="4"/>
  <c r="FK272" i="4"/>
  <c r="FL272" i="4"/>
  <c r="FM272" i="4"/>
  <c r="FN272" i="4"/>
  <c r="FO272" i="4"/>
  <c r="FP272" i="4"/>
  <c r="FQ272" i="4"/>
  <c r="FR272" i="4"/>
  <c r="FS272" i="4"/>
  <c r="FT272" i="4"/>
  <c r="FU272" i="4"/>
  <c r="FV272" i="4"/>
  <c r="FW272" i="4"/>
  <c r="FX272" i="4"/>
  <c r="FY272" i="4"/>
  <c r="FZ272" i="4"/>
  <c r="GA272" i="4"/>
  <c r="GB272" i="4"/>
  <c r="GC272" i="4"/>
  <c r="GD272" i="4"/>
  <c r="GF272" i="4"/>
  <c r="GG272" i="4"/>
  <c r="GJ272" i="4"/>
  <c r="GK272" i="4"/>
  <c r="GM272" i="4"/>
  <c r="GN272" i="4"/>
  <c r="GP272" i="4"/>
  <c r="HJ272" i="4"/>
  <c r="HK272" i="4"/>
  <c r="HL272" i="4"/>
  <c r="HM272" i="4"/>
  <c r="HN272" i="4"/>
  <c r="HO272" i="4"/>
  <c r="HP272" i="4"/>
  <c r="HR272" i="4"/>
  <c r="HS272" i="4"/>
  <c r="HT272" i="4"/>
  <c r="HU272" i="4"/>
  <c r="HV272" i="4"/>
  <c r="HW272" i="4"/>
  <c r="HX272" i="4"/>
  <c r="HY272" i="4"/>
  <c r="A273" i="4"/>
  <c r="B273" i="4"/>
  <c r="C273" i="4"/>
  <c r="D273" i="4"/>
  <c r="E273" i="4"/>
  <c r="F273" i="4"/>
  <c r="I273" i="4"/>
  <c r="J273" i="4"/>
  <c r="N273" i="4"/>
  <c r="O273" i="4"/>
  <c r="P273" i="4"/>
  <c r="Q273" i="4"/>
  <c r="R273" i="4"/>
  <c r="S273" i="4"/>
  <c r="T273" i="4"/>
  <c r="U273" i="4"/>
  <c r="V273" i="4"/>
  <c r="W273" i="4"/>
  <c r="X273" i="4"/>
  <c r="AX273" i="4"/>
  <c r="AY273" i="4"/>
  <c r="AZ273" i="4"/>
  <c r="BB273" i="4"/>
  <c r="BC273" i="4"/>
  <c r="BT273" i="4"/>
  <c r="BU273" i="4"/>
  <c r="BV273" i="4"/>
  <c r="BW273" i="4"/>
  <c r="EC273" i="4"/>
  <c r="ED273" i="4"/>
  <c r="EE273" i="4"/>
  <c r="EF273" i="4"/>
  <c r="EG273" i="4"/>
  <c r="EL273" i="4"/>
  <c r="EM273" i="4"/>
  <c r="EN273" i="4"/>
  <c r="EO273" i="4"/>
  <c r="EP273" i="4"/>
  <c r="EQ273" i="4"/>
  <c r="EV273" i="4"/>
  <c r="EX273" i="4"/>
  <c r="EY273" i="4"/>
  <c r="FA273" i="4"/>
  <c r="FB273" i="4"/>
  <c r="FC273" i="4"/>
  <c r="FD273" i="4"/>
  <c r="FE273" i="4"/>
  <c r="FF273" i="4"/>
  <c r="FG273" i="4"/>
  <c r="FH273" i="4"/>
  <c r="FI273" i="4"/>
  <c r="FJ273" i="4"/>
  <c r="FK273" i="4"/>
  <c r="FL273" i="4"/>
  <c r="FM273" i="4"/>
  <c r="FN273" i="4"/>
  <c r="FO273" i="4"/>
  <c r="FP273" i="4"/>
  <c r="FQ273" i="4"/>
  <c r="FR273" i="4"/>
  <c r="FS273" i="4"/>
  <c r="FT273" i="4"/>
  <c r="FU273" i="4"/>
  <c r="FV273" i="4"/>
  <c r="FW273" i="4"/>
  <c r="FX273" i="4"/>
  <c r="FY273" i="4"/>
  <c r="FZ273" i="4"/>
  <c r="GA273" i="4"/>
  <c r="GB273" i="4"/>
  <c r="GC273" i="4"/>
  <c r="GD273" i="4"/>
  <c r="GF273" i="4"/>
  <c r="GG273" i="4"/>
  <c r="GJ273" i="4"/>
  <c r="GK273" i="4"/>
  <c r="GM273" i="4"/>
  <c r="GN273" i="4"/>
  <c r="GP273" i="4"/>
  <c r="HJ273" i="4"/>
  <c r="HK273" i="4"/>
  <c r="HL273" i="4"/>
  <c r="HM273" i="4"/>
  <c r="HN273" i="4"/>
  <c r="HO273" i="4"/>
  <c r="HP273" i="4"/>
  <c r="HR273" i="4"/>
  <c r="HS273" i="4"/>
  <c r="HT273" i="4"/>
  <c r="HU273" i="4"/>
  <c r="HV273" i="4"/>
  <c r="HW273" i="4"/>
  <c r="HX273" i="4"/>
  <c r="HY273" i="4"/>
  <c r="A274" i="4"/>
  <c r="B274" i="4"/>
  <c r="C274" i="4"/>
  <c r="D274" i="4"/>
  <c r="E274" i="4"/>
  <c r="F274" i="4"/>
  <c r="I274" i="4"/>
  <c r="J274" i="4"/>
  <c r="N274" i="4"/>
  <c r="O274" i="4"/>
  <c r="P274" i="4"/>
  <c r="Q274" i="4"/>
  <c r="R274" i="4"/>
  <c r="S274" i="4"/>
  <c r="T274" i="4"/>
  <c r="U274" i="4"/>
  <c r="V274" i="4"/>
  <c r="W274" i="4"/>
  <c r="X274" i="4"/>
  <c r="AX274" i="4"/>
  <c r="AY274" i="4"/>
  <c r="AZ274" i="4"/>
  <c r="BB274" i="4"/>
  <c r="BC274" i="4"/>
  <c r="BT274" i="4"/>
  <c r="BU274" i="4"/>
  <c r="BV274" i="4"/>
  <c r="BW274" i="4"/>
  <c r="EC274" i="4"/>
  <c r="ED274" i="4"/>
  <c r="EE274" i="4"/>
  <c r="EF274" i="4"/>
  <c r="EG274" i="4"/>
  <c r="EL274" i="4"/>
  <c r="EM274" i="4"/>
  <c r="EN274" i="4"/>
  <c r="EO274" i="4"/>
  <c r="EP274" i="4"/>
  <c r="EQ274" i="4"/>
  <c r="EV274" i="4"/>
  <c r="EX274" i="4"/>
  <c r="EY274" i="4"/>
  <c r="FA274" i="4"/>
  <c r="FB274" i="4"/>
  <c r="FC274" i="4"/>
  <c r="FD274" i="4"/>
  <c r="FE274" i="4"/>
  <c r="FF274" i="4"/>
  <c r="FG274" i="4"/>
  <c r="FH274" i="4"/>
  <c r="FI274" i="4"/>
  <c r="FJ274" i="4"/>
  <c r="FK274" i="4"/>
  <c r="FL274" i="4"/>
  <c r="FM274" i="4"/>
  <c r="FN274" i="4"/>
  <c r="FO274" i="4"/>
  <c r="FP274" i="4"/>
  <c r="FQ274" i="4"/>
  <c r="FR274" i="4"/>
  <c r="FS274" i="4"/>
  <c r="FT274" i="4"/>
  <c r="FU274" i="4"/>
  <c r="FV274" i="4"/>
  <c r="FW274" i="4"/>
  <c r="FX274" i="4"/>
  <c r="FY274" i="4"/>
  <c r="FZ274" i="4"/>
  <c r="GA274" i="4"/>
  <c r="GB274" i="4"/>
  <c r="GC274" i="4"/>
  <c r="GD274" i="4"/>
  <c r="GF274" i="4"/>
  <c r="GG274" i="4"/>
  <c r="GJ274" i="4"/>
  <c r="GK274" i="4"/>
  <c r="GM274" i="4"/>
  <c r="GN274" i="4"/>
  <c r="GP274" i="4"/>
  <c r="HJ274" i="4"/>
  <c r="HK274" i="4"/>
  <c r="HL274" i="4"/>
  <c r="HM274" i="4"/>
  <c r="HN274" i="4"/>
  <c r="HO274" i="4"/>
  <c r="HP274" i="4"/>
  <c r="HR274" i="4"/>
  <c r="HS274" i="4"/>
  <c r="HT274" i="4"/>
  <c r="HU274" i="4"/>
  <c r="HV274" i="4"/>
  <c r="HW274" i="4"/>
  <c r="HX274" i="4"/>
  <c r="HY274" i="4"/>
  <c r="A275" i="4"/>
  <c r="B275" i="4"/>
  <c r="C275" i="4"/>
  <c r="D275" i="4"/>
  <c r="E275" i="4"/>
  <c r="F275" i="4"/>
  <c r="I275" i="4"/>
  <c r="J275" i="4"/>
  <c r="N275" i="4"/>
  <c r="O275" i="4"/>
  <c r="P275" i="4"/>
  <c r="Q275" i="4"/>
  <c r="R275" i="4"/>
  <c r="S275" i="4"/>
  <c r="T275" i="4"/>
  <c r="U275" i="4"/>
  <c r="V275" i="4"/>
  <c r="W275" i="4"/>
  <c r="X275" i="4"/>
  <c r="AX275" i="4"/>
  <c r="AY275" i="4"/>
  <c r="AZ275" i="4"/>
  <c r="BB275" i="4"/>
  <c r="BC275" i="4"/>
  <c r="BT275" i="4"/>
  <c r="BU275" i="4"/>
  <c r="BV275" i="4"/>
  <c r="BW275" i="4"/>
  <c r="EC275" i="4"/>
  <c r="ED275" i="4"/>
  <c r="EE275" i="4"/>
  <c r="EF275" i="4"/>
  <c r="EG275" i="4"/>
  <c r="EL275" i="4"/>
  <c r="EM275" i="4"/>
  <c r="EN275" i="4"/>
  <c r="EO275" i="4"/>
  <c r="EP275" i="4"/>
  <c r="EQ275" i="4"/>
  <c r="EV275" i="4"/>
  <c r="EX275" i="4"/>
  <c r="EY275" i="4"/>
  <c r="FA275" i="4"/>
  <c r="FB275" i="4"/>
  <c r="FC275" i="4"/>
  <c r="FD275" i="4"/>
  <c r="FE275" i="4"/>
  <c r="FF275" i="4"/>
  <c r="FG275" i="4"/>
  <c r="FH275" i="4"/>
  <c r="FI275" i="4"/>
  <c r="FJ275" i="4"/>
  <c r="FK275" i="4"/>
  <c r="FL275" i="4"/>
  <c r="FM275" i="4"/>
  <c r="FN275" i="4"/>
  <c r="FO275" i="4"/>
  <c r="FP275" i="4"/>
  <c r="FQ275" i="4"/>
  <c r="FR275" i="4"/>
  <c r="FS275" i="4"/>
  <c r="FT275" i="4"/>
  <c r="FU275" i="4"/>
  <c r="FV275" i="4"/>
  <c r="FW275" i="4"/>
  <c r="FX275" i="4"/>
  <c r="FY275" i="4"/>
  <c r="FZ275" i="4"/>
  <c r="GA275" i="4"/>
  <c r="GB275" i="4"/>
  <c r="GC275" i="4"/>
  <c r="GD275" i="4"/>
  <c r="GF275" i="4"/>
  <c r="GG275" i="4"/>
  <c r="GJ275" i="4"/>
  <c r="GK275" i="4"/>
  <c r="GM275" i="4"/>
  <c r="GN275" i="4"/>
  <c r="GP275" i="4"/>
  <c r="HJ275" i="4"/>
  <c r="HK275" i="4"/>
  <c r="HL275" i="4"/>
  <c r="HM275" i="4"/>
  <c r="HN275" i="4"/>
  <c r="HO275" i="4"/>
  <c r="HP275" i="4"/>
  <c r="HR275" i="4"/>
  <c r="HS275" i="4"/>
  <c r="HT275" i="4"/>
  <c r="HU275" i="4"/>
  <c r="HV275" i="4"/>
  <c r="HW275" i="4"/>
  <c r="HX275" i="4"/>
  <c r="HY275" i="4"/>
  <c r="A276" i="4"/>
  <c r="B276" i="4"/>
  <c r="C276" i="4"/>
  <c r="D276" i="4"/>
  <c r="E276" i="4"/>
  <c r="F276" i="4"/>
  <c r="I276" i="4"/>
  <c r="J276" i="4"/>
  <c r="N276" i="4"/>
  <c r="O276" i="4"/>
  <c r="P276" i="4"/>
  <c r="Q276" i="4"/>
  <c r="R276" i="4"/>
  <c r="S276" i="4"/>
  <c r="T276" i="4"/>
  <c r="U276" i="4"/>
  <c r="V276" i="4"/>
  <c r="W276" i="4"/>
  <c r="X276" i="4"/>
  <c r="AX276" i="4"/>
  <c r="AY276" i="4"/>
  <c r="AZ276" i="4"/>
  <c r="BB276" i="4"/>
  <c r="BC276" i="4"/>
  <c r="BT276" i="4"/>
  <c r="BU276" i="4"/>
  <c r="BV276" i="4"/>
  <c r="BW276" i="4"/>
  <c r="EC276" i="4"/>
  <c r="ED276" i="4"/>
  <c r="EE276" i="4"/>
  <c r="EF276" i="4"/>
  <c r="EG276" i="4"/>
  <c r="EL276" i="4"/>
  <c r="EM276" i="4"/>
  <c r="EN276" i="4"/>
  <c r="EO276" i="4"/>
  <c r="EP276" i="4"/>
  <c r="EQ276" i="4"/>
  <c r="EV276" i="4"/>
  <c r="EX276" i="4"/>
  <c r="EY276" i="4"/>
  <c r="FA276" i="4"/>
  <c r="FB276" i="4"/>
  <c r="FC276" i="4"/>
  <c r="FD276" i="4"/>
  <c r="FE276" i="4"/>
  <c r="FF276" i="4"/>
  <c r="FG276" i="4"/>
  <c r="FH276" i="4"/>
  <c r="FI276" i="4"/>
  <c r="FJ276" i="4"/>
  <c r="FK276" i="4"/>
  <c r="FL276" i="4"/>
  <c r="FM276" i="4"/>
  <c r="FN276" i="4"/>
  <c r="FO276" i="4"/>
  <c r="FP276" i="4"/>
  <c r="FQ276" i="4"/>
  <c r="FR276" i="4"/>
  <c r="FS276" i="4"/>
  <c r="FT276" i="4"/>
  <c r="FU276" i="4"/>
  <c r="FV276" i="4"/>
  <c r="FW276" i="4"/>
  <c r="FX276" i="4"/>
  <c r="FY276" i="4"/>
  <c r="FZ276" i="4"/>
  <c r="GA276" i="4"/>
  <c r="GB276" i="4"/>
  <c r="GC276" i="4"/>
  <c r="GD276" i="4"/>
  <c r="GF276" i="4"/>
  <c r="GG276" i="4"/>
  <c r="GJ276" i="4"/>
  <c r="GK276" i="4"/>
  <c r="GM276" i="4"/>
  <c r="GN276" i="4"/>
  <c r="GP276" i="4"/>
  <c r="HJ276" i="4"/>
  <c r="HK276" i="4"/>
  <c r="HL276" i="4"/>
  <c r="HM276" i="4"/>
  <c r="HN276" i="4"/>
  <c r="HO276" i="4"/>
  <c r="HP276" i="4"/>
  <c r="HR276" i="4"/>
  <c r="HS276" i="4"/>
  <c r="HT276" i="4"/>
  <c r="HU276" i="4"/>
  <c r="HV276" i="4"/>
  <c r="HW276" i="4"/>
  <c r="HX276" i="4"/>
  <c r="HY276" i="4"/>
  <c r="A277" i="4"/>
  <c r="B277" i="4"/>
  <c r="C277" i="4"/>
  <c r="D277" i="4"/>
  <c r="E277" i="4"/>
  <c r="F277" i="4"/>
  <c r="I277" i="4"/>
  <c r="J277" i="4"/>
  <c r="N277" i="4"/>
  <c r="O277" i="4"/>
  <c r="P277" i="4"/>
  <c r="Q277" i="4"/>
  <c r="R277" i="4"/>
  <c r="S277" i="4"/>
  <c r="T277" i="4"/>
  <c r="U277" i="4"/>
  <c r="V277" i="4"/>
  <c r="W277" i="4"/>
  <c r="X277" i="4"/>
  <c r="AX277" i="4"/>
  <c r="AY277" i="4"/>
  <c r="AZ277" i="4"/>
  <c r="BB277" i="4"/>
  <c r="BC277" i="4"/>
  <c r="BT277" i="4"/>
  <c r="BU277" i="4"/>
  <c r="BV277" i="4"/>
  <c r="BW277" i="4"/>
  <c r="EC277" i="4"/>
  <c r="ED277" i="4"/>
  <c r="EE277" i="4"/>
  <c r="EF277" i="4"/>
  <c r="EG277" i="4"/>
  <c r="EL277" i="4"/>
  <c r="EM277" i="4"/>
  <c r="EN277" i="4"/>
  <c r="EO277" i="4"/>
  <c r="EP277" i="4"/>
  <c r="EQ277" i="4"/>
  <c r="EV277" i="4"/>
  <c r="EX277" i="4"/>
  <c r="EY277" i="4"/>
  <c r="FA277" i="4"/>
  <c r="FB277" i="4"/>
  <c r="FC277" i="4"/>
  <c r="FD277" i="4"/>
  <c r="FE277" i="4"/>
  <c r="FF277" i="4"/>
  <c r="FG277" i="4"/>
  <c r="FH277" i="4"/>
  <c r="FI277" i="4"/>
  <c r="FJ277" i="4"/>
  <c r="FK277" i="4"/>
  <c r="FL277" i="4"/>
  <c r="FM277" i="4"/>
  <c r="FN277" i="4"/>
  <c r="FO277" i="4"/>
  <c r="FP277" i="4"/>
  <c r="FQ277" i="4"/>
  <c r="FR277" i="4"/>
  <c r="FS277" i="4"/>
  <c r="FT277" i="4"/>
  <c r="FU277" i="4"/>
  <c r="FV277" i="4"/>
  <c r="FW277" i="4"/>
  <c r="FX277" i="4"/>
  <c r="FY277" i="4"/>
  <c r="FZ277" i="4"/>
  <c r="GA277" i="4"/>
  <c r="GB277" i="4"/>
  <c r="GC277" i="4"/>
  <c r="GD277" i="4"/>
  <c r="GF277" i="4"/>
  <c r="GG277" i="4"/>
  <c r="GJ277" i="4"/>
  <c r="GK277" i="4"/>
  <c r="GM277" i="4"/>
  <c r="GN277" i="4"/>
  <c r="GP277" i="4"/>
  <c r="HJ277" i="4"/>
  <c r="HK277" i="4"/>
  <c r="HL277" i="4"/>
  <c r="HM277" i="4"/>
  <c r="HN277" i="4"/>
  <c r="HO277" i="4"/>
  <c r="HP277" i="4"/>
  <c r="A278" i="4"/>
  <c r="B278" i="4"/>
  <c r="C278" i="4"/>
  <c r="D278" i="4"/>
  <c r="E278" i="4"/>
  <c r="F278" i="4"/>
  <c r="I278" i="4"/>
  <c r="J278" i="4"/>
  <c r="N278" i="4"/>
  <c r="O278" i="4"/>
  <c r="P278" i="4"/>
  <c r="Q278" i="4"/>
  <c r="R278" i="4"/>
  <c r="S278" i="4"/>
  <c r="T278" i="4"/>
  <c r="U278" i="4"/>
  <c r="V278" i="4"/>
  <c r="W278" i="4"/>
  <c r="X278" i="4"/>
  <c r="AX278" i="4"/>
  <c r="AY278" i="4"/>
  <c r="AZ278" i="4"/>
  <c r="BB278" i="4"/>
  <c r="BC278" i="4"/>
  <c r="BT278" i="4"/>
  <c r="BU278" i="4"/>
  <c r="BV278" i="4"/>
  <c r="BW278" i="4"/>
  <c r="EC278" i="4"/>
  <c r="ED278" i="4"/>
  <c r="EE278" i="4"/>
  <c r="EF278" i="4"/>
  <c r="EG278" i="4"/>
  <c r="EL278" i="4"/>
  <c r="EM278" i="4"/>
  <c r="EN278" i="4"/>
  <c r="EO278" i="4"/>
  <c r="EP278" i="4"/>
  <c r="EQ278" i="4"/>
  <c r="EV278" i="4"/>
  <c r="EX278" i="4"/>
  <c r="EY278" i="4"/>
  <c r="FA278" i="4"/>
  <c r="FB278" i="4"/>
  <c r="FC278" i="4"/>
  <c r="FD278" i="4"/>
  <c r="FE278" i="4"/>
  <c r="FF278" i="4"/>
  <c r="FG278" i="4"/>
  <c r="FH278" i="4"/>
  <c r="FI278" i="4"/>
  <c r="FJ278" i="4"/>
  <c r="FK278" i="4"/>
  <c r="FL278" i="4"/>
  <c r="FM278" i="4"/>
  <c r="FN278" i="4"/>
  <c r="FO278" i="4"/>
  <c r="FP278" i="4"/>
  <c r="FQ278" i="4"/>
  <c r="FR278" i="4"/>
  <c r="FS278" i="4"/>
  <c r="FT278" i="4"/>
  <c r="FU278" i="4"/>
  <c r="FV278" i="4"/>
  <c r="FW278" i="4"/>
  <c r="FX278" i="4"/>
  <c r="FY278" i="4"/>
  <c r="FZ278" i="4"/>
  <c r="GA278" i="4"/>
  <c r="GB278" i="4"/>
  <c r="GC278" i="4"/>
  <c r="GD278" i="4"/>
  <c r="GF278" i="4"/>
  <c r="GG278" i="4"/>
  <c r="GJ278" i="4"/>
  <c r="GK278" i="4"/>
  <c r="GM278" i="4"/>
  <c r="GN278" i="4"/>
  <c r="GP278" i="4"/>
  <c r="HJ278" i="4"/>
  <c r="HK278" i="4"/>
  <c r="HL278" i="4"/>
  <c r="HM278" i="4"/>
  <c r="HN278" i="4"/>
  <c r="HO278" i="4"/>
  <c r="HP278" i="4"/>
  <c r="A279" i="4"/>
  <c r="B279" i="4"/>
  <c r="C279" i="4"/>
  <c r="D279" i="4"/>
  <c r="E279" i="4"/>
  <c r="F279" i="4"/>
  <c r="I279" i="4"/>
  <c r="J279" i="4"/>
  <c r="N279" i="4"/>
  <c r="O279" i="4"/>
  <c r="P279" i="4"/>
  <c r="Q279" i="4"/>
  <c r="R279" i="4"/>
  <c r="S279" i="4"/>
  <c r="T279" i="4"/>
  <c r="U279" i="4"/>
  <c r="V279" i="4"/>
  <c r="W279" i="4"/>
  <c r="X279" i="4"/>
  <c r="AX279" i="4"/>
  <c r="AY279" i="4"/>
  <c r="AZ279" i="4"/>
  <c r="BB279" i="4"/>
  <c r="BC279" i="4"/>
  <c r="BT279" i="4"/>
  <c r="BU279" i="4"/>
  <c r="BV279" i="4"/>
  <c r="BW279" i="4"/>
  <c r="EC279" i="4"/>
  <c r="ED279" i="4"/>
  <c r="EE279" i="4"/>
  <c r="EF279" i="4"/>
  <c r="EG279" i="4"/>
  <c r="EL279" i="4"/>
  <c r="EM279" i="4"/>
  <c r="EN279" i="4"/>
  <c r="EO279" i="4"/>
  <c r="EP279" i="4"/>
  <c r="EQ279" i="4"/>
  <c r="EV279" i="4"/>
  <c r="EX279" i="4"/>
  <c r="EY279" i="4"/>
  <c r="FA279" i="4"/>
  <c r="FB279" i="4"/>
  <c r="FC279" i="4"/>
  <c r="FD279" i="4"/>
  <c r="FE279" i="4"/>
  <c r="FF279" i="4"/>
  <c r="FG279" i="4"/>
  <c r="FH279" i="4"/>
  <c r="FI279" i="4"/>
  <c r="FJ279" i="4"/>
  <c r="FK279" i="4"/>
  <c r="FL279" i="4"/>
  <c r="FM279" i="4"/>
  <c r="FN279" i="4"/>
  <c r="FO279" i="4"/>
  <c r="FP279" i="4"/>
  <c r="FQ279" i="4"/>
  <c r="FR279" i="4"/>
  <c r="FS279" i="4"/>
  <c r="FT279" i="4"/>
  <c r="FU279" i="4"/>
  <c r="FV279" i="4"/>
  <c r="FW279" i="4"/>
  <c r="FX279" i="4"/>
  <c r="FY279" i="4"/>
  <c r="FZ279" i="4"/>
  <c r="GA279" i="4"/>
  <c r="GB279" i="4"/>
  <c r="GC279" i="4"/>
  <c r="GD279" i="4"/>
  <c r="GF279" i="4"/>
  <c r="GG279" i="4"/>
  <c r="GJ279" i="4"/>
  <c r="GK279" i="4"/>
  <c r="GM279" i="4"/>
  <c r="GN279" i="4"/>
  <c r="GP279" i="4"/>
  <c r="HJ279" i="4"/>
  <c r="HK279" i="4"/>
  <c r="HL279" i="4"/>
  <c r="HM279" i="4"/>
  <c r="HN279" i="4"/>
  <c r="HO279" i="4"/>
  <c r="HP279" i="4"/>
  <c r="A280" i="4"/>
  <c r="B280" i="4"/>
  <c r="C280" i="4"/>
  <c r="D280" i="4"/>
  <c r="E280" i="4"/>
  <c r="F280" i="4"/>
  <c r="I280" i="4"/>
  <c r="J280" i="4"/>
  <c r="N280" i="4"/>
  <c r="O280" i="4"/>
  <c r="P280" i="4"/>
  <c r="Q280" i="4"/>
  <c r="R280" i="4"/>
  <c r="S280" i="4"/>
  <c r="T280" i="4"/>
  <c r="U280" i="4"/>
  <c r="V280" i="4"/>
  <c r="W280" i="4"/>
  <c r="X280" i="4"/>
  <c r="AX280" i="4"/>
  <c r="AY280" i="4"/>
  <c r="AZ280" i="4"/>
  <c r="BB280" i="4"/>
  <c r="BC280" i="4"/>
  <c r="BT280" i="4"/>
  <c r="BU280" i="4"/>
  <c r="BV280" i="4"/>
  <c r="BW280" i="4"/>
  <c r="EC280" i="4"/>
  <c r="ED280" i="4"/>
  <c r="EE280" i="4"/>
  <c r="EF280" i="4"/>
  <c r="EG280" i="4"/>
  <c r="EL280" i="4"/>
  <c r="EM280" i="4"/>
  <c r="EN280" i="4"/>
  <c r="EO280" i="4"/>
  <c r="EP280" i="4"/>
  <c r="EQ280" i="4"/>
  <c r="EV280" i="4"/>
  <c r="EX280" i="4"/>
  <c r="EY280" i="4"/>
  <c r="FA280" i="4"/>
  <c r="FB280" i="4"/>
  <c r="FC280" i="4"/>
  <c r="FD280" i="4"/>
  <c r="FE280" i="4"/>
  <c r="FF280" i="4"/>
  <c r="FG280" i="4"/>
  <c r="FH280" i="4"/>
  <c r="FI280" i="4"/>
  <c r="FJ280" i="4"/>
  <c r="FK280" i="4"/>
  <c r="FL280" i="4"/>
  <c r="FM280" i="4"/>
  <c r="FN280" i="4"/>
  <c r="FO280" i="4"/>
  <c r="FP280" i="4"/>
  <c r="FQ280" i="4"/>
  <c r="FR280" i="4"/>
  <c r="FS280" i="4"/>
  <c r="FT280" i="4"/>
  <c r="FU280" i="4"/>
  <c r="FV280" i="4"/>
  <c r="FW280" i="4"/>
  <c r="FX280" i="4"/>
  <c r="FY280" i="4"/>
  <c r="FZ280" i="4"/>
  <c r="GA280" i="4"/>
  <c r="GB280" i="4"/>
  <c r="GC280" i="4"/>
  <c r="GD280" i="4"/>
  <c r="GF280" i="4"/>
  <c r="GG280" i="4"/>
  <c r="GJ280" i="4"/>
  <c r="GK280" i="4"/>
  <c r="GM280" i="4"/>
  <c r="GN280" i="4"/>
  <c r="GP280" i="4"/>
  <c r="HJ280" i="4"/>
  <c r="HK280" i="4"/>
  <c r="HL280" i="4"/>
  <c r="HM280" i="4"/>
  <c r="HN280" i="4"/>
  <c r="HO280" i="4"/>
  <c r="HP280" i="4"/>
  <c r="A281" i="4"/>
  <c r="B281" i="4"/>
  <c r="C281" i="4"/>
  <c r="D281" i="4"/>
  <c r="E281" i="4"/>
  <c r="F281" i="4"/>
  <c r="I281" i="4"/>
  <c r="J281" i="4"/>
  <c r="N281" i="4"/>
  <c r="O281" i="4"/>
  <c r="P281" i="4"/>
  <c r="Q281" i="4"/>
  <c r="R281" i="4"/>
  <c r="S281" i="4"/>
  <c r="T281" i="4"/>
  <c r="U281" i="4"/>
  <c r="V281" i="4"/>
  <c r="W281" i="4"/>
  <c r="X281" i="4"/>
  <c r="AX281" i="4"/>
  <c r="AY281" i="4"/>
  <c r="AZ281" i="4"/>
  <c r="BB281" i="4"/>
  <c r="BC281" i="4"/>
  <c r="BT281" i="4"/>
  <c r="BU281" i="4"/>
  <c r="BV281" i="4"/>
  <c r="BW281" i="4"/>
  <c r="EC281" i="4"/>
  <c r="ED281" i="4"/>
  <c r="EE281" i="4"/>
  <c r="EF281" i="4"/>
  <c r="EG281" i="4"/>
  <c r="EL281" i="4"/>
  <c r="EM281" i="4"/>
  <c r="EN281" i="4"/>
  <c r="EO281" i="4"/>
  <c r="EP281" i="4"/>
  <c r="EQ281" i="4"/>
  <c r="EV281" i="4"/>
  <c r="EX281" i="4"/>
  <c r="EY281" i="4"/>
  <c r="FA281" i="4"/>
  <c r="FB281" i="4"/>
  <c r="FC281" i="4"/>
  <c r="FD281" i="4"/>
  <c r="FE281" i="4"/>
  <c r="FF281" i="4"/>
  <c r="FG281" i="4"/>
  <c r="FH281" i="4"/>
  <c r="FI281" i="4"/>
  <c r="FJ281" i="4"/>
  <c r="FK281" i="4"/>
  <c r="FL281" i="4"/>
  <c r="FM281" i="4"/>
  <c r="FN281" i="4"/>
  <c r="FO281" i="4"/>
  <c r="FP281" i="4"/>
  <c r="FQ281" i="4"/>
  <c r="FR281" i="4"/>
  <c r="FS281" i="4"/>
  <c r="FT281" i="4"/>
  <c r="FU281" i="4"/>
  <c r="FV281" i="4"/>
  <c r="FW281" i="4"/>
  <c r="FX281" i="4"/>
  <c r="FY281" i="4"/>
  <c r="FZ281" i="4"/>
  <c r="GA281" i="4"/>
  <c r="GB281" i="4"/>
  <c r="GC281" i="4"/>
  <c r="GD281" i="4"/>
  <c r="GF281" i="4"/>
  <c r="GG281" i="4"/>
  <c r="GJ281" i="4"/>
  <c r="GK281" i="4"/>
  <c r="GM281" i="4"/>
  <c r="GN281" i="4"/>
  <c r="GP281" i="4"/>
  <c r="HJ281" i="4"/>
  <c r="HK281" i="4"/>
  <c r="HL281" i="4"/>
  <c r="HM281" i="4"/>
  <c r="HN281" i="4"/>
  <c r="HO281" i="4"/>
  <c r="HP281" i="4"/>
  <c r="A282" i="4"/>
  <c r="B282" i="4"/>
  <c r="C282" i="4"/>
  <c r="D282" i="4"/>
  <c r="E282" i="4"/>
  <c r="F282" i="4"/>
  <c r="I282" i="4"/>
  <c r="J282" i="4"/>
  <c r="N282" i="4"/>
  <c r="O282" i="4"/>
  <c r="P282" i="4"/>
  <c r="Q282" i="4"/>
  <c r="R282" i="4"/>
  <c r="S282" i="4"/>
  <c r="T282" i="4"/>
  <c r="U282" i="4"/>
  <c r="V282" i="4"/>
  <c r="W282" i="4"/>
  <c r="X282" i="4"/>
  <c r="AX282" i="4"/>
  <c r="AY282" i="4"/>
  <c r="AZ282" i="4"/>
  <c r="BB282" i="4"/>
  <c r="BC282" i="4"/>
  <c r="BT282" i="4"/>
  <c r="BU282" i="4"/>
  <c r="BV282" i="4"/>
  <c r="BW282" i="4"/>
  <c r="EC282" i="4"/>
  <c r="ED282" i="4"/>
  <c r="EE282" i="4"/>
  <c r="EF282" i="4"/>
  <c r="EG282" i="4"/>
  <c r="EL282" i="4"/>
  <c r="EM282" i="4"/>
  <c r="EN282" i="4"/>
  <c r="EO282" i="4"/>
  <c r="EP282" i="4"/>
  <c r="EQ282" i="4"/>
  <c r="EV282" i="4"/>
  <c r="EX282" i="4"/>
  <c r="EY282" i="4"/>
  <c r="FA282" i="4"/>
  <c r="FB282" i="4"/>
  <c r="FC282" i="4"/>
  <c r="FD282" i="4"/>
  <c r="FE282" i="4"/>
  <c r="FF282" i="4"/>
  <c r="FG282" i="4"/>
  <c r="FH282" i="4"/>
  <c r="FI282" i="4"/>
  <c r="FJ282" i="4"/>
  <c r="FK282" i="4"/>
  <c r="FL282" i="4"/>
  <c r="FM282" i="4"/>
  <c r="FN282" i="4"/>
  <c r="FO282" i="4"/>
  <c r="FP282" i="4"/>
  <c r="FQ282" i="4"/>
  <c r="FR282" i="4"/>
  <c r="FS282" i="4"/>
  <c r="FT282" i="4"/>
  <c r="FU282" i="4"/>
  <c r="FV282" i="4"/>
  <c r="FW282" i="4"/>
  <c r="FX282" i="4"/>
  <c r="FY282" i="4"/>
  <c r="FZ282" i="4"/>
  <c r="GA282" i="4"/>
  <c r="GB282" i="4"/>
  <c r="GC282" i="4"/>
  <c r="GD282" i="4"/>
  <c r="GF282" i="4"/>
  <c r="GG282" i="4"/>
  <c r="GJ282" i="4"/>
  <c r="GK282" i="4"/>
  <c r="GM282" i="4"/>
  <c r="GN282" i="4"/>
  <c r="GP282" i="4"/>
  <c r="HJ282" i="4"/>
  <c r="HK282" i="4"/>
  <c r="HL282" i="4"/>
  <c r="HM282" i="4"/>
  <c r="HN282" i="4"/>
  <c r="HO282" i="4"/>
  <c r="HP282" i="4"/>
  <c r="A283" i="4"/>
  <c r="B283" i="4"/>
  <c r="C283" i="4"/>
  <c r="D283" i="4"/>
  <c r="E283" i="4"/>
  <c r="F283" i="4"/>
  <c r="I283" i="4"/>
  <c r="J283" i="4"/>
  <c r="N283" i="4"/>
  <c r="O283" i="4"/>
  <c r="P283" i="4"/>
  <c r="Q283" i="4"/>
  <c r="R283" i="4"/>
  <c r="S283" i="4"/>
  <c r="T283" i="4"/>
  <c r="U283" i="4"/>
  <c r="V283" i="4"/>
  <c r="W283" i="4"/>
  <c r="X283" i="4"/>
  <c r="AX283" i="4"/>
  <c r="AY283" i="4"/>
  <c r="AZ283" i="4"/>
  <c r="BB283" i="4"/>
  <c r="BC283" i="4"/>
  <c r="BT283" i="4"/>
  <c r="BU283" i="4"/>
  <c r="BV283" i="4"/>
  <c r="BW283" i="4"/>
  <c r="EC283" i="4"/>
  <c r="ED283" i="4"/>
  <c r="EE283" i="4"/>
  <c r="EF283" i="4"/>
  <c r="EG283" i="4"/>
  <c r="EL283" i="4"/>
  <c r="EM283" i="4"/>
  <c r="EN283" i="4"/>
  <c r="EO283" i="4"/>
  <c r="EP283" i="4"/>
  <c r="EQ283" i="4"/>
  <c r="EV283" i="4"/>
  <c r="EX283" i="4"/>
  <c r="EY283" i="4"/>
  <c r="FA283" i="4"/>
  <c r="FB283" i="4"/>
  <c r="FC283" i="4"/>
  <c r="FD283" i="4"/>
  <c r="FE283" i="4"/>
  <c r="FF283" i="4"/>
  <c r="FG283" i="4"/>
  <c r="FH283" i="4"/>
  <c r="FI283" i="4"/>
  <c r="FJ283" i="4"/>
  <c r="FK283" i="4"/>
  <c r="FL283" i="4"/>
  <c r="FM283" i="4"/>
  <c r="FN283" i="4"/>
  <c r="FO283" i="4"/>
  <c r="FP283" i="4"/>
  <c r="FQ283" i="4"/>
  <c r="FR283" i="4"/>
  <c r="FS283" i="4"/>
  <c r="FT283" i="4"/>
  <c r="FU283" i="4"/>
  <c r="FV283" i="4"/>
  <c r="FW283" i="4"/>
  <c r="FX283" i="4"/>
  <c r="FY283" i="4"/>
  <c r="FZ283" i="4"/>
  <c r="GA283" i="4"/>
  <c r="GB283" i="4"/>
  <c r="GC283" i="4"/>
  <c r="GD283" i="4"/>
  <c r="GF283" i="4"/>
  <c r="GG283" i="4"/>
  <c r="GJ283" i="4"/>
  <c r="GK283" i="4"/>
  <c r="GM283" i="4"/>
  <c r="GN283" i="4"/>
  <c r="GP283" i="4"/>
  <c r="HJ283" i="4"/>
  <c r="HK283" i="4"/>
  <c r="HL283" i="4"/>
  <c r="HM283" i="4"/>
  <c r="HN283" i="4"/>
  <c r="HO283" i="4"/>
  <c r="HP283" i="4"/>
  <c r="A284" i="4"/>
  <c r="B284" i="4"/>
  <c r="C284" i="4"/>
  <c r="D284" i="4"/>
  <c r="E284" i="4"/>
  <c r="F284" i="4"/>
  <c r="I284" i="4"/>
  <c r="J284" i="4"/>
  <c r="N284" i="4"/>
  <c r="O284" i="4"/>
  <c r="P284" i="4"/>
  <c r="Q284" i="4"/>
  <c r="R284" i="4"/>
  <c r="S284" i="4"/>
  <c r="T284" i="4"/>
  <c r="U284" i="4"/>
  <c r="V284" i="4"/>
  <c r="W284" i="4"/>
  <c r="X284" i="4"/>
  <c r="AX284" i="4"/>
  <c r="AY284" i="4"/>
  <c r="AZ284" i="4"/>
  <c r="BB284" i="4"/>
  <c r="BC284" i="4"/>
  <c r="BT284" i="4"/>
  <c r="BU284" i="4"/>
  <c r="BV284" i="4"/>
  <c r="BW284" i="4"/>
  <c r="EC284" i="4"/>
  <c r="ED284" i="4"/>
  <c r="EE284" i="4"/>
  <c r="EF284" i="4"/>
  <c r="EG284" i="4"/>
  <c r="EL284" i="4"/>
  <c r="EM284" i="4"/>
  <c r="EN284" i="4"/>
  <c r="EO284" i="4"/>
  <c r="EP284" i="4"/>
  <c r="EQ284" i="4"/>
  <c r="EV284" i="4"/>
  <c r="EX284" i="4"/>
  <c r="EY284" i="4"/>
  <c r="FA284" i="4"/>
  <c r="FB284" i="4"/>
  <c r="FC284" i="4"/>
  <c r="FD284" i="4"/>
  <c r="FE284" i="4"/>
  <c r="FF284" i="4"/>
  <c r="FG284" i="4"/>
  <c r="FH284" i="4"/>
  <c r="FI284" i="4"/>
  <c r="FJ284" i="4"/>
  <c r="FK284" i="4"/>
  <c r="FL284" i="4"/>
  <c r="FM284" i="4"/>
  <c r="FN284" i="4"/>
  <c r="FO284" i="4"/>
  <c r="FP284" i="4"/>
  <c r="FQ284" i="4"/>
  <c r="FR284" i="4"/>
  <c r="FS284" i="4"/>
  <c r="FT284" i="4"/>
  <c r="FU284" i="4"/>
  <c r="FV284" i="4"/>
  <c r="FW284" i="4"/>
  <c r="FX284" i="4"/>
  <c r="FY284" i="4"/>
  <c r="FZ284" i="4"/>
  <c r="GA284" i="4"/>
  <c r="GB284" i="4"/>
  <c r="GC284" i="4"/>
  <c r="GD284" i="4"/>
  <c r="GF284" i="4"/>
  <c r="GG284" i="4"/>
  <c r="GJ284" i="4"/>
  <c r="GK284" i="4"/>
  <c r="GM284" i="4"/>
  <c r="GN284" i="4"/>
  <c r="GP284" i="4"/>
  <c r="HJ284" i="4"/>
  <c r="HK284" i="4"/>
  <c r="HL284" i="4"/>
  <c r="HM284" i="4"/>
  <c r="HN284" i="4"/>
  <c r="HO284" i="4"/>
  <c r="HP284" i="4"/>
  <c r="A285" i="4"/>
  <c r="B285" i="4"/>
  <c r="C285" i="4"/>
  <c r="D285" i="4"/>
  <c r="E285" i="4"/>
  <c r="F285" i="4"/>
  <c r="I285" i="4"/>
  <c r="J285" i="4"/>
  <c r="N285" i="4"/>
  <c r="O285" i="4"/>
  <c r="P285" i="4"/>
  <c r="Q285" i="4"/>
  <c r="R285" i="4"/>
  <c r="S285" i="4"/>
  <c r="T285" i="4"/>
  <c r="U285" i="4"/>
  <c r="V285" i="4"/>
  <c r="W285" i="4"/>
  <c r="X285" i="4"/>
  <c r="AX285" i="4"/>
  <c r="AY285" i="4"/>
  <c r="AZ285" i="4"/>
  <c r="BB285" i="4"/>
  <c r="BC285" i="4"/>
  <c r="BT285" i="4"/>
  <c r="BU285" i="4"/>
  <c r="BV285" i="4"/>
  <c r="BW285" i="4"/>
  <c r="EC285" i="4"/>
  <c r="ED285" i="4"/>
  <c r="EE285" i="4"/>
  <c r="EF285" i="4"/>
  <c r="EG285" i="4"/>
  <c r="EL285" i="4"/>
  <c r="EM285" i="4"/>
  <c r="EN285" i="4"/>
  <c r="EO285" i="4"/>
  <c r="EP285" i="4"/>
  <c r="EQ285" i="4"/>
  <c r="EV285" i="4"/>
  <c r="EX285" i="4"/>
  <c r="EY285" i="4"/>
  <c r="FA285" i="4"/>
  <c r="FB285" i="4"/>
  <c r="FC285" i="4"/>
  <c r="FD285" i="4"/>
  <c r="FE285" i="4"/>
  <c r="FF285" i="4"/>
  <c r="FG285" i="4"/>
  <c r="FH285" i="4"/>
  <c r="FI285" i="4"/>
  <c r="FJ285" i="4"/>
  <c r="FK285" i="4"/>
  <c r="FL285" i="4"/>
  <c r="FM285" i="4"/>
  <c r="FN285" i="4"/>
  <c r="FO285" i="4"/>
  <c r="FP285" i="4"/>
  <c r="FQ285" i="4"/>
  <c r="FR285" i="4"/>
  <c r="FS285" i="4"/>
  <c r="FT285" i="4"/>
  <c r="FU285" i="4"/>
  <c r="FV285" i="4"/>
  <c r="FW285" i="4"/>
  <c r="FX285" i="4"/>
  <c r="FY285" i="4"/>
  <c r="FZ285" i="4"/>
  <c r="GA285" i="4"/>
  <c r="GB285" i="4"/>
  <c r="GC285" i="4"/>
  <c r="GD285" i="4"/>
  <c r="GF285" i="4"/>
  <c r="GG285" i="4"/>
  <c r="GJ285" i="4"/>
  <c r="GK285" i="4"/>
  <c r="GM285" i="4"/>
  <c r="GN285" i="4"/>
  <c r="GP285" i="4"/>
  <c r="HJ285" i="4"/>
  <c r="HK285" i="4"/>
  <c r="HL285" i="4"/>
  <c r="HM285" i="4"/>
  <c r="HN285" i="4"/>
  <c r="HO285" i="4"/>
  <c r="HP285" i="4"/>
  <c r="A286" i="4"/>
  <c r="B286" i="4"/>
  <c r="C286" i="4"/>
  <c r="D286" i="4"/>
  <c r="E286" i="4"/>
  <c r="F286" i="4"/>
  <c r="I286" i="4"/>
  <c r="J286" i="4"/>
  <c r="N286" i="4"/>
  <c r="O286" i="4"/>
  <c r="P286" i="4"/>
  <c r="Q286" i="4"/>
  <c r="R286" i="4"/>
  <c r="S286" i="4"/>
  <c r="T286" i="4"/>
  <c r="U286" i="4"/>
  <c r="V286" i="4"/>
  <c r="W286" i="4"/>
  <c r="X286" i="4"/>
  <c r="AX286" i="4"/>
  <c r="AY286" i="4"/>
  <c r="AZ286" i="4"/>
  <c r="BB286" i="4"/>
  <c r="BC286" i="4"/>
  <c r="BT286" i="4"/>
  <c r="BU286" i="4"/>
  <c r="BV286" i="4"/>
  <c r="BW286" i="4"/>
  <c r="EC286" i="4"/>
  <c r="ED286" i="4"/>
  <c r="EE286" i="4"/>
  <c r="EF286" i="4"/>
  <c r="EG286" i="4"/>
  <c r="EL286" i="4"/>
  <c r="EM286" i="4"/>
  <c r="EN286" i="4"/>
  <c r="EO286" i="4"/>
  <c r="EP286" i="4"/>
  <c r="EQ286" i="4"/>
  <c r="EV286" i="4"/>
  <c r="EX286" i="4"/>
  <c r="EY286" i="4"/>
  <c r="FA286" i="4"/>
  <c r="FB286" i="4"/>
  <c r="FC286" i="4"/>
  <c r="FD286" i="4"/>
  <c r="FE286" i="4"/>
  <c r="FF286" i="4"/>
  <c r="FG286" i="4"/>
  <c r="FH286" i="4"/>
  <c r="FI286" i="4"/>
  <c r="FJ286" i="4"/>
  <c r="FK286" i="4"/>
  <c r="FL286" i="4"/>
  <c r="FM286" i="4"/>
  <c r="FN286" i="4"/>
  <c r="FO286" i="4"/>
  <c r="FP286" i="4"/>
  <c r="FQ286" i="4"/>
  <c r="FR286" i="4"/>
  <c r="FS286" i="4"/>
  <c r="FT286" i="4"/>
  <c r="FU286" i="4"/>
  <c r="FV286" i="4"/>
  <c r="FW286" i="4"/>
  <c r="FX286" i="4"/>
  <c r="FY286" i="4"/>
  <c r="FZ286" i="4"/>
  <c r="GA286" i="4"/>
  <c r="GB286" i="4"/>
  <c r="GC286" i="4"/>
  <c r="GD286" i="4"/>
  <c r="GF286" i="4"/>
  <c r="GG286" i="4"/>
  <c r="GJ286" i="4"/>
  <c r="GK286" i="4"/>
  <c r="GM286" i="4"/>
  <c r="GN286" i="4"/>
  <c r="GP286" i="4"/>
  <c r="HJ286" i="4"/>
  <c r="HK286" i="4"/>
  <c r="HL286" i="4"/>
  <c r="HM286" i="4"/>
  <c r="HN286" i="4"/>
  <c r="HO286" i="4"/>
  <c r="HP286" i="4"/>
  <c r="A287" i="4"/>
  <c r="B287" i="4"/>
  <c r="C287" i="4"/>
  <c r="D287" i="4"/>
  <c r="E287" i="4"/>
  <c r="F287" i="4"/>
  <c r="I287" i="4"/>
  <c r="J287" i="4"/>
  <c r="N287" i="4"/>
  <c r="O287" i="4"/>
  <c r="P287" i="4"/>
  <c r="Q287" i="4"/>
  <c r="R287" i="4"/>
  <c r="S287" i="4"/>
  <c r="T287" i="4"/>
  <c r="U287" i="4"/>
  <c r="V287" i="4"/>
  <c r="W287" i="4"/>
  <c r="X287" i="4"/>
  <c r="AX287" i="4"/>
  <c r="AY287" i="4"/>
  <c r="AZ287" i="4"/>
  <c r="BB287" i="4"/>
  <c r="BC287" i="4"/>
  <c r="BT287" i="4"/>
  <c r="BU287" i="4"/>
  <c r="BV287" i="4"/>
  <c r="BW287" i="4"/>
  <c r="EC287" i="4"/>
  <c r="ED287" i="4"/>
  <c r="EE287" i="4"/>
  <c r="EF287" i="4"/>
  <c r="EG287" i="4"/>
  <c r="EL287" i="4"/>
  <c r="EM287" i="4"/>
  <c r="EN287" i="4"/>
  <c r="EO287" i="4"/>
  <c r="EP287" i="4"/>
  <c r="EQ287" i="4"/>
  <c r="EV287" i="4"/>
  <c r="EX287" i="4"/>
  <c r="EY287" i="4"/>
  <c r="FA287" i="4"/>
  <c r="FB287" i="4"/>
  <c r="FC287" i="4"/>
  <c r="FD287" i="4"/>
  <c r="FE287" i="4"/>
  <c r="FF287" i="4"/>
  <c r="FG287" i="4"/>
  <c r="FH287" i="4"/>
  <c r="FI287" i="4"/>
  <c r="FJ287" i="4"/>
  <c r="FK287" i="4"/>
  <c r="FL287" i="4"/>
  <c r="FM287" i="4"/>
  <c r="FN287" i="4"/>
  <c r="FO287" i="4"/>
  <c r="FP287" i="4"/>
  <c r="FQ287" i="4"/>
  <c r="FR287" i="4"/>
  <c r="FS287" i="4"/>
  <c r="FT287" i="4"/>
  <c r="FU287" i="4"/>
  <c r="FV287" i="4"/>
  <c r="FW287" i="4"/>
  <c r="FX287" i="4"/>
  <c r="FY287" i="4"/>
  <c r="FZ287" i="4"/>
  <c r="GA287" i="4"/>
  <c r="GB287" i="4"/>
  <c r="GC287" i="4"/>
  <c r="GD287" i="4"/>
  <c r="GF287" i="4"/>
  <c r="GG287" i="4"/>
  <c r="GJ287" i="4"/>
  <c r="GK287" i="4"/>
  <c r="GM287" i="4"/>
  <c r="GN287" i="4"/>
  <c r="GP287" i="4"/>
  <c r="HJ287" i="4"/>
  <c r="HK287" i="4"/>
  <c r="HL287" i="4"/>
  <c r="HM287" i="4"/>
  <c r="HN287" i="4"/>
  <c r="HO287" i="4"/>
  <c r="HP287" i="4"/>
  <c r="A288" i="4"/>
  <c r="B288" i="4"/>
  <c r="C288" i="4"/>
  <c r="D288" i="4"/>
  <c r="E288" i="4"/>
  <c r="F288" i="4"/>
  <c r="I288" i="4"/>
  <c r="J288" i="4"/>
  <c r="N288" i="4"/>
  <c r="O288" i="4"/>
  <c r="P288" i="4"/>
  <c r="Q288" i="4"/>
  <c r="R288" i="4"/>
  <c r="S288" i="4"/>
  <c r="T288" i="4"/>
  <c r="U288" i="4"/>
  <c r="V288" i="4"/>
  <c r="W288" i="4"/>
  <c r="X288" i="4"/>
  <c r="AX288" i="4"/>
  <c r="AY288" i="4"/>
  <c r="AZ288" i="4"/>
  <c r="BB288" i="4"/>
  <c r="BC288" i="4"/>
  <c r="BT288" i="4"/>
  <c r="BU288" i="4"/>
  <c r="BV288" i="4"/>
  <c r="BW288" i="4"/>
  <c r="EC288" i="4"/>
  <c r="ED288" i="4"/>
  <c r="EE288" i="4"/>
  <c r="EF288" i="4"/>
  <c r="EG288" i="4"/>
  <c r="EL288" i="4"/>
  <c r="EM288" i="4"/>
  <c r="EN288" i="4"/>
  <c r="EO288" i="4"/>
  <c r="EP288" i="4"/>
  <c r="EQ288" i="4"/>
  <c r="EV288" i="4"/>
  <c r="EX288" i="4"/>
  <c r="EY288" i="4"/>
  <c r="FA288" i="4"/>
  <c r="FB288" i="4"/>
  <c r="FC288" i="4"/>
  <c r="FD288" i="4"/>
  <c r="FE288" i="4"/>
  <c r="FF288" i="4"/>
  <c r="FG288" i="4"/>
  <c r="FH288" i="4"/>
  <c r="FI288" i="4"/>
  <c r="FJ288" i="4"/>
  <c r="FK288" i="4"/>
  <c r="FL288" i="4"/>
  <c r="FM288" i="4"/>
  <c r="FN288" i="4"/>
  <c r="FO288" i="4"/>
  <c r="FP288" i="4"/>
  <c r="FQ288" i="4"/>
  <c r="FR288" i="4"/>
  <c r="FS288" i="4"/>
  <c r="FT288" i="4"/>
  <c r="FU288" i="4"/>
  <c r="FV288" i="4"/>
  <c r="FW288" i="4"/>
  <c r="FX288" i="4"/>
  <c r="FY288" i="4"/>
  <c r="FZ288" i="4"/>
  <c r="GA288" i="4"/>
  <c r="GB288" i="4"/>
  <c r="GC288" i="4"/>
  <c r="GD288" i="4"/>
  <c r="GF288" i="4"/>
  <c r="GG288" i="4"/>
  <c r="GJ288" i="4"/>
  <c r="GK288" i="4"/>
  <c r="GM288" i="4"/>
  <c r="GN288" i="4"/>
  <c r="GP288" i="4"/>
  <c r="HJ288" i="4"/>
  <c r="HK288" i="4"/>
  <c r="HL288" i="4"/>
  <c r="HM288" i="4"/>
  <c r="HN288" i="4"/>
  <c r="HO288" i="4"/>
  <c r="HP288" i="4"/>
  <c r="A289" i="4"/>
  <c r="B289" i="4"/>
  <c r="C289" i="4"/>
  <c r="D289" i="4"/>
  <c r="E289" i="4"/>
  <c r="F289" i="4"/>
  <c r="I289" i="4"/>
  <c r="J289" i="4"/>
  <c r="N289" i="4"/>
  <c r="O289" i="4"/>
  <c r="P289" i="4"/>
  <c r="Q289" i="4"/>
  <c r="R289" i="4"/>
  <c r="S289" i="4"/>
  <c r="T289" i="4"/>
  <c r="U289" i="4"/>
  <c r="V289" i="4"/>
  <c r="W289" i="4"/>
  <c r="X289" i="4"/>
  <c r="AX289" i="4"/>
  <c r="AY289" i="4"/>
  <c r="AZ289" i="4"/>
  <c r="BB289" i="4"/>
  <c r="BC289" i="4"/>
  <c r="BT289" i="4"/>
  <c r="BU289" i="4"/>
  <c r="BV289" i="4"/>
  <c r="BW289" i="4"/>
  <c r="EC289" i="4"/>
  <c r="ED289" i="4"/>
  <c r="EE289" i="4"/>
  <c r="EF289" i="4"/>
  <c r="EG289" i="4"/>
  <c r="EL289" i="4"/>
  <c r="EM289" i="4"/>
  <c r="EN289" i="4"/>
  <c r="EO289" i="4"/>
  <c r="EP289" i="4"/>
  <c r="EQ289" i="4"/>
  <c r="EV289" i="4"/>
  <c r="EX289" i="4"/>
  <c r="EY289" i="4"/>
  <c r="FA289" i="4"/>
  <c r="FB289" i="4"/>
  <c r="FC289" i="4"/>
  <c r="FD289" i="4"/>
  <c r="FE289" i="4"/>
  <c r="FF289" i="4"/>
  <c r="FG289" i="4"/>
  <c r="FH289" i="4"/>
  <c r="FI289" i="4"/>
  <c r="FJ289" i="4"/>
  <c r="FK289" i="4"/>
  <c r="FL289" i="4"/>
  <c r="FM289" i="4"/>
  <c r="FN289" i="4"/>
  <c r="FO289" i="4"/>
  <c r="FP289" i="4"/>
  <c r="FQ289" i="4"/>
  <c r="FR289" i="4"/>
  <c r="FS289" i="4"/>
  <c r="FT289" i="4"/>
  <c r="FU289" i="4"/>
  <c r="FV289" i="4"/>
  <c r="FW289" i="4"/>
  <c r="FX289" i="4"/>
  <c r="FY289" i="4"/>
  <c r="FZ289" i="4"/>
  <c r="GA289" i="4"/>
  <c r="GB289" i="4"/>
  <c r="GC289" i="4"/>
  <c r="GD289" i="4"/>
  <c r="GF289" i="4"/>
  <c r="GG289" i="4"/>
  <c r="GJ289" i="4"/>
  <c r="GK289" i="4"/>
  <c r="GM289" i="4"/>
  <c r="GN289" i="4"/>
  <c r="GP289" i="4"/>
  <c r="HJ289" i="4"/>
  <c r="HK289" i="4"/>
  <c r="HL289" i="4"/>
  <c r="HM289" i="4"/>
  <c r="HN289" i="4"/>
  <c r="HO289" i="4"/>
  <c r="HP289" i="4"/>
  <c r="A290" i="4"/>
  <c r="B290" i="4"/>
  <c r="C290" i="4"/>
  <c r="D290" i="4"/>
  <c r="E290" i="4"/>
  <c r="F290" i="4"/>
  <c r="I290" i="4"/>
  <c r="J290" i="4"/>
  <c r="N290" i="4"/>
  <c r="O290" i="4"/>
  <c r="P290" i="4"/>
  <c r="Q290" i="4"/>
  <c r="R290" i="4"/>
  <c r="S290" i="4"/>
  <c r="T290" i="4"/>
  <c r="U290" i="4"/>
  <c r="V290" i="4"/>
  <c r="W290" i="4"/>
  <c r="X290" i="4"/>
  <c r="AX290" i="4"/>
  <c r="AY290" i="4"/>
  <c r="AZ290" i="4"/>
  <c r="BB290" i="4"/>
  <c r="BC290" i="4"/>
  <c r="BT290" i="4"/>
  <c r="BU290" i="4"/>
  <c r="BV290" i="4"/>
  <c r="BW290" i="4"/>
  <c r="EC290" i="4"/>
  <c r="ED290" i="4"/>
  <c r="EE290" i="4"/>
  <c r="EF290" i="4"/>
  <c r="EG290" i="4"/>
  <c r="EL290" i="4"/>
  <c r="EM290" i="4"/>
  <c r="EN290" i="4"/>
  <c r="EO290" i="4"/>
  <c r="EP290" i="4"/>
  <c r="EQ290" i="4"/>
  <c r="EV290" i="4"/>
  <c r="EX290" i="4"/>
  <c r="EY290" i="4"/>
  <c r="FA290" i="4"/>
  <c r="FB290" i="4"/>
  <c r="FC290" i="4"/>
  <c r="FD290" i="4"/>
  <c r="FE290" i="4"/>
  <c r="FF290" i="4"/>
  <c r="FG290" i="4"/>
  <c r="FH290" i="4"/>
  <c r="FI290" i="4"/>
  <c r="FJ290" i="4"/>
  <c r="FK290" i="4"/>
  <c r="FL290" i="4"/>
  <c r="FM290" i="4"/>
  <c r="FN290" i="4"/>
  <c r="FO290" i="4"/>
  <c r="FP290" i="4"/>
  <c r="FQ290" i="4"/>
  <c r="FR290" i="4"/>
  <c r="FS290" i="4"/>
  <c r="FT290" i="4"/>
  <c r="FU290" i="4"/>
  <c r="FV290" i="4"/>
  <c r="FW290" i="4"/>
  <c r="FX290" i="4"/>
  <c r="FY290" i="4"/>
  <c r="FZ290" i="4"/>
  <c r="GA290" i="4"/>
  <c r="GB290" i="4"/>
  <c r="GC290" i="4"/>
  <c r="GD290" i="4"/>
  <c r="GF290" i="4"/>
  <c r="GG290" i="4"/>
  <c r="GJ290" i="4"/>
  <c r="GK290" i="4"/>
  <c r="GM290" i="4"/>
  <c r="GN290" i="4"/>
  <c r="GP290" i="4"/>
  <c r="HJ290" i="4"/>
  <c r="HK290" i="4"/>
  <c r="HL290" i="4"/>
  <c r="HM290" i="4"/>
  <c r="HN290" i="4"/>
  <c r="HO290" i="4"/>
  <c r="HP290" i="4"/>
  <c r="A291" i="4"/>
  <c r="B291" i="4"/>
  <c r="C291" i="4"/>
  <c r="D291" i="4"/>
  <c r="E291" i="4"/>
  <c r="F291" i="4"/>
  <c r="I291" i="4"/>
  <c r="J291" i="4"/>
  <c r="N291" i="4"/>
  <c r="O291" i="4"/>
  <c r="P291" i="4"/>
  <c r="Q291" i="4"/>
  <c r="R291" i="4"/>
  <c r="S291" i="4"/>
  <c r="T291" i="4"/>
  <c r="U291" i="4"/>
  <c r="V291" i="4"/>
  <c r="W291" i="4"/>
  <c r="X291" i="4"/>
  <c r="AX291" i="4"/>
  <c r="AY291" i="4"/>
  <c r="AZ291" i="4"/>
  <c r="BB291" i="4"/>
  <c r="BC291" i="4"/>
  <c r="BT291" i="4"/>
  <c r="BU291" i="4"/>
  <c r="BV291" i="4"/>
  <c r="BW291" i="4"/>
  <c r="EC291" i="4"/>
  <c r="ED291" i="4"/>
  <c r="EE291" i="4"/>
  <c r="EF291" i="4"/>
  <c r="EG291" i="4"/>
  <c r="EL291" i="4"/>
  <c r="EM291" i="4"/>
  <c r="EN291" i="4"/>
  <c r="EO291" i="4"/>
  <c r="EP291" i="4"/>
  <c r="EQ291" i="4"/>
  <c r="EV291" i="4"/>
  <c r="EX291" i="4"/>
  <c r="EY291" i="4"/>
  <c r="FA291" i="4"/>
  <c r="FB291" i="4"/>
  <c r="FC291" i="4"/>
  <c r="FD291" i="4"/>
  <c r="FE291" i="4"/>
  <c r="FF291" i="4"/>
  <c r="FG291" i="4"/>
  <c r="FH291" i="4"/>
  <c r="FI291" i="4"/>
  <c r="FJ291" i="4"/>
  <c r="FK291" i="4"/>
  <c r="FL291" i="4"/>
  <c r="FM291" i="4"/>
  <c r="FN291" i="4"/>
  <c r="FO291" i="4"/>
  <c r="FP291" i="4"/>
  <c r="FQ291" i="4"/>
  <c r="FR291" i="4"/>
  <c r="FS291" i="4"/>
  <c r="FT291" i="4"/>
  <c r="FU291" i="4"/>
  <c r="FV291" i="4"/>
  <c r="FW291" i="4"/>
  <c r="FX291" i="4"/>
  <c r="FY291" i="4"/>
  <c r="FZ291" i="4"/>
  <c r="GA291" i="4"/>
  <c r="GB291" i="4"/>
  <c r="GC291" i="4"/>
  <c r="GD291" i="4"/>
  <c r="GF291" i="4"/>
  <c r="GG291" i="4"/>
  <c r="GJ291" i="4"/>
  <c r="GK291" i="4"/>
  <c r="GM291" i="4"/>
  <c r="GN291" i="4"/>
  <c r="GP291" i="4"/>
  <c r="HJ291" i="4"/>
  <c r="HK291" i="4"/>
  <c r="HL291" i="4"/>
  <c r="HM291" i="4"/>
  <c r="HN291" i="4"/>
  <c r="HO291" i="4"/>
  <c r="HP291" i="4"/>
  <c r="A292" i="4"/>
  <c r="B292" i="4"/>
  <c r="C292" i="4"/>
  <c r="D292" i="4"/>
  <c r="E292" i="4"/>
  <c r="F292" i="4"/>
  <c r="I292" i="4"/>
  <c r="J292" i="4"/>
  <c r="N292" i="4"/>
  <c r="O292" i="4"/>
  <c r="P292" i="4"/>
  <c r="Q292" i="4"/>
  <c r="R292" i="4"/>
  <c r="S292" i="4"/>
  <c r="T292" i="4"/>
  <c r="U292" i="4"/>
  <c r="V292" i="4"/>
  <c r="W292" i="4"/>
  <c r="X292" i="4"/>
  <c r="AX292" i="4"/>
  <c r="AY292" i="4"/>
  <c r="AZ292" i="4"/>
  <c r="BB292" i="4"/>
  <c r="BC292" i="4"/>
  <c r="BT292" i="4"/>
  <c r="BU292" i="4"/>
  <c r="BV292" i="4"/>
  <c r="BW292" i="4"/>
  <c r="EC292" i="4"/>
  <c r="ED292" i="4"/>
  <c r="EE292" i="4"/>
  <c r="EF292" i="4"/>
  <c r="EG292" i="4"/>
  <c r="EL292" i="4"/>
  <c r="EM292" i="4"/>
  <c r="EN292" i="4"/>
  <c r="EO292" i="4"/>
  <c r="EP292" i="4"/>
  <c r="EQ292" i="4"/>
  <c r="EV292" i="4"/>
  <c r="EX292" i="4"/>
  <c r="EY292" i="4"/>
  <c r="FA292" i="4"/>
  <c r="FB292" i="4"/>
  <c r="FC292" i="4"/>
  <c r="FD292" i="4"/>
  <c r="FE292" i="4"/>
  <c r="FF292" i="4"/>
  <c r="FG292" i="4"/>
  <c r="FH292" i="4"/>
  <c r="FI292" i="4"/>
  <c r="FJ292" i="4"/>
  <c r="FK292" i="4"/>
  <c r="FL292" i="4"/>
  <c r="FM292" i="4"/>
  <c r="FN292" i="4"/>
  <c r="FO292" i="4"/>
  <c r="FP292" i="4"/>
  <c r="FQ292" i="4"/>
  <c r="FR292" i="4"/>
  <c r="FS292" i="4"/>
  <c r="FT292" i="4"/>
  <c r="FU292" i="4"/>
  <c r="FV292" i="4"/>
  <c r="FW292" i="4"/>
  <c r="FX292" i="4"/>
  <c r="FY292" i="4"/>
  <c r="FZ292" i="4"/>
  <c r="GA292" i="4"/>
  <c r="GB292" i="4"/>
  <c r="GC292" i="4"/>
  <c r="GD292" i="4"/>
  <c r="GF292" i="4"/>
  <c r="GG292" i="4"/>
  <c r="GJ292" i="4"/>
  <c r="GK292" i="4"/>
  <c r="GM292" i="4"/>
  <c r="GN292" i="4"/>
  <c r="GP292" i="4"/>
  <c r="HJ292" i="4"/>
  <c r="HK292" i="4"/>
  <c r="HL292" i="4"/>
  <c r="HM292" i="4"/>
  <c r="HN292" i="4"/>
  <c r="HO292" i="4"/>
  <c r="HP292" i="4"/>
  <c r="C293" i="4"/>
  <c r="D293" i="4"/>
  <c r="E293" i="4"/>
  <c r="DS294" i="4"/>
  <c r="DT294" i="4"/>
  <c r="DU294" i="4"/>
  <c r="DV294" i="4"/>
  <c r="DW294" i="4"/>
  <c r="DX294" i="4"/>
  <c r="DY294" i="4"/>
  <c r="DZ294" i="4"/>
  <c r="EA294" i="4"/>
  <c r="EB294" i="4"/>
  <c r="E2" i="3"/>
  <c r="N2" i="3"/>
  <c r="O2" i="3"/>
  <c r="P2" i="3"/>
  <c r="S2" i="3"/>
  <c r="X2" i="3"/>
  <c r="AC2" i="3"/>
  <c r="C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4" i="3"/>
  <c r="X4" i="3"/>
  <c r="A5" i="3"/>
  <c r="C5" i="3"/>
  <c r="E5" i="3"/>
  <c r="F5" i="3"/>
  <c r="X5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10" i="3"/>
  <c r="H10" i="3"/>
  <c r="C11" i="3"/>
  <c r="D11" i="3"/>
  <c r="M11" i="3"/>
  <c r="A12" i="3"/>
  <c r="C12" i="3"/>
  <c r="D12" i="3"/>
  <c r="Q12" i="3"/>
  <c r="C13" i="3"/>
  <c r="D13" i="3"/>
  <c r="U13" i="3"/>
  <c r="C14" i="3"/>
  <c r="D14" i="3"/>
  <c r="Y14" i="3"/>
  <c r="C15" i="3"/>
  <c r="D15" i="3"/>
  <c r="C16" i="3"/>
  <c r="D16" i="3"/>
  <c r="C17" i="3"/>
  <c r="D17" i="3"/>
  <c r="C18" i="3"/>
  <c r="D18" i="3"/>
  <c r="C19" i="3"/>
  <c r="D19" i="3"/>
  <c r="D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D23" i="3"/>
  <c r="D24" i="3"/>
  <c r="D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D27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41" i="3"/>
  <c r="D41" i="3"/>
  <c r="F41" i="3"/>
  <c r="G41" i="3"/>
  <c r="H41" i="3"/>
  <c r="I41" i="3"/>
  <c r="L41" i="3"/>
  <c r="N41" i="3"/>
  <c r="O41" i="3"/>
  <c r="P41" i="3"/>
  <c r="Q41" i="3"/>
  <c r="R41" i="3"/>
  <c r="S41" i="3"/>
  <c r="C42" i="3"/>
  <c r="D42" i="3"/>
  <c r="F42" i="3"/>
  <c r="G42" i="3"/>
  <c r="H42" i="3"/>
  <c r="I42" i="3"/>
  <c r="L42" i="3"/>
  <c r="N42" i="3"/>
  <c r="O42" i="3"/>
  <c r="P42" i="3"/>
  <c r="Q42" i="3"/>
  <c r="R42" i="3"/>
  <c r="S42" i="3"/>
  <c r="C43" i="3"/>
  <c r="D43" i="3"/>
  <c r="F43" i="3"/>
  <c r="H43" i="3"/>
  <c r="I43" i="3"/>
  <c r="L43" i="3"/>
  <c r="N43" i="3"/>
  <c r="O43" i="3"/>
  <c r="P43" i="3"/>
  <c r="Q43" i="3"/>
  <c r="R43" i="3"/>
  <c r="S43" i="3"/>
  <c r="C44" i="3"/>
  <c r="D44" i="3"/>
  <c r="F44" i="3"/>
  <c r="G44" i="3"/>
  <c r="H44" i="3"/>
  <c r="I44" i="3"/>
  <c r="L44" i="3"/>
  <c r="N44" i="3"/>
  <c r="O44" i="3"/>
  <c r="P44" i="3"/>
  <c r="Q44" i="3"/>
  <c r="R44" i="3"/>
  <c r="S44" i="3"/>
  <c r="C45" i="3"/>
  <c r="D45" i="3"/>
  <c r="F45" i="3"/>
  <c r="G45" i="3"/>
  <c r="H45" i="3"/>
  <c r="I45" i="3"/>
  <c r="L45" i="3"/>
  <c r="N45" i="3"/>
  <c r="O45" i="3"/>
  <c r="P45" i="3"/>
  <c r="Q45" i="3"/>
  <c r="R45" i="3"/>
  <c r="S45" i="3"/>
  <c r="A46" i="3"/>
  <c r="D46" i="3"/>
  <c r="F46" i="3"/>
  <c r="G46" i="3"/>
  <c r="L46" i="3"/>
  <c r="N46" i="3"/>
  <c r="O46" i="3"/>
  <c r="P46" i="3"/>
  <c r="Q46" i="3"/>
  <c r="C47" i="3"/>
  <c r="D47" i="3"/>
  <c r="F47" i="3"/>
  <c r="L47" i="3"/>
  <c r="N47" i="3"/>
  <c r="O47" i="3"/>
  <c r="C48" i="3"/>
  <c r="D48" i="3"/>
  <c r="F48" i="3"/>
  <c r="L48" i="3"/>
  <c r="N48" i="3"/>
  <c r="O48" i="3"/>
  <c r="C49" i="3"/>
  <c r="D49" i="3"/>
  <c r="F49" i="3"/>
  <c r="L49" i="3"/>
  <c r="N49" i="3"/>
  <c r="O49" i="3"/>
  <c r="C50" i="3"/>
  <c r="D50" i="3"/>
  <c r="F50" i="3"/>
  <c r="L50" i="3"/>
  <c r="N50" i="3"/>
  <c r="O50" i="3"/>
  <c r="D51" i="3"/>
  <c r="E51" i="3"/>
  <c r="N51" i="3"/>
  <c r="O51" i="3"/>
  <c r="C54" i="3"/>
  <c r="D54" i="3"/>
  <c r="F54" i="3"/>
  <c r="L54" i="3"/>
  <c r="N54" i="3"/>
  <c r="O54" i="3"/>
  <c r="P54" i="3"/>
  <c r="C55" i="3"/>
  <c r="D55" i="3"/>
  <c r="L55" i="3"/>
  <c r="N55" i="3"/>
  <c r="O55" i="3"/>
  <c r="D56" i="3"/>
  <c r="E56" i="3"/>
  <c r="N56" i="3"/>
  <c r="N57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C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C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C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C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C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C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C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C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C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C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C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B80" i="3"/>
  <c r="C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C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C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C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C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C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C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C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C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C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C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C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B101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136" i="3"/>
  <c r="B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142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B151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I154" i="3"/>
  <c r="I154" i="3" a="1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I164" i="3"/>
  <c r="I164" i="3" a="1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F167" i="3"/>
  <c r="B170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I173" i="3"/>
  <c r="I173" i="3" a="1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I182" i="3"/>
  <c r="I182" i="3" a="1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I183" i="3"/>
  <c r="I183" i="3" a="1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B189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I221" i="3"/>
  <c r="I221" i="3" a="1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E222" i="3"/>
  <c r="I222" i="3"/>
  <c r="I222" i="3" a="1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E223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I227" i="3"/>
  <c r="I227" i="3" a="1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E228" i="3"/>
  <c r="I228" i="3"/>
  <c r="I228" i="3" a="1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E229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I233" i="3"/>
  <c r="I233" i="3" a="1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E234" i="3"/>
  <c r="I234" i="3"/>
  <c r="I234" i="3" a="1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E235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I240" i="3"/>
  <c r="I240" i="3" a="1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E247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E259" i="3"/>
  <c r="E260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H265" i="3"/>
  <c r="E266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C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C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C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E290" i="3"/>
  <c r="F290" i="3"/>
  <c r="G290" i="3"/>
  <c r="H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H309" i="3"/>
  <c r="H310" i="3"/>
  <c r="S312" i="3"/>
  <c r="S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M321" i="3"/>
  <c r="AN321" i="3"/>
  <c r="AO321" i="3"/>
  <c r="AP321" i="3"/>
  <c r="AQ321" i="3"/>
  <c r="AM322" i="3"/>
  <c r="AN322" i="3"/>
  <c r="AO322" i="3"/>
  <c r="AP322" i="3"/>
  <c r="AQ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M323" i="3"/>
  <c r="AN323" i="3"/>
  <c r="AO323" i="3"/>
  <c r="AP323" i="3"/>
  <c r="AQ323" i="3"/>
  <c r="A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M325" i="3"/>
  <c r="AN325" i="3"/>
  <c r="AO325" i="3"/>
  <c r="AP325" i="3"/>
  <c r="AQ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M327" i="3"/>
  <c r="AN327" i="3"/>
  <c r="AO327" i="3"/>
  <c r="AP327" i="3"/>
  <c r="AQ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M329" i="3"/>
  <c r="AN329" i="3"/>
  <c r="AO329" i="3"/>
  <c r="AP329" i="3"/>
  <c r="AQ329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M331" i="3"/>
  <c r="AN331" i="3"/>
  <c r="AO331" i="3"/>
  <c r="AP331" i="3"/>
  <c r="AQ331" i="3"/>
  <c r="A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M332" i="3"/>
  <c r="AN332" i="3"/>
  <c r="AO332" i="3"/>
  <c r="AP332" i="3"/>
  <c r="AQ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M334" i="3"/>
  <c r="AN334" i="3"/>
  <c r="AO334" i="3"/>
  <c r="AP334" i="3"/>
  <c r="AQ334" i="3"/>
  <c r="AM335" i="3"/>
  <c r="AN335" i="3"/>
  <c r="AO335" i="3"/>
  <c r="AP335" i="3"/>
  <c r="AQ335" i="3"/>
  <c r="A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B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B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417" i="3"/>
  <c r="A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C467" i="3"/>
  <c r="C469" i="3"/>
  <c r="C470" i="3"/>
  <c r="C472" i="3"/>
  <c r="C473" i="3"/>
  <c r="G473" i="3"/>
  <c r="E475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E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E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H484" i="3"/>
  <c r="E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C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E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E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E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E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E504" i="3"/>
  <c r="F504" i="3"/>
  <c r="I504" i="3"/>
  <c r="A506" i="3"/>
  <c r="C506" i="3"/>
  <c r="E506" i="3"/>
  <c r="F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A507" i="3"/>
  <c r="E507" i="3"/>
  <c r="F507" i="3"/>
  <c r="A508" i="3"/>
  <c r="E508" i="3"/>
  <c r="E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E514" i="3"/>
  <c r="F514" i="3"/>
  <c r="G514" i="3"/>
  <c r="I514" i="3"/>
  <c r="N514" i="3"/>
  <c r="K515" i="3"/>
  <c r="L515" i="3"/>
  <c r="N515" i="3"/>
  <c r="P515" i="3"/>
  <c r="K516" i="3"/>
  <c r="N516" i="3"/>
  <c r="P516" i="3"/>
  <c r="N517" i="3"/>
  <c r="E519" i="3"/>
  <c r="F519" i="3"/>
  <c r="G519" i="3"/>
  <c r="I519" i="3"/>
  <c r="K519" i="3"/>
  <c r="L519" i="3"/>
  <c r="N519" i="3"/>
  <c r="K521" i="3"/>
  <c r="N521" i="3"/>
  <c r="I522" i="3"/>
  <c r="K522" i="3"/>
  <c r="N522" i="3"/>
  <c r="K524" i="3"/>
  <c r="N524" i="3"/>
  <c r="N525" i="3"/>
  <c r="E526" i="3"/>
  <c r="F526" i="3"/>
  <c r="G526" i="3"/>
  <c r="I526" i="3"/>
  <c r="K526" i="3"/>
  <c r="N526" i="3"/>
  <c r="K529" i="3"/>
  <c r="N529" i="3"/>
  <c r="E530" i="3"/>
  <c r="F530" i="3"/>
  <c r="G530" i="3"/>
  <c r="I530" i="3"/>
  <c r="K530" i="3"/>
  <c r="L530" i="3"/>
  <c r="N530" i="3"/>
  <c r="K533" i="3"/>
  <c r="N533" i="3"/>
  <c r="N534" i="3"/>
  <c r="P536" i="3"/>
  <c r="Q536" i="3"/>
  <c r="R536" i="3"/>
  <c r="S536" i="3"/>
  <c r="E537" i="3"/>
  <c r="F537" i="3"/>
  <c r="G537" i="3"/>
  <c r="I537" i="3"/>
  <c r="K537" i="3"/>
  <c r="L537" i="3"/>
  <c r="N537" i="3"/>
  <c r="P537" i="3"/>
  <c r="Q537" i="3"/>
  <c r="R537" i="3"/>
  <c r="S537" i="3"/>
  <c r="A539" i="3"/>
  <c r="K539" i="3"/>
  <c r="N539" i="3"/>
  <c r="P539" i="3"/>
  <c r="Q539" i="3"/>
  <c r="R539" i="3"/>
  <c r="S539" i="3"/>
  <c r="I540" i="3"/>
  <c r="E542" i="3"/>
  <c r="F542" i="3"/>
  <c r="G542" i="3"/>
  <c r="I542" i="3"/>
  <c r="K542" i="3"/>
  <c r="L542" i="3"/>
  <c r="N542" i="3"/>
  <c r="P542" i="3"/>
  <c r="Q542" i="3"/>
  <c r="R542" i="3"/>
  <c r="S542" i="3"/>
  <c r="E544" i="3"/>
  <c r="F544" i="3"/>
  <c r="G544" i="3"/>
  <c r="I544" i="3"/>
  <c r="K544" i="3"/>
  <c r="L544" i="3"/>
  <c r="N544" i="3"/>
  <c r="P544" i="3"/>
  <c r="Q544" i="3"/>
  <c r="R544" i="3"/>
  <c r="S544" i="3"/>
  <c r="A546" i="3"/>
  <c r="K546" i="3"/>
  <c r="N546" i="3"/>
  <c r="P546" i="3"/>
  <c r="Q546" i="3"/>
  <c r="R546" i="3"/>
  <c r="S546" i="3"/>
  <c r="N547" i="3"/>
  <c r="P547" i="3"/>
  <c r="Q547" i="3"/>
  <c r="R547" i="3"/>
  <c r="S547" i="3"/>
  <c r="L548" i="3"/>
  <c r="N548" i="3"/>
  <c r="P548" i="3"/>
  <c r="Q548" i="3"/>
  <c r="R548" i="3"/>
  <c r="S548" i="3"/>
  <c r="L549" i="3"/>
  <c r="N549" i="3"/>
  <c r="P549" i="3"/>
  <c r="Q549" i="3"/>
  <c r="R549" i="3"/>
  <c r="S549" i="3"/>
  <c r="N550" i="3"/>
  <c r="P550" i="3"/>
  <c r="Q550" i="3"/>
  <c r="R550" i="3"/>
  <c r="S550" i="3"/>
  <c r="E551" i="3"/>
  <c r="F551" i="3"/>
  <c r="G551" i="3"/>
  <c r="I551" i="3"/>
  <c r="K551" i="3"/>
  <c r="L551" i="3"/>
  <c r="N551" i="3"/>
  <c r="P551" i="3"/>
  <c r="Q551" i="3"/>
  <c r="R551" i="3"/>
  <c r="S551" i="3"/>
  <c r="E552" i="3"/>
  <c r="F552" i="3"/>
  <c r="G552" i="3"/>
  <c r="I552" i="3"/>
  <c r="K552" i="3"/>
  <c r="L552" i="3"/>
  <c r="N552" i="3"/>
  <c r="P552" i="3"/>
  <c r="Q552" i="3"/>
  <c r="R552" i="3"/>
  <c r="S552" i="3"/>
  <c r="E554" i="3"/>
  <c r="F554" i="3"/>
  <c r="G554" i="3"/>
  <c r="I554" i="3"/>
  <c r="K554" i="3"/>
  <c r="L554" i="3"/>
  <c r="N554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560" i="3"/>
  <c r="A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563" i="3"/>
  <c r="A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572" i="3"/>
  <c r="E572" i="3"/>
  <c r="F572" i="3"/>
  <c r="G572" i="3"/>
  <c r="H572" i="3"/>
  <c r="I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575" i="3"/>
  <c r="E575" i="3"/>
  <c r="F575" i="3"/>
  <c r="G575" i="3"/>
  <c r="H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585" i="3"/>
  <c r="I585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C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C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I609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611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618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628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E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H637" i="3"/>
  <c r="I637" i="3"/>
  <c r="B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I649" i="3"/>
  <c r="J649" i="3"/>
  <c r="I651" i="3"/>
  <c r="J651" i="3"/>
  <c r="J652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I657" i="3"/>
  <c r="J657" i="3"/>
  <c r="I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C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C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C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C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H720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B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B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B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747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E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E754" i="3"/>
  <c r="E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E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E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E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E760" i="3"/>
  <c r="J760" i="3"/>
  <c r="A761" i="3"/>
  <c r="E762" i="3"/>
  <c r="E763" i="3"/>
  <c r="E764" i="3"/>
  <c r="E765" i="3"/>
  <c r="E766" i="3"/>
  <c r="B767" i="3"/>
  <c r="E767" i="3"/>
  <c r="B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B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B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B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B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B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B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B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B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H785" i="3"/>
  <c r="H786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B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B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B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B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B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B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B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B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B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B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B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B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H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H836" i="3"/>
  <c r="H837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H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G841" i="3"/>
  <c r="G843" i="3"/>
  <c r="U2" i="5"/>
  <c r="AU6" i="5"/>
  <c r="AV6" i="5"/>
  <c r="BL6" i="5"/>
  <c r="BM6" i="5"/>
  <c r="BQ6" i="5"/>
  <c r="BR6" i="5"/>
  <c r="AU7" i="5"/>
  <c r="AV7" i="5"/>
  <c r="AW7" i="5"/>
  <c r="BL7" i="5"/>
  <c r="BM7" i="5"/>
  <c r="BQ7" i="5"/>
  <c r="BR7" i="5"/>
  <c r="AS8" i="5"/>
  <c r="AU8" i="5"/>
  <c r="AV8" i="5"/>
  <c r="AW8" i="5"/>
  <c r="BL8" i="5"/>
  <c r="BM8" i="5"/>
  <c r="BQ8" i="5"/>
  <c r="BR8" i="5"/>
  <c r="AS9" i="5"/>
  <c r="AU9" i="5"/>
  <c r="AV9" i="5"/>
  <c r="AW9" i="5"/>
  <c r="BL9" i="5"/>
  <c r="BM9" i="5"/>
  <c r="BQ9" i="5"/>
  <c r="BR9" i="5"/>
  <c r="BU9" i="5"/>
  <c r="AU10" i="5"/>
  <c r="AV10" i="5"/>
  <c r="AW10" i="5"/>
  <c r="BL10" i="5"/>
  <c r="BM10" i="5"/>
  <c r="BQ10" i="5"/>
  <c r="BR10" i="5"/>
  <c r="BU10" i="5"/>
  <c r="AU11" i="5"/>
  <c r="AV11" i="5"/>
  <c r="AW11" i="5"/>
  <c r="BL11" i="5"/>
  <c r="BM11" i="5"/>
  <c r="BQ11" i="5"/>
  <c r="BR11" i="5"/>
  <c r="BU11" i="5"/>
  <c r="AU12" i="5"/>
  <c r="AV12" i="5"/>
  <c r="AW12" i="5"/>
  <c r="BL12" i="5"/>
  <c r="BM12" i="5"/>
  <c r="BQ12" i="5"/>
  <c r="BR12" i="5"/>
  <c r="BU12" i="5"/>
  <c r="AU13" i="5"/>
  <c r="AV13" i="5"/>
  <c r="AW13" i="5"/>
  <c r="BL13" i="5"/>
  <c r="BM13" i="5"/>
  <c r="BQ13" i="5"/>
  <c r="BR13" i="5"/>
  <c r="BU13" i="5"/>
  <c r="AU14" i="5"/>
  <c r="AV14" i="5"/>
  <c r="AW14" i="5"/>
  <c r="BL14" i="5"/>
  <c r="BM14" i="5"/>
  <c r="BQ14" i="5"/>
  <c r="BR14" i="5"/>
  <c r="BU14" i="5"/>
  <c r="AU15" i="5"/>
  <c r="AV15" i="5"/>
  <c r="AW15" i="5"/>
  <c r="BL15" i="5"/>
  <c r="BM15" i="5"/>
  <c r="BQ15" i="5"/>
  <c r="BR15" i="5"/>
  <c r="BU15" i="5"/>
  <c r="AU16" i="5"/>
  <c r="AV16" i="5"/>
  <c r="AW16" i="5"/>
  <c r="BL16" i="5"/>
  <c r="BM16" i="5"/>
  <c r="BQ16" i="5"/>
  <c r="BR16" i="5"/>
  <c r="BU16" i="5"/>
  <c r="AU17" i="5"/>
  <c r="AV17" i="5"/>
  <c r="AW17" i="5"/>
  <c r="BL17" i="5"/>
  <c r="BM17" i="5"/>
  <c r="BQ17" i="5"/>
  <c r="BR17" i="5"/>
  <c r="BU17" i="5"/>
  <c r="AU18" i="5"/>
  <c r="AV18" i="5"/>
  <c r="AW18" i="5"/>
  <c r="AX18" i="5"/>
  <c r="AZ18" i="5"/>
  <c r="BL18" i="5"/>
  <c r="BM18" i="5"/>
  <c r="BN18" i="5"/>
  <c r="BQ18" i="5"/>
  <c r="BR18" i="5"/>
  <c r="BU18" i="5"/>
  <c r="AU19" i="5"/>
  <c r="AV19" i="5"/>
  <c r="AW19" i="5"/>
  <c r="AX19" i="5"/>
  <c r="AZ19" i="5"/>
  <c r="BL19" i="5"/>
  <c r="BM19" i="5"/>
  <c r="BN19" i="5"/>
  <c r="BQ19" i="5"/>
  <c r="BR19" i="5"/>
  <c r="BU19" i="5"/>
  <c r="AU20" i="5"/>
  <c r="AV20" i="5"/>
  <c r="AW20" i="5"/>
  <c r="AX20" i="5"/>
  <c r="AZ20" i="5"/>
  <c r="BL20" i="5"/>
  <c r="BM20" i="5"/>
  <c r="BN20" i="5"/>
  <c r="BQ20" i="5"/>
  <c r="BR20" i="5"/>
  <c r="BU20" i="5"/>
  <c r="AU21" i="5"/>
  <c r="AV21" i="5"/>
  <c r="AW21" i="5"/>
  <c r="AX21" i="5"/>
  <c r="AZ21" i="5"/>
  <c r="BL21" i="5"/>
  <c r="BM21" i="5"/>
  <c r="BN21" i="5"/>
  <c r="BQ21" i="5"/>
  <c r="BR21" i="5"/>
  <c r="BU21" i="5"/>
  <c r="AU22" i="5"/>
  <c r="AV22" i="5"/>
  <c r="AW22" i="5"/>
  <c r="AX22" i="5"/>
  <c r="AZ22" i="5"/>
  <c r="BL22" i="5"/>
  <c r="BM22" i="5"/>
  <c r="BN22" i="5"/>
  <c r="BQ22" i="5"/>
  <c r="BR22" i="5"/>
  <c r="BU22" i="5"/>
  <c r="AU23" i="5"/>
  <c r="AV23" i="5"/>
  <c r="AW23" i="5"/>
  <c r="AX23" i="5"/>
  <c r="AZ23" i="5"/>
  <c r="BL23" i="5"/>
  <c r="BM23" i="5"/>
  <c r="BN23" i="5"/>
  <c r="BQ23" i="5"/>
  <c r="BR23" i="5"/>
  <c r="BU23" i="5"/>
  <c r="AU24" i="5"/>
  <c r="AV24" i="5"/>
  <c r="AW24" i="5"/>
  <c r="AX24" i="5"/>
  <c r="AZ24" i="5"/>
  <c r="BL24" i="5"/>
  <c r="BM24" i="5"/>
  <c r="BN24" i="5"/>
  <c r="BQ24" i="5"/>
  <c r="BR24" i="5"/>
  <c r="BU24" i="5"/>
  <c r="AU25" i="5"/>
  <c r="AV25" i="5"/>
  <c r="AW25" i="5"/>
  <c r="AX25" i="5"/>
  <c r="AZ25" i="5"/>
  <c r="BL25" i="5"/>
  <c r="BM25" i="5"/>
  <c r="BN25" i="5"/>
  <c r="BQ25" i="5"/>
  <c r="BR25" i="5"/>
  <c r="BU25" i="5"/>
  <c r="AU26" i="5"/>
  <c r="AV26" i="5"/>
  <c r="AW26" i="5"/>
  <c r="AX26" i="5"/>
  <c r="AZ26" i="5"/>
  <c r="BL26" i="5"/>
  <c r="BM26" i="5"/>
  <c r="BN26" i="5"/>
  <c r="BQ26" i="5"/>
  <c r="BR26" i="5"/>
  <c r="BU26" i="5"/>
  <c r="AU27" i="5"/>
  <c r="AV27" i="5"/>
  <c r="AW27" i="5"/>
  <c r="AX27" i="5"/>
  <c r="AZ27" i="5"/>
  <c r="BL27" i="5"/>
  <c r="BM27" i="5"/>
  <c r="BN27" i="5"/>
  <c r="BQ27" i="5"/>
  <c r="BR27" i="5"/>
  <c r="BU27" i="5"/>
  <c r="AU28" i="5"/>
  <c r="AV28" i="5"/>
  <c r="AW28" i="5"/>
  <c r="AX28" i="5"/>
  <c r="AZ28" i="5"/>
  <c r="BL28" i="5"/>
  <c r="BM28" i="5"/>
  <c r="BN28" i="5"/>
  <c r="BQ28" i="5"/>
  <c r="BR28" i="5"/>
  <c r="BU28" i="5"/>
  <c r="AU29" i="5"/>
  <c r="AV29" i="5"/>
  <c r="AW29" i="5"/>
  <c r="AX29" i="5"/>
  <c r="AZ29" i="5"/>
  <c r="BL29" i="5"/>
  <c r="BM29" i="5"/>
  <c r="BN29" i="5"/>
  <c r="BQ29" i="5"/>
  <c r="BR29" i="5"/>
  <c r="BU29" i="5"/>
  <c r="AU30" i="5"/>
  <c r="AV30" i="5"/>
  <c r="AW30" i="5"/>
  <c r="AX30" i="5"/>
  <c r="AZ30" i="5"/>
  <c r="BL30" i="5"/>
  <c r="BM30" i="5"/>
  <c r="BN30" i="5"/>
  <c r="BQ30" i="5"/>
  <c r="BR30" i="5"/>
  <c r="BU30" i="5"/>
  <c r="AU31" i="5"/>
  <c r="AV31" i="5"/>
  <c r="AW31" i="5"/>
  <c r="AX31" i="5"/>
  <c r="AZ31" i="5"/>
  <c r="BL31" i="5"/>
  <c r="BM31" i="5"/>
  <c r="BN31" i="5"/>
  <c r="BQ31" i="5"/>
  <c r="BR31" i="5"/>
  <c r="BU31" i="5"/>
  <c r="AU32" i="5"/>
  <c r="AV32" i="5"/>
  <c r="AW32" i="5"/>
  <c r="AX32" i="5"/>
  <c r="AZ32" i="5"/>
  <c r="BL32" i="5"/>
  <c r="BM32" i="5"/>
  <c r="BN32" i="5"/>
  <c r="BQ32" i="5"/>
  <c r="BR32" i="5"/>
  <c r="BU32" i="5"/>
  <c r="AU33" i="5"/>
  <c r="AV33" i="5"/>
  <c r="AW33" i="5"/>
  <c r="AX33" i="5"/>
  <c r="AZ33" i="5"/>
  <c r="BL33" i="5"/>
  <c r="BM33" i="5"/>
  <c r="BN33" i="5"/>
  <c r="BQ33" i="5"/>
  <c r="BR33" i="5"/>
  <c r="BU33" i="5"/>
  <c r="AU34" i="5"/>
  <c r="AV34" i="5"/>
  <c r="AW34" i="5"/>
  <c r="AX34" i="5"/>
  <c r="AZ34" i="5"/>
  <c r="BL34" i="5"/>
  <c r="BM34" i="5"/>
  <c r="BN34" i="5"/>
  <c r="BQ34" i="5"/>
  <c r="BR34" i="5"/>
  <c r="BU34" i="5"/>
  <c r="AU35" i="5"/>
  <c r="AV35" i="5"/>
  <c r="AW35" i="5"/>
  <c r="AX35" i="5"/>
  <c r="AZ35" i="5"/>
  <c r="BL35" i="5"/>
  <c r="BM35" i="5"/>
  <c r="BN35" i="5"/>
  <c r="BQ35" i="5"/>
  <c r="BR35" i="5"/>
  <c r="BU35" i="5"/>
  <c r="AU36" i="5"/>
  <c r="AV36" i="5"/>
  <c r="AW36" i="5"/>
  <c r="AX36" i="5"/>
  <c r="AZ36" i="5"/>
  <c r="BL36" i="5"/>
  <c r="BM36" i="5"/>
  <c r="BN36" i="5"/>
  <c r="BQ36" i="5"/>
  <c r="BR36" i="5"/>
  <c r="BU36" i="5"/>
  <c r="AU37" i="5"/>
  <c r="AV37" i="5"/>
  <c r="AW37" i="5"/>
  <c r="AX37" i="5"/>
  <c r="AZ37" i="5"/>
  <c r="BL37" i="5"/>
  <c r="BM37" i="5"/>
  <c r="BN37" i="5"/>
  <c r="BQ37" i="5"/>
  <c r="BR37" i="5"/>
  <c r="BU37" i="5"/>
  <c r="AU38" i="5"/>
  <c r="AV38" i="5"/>
  <c r="AW38" i="5"/>
  <c r="AX38" i="5"/>
  <c r="AZ38" i="5"/>
  <c r="BL38" i="5"/>
  <c r="BM38" i="5"/>
  <c r="BN38" i="5"/>
  <c r="BQ38" i="5"/>
  <c r="BR38" i="5"/>
  <c r="BU38" i="5"/>
  <c r="AU39" i="5"/>
  <c r="AV39" i="5"/>
  <c r="AW39" i="5"/>
  <c r="AX39" i="5"/>
  <c r="AZ39" i="5"/>
  <c r="BL39" i="5"/>
  <c r="BM39" i="5"/>
  <c r="BN39" i="5"/>
  <c r="BQ39" i="5"/>
  <c r="BR39" i="5"/>
  <c r="BU39" i="5"/>
  <c r="AU40" i="5"/>
  <c r="AV40" i="5"/>
  <c r="AW40" i="5"/>
  <c r="AX40" i="5"/>
  <c r="AZ40" i="5"/>
  <c r="BL40" i="5"/>
  <c r="BM40" i="5"/>
  <c r="BN40" i="5"/>
  <c r="BQ40" i="5"/>
  <c r="BR40" i="5"/>
  <c r="BU40" i="5"/>
  <c r="AU41" i="5"/>
  <c r="AV41" i="5"/>
  <c r="AW41" i="5"/>
  <c r="AX41" i="5"/>
  <c r="AZ41" i="5"/>
  <c r="BL41" i="5"/>
  <c r="BM41" i="5"/>
  <c r="BN41" i="5"/>
  <c r="BQ41" i="5"/>
  <c r="BR41" i="5"/>
  <c r="BU41" i="5"/>
  <c r="AU42" i="5"/>
  <c r="AV42" i="5"/>
  <c r="AW42" i="5"/>
  <c r="AX42" i="5"/>
  <c r="AZ42" i="5"/>
  <c r="BL42" i="5"/>
  <c r="BM42" i="5"/>
  <c r="BN42" i="5"/>
  <c r="BQ42" i="5"/>
  <c r="BR42" i="5"/>
  <c r="BU42" i="5"/>
  <c r="AU43" i="5"/>
  <c r="AV43" i="5"/>
  <c r="AW43" i="5"/>
  <c r="AX43" i="5"/>
  <c r="AZ43" i="5"/>
  <c r="BL43" i="5"/>
  <c r="BM43" i="5"/>
  <c r="BN43" i="5"/>
  <c r="BQ43" i="5"/>
  <c r="BR43" i="5"/>
  <c r="BU43" i="5"/>
  <c r="AU44" i="5"/>
  <c r="AV44" i="5"/>
  <c r="AW44" i="5"/>
  <c r="AX44" i="5"/>
  <c r="AZ44" i="5"/>
  <c r="BL44" i="5"/>
  <c r="BM44" i="5"/>
  <c r="BN44" i="5"/>
  <c r="BQ44" i="5"/>
  <c r="BR44" i="5"/>
  <c r="BU44" i="5"/>
  <c r="AU45" i="5"/>
  <c r="AV45" i="5"/>
  <c r="AW45" i="5"/>
  <c r="AX45" i="5"/>
  <c r="AZ45" i="5"/>
  <c r="BL45" i="5"/>
  <c r="BM45" i="5"/>
  <c r="BN45" i="5"/>
  <c r="BQ45" i="5"/>
  <c r="BR45" i="5"/>
  <c r="BU45" i="5"/>
  <c r="AU46" i="5"/>
  <c r="AV46" i="5"/>
  <c r="AW46" i="5"/>
  <c r="AX46" i="5"/>
  <c r="AZ46" i="5"/>
  <c r="BL46" i="5"/>
  <c r="BM46" i="5"/>
  <c r="BN46" i="5"/>
  <c r="BQ46" i="5"/>
  <c r="BR46" i="5"/>
  <c r="BU46" i="5"/>
  <c r="AU47" i="5"/>
  <c r="AV47" i="5"/>
  <c r="AW47" i="5"/>
  <c r="AX47" i="5"/>
  <c r="AZ47" i="5"/>
  <c r="BL47" i="5"/>
  <c r="BM47" i="5"/>
  <c r="BN47" i="5"/>
  <c r="BQ47" i="5"/>
  <c r="BR47" i="5"/>
  <c r="BU47" i="5"/>
  <c r="AU48" i="5"/>
  <c r="AV48" i="5"/>
  <c r="AW48" i="5"/>
  <c r="AX48" i="5"/>
  <c r="AZ48" i="5"/>
  <c r="BL48" i="5"/>
  <c r="BM48" i="5"/>
  <c r="BN48" i="5"/>
  <c r="BQ48" i="5"/>
  <c r="BR48" i="5"/>
  <c r="BU48" i="5"/>
  <c r="AU49" i="5"/>
  <c r="AV49" i="5"/>
  <c r="AW49" i="5"/>
  <c r="AX49" i="5"/>
  <c r="AZ49" i="5"/>
  <c r="BL49" i="5"/>
  <c r="BM49" i="5"/>
  <c r="BN49" i="5"/>
  <c r="BQ49" i="5"/>
  <c r="BR49" i="5"/>
  <c r="BU49" i="5"/>
  <c r="AU50" i="5"/>
  <c r="AV50" i="5"/>
  <c r="AW50" i="5"/>
  <c r="AX50" i="5"/>
  <c r="AZ50" i="5"/>
  <c r="BL50" i="5"/>
  <c r="BM50" i="5"/>
  <c r="BN50" i="5"/>
  <c r="BQ50" i="5"/>
  <c r="BR50" i="5"/>
  <c r="BU50" i="5"/>
  <c r="AU51" i="5"/>
  <c r="AV51" i="5"/>
  <c r="AW51" i="5"/>
  <c r="AX51" i="5"/>
  <c r="AZ51" i="5"/>
  <c r="BL51" i="5"/>
  <c r="BM51" i="5"/>
  <c r="BN51" i="5"/>
  <c r="BQ51" i="5"/>
  <c r="BR51" i="5"/>
  <c r="BU51" i="5"/>
  <c r="AU52" i="5"/>
  <c r="AV52" i="5"/>
  <c r="AW52" i="5"/>
  <c r="AX52" i="5"/>
  <c r="AZ52" i="5"/>
  <c r="BL52" i="5"/>
  <c r="BM52" i="5"/>
  <c r="BN52" i="5"/>
  <c r="BQ52" i="5"/>
  <c r="BR52" i="5"/>
  <c r="BU52" i="5"/>
  <c r="AU53" i="5"/>
  <c r="AV53" i="5"/>
  <c r="AW53" i="5"/>
  <c r="AX53" i="5"/>
  <c r="AZ53" i="5"/>
  <c r="BL53" i="5"/>
  <c r="BM53" i="5"/>
  <c r="BN53" i="5"/>
  <c r="BQ53" i="5"/>
  <c r="BR53" i="5"/>
  <c r="BU53" i="5"/>
  <c r="AU54" i="5"/>
  <c r="AV54" i="5"/>
  <c r="AW54" i="5"/>
  <c r="AX54" i="5"/>
  <c r="AZ54" i="5"/>
  <c r="BL54" i="5"/>
  <c r="BM54" i="5"/>
  <c r="BN54" i="5"/>
  <c r="BQ54" i="5"/>
  <c r="BR54" i="5"/>
  <c r="BU54" i="5"/>
  <c r="AU55" i="5"/>
  <c r="AV55" i="5"/>
  <c r="AW55" i="5"/>
  <c r="AX55" i="5"/>
  <c r="AZ55" i="5"/>
  <c r="BL55" i="5"/>
  <c r="BM55" i="5"/>
  <c r="BN55" i="5"/>
  <c r="BQ55" i="5"/>
  <c r="BR55" i="5"/>
  <c r="BU55" i="5"/>
  <c r="AU56" i="5"/>
  <c r="AV56" i="5"/>
  <c r="AW56" i="5"/>
  <c r="AX56" i="5"/>
  <c r="AZ56" i="5"/>
  <c r="BL56" i="5"/>
  <c r="BM56" i="5"/>
  <c r="BN56" i="5"/>
  <c r="BQ56" i="5"/>
  <c r="BR56" i="5"/>
  <c r="BU56" i="5"/>
  <c r="AU57" i="5"/>
  <c r="AV57" i="5"/>
  <c r="AW57" i="5"/>
  <c r="AX57" i="5"/>
  <c r="AZ57" i="5"/>
  <c r="BL57" i="5"/>
  <c r="BM57" i="5"/>
  <c r="BN57" i="5"/>
  <c r="BQ57" i="5"/>
  <c r="BR57" i="5"/>
  <c r="BU57" i="5"/>
  <c r="AU58" i="5"/>
  <c r="AV58" i="5"/>
  <c r="AW58" i="5"/>
  <c r="AX58" i="5"/>
  <c r="AZ58" i="5"/>
  <c r="BL58" i="5"/>
  <c r="BM58" i="5"/>
  <c r="BN58" i="5"/>
  <c r="BQ58" i="5"/>
  <c r="BR58" i="5"/>
  <c r="BU58" i="5"/>
  <c r="AU59" i="5"/>
  <c r="AV59" i="5"/>
  <c r="AW59" i="5"/>
  <c r="AX59" i="5"/>
  <c r="AZ59" i="5"/>
  <c r="BL59" i="5"/>
  <c r="BM59" i="5"/>
  <c r="BN59" i="5"/>
  <c r="BQ59" i="5"/>
  <c r="BR59" i="5"/>
  <c r="BU59" i="5"/>
  <c r="AU60" i="5"/>
  <c r="AV60" i="5"/>
  <c r="AW60" i="5"/>
  <c r="AX60" i="5"/>
  <c r="AZ60" i="5"/>
  <c r="BL60" i="5"/>
  <c r="BM60" i="5"/>
  <c r="BN60" i="5"/>
  <c r="BQ60" i="5"/>
  <c r="BR60" i="5"/>
  <c r="BU60" i="5"/>
  <c r="AU61" i="5"/>
  <c r="AV61" i="5"/>
  <c r="AW61" i="5"/>
  <c r="AX61" i="5"/>
  <c r="AZ61" i="5"/>
  <c r="BL61" i="5"/>
  <c r="BM61" i="5"/>
  <c r="BN61" i="5"/>
  <c r="BQ61" i="5"/>
  <c r="BR61" i="5"/>
  <c r="BU61" i="5"/>
  <c r="AU62" i="5"/>
  <c r="AV62" i="5"/>
  <c r="AW62" i="5"/>
  <c r="AX62" i="5"/>
  <c r="AZ62" i="5"/>
  <c r="BL62" i="5"/>
  <c r="BM62" i="5"/>
  <c r="BN62" i="5"/>
  <c r="BQ62" i="5"/>
  <c r="BR62" i="5"/>
  <c r="BU62" i="5"/>
  <c r="AU63" i="5"/>
  <c r="AV63" i="5"/>
  <c r="AW63" i="5"/>
  <c r="AX63" i="5"/>
  <c r="AZ63" i="5"/>
  <c r="BL63" i="5"/>
  <c r="BM63" i="5"/>
  <c r="BN63" i="5"/>
  <c r="BQ63" i="5"/>
  <c r="BR63" i="5"/>
  <c r="BU63" i="5"/>
  <c r="AU64" i="5"/>
  <c r="AV64" i="5"/>
  <c r="AW64" i="5"/>
  <c r="AX64" i="5"/>
  <c r="AZ64" i="5"/>
  <c r="BL64" i="5"/>
  <c r="BM64" i="5"/>
  <c r="BN64" i="5"/>
  <c r="BQ64" i="5"/>
  <c r="BR64" i="5"/>
  <c r="BU64" i="5"/>
  <c r="AU65" i="5"/>
  <c r="AV65" i="5"/>
  <c r="AW65" i="5"/>
  <c r="AX65" i="5"/>
  <c r="AZ65" i="5"/>
  <c r="BL65" i="5"/>
  <c r="BM65" i="5"/>
  <c r="BN65" i="5"/>
  <c r="BQ65" i="5"/>
  <c r="BR65" i="5"/>
  <c r="BU65" i="5"/>
  <c r="AU66" i="5"/>
  <c r="AV66" i="5"/>
  <c r="AW66" i="5"/>
  <c r="AX66" i="5"/>
  <c r="AZ66" i="5"/>
  <c r="BL66" i="5"/>
  <c r="BM66" i="5"/>
  <c r="BN66" i="5"/>
  <c r="BQ66" i="5"/>
  <c r="BR66" i="5"/>
  <c r="BU66" i="5"/>
  <c r="AU67" i="5"/>
  <c r="AV67" i="5"/>
  <c r="AW67" i="5"/>
  <c r="AX67" i="5"/>
  <c r="AZ67" i="5"/>
  <c r="BL67" i="5"/>
  <c r="BM67" i="5"/>
  <c r="BN67" i="5"/>
  <c r="BQ67" i="5"/>
  <c r="BR67" i="5"/>
  <c r="BU67" i="5"/>
  <c r="AU68" i="5"/>
  <c r="AV68" i="5"/>
  <c r="AW68" i="5"/>
  <c r="AX68" i="5"/>
  <c r="AZ68" i="5"/>
  <c r="BL68" i="5"/>
  <c r="BM68" i="5"/>
  <c r="BN68" i="5"/>
  <c r="BQ68" i="5"/>
  <c r="BR68" i="5"/>
  <c r="BU68" i="5"/>
  <c r="AU69" i="5"/>
  <c r="AV69" i="5"/>
  <c r="AW69" i="5"/>
  <c r="AX69" i="5"/>
  <c r="AZ69" i="5"/>
  <c r="BL69" i="5"/>
  <c r="BM69" i="5"/>
  <c r="BN69" i="5"/>
  <c r="BQ69" i="5"/>
  <c r="BR69" i="5"/>
  <c r="BU69" i="5"/>
  <c r="AU70" i="5"/>
  <c r="AV70" i="5"/>
  <c r="AW70" i="5"/>
  <c r="AX70" i="5"/>
  <c r="AZ70" i="5"/>
  <c r="BL70" i="5"/>
  <c r="BM70" i="5"/>
  <c r="BN70" i="5"/>
  <c r="BQ70" i="5"/>
  <c r="BR70" i="5"/>
  <c r="BU70" i="5"/>
  <c r="AU71" i="5"/>
  <c r="AV71" i="5"/>
  <c r="AW71" i="5"/>
  <c r="AX71" i="5"/>
  <c r="AZ71" i="5"/>
  <c r="BL71" i="5"/>
  <c r="BM71" i="5"/>
  <c r="BN71" i="5"/>
  <c r="BQ71" i="5"/>
  <c r="BR71" i="5"/>
  <c r="BU71" i="5"/>
  <c r="AU72" i="5"/>
  <c r="AV72" i="5"/>
  <c r="AW72" i="5"/>
  <c r="AX72" i="5"/>
  <c r="AZ72" i="5"/>
  <c r="BL72" i="5"/>
  <c r="BM72" i="5"/>
  <c r="BN72" i="5"/>
  <c r="BQ72" i="5"/>
  <c r="BR72" i="5"/>
  <c r="BU72" i="5"/>
  <c r="AU73" i="5"/>
  <c r="AV73" i="5"/>
  <c r="AW73" i="5"/>
  <c r="AX73" i="5"/>
  <c r="AZ73" i="5"/>
  <c r="BL73" i="5"/>
  <c r="BM73" i="5"/>
  <c r="BN73" i="5"/>
  <c r="BQ73" i="5"/>
  <c r="BR73" i="5"/>
  <c r="BU73" i="5"/>
  <c r="AU74" i="5"/>
  <c r="AV74" i="5"/>
  <c r="AW74" i="5"/>
  <c r="AX74" i="5"/>
  <c r="AZ74" i="5"/>
  <c r="BL74" i="5"/>
  <c r="BM74" i="5"/>
  <c r="BN74" i="5"/>
  <c r="BQ74" i="5"/>
  <c r="BR74" i="5"/>
  <c r="BU74" i="5"/>
  <c r="AU75" i="5"/>
  <c r="AV75" i="5"/>
  <c r="AW75" i="5"/>
  <c r="AX75" i="5"/>
  <c r="AZ75" i="5"/>
  <c r="BL75" i="5"/>
  <c r="BM75" i="5"/>
  <c r="BN75" i="5"/>
  <c r="BQ75" i="5"/>
  <c r="BR75" i="5"/>
  <c r="BU75" i="5"/>
  <c r="AU76" i="5"/>
  <c r="AV76" i="5"/>
  <c r="AW76" i="5"/>
  <c r="AX76" i="5"/>
  <c r="AZ76" i="5"/>
  <c r="BL76" i="5"/>
  <c r="BM76" i="5"/>
  <c r="BN76" i="5"/>
  <c r="BQ76" i="5"/>
  <c r="BR76" i="5"/>
  <c r="BU76" i="5"/>
  <c r="AU77" i="5"/>
  <c r="AV77" i="5"/>
  <c r="AW77" i="5"/>
  <c r="AX77" i="5"/>
  <c r="AZ77" i="5"/>
  <c r="BL77" i="5"/>
  <c r="BM77" i="5"/>
  <c r="BN77" i="5"/>
  <c r="BQ77" i="5"/>
  <c r="BR77" i="5"/>
  <c r="BU77" i="5"/>
  <c r="AU78" i="5"/>
  <c r="AV78" i="5"/>
  <c r="AW78" i="5"/>
  <c r="AX78" i="5"/>
  <c r="AZ78" i="5"/>
  <c r="BL78" i="5"/>
  <c r="BM78" i="5"/>
  <c r="BN78" i="5"/>
  <c r="BQ78" i="5"/>
  <c r="BR78" i="5"/>
  <c r="BU78" i="5"/>
  <c r="AU79" i="5"/>
  <c r="AV79" i="5"/>
  <c r="AW79" i="5"/>
  <c r="AX79" i="5"/>
  <c r="AZ79" i="5"/>
  <c r="BL79" i="5"/>
  <c r="BM79" i="5"/>
  <c r="BN79" i="5"/>
  <c r="BQ79" i="5"/>
  <c r="BR79" i="5"/>
  <c r="BU79" i="5"/>
  <c r="AU80" i="5"/>
  <c r="AV80" i="5"/>
  <c r="AW80" i="5"/>
  <c r="AX80" i="5"/>
  <c r="AZ80" i="5"/>
  <c r="BL80" i="5"/>
  <c r="BM80" i="5"/>
  <c r="BN80" i="5"/>
  <c r="BQ80" i="5"/>
  <c r="BR80" i="5"/>
  <c r="BU80" i="5"/>
  <c r="AU81" i="5"/>
  <c r="AV81" i="5"/>
  <c r="AW81" i="5"/>
  <c r="AX81" i="5"/>
  <c r="AZ81" i="5"/>
  <c r="BL81" i="5"/>
  <c r="BM81" i="5"/>
  <c r="BN81" i="5"/>
  <c r="BQ81" i="5"/>
  <c r="BR81" i="5"/>
  <c r="BU81" i="5"/>
  <c r="AU82" i="5"/>
  <c r="AV82" i="5"/>
  <c r="AW82" i="5"/>
  <c r="AX82" i="5"/>
  <c r="AZ82" i="5"/>
  <c r="BL82" i="5"/>
  <c r="BM82" i="5"/>
  <c r="BN82" i="5"/>
  <c r="BQ82" i="5"/>
  <c r="BR82" i="5"/>
  <c r="BU82" i="5"/>
  <c r="AU83" i="5"/>
  <c r="AV83" i="5"/>
  <c r="AW83" i="5"/>
  <c r="AX83" i="5"/>
  <c r="AZ83" i="5"/>
  <c r="BL83" i="5"/>
  <c r="BM83" i="5"/>
  <c r="BN83" i="5"/>
  <c r="BQ83" i="5"/>
  <c r="BR83" i="5"/>
  <c r="BU83" i="5"/>
  <c r="AU84" i="5"/>
  <c r="AV84" i="5"/>
  <c r="AW84" i="5"/>
  <c r="AX84" i="5"/>
  <c r="AZ84" i="5"/>
  <c r="BL84" i="5"/>
  <c r="BM84" i="5"/>
  <c r="BN84" i="5"/>
  <c r="BQ84" i="5"/>
  <c r="BR84" i="5"/>
  <c r="BU84" i="5"/>
  <c r="AU85" i="5"/>
  <c r="AV85" i="5"/>
  <c r="AW85" i="5"/>
  <c r="AX85" i="5"/>
  <c r="AZ85" i="5"/>
  <c r="BL85" i="5"/>
  <c r="BM85" i="5"/>
  <c r="BN85" i="5"/>
  <c r="BQ85" i="5"/>
  <c r="BR85" i="5"/>
  <c r="BU85" i="5"/>
  <c r="AU86" i="5"/>
  <c r="AV86" i="5"/>
  <c r="AW86" i="5"/>
  <c r="AX86" i="5"/>
  <c r="AZ86" i="5"/>
  <c r="BL86" i="5"/>
  <c r="BM86" i="5"/>
  <c r="BN86" i="5"/>
  <c r="BQ86" i="5"/>
  <c r="BR86" i="5"/>
  <c r="BU86" i="5"/>
  <c r="AU87" i="5"/>
  <c r="AV87" i="5"/>
  <c r="AW87" i="5"/>
  <c r="AX87" i="5"/>
  <c r="AZ87" i="5"/>
  <c r="BL87" i="5"/>
  <c r="BM87" i="5"/>
  <c r="BN87" i="5"/>
  <c r="BQ87" i="5"/>
  <c r="BR87" i="5"/>
  <c r="BU87" i="5"/>
  <c r="AU88" i="5"/>
  <c r="AV88" i="5"/>
  <c r="AW88" i="5"/>
  <c r="AX88" i="5"/>
  <c r="AZ88" i="5"/>
  <c r="BL88" i="5"/>
  <c r="BM88" i="5"/>
  <c r="BN88" i="5"/>
  <c r="BQ88" i="5"/>
  <c r="BR88" i="5"/>
  <c r="BU88" i="5"/>
  <c r="AU89" i="5"/>
  <c r="AV89" i="5"/>
  <c r="AW89" i="5"/>
  <c r="AX89" i="5"/>
  <c r="AZ89" i="5"/>
  <c r="BL89" i="5"/>
  <c r="BM89" i="5"/>
  <c r="BN89" i="5"/>
  <c r="BQ89" i="5"/>
  <c r="BR89" i="5"/>
  <c r="BU89" i="5"/>
  <c r="AU90" i="5"/>
  <c r="AV90" i="5"/>
  <c r="AW90" i="5"/>
  <c r="AX90" i="5"/>
  <c r="AZ90" i="5"/>
  <c r="BL90" i="5"/>
  <c r="BM90" i="5"/>
  <c r="BN90" i="5"/>
  <c r="BQ90" i="5"/>
  <c r="BR90" i="5"/>
  <c r="BU90" i="5"/>
  <c r="AU91" i="5"/>
  <c r="AV91" i="5"/>
  <c r="AW91" i="5"/>
  <c r="AX91" i="5"/>
  <c r="AZ91" i="5"/>
  <c r="BL91" i="5"/>
  <c r="BM91" i="5"/>
  <c r="BN91" i="5"/>
  <c r="BQ91" i="5"/>
  <c r="BR91" i="5"/>
  <c r="BU91" i="5"/>
  <c r="AU92" i="5"/>
  <c r="AV92" i="5"/>
  <c r="AW92" i="5"/>
  <c r="AX92" i="5"/>
  <c r="AZ92" i="5"/>
  <c r="BL92" i="5"/>
  <c r="BM92" i="5"/>
  <c r="BN92" i="5"/>
  <c r="BQ92" i="5"/>
  <c r="BR92" i="5"/>
  <c r="BU92" i="5"/>
  <c r="AU93" i="5"/>
  <c r="AV93" i="5"/>
  <c r="AW93" i="5"/>
  <c r="AX93" i="5"/>
  <c r="AZ93" i="5"/>
  <c r="BL93" i="5"/>
  <c r="BM93" i="5"/>
  <c r="BN93" i="5"/>
  <c r="BQ93" i="5"/>
  <c r="BR93" i="5"/>
  <c r="BU93" i="5"/>
  <c r="AU94" i="5"/>
  <c r="AV94" i="5"/>
  <c r="AW94" i="5"/>
  <c r="AX94" i="5"/>
  <c r="AZ94" i="5"/>
  <c r="BL94" i="5"/>
  <c r="BM94" i="5"/>
  <c r="BN94" i="5"/>
  <c r="BQ94" i="5"/>
  <c r="BR94" i="5"/>
  <c r="BU94" i="5"/>
  <c r="AU95" i="5"/>
  <c r="AV95" i="5"/>
  <c r="AW95" i="5"/>
  <c r="AX95" i="5"/>
  <c r="AZ95" i="5"/>
  <c r="BL95" i="5"/>
  <c r="BM95" i="5"/>
  <c r="BN95" i="5"/>
  <c r="BQ95" i="5"/>
  <c r="BR95" i="5"/>
  <c r="BU95" i="5"/>
  <c r="AU96" i="5"/>
  <c r="AV96" i="5"/>
  <c r="AW96" i="5"/>
  <c r="AX96" i="5"/>
  <c r="AZ96" i="5"/>
  <c r="BL96" i="5"/>
  <c r="BM96" i="5"/>
  <c r="BN96" i="5"/>
  <c r="BP96" i="5"/>
  <c r="BQ96" i="5"/>
  <c r="BR96" i="5"/>
  <c r="BU96" i="5"/>
  <c r="AU97" i="5"/>
  <c r="AV97" i="5"/>
  <c r="AW97" i="5"/>
  <c r="AX97" i="5"/>
  <c r="AZ97" i="5"/>
  <c r="BL97" i="5"/>
  <c r="BM97" i="5"/>
  <c r="BN97" i="5"/>
  <c r="BP97" i="5"/>
  <c r="BQ97" i="5"/>
  <c r="BR97" i="5"/>
  <c r="BU97" i="5"/>
  <c r="AU98" i="5"/>
  <c r="AV98" i="5"/>
  <c r="AW98" i="5"/>
  <c r="AX98" i="5"/>
  <c r="AZ98" i="5"/>
  <c r="BL98" i="5"/>
  <c r="BM98" i="5"/>
  <c r="BN98" i="5"/>
  <c r="BP98" i="5"/>
  <c r="BQ98" i="5"/>
  <c r="BR98" i="5"/>
  <c r="BU98" i="5"/>
  <c r="AU99" i="5"/>
  <c r="AV99" i="5"/>
  <c r="AW99" i="5"/>
  <c r="AX99" i="5"/>
  <c r="AZ99" i="5"/>
  <c r="BL99" i="5"/>
  <c r="BM99" i="5"/>
  <c r="BN99" i="5"/>
  <c r="BP99" i="5"/>
  <c r="BQ99" i="5"/>
  <c r="BR99" i="5"/>
  <c r="BU99" i="5"/>
  <c r="AU100" i="5"/>
  <c r="AV100" i="5"/>
  <c r="AW100" i="5"/>
  <c r="AX100" i="5"/>
  <c r="AZ100" i="5"/>
  <c r="BL100" i="5"/>
  <c r="BM100" i="5"/>
  <c r="BN100" i="5"/>
  <c r="BP100" i="5"/>
  <c r="BQ100" i="5"/>
  <c r="BR100" i="5"/>
  <c r="BU100" i="5"/>
  <c r="AU101" i="5"/>
  <c r="AV101" i="5"/>
  <c r="AW101" i="5"/>
  <c r="AX101" i="5"/>
  <c r="AZ101" i="5"/>
  <c r="BL101" i="5"/>
  <c r="BM101" i="5"/>
  <c r="BN101" i="5"/>
  <c r="BP101" i="5"/>
  <c r="BQ101" i="5"/>
  <c r="BR101" i="5"/>
  <c r="BU101" i="5"/>
  <c r="AU102" i="5"/>
  <c r="AV102" i="5"/>
  <c r="AW102" i="5"/>
  <c r="AX102" i="5"/>
  <c r="AZ102" i="5"/>
  <c r="BL102" i="5"/>
  <c r="BM102" i="5"/>
  <c r="BN102" i="5"/>
  <c r="BP102" i="5"/>
  <c r="BQ102" i="5"/>
  <c r="BR102" i="5"/>
  <c r="BU102" i="5"/>
  <c r="AU103" i="5"/>
  <c r="AV103" i="5"/>
  <c r="AW103" i="5"/>
  <c r="AX103" i="5"/>
  <c r="AZ103" i="5"/>
  <c r="BL103" i="5"/>
  <c r="BM103" i="5"/>
  <c r="BN103" i="5"/>
  <c r="BP103" i="5"/>
  <c r="BQ103" i="5"/>
  <c r="BR103" i="5"/>
  <c r="BU103" i="5"/>
  <c r="AU104" i="5"/>
  <c r="AV104" i="5"/>
  <c r="AW104" i="5"/>
  <c r="AX104" i="5"/>
  <c r="AZ104" i="5"/>
  <c r="BL104" i="5"/>
  <c r="BM104" i="5"/>
  <c r="BN104" i="5"/>
  <c r="BP104" i="5"/>
  <c r="BQ104" i="5"/>
  <c r="BR104" i="5"/>
  <c r="BU104" i="5"/>
  <c r="AU105" i="5"/>
  <c r="AV105" i="5"/>
  <c r="AW105" i="5"/>
  <c r="AX105" i="5"/>
  <c r="AZ105" i="5"/>
  <c r="BL105" i="5"/>
  <c r="BM105" i="5"/>
  <c r="BN105" i="5"/>
  <c r="BP105" i="5"/>
  <c r="BQ105" i="5"/>
  <c r="BR105" i="5"/>
  <c r="BU105" i="5"/>
  <c r="AU106" i="5"/>
  <c r="AV106" i="5"/>
  <c r="AW106" i="5"/>
  <c r="AX106" i="5"/>
  <c r="AZ106" i="5"/>
  <c r="BL106" i="5"/>
  <c r="BM106" i="5"/>
  <c r="BN106" i="5"/>
  <c r="BP106" i="5"/>
  <c r="BQ106" i="5"/>
  <c r="BR106" i="5"/>
  <c r="BU106" i="5"/>
  <c r="AU107" i="5"/>
  <c r="AV107" i="5"/>
  <c r="AW107" i="5"/>
  <c r="AX107" i="5"/>
  <c r="AZ107" i="5"/>
  <c r="BL107" i="5"/>
  <c r="BM107" i="5"/>
  <c r="BN107" i="5"/>
  <c r="BP107" i="5"/>
  <c r="BQ107" i="5"/>
  <c r="BR107" i="5"/>
  <c r="BU107" i="5"/>
  <c r="AU108" i="5"/>
  <c r="AV108" i="5"/>
  <c r="AW108" i="5"/>
  <c r="AX108" i="5"/>
  <c r="AZ108" i="5"/>
  <c r="BL108" i="5"/>
  <c r="BM108" i="5"/>
  <c r="BN108" i="5"/>
  <c r="BP108" i="5"/>
  <c r="BQ108" i="5"/>
  <c r="BR108" i="5"/>
  <c r="BU108" i="5"/>
  <c r="AU109" i="5"/>
  <c r="AV109" i="5"/>
  <c r="AW109" i="5"/>
  <c r="AX109" i="5"/>
  <c r="AZ109" i="5"/>
  <c r="BL109" i="5"/>
  <c r="BM109" i="5"/>
  <c r="BN109" i="5"/>
  <c r="BP109" i="5"/>
  <c r="BQ109" i="5"/>
  <c r="BR109" i="5"/>
  <c r="BU109" i="5"/>
  <c r="AU110" i="5"/>
  <c r="AV110" i="5"/>
  <c r="AW110" i="5"/>
  <c r="AX110" i="5"/>
  <c r="AZ110" i="5"/>
  <c r="BL110" i="5"/>
  <c r="BM110" i="5"/>
  <c r="BN110" i="5"/>
  <c r="BP110" i="5"/>
  <c r="BQ110" i="5"/>
  <c r="BR110" i="5"/>
  <c r="BU110" i="5"/>
  <c r="AU111" i="5"/>
  <c r="AV111" i="5"/>
  <c r="AW111" i="5"/>
  <c r="AX111" i="5"/>
  <c r="AZ111" i="5"/>
  <c r="BL111" i="5"/>
  <c r="BM111" i="5"/>
  <c r="BN111" i="5"/>
  <c r="BP111" i="5"/>
  <c r="BQ111" i="5"/>
  <c r="BR111" i="5"/>
  <c r="BU111" i="5"/>
  <c r="AU112" i="5"/>
  <c r="AV112" i="5"/>
  <c r="AW112" i="5"/>
  <c r="AX112" i="5"/>
  <c r="AZ112" i="5"/>
  <c r="BL112" i="5"/>
  <c r="BM112" i="5"/>
  <c r="BN112" i="5"/>
  <c r="BP112" i="5"/>
  <c r="BQ112" i="5"/>
  <c r="BR112" i="5"/>
  <c r="BU112" i="5"/>
  <c r="AU113" i="5"/>
  <c r="AV113" i="5"/>
  <c r="AW113" i="5"/>
  <c r="AX113" i="5"/>
  <c r="AZ113" i="5"/>
  <c r="BL113" i="5"/>
  <c r="BM113" i="5"/>
  <c r="BN113" i="5"/>
  <c r="BP113" i="5"/>
  <c r="BQ113" i="5"/>
  <c r="BR113" i="5"/>
  <c r="BU113" i="5"/>
  <c r="AU114" i="5"/>
  <c r="AV114" i="5"/>
  <c r="AW114" i="5"/>
  <c r="AX114" i="5"/>
  <c r="AZ114" i="5"/>
  <c r="BL114" i="5"/>
  <c r="BM114" i="5"/>
  <c r="BN114" i="5"/>
  <c r="BP114" i="5"/>
  <c r="BQ114" i="5"/>
  <c r="BR114" i="5"/>
  <c r="BU114" i="5"/>
  <c r="AU115" i="5"/>
  <c r="AV115" i="5"/>
  <c r="AW115" i="5"/>
  <c r="AX115" i="5"/>
  <c r="AZ115" i="5"/>
  <c r="BL115" i="5"/>
  <c r="BM115" i="5"/>
  <c r="BN115" i="5"/>
  <c r="BP115" i="5"/>
  <c r="BQ115" i="5"/>
  <c r="BR115" i="5"/>
  <c r="BU115" i="5"/>
  <c r="AU116" i="5"/>
  <c r="AV116" i="5"/>
  <c r="AW116" i="5"/>
  <c r="AX116" i="5"/>
  <c r="AZ116" i="5"/>
  <c r="BL116" i="5"/>
  <c r="BM116" i="5"/>
  <c r="BN116" i="5"/>
  <c r="BP116" i="5"/>
  <c r="BQ116" i="5"/>
  <c r="BR116" i="5"/>
  <c r="BU116" i="5"/>
  <c r="AU117" i="5"/>
  <c r="AV117" i="5"/>
  <c r="AW117" i="5"/>
  <c r="AX117" i="5"/>
  <c r="AZ117" i="5"/>
  <c r="BL117" i="5"/>
  <c r="BM117" i="5"/>
  <c r="BN117" i="5"/>
  <c r="BP117" i="5"/>
  <c r="BQ117" i="5"/>
  <c r="BR117" i="5"/>
  <c r="BU117" i="5"/>
  <c r="AU118" i="5"/>
  <c r="AV118" i="5"/>
  <c r="AW118" i="5"/>
  <c r="AX118" i="5"/>
  <c r="AZ118" i="5"/>
  <c r="BL118" i="5"/>
  <c r="BM118" i="5"/>
  <c r="BN118" i="5"/>
  <c r="BP118" i="5"/>
  <c r="BQ118" i="5"/>
  <c r="BR118" i="5"/>
  <c r="BU118" i="5"/>
  <c r="AU119" i="5"/>
  <c r="AV119" i="5"/>
  <c r="AW119" i="5"/>
  <c r="AX119" i="5"/>
  <c r="AZ119" i="5"/>
  <c r="BL119" i="5"/>
  <c r="BM119" i="5"/>
  <c r="BN119" i="5"/>
  <c r="BP119" i="5"/>
  <c r="BQ119" i="5"/>
  <c r="BR119" i="5"/>
  <c r="BU119" i="5"/>
  <c r="AU120" i="5"/>
  <c r="AV120" i="5"/>
  <c r="AW120" i="5"/>
  <c r="AX120" i="5"/>
  <c r="AZ120" i="5"/>
  <c r="BL120" i="5"/>
  <c r="BM120" i="5"/>
  <c r="BN120" i="5"/>
  <c r="BP120" i="5"/>
  <c r="BQ120" i="5"/>
  <c r="BR120" i="5"/>
  <c r="BU120" i="5"/>
  <c r="AU121" i="5"/>
  <c r="AV121" i="5"/>
  <c r="AW121" i="5"/>
  <c r="AX121" i="5"/>
  <c r="AZ121" i="5"/>
  <c r="BL121" i="5"/>
  <c r="BM121" i="5"/>
  <c r="BN121" i="5"/>
  <c r="BP121" i="5"/>
  <c r="BQ121" i="5"/>
  <c r="BR121" i="5"/>
  <c r="BU121" i="5"/>
  <c r="AU122" i="5"/>
  <c r="AV122" i="5"/>
  <c r="AW122" i="5"/>
  <c r="AX122" i="5"/>
  <c r="AZ122" i="5"/>
  <c r="BL122" i="5"/>
  <c r="BM122" i="5"/>
  <c r="BN122" i="5"/>
  <c r="BP122" i="5"/>
  <c r="BQ122" i="5"/>
  <c r="BR122" i="5"/>
  <c r="BU122" i="5"/>
  <c r="AU123" i="5"/>
  <c r="AV123" i="5"/>
  <c r="AW123" i="5"/>
  <c r="AX123" i="5"/>
  <c r="AZ123" i="5"/>
  <c r="BL123" i="5"/>
  <c r="BM123" i="5"/>
  <c r="BN123" i="5"/>
  <c r="BP123" i="5"/>
  <c r="BQ123" i="5"/>
  <c r="BR123" i="5"/>
  <c r="BU123" i="5"/>
  <c r="AU124" i="5"/>
  <c r="AV124" i="5"/>
  <c r="AW124" i="5"/>
  <c r="AX124" i="5"/>
  <c r="AZ124" i="5"/>
  <c r="BL124" i="5"/>
  <c r="BM124" i="5"/>
  <c r="BN124" i="5"/>
  <c r="BP124" i="5"/>
  <c r="BQ124" i="5"/>
  <c r="BR124" i="5"/>
  <c r="BU124" i="5"/>
  <c r="AU125" i="5"/>
  <c r="AV125" i="5"/>
  <c r="AW125" i="5"/>
  <c r="AX125" i="5"/>
  <c r="AZ125" i="5"/>
  <c r="BL125" i="5"/>
  <c r="BM125" i="5"/>
  <c r="BN125" i="5"/>
  <c r="BP125" i="5"/>
  <c r="BQ125" i="5"/>
  <c r="BR125" i="5"/>
  <c r="BU125" i="5"/>
  <c r="AU126" i="5"/>
  <c r="AV126" i="5"/>
  <c r="AW126" i="5"/>
  <c r="AX126" i="5"/>
  <c r="AZ126" i="5"/>
  <c r="BL126" i="5"/>
  <c r="BM126" i="5"/>
  <c r="BN126" i="5"/>
  <c r="BP126" i="5"/>
  <c r="BQ126" i="5"/>
  <c r="BR126" i="5"/>
  <c r="BU126" i="5"/>
  <c r="AU127" i="5"/>
  <c r="AV127" i="5"/>
  <c r="AW127" i="5"/>
  <c r="AX127" i="5"/>
  <c r="AZ127" i="5"/>
  <c r="BL127" i="5"/>
  <c r="BM127" i="5"/>
  <c r="BN127" i="5"/>
  <c r="BP127" i="5"/>
  <c r="BQ127" i="5"/>
  <c r="BR127" i="5"/>
  <c r="BU127" i="5"/>
  <c r="AU128" i="5"/>
  <c r="AV128" i="5"/>
  <c r="AW128" i="5"/>
  <c r="AX128" i="5"/>
  <c r="AZ128" i="5"/>
  <c r="BL128" i="5"/>
  <c r="BM128" i="5"/>
  <c r="BN128" i="5"/>
  <c r="BP128" i="5"/>
  <c r="BQ128" i="5"/>
  <c r="BR128" i="5"/>
  <c r="BU128" i="5"/>
  <c r="AU129" i="5"/>
  <c r="AV129" i="5"/>
  <c r="AW129" i="5"/>
  <c r="AX129" i="5"/>
  <c r="AZ129" i="5"/>
  <c r="BL129" i="5"/>
  <c r="BM129" i="5"/>
  <c r="BN129" i="5"/>
  <c r="BP129" i="5"/>
  <c r="BQ129" i="5"/>
  <c r="BR129" i="5"/>
  <c r="BU129" i="5"/>
  <c r="AU130" i="5"/>
  <c r="AV130" i="5"/>
  <c r="AW130" i="5"/>
  <c r="AX130" i="5"/>
  <c r="AZ130" i="5"/>
  <c r="BL130" i="5"/>
  <c r="BM130" i="5"/>
  <c r="BN130" i="5"/>
  <c r="BO130" i="5"/>
  <c r="BP130" i="5"/>
  <c r="BQ130" i="5"/>
  <c r="BR130" i="5"/>
  <c r="BU130" i="5"/>
  <c r="AU131" i="5"/>
  <c r="AV131" i="5"/>
  <c r="AW131" i="5"/>
  <c r="AX131" i="5"/>
  <c r="AZ131" i="5"/>
  <c r="BL131" i="5"/>
  <c r="BM131" i="5"/>
  <c r="BN131" i="5"/>
  <c r="BO131" i="5"/>
  <c r="BP131" i="5"/>
  <c r="BQ131" i="5"/>
  <c r="BR131" i="5"/>
  <c r="BU131" i="5"/>
  <c r="AU132" i="5"/>
  <c r="AV132" i="5"/>
  <c r="AW132" i="5"/>
  <c r="AX132" i="5"/>
  <c r="AZ132" i="5"/>
  <c r="BL132" i="5"/>
  <c r="BM132" i="5"/>
  <c r="BN132" i="5"/>
  <c r="BO132" i="5"/>
  <c r="BP132" i="5"/>
  <c r="BQ132" i="5"/>
  <c r="BR132" i="5"/>
  <c r="BU132" i="5"/>
  <c r="AU133" i="5"/>
  <c r="AV133" i="5"/>
  <c r="AW133" i="5"/>
  <c r="AX133" i="5"/>
  <c r="AZ133" i="5"/>
  <c r="BL133" i="5"/>
  <c r="BM133" i="5"/>
  <c r="BN133" i="5"/>
  <c r="BO133" i="5"/>
  <c r="BP133" i="5"/>
  <c r="BQ133" i="5"/>
  <c r="BR133" i="5"/>
  <c r="BU133" i="5"/>
  <c r="AU134" i="5"/>
  <c r="AV134" i="5"/>
  <c r="AW134" i="5"/>
  <c r="AX134" i="5"/>
  <c r="AZ134" i="5"/>
  <c r="BL134" i="5"/>
  <c r="BM134" i="5"/>
  <c r="BN134" i="5"/>
  <c r="BO134" i="5"/>
  <c r="BP134" i="5"/>
  <c r="BQ134" i="5"/>
  <c r="BR134" i="5"/>
  <c r="BU134" i="5"/>
  <c r="AU135" i="5"/>
  <c r="AV135" i="5"/>
  <c r="AW135" i="5"/>
  <c r="AX135" i="5"/>
  <c r="AZ135" i="5"/>
  <c r="BL135" i="5"/>
  <c r="BM135" i="5"/>
  <c r="BN135" i="5"/>
  <c r="BO135" i="5"/>
  <c r="BP135" i="5"/>
  <c r="BQ135" i="5"/>
  <c r="BR135" i="5"/>
  <c r="BU135" i="5"/>
  <c r="AU136" i="5"/>
  <c r="AV136" i="5"/>
  <c r="AW136" i="5"/>
  <c r="AX136" i="5"/>
  <c r="AZ136" i="5"/>
  <c r="BL136" i="5"/>
  <c r="BM136" i="5"/>
  <c r="BN136" i="5"/>
  <c r="BO136" i="5"/>
  <c r="BP136" i="5"/>
  <c r="BQ136" i="5"/>
  <c r="BR136" i="5"/>
  <c r="BU136" i="5"/>
  <c r="AU137" i="5"/>
  <c r="AV137" i="5"/>
  <c r="AW137" i="5"/>
  <c r="AX137" i="5"/>
  <c r="AZ137" i="5"/>
  <c r="BL137" i="5"/>
  <c r="BM137" i="5"/>
  <c r="BN137" i="5"/>
  <c r="BO137" i="5"/>
  <c r="BP137" i="5"/>
  <c r="BQ137" i="5"/>
  <c r="BR137" i="5"/>
  <c r="BU137" i="5"/>
  <c r="AU138" i="5"/>
  <c r="AV138" i="5"/>
  <c r="AW138" i="5"/>
  <c r="AX138" i="5"/>
  <c r="AZ138" i="5"/>
  <c r="BL138" i="5"/>
  <c r="BM138" i="5"/>
  <c r="BN138" i="5"/>
  <c r="BO138" i="5"/>
  <c r="BP138" i="5"/>
  <c r="BQ138" i="5"/>
  <c r="BR138" i="5"/>
  <c r="BU138" i="5"/>
  <c r="AU139" i="5"/>
  <c r="AV139" i="5"/>
  <c r="AW139" i="5"/>
  <c r="AX139" i="5"/>
  <c r="AZ139" i="5"/>
  <c r="BL139" i="5"/>
  <c r="BM139" i="5"/>
  <c r="BN139" i="5"/>
  <c r="BO139" i="5"/>
  <c r="BP139" i="5"/>
  <c r="BQ139" i="5"/>
  <c r="BR139" i="5"/>
  <c r="BU139" i="5"/>
  <c r="AU140" i="5"/>
  <c r="AV140" i="5"/>
  <c r="AW140" i="5"/>
  <c r="AX140" i="5"/>
  <c r="AZ140" i="5"/>
  <c r="BL140" i="5"/>
  <c r="BM140" i="5"/>
  <c r="BN140" i="5"/>
  <c r="BO140" i="5"/>
  <c r="BP140" i="5"/>
  <c r="BQ140" i="5"/>
  <c r="BR140" i="5"/>
  <c r="BU140" i="5"/>
  <c r="AU141" i="5"/>
  <c r="AV141" i="5"/>
  <c r="AW141" i="5"/>
  <c r="AX141" i="5"/>
  <c r="AZ141" i="5"/>
  <c r="BL141" i="5"/>
  <c r="BM141" i="5"/>
  <c r="BN141" i="5"/>
  <c r="BO141" i="5"/>
  <c r="BP141" i="5"/>
  <c r="BQ141" i="5"/>
  <c r="BR141" i="5"/>
  <c r="BU141" i="5"/>
  <c r="AU142" i="5"/>
  <c r="AV142" i="5"/>
  <c r="AW142" i="5"/>
  <c r="AX142" i="5"/>
  <c r="AZ142" i="5"/>
  <c r="BL142" i="5"/>
  <c r="BM142" i="5"/>
  <c r="BN142" i="5"/>
  <c r="BO142" i="5"/>
  <c r="BP142" i="5"/>
  <c r="BQ142" i="5"/>
  <c r="BR142" i="5"/>
  <c r="BU142" i="5"/>
  <c r="AU143" i="5"/>
  <c r="AV143" i="5"/>
  <c r="AW143" i="5"/>
  <c r="AX143" i="5"/>
  <c r="AZ143" i="5"/>
  <c r="BL143" i="5"/>
  <c r="BM143" i="5"/>
  <c r="BN143" i="5"/>
  <c r="BO143" i="5"/>
  <c r="BP143" i="5"/>
  <c r="BQ143" i="5"/>
  <c r="BR143" i="5"/>
  <c r="BU143" i="5"/>
  <c r="AU144" i="5"/>
  <c r="AV144" i="5"/>
  <c r="AW144" i="5"/>
  <c r="AX144" i="5"/>
  <c r="AZ144" i="5"/>
  <c r="BL144" i="5"/>
  <c r="BM144" i="5"/>
  <c r="BN144" i="5"/>
  <c r="BO144" i="5"/>
  <c r="BP144" i="5"/>
  <c r="BQ144" i="5"/>
  <c r="BR144" i="5"/>
  <c r="BU144" i="5"/>
  <c r="AU145" i="5"/>
  <c r="AV145" i="5"/>
  <c r="AW145" i="5"/>
  <c r="AX145" i="5"/>
  <c r="AZ145" i="5"/>
  <c r="BL145" i="5"/>
  <c r="BM145" i="5"/>
  <c r="BN145" i="5"/>
  <c r="BO145" i="5"/>
  <c r="BP145" i="5"/>
  <c r="BQ145" i="5"/>
  <c r="BR145" i="5"/>
  <c r="BU145" i="5"/>
  <c r="AU146" i="5"/>
  <c r="AV146" i="5"/>
  <c r="AW146" i="5"/>
  <c r="AX146" i="5"/>
  <c r="AZ146" i="5"/>
  <c r="BL146" i="5"/>
  <c r="BM146" i="5"/>
  <c r="BN146" i="5"/>
  <c r="BO146" i="5"/>
  <c r="BP146" i="5"/>
  <c r="BQ146" i="5"/>
  <c r="BR146" i="5"/>
  <c r="BU146" i="5"/>
  <c r="AU147" i="5"/>
  <c r="AV147" i="5"/>
  <c r="AW147" i="5"/>
  <c r="AX147" i="5"/>
  <c r="AZ147" i="5"/>
  <c r="BL147" i="5"/>
  <c r="BM147" i="5"/>
  <c r="BN147" i="5"/>
  <c r="BO147" i="5"/>
  <c r="BP147" i="5"/>
  <c r="BQ147" i="5"/>
  <c r="BR147" i="5"/>
  <c r="BU147" i="5"/>
  <c r="AU148" i="5"/>
  <c r="AV148" i="5"/>
  <c r="AW148" i="5"/>
  <c r="AX148" i="5"/>
  <c r="AZ148" i="5"/>
  <c r="BL148" i="5"/>
  <c r="BM148" i="5"/>
  <c r="BN148" i="5"/>
  <c r="BO148" i="5"/>
  <c r="BP148" i="5"/>
  <c r="BQ148" i="5"/>
  <c r="BR148" i="5"/>
  <c r="BU148" i="5"/>
  <c r="AU149" i="5"/>
  <c r="AV149" i="5"/>
  <c r="AW149" i="5"/>
  <c r="AX149" i="5"/>
  <c r="AZ149" i="5"/>
  <c r="BL149" i="5"/>
  <c r="BM149" i="5"/>
  <c r="BN149" i="5"/>
  <c r="BO149" i="5"/>
  <c r="BP149" i="5"/>
  <c r="BQ149" i="5"/>
  <c r="BR149" i="5"/>
  <c r="BU149" i="5"/>
  <c r="AU150" i="5"/>
  <c r="AV150" i="5"/>
  <c r="AW150" i="5"/>
  <c r="AX150" i="5"/>
  <c r="AZ150" i="5"/>
  <c r="BL150" i="5"/>
  <c r="BM150" i="5"/>
  <c r="BN150" i="5"/>
  <c r="BO150" i="5"/>
  <c r="BP150" i="5"/>
  <c r="BQ150" i="5"/>
  <c r="BR150" i="5"/>
  <c r="BU150" i="5"/>
  <c r="AU151" i="5"/>
  <c r="AV151" i="5"/>
  <c r="AW151" i="5"/>
  <c r="AX151" i="5"/>
  <c r="AZ151" i="5"/>
  <c r="BL151" i="5"/>
  <c r="BM151" i="5"/>
  <c r="BN151" i="5"/>
  <c r="BO151" i="5"/>
  <c r="BP151" i="5"/>
  <c r="BQ151" i="5"/>
  <c r="BR151" i="5"/>
  <c r="BU151" i="5"/>
  <c r="AU152" i="5"/>
  <c r="AV152" i="5"/>
  <c r="AW152" i="5"/>
  <c r="AX152" i="5"/>
  <c r="AZ152" i="5"/>
  <c r="BL152" i="5"/>
  <c r="BM152" i="5"/>
  <c r="BN152" i="5"/>
  <c r="BO152" i="5"/>
  <c r="BP152" i="5"/>
  <c r="BQ152" i="5"/>
  <c r="BR152" i="5"/>
  <c r="BU152" i="5"/>
  <c r="AU153" i="5"/>
  <c r="AV153" i="5"/>
  <c r="AW153" i="5"/>
  <c r="AX153" i="5"/>
  <c r="AZ153" i="5"/>
  <c r="BL153" i="5"/>
  <c r="BM153" i="5"/>
  <c r="BN153" i="5"/>
  <c r="BO153" i="5"/>
  <c r="BP153" i="5"/>
  <c r="BQ153" i="5"/>
  <c r="BR153" i="5"/>
  <c r="BU153" i="5"/>
  <c r="AU154" i="5"/>
  <c r="AV154" i="5"/>
  <c r="AW154" i="5"/>
  <c r="AX154" i="5"/>
  <c r="AZ154" i="5"/>
  <c r="BL154" i="5"/>
  <c r="BM154" i="5"/>
  <c r="BN154" i="5"/>
  <c r="BO154" i="5"/>
  <c r="BP154" i="5"/>
  <c r="BQ154" i="5"/>
  <c r="BR154" i="5"/>
  <c r="BU154" i="5"/>
  <c r="AU155" i="5"/>
  <c r="AV155" i="5"/>
  <c r="AW155" i="5"/>
  <c r="AX155" i="5"/>
  <c r="AZ155" i="5"/>
  <c r="BL155" i="5"/>
  <c r="BM155" i="5"/>
  <c r="BN155" i="5"/>
  <c r="BO155" i="5"/>
  <c r="BP155" i="5"/>
  <c r="BQ155" i="5"/>
  <c r="BR155" i="5"/>
  <c r="BU155" i="5"/>
  <c r="AU156" i="5"/>
  <c r="AV156" i="5"/>
  <c r="AW156" i="5"/>
  <c r="AX156" i="5"/>
  <c r="AZ156" i="5"/>
  <c r="BL156" i="5"/>
  <c r="BM156" i="5"/>
  <c r="BN156" i="5"/>
  <c r="BO156" i="5"/>
  <c r="BP156" i="5"/>
  <c r="BQ156" i="5"/>
  <c r="BR156" i="5"/>
  <c r="BU156" i="5"/>
  <c r="AU157" i="5"/>
  <c r="AV157" i="5"/>
  <c r="AW157" i="5"/>
  <c r="AX157" i="5"/>
  <c r="AZ157" i="5"/>
  <c r="BL157" i="5"/>
  <c r="BM157" i="5"/>
  <c r="BN157" i="5"/>
  <c r="BO157" i="5"/>
  <c r="BP157" i="5"/>
  <c r="BQ157" i="5"/>
  <c r="BR157" i="5"/>
  <c r="BU157" i="5"/>
  <c r="AU158" i="5"/>
  <c r="AV158" i="5"/>
  <c r="AW158" i="5"/>
  <c r="AX158" i="5"/>
  <c r="AZ158" i="5"/>
  <c r="BL158" i="5"/>
  <c r="BM158" i="5"/>
  <c r="BN158" i="5"/>
  <c r="BO158" i="5"/>
  <c r="BP158" i="5"/>
  <c r="BQ158" i="5"/>
  <c r="BR158" i="5"/>
  <c r="BU158" i="5"/>
  <c r="AU159" i="5"/>
  <c r="AV159" i="5"/>
  <c r="AW159" i="5"/>
  <c r="AX159" i="5"/>
  <c r="AZ159" i="5"/>
  <c r="BL159" i="5"/>
  <c r="BM159" i="5"/>
  <c r="BN159" i="5"/>
  <c r="BO159" i="5"/>
  <c r="BP159" i="5"/>
  <c r="BQ159" i="5"/>
  <c r="BR159" i="5"/>
  <c r="BU159" i="5"/>
  <c r="AU160" i="5"/>
  <c r="AV160" i="5"/>
  <c r="AW160" i="5"/>
  <c r="AX160" i="5"/>
  <c r="AZ160" i="5"/>
  <c r="BL160" i="5"/>
  <c r="BM160" i="5"/>
  <c r="BN160" i="5"/>
  <c r="BO160" i="5"/>
  <c r="BP160" i="5"/>
  <c r="BQ160" i="5"/>
  <c r="BR160" i="5"/>
  <c r="BU160" i="5"/>
  <c r="AU161" i="5"/>
  <c r="AV161" i="5"/>
  <c r="AW161" i="5"/>
  <c r="AX161" i="5"/>
  <c r="AZ161" i="5"/>
  <c r="BL161" i="5"/>
  <c r="BM161" i="5"/>
  <c r="BN161" i="5"/>
  <c r="BO161" i="5"/>
  <c r="BP161" i="5"/>
  <c r="BQ161" i="5"/>
  <c r="BR161" i="5"/>
  <c r="BU161" i="5"/>
  <c r="AU162" i="5"/>
  <c r="AV162" i="5"/>
  <c r="AW162" i="5"/>
  <c r="AX162" i="5"/>
  <c r="AZ162" i="5"/>
  <c r="BL162" i="5"/>
  <c r="BM162" i="5"/>
  <c r="BN162" i="5"/>
  <c r="BO162" i="5"/>
  <c r="BP162" i="5"/>
  <c r="BQ162" i="5"/>
  <c r="BR162" i="5"/>
  <c r="BU162" i="5"/>
  <c r="AU163" i="5"/>
  <c r="AV163" i="5"/>
  <c r="AW163" i="5"/>
  <c r="AX163" i="5"/>
  <c r="AZ163" i="5"/>
  <c r="BL163" i="5"/>
  <c r="BM163" i="5"/>
  <c r="BN163" i="5"/>
  <c r="BO163" i="5"/>
  <c r="BP163" i="5"/>
  <c r="BQ163" i="5"/>
  <c r="BR163" i="5"/>
  <c r="BU163" i="5"/>
  <c r="AU164" i="5"/>
  <c r="AV164" i="5"/>
  <c r="AW164" i="5"/>
  <c r="AX164" i="5"/>
  <c r="AZ164" i="5"/>
  <c r="BL164" i="5"/>
  <c r="BM164" i="5"/>
  <c r="BN164" i="5"/>
  <c r="BO164" i="5"/>
  <c r="BP164" i="5"/>
  <c r="BQ164" i="5"/>
  <c r="BR164" i="5"/>
  <c r="BU164" i="5"/>
  <c r="AU165" i="5"/>
  <c r="AV165" i="5"/>
  <c r="AW165" i="5"/>
  <c r="AX165" i="5"/>
  <c r="AZ165" i="5"/>
  <c r="BL165" i="5"/>
  <c r="BM165" i="5"/>
  <c r="BN165" i="5"/>
  <c r="BO165" i="5"/>
  <c r="BP165" i="5"/>
  <c r="BQ165" i="5"/>
  <c r="BR165" i="5"/>
  <c r="BU165" i="5"/>
  <c r="AU166" i="5"/>
  <c r="AV166" i="5"/>
  <c r="AW166" i="5"/>
  <c r="AX166" i="5"/>
  <c r="AZ166" i="5"/>
  <c r="BL166" i="5"/>
  <c r="BM166" i="5"/>
  <c r="BN166" i="5"/>
  <c r="BO166" i="5"/>
  <c r="BP166" i="5"/>
  <c r="BQ166" i="5"/>
  <c r="BR166" i="5"/>
  <c r="BU166" i="5"/>
  <c r="AU167" i="5"/>
  <c r="AV167" i="5"/>
  <c r="AW167" i="5"/>
  <c r="AX167" i="5"/>
  <c r="AZ167" i="5"/>
  <c r="BL167" i="5"/>
  <c r="BM167" i="5"/>
  <c r="BN167" i="5"/>
  <c r="BO167" i="5"/>
  <c r="BP167" i="5"/>
  <c r="BQ167" i="5"/>
  <c r="BR167" i="5"/>
  <c r="BU167" i="5"/>
  <c r="AU168" i="5"/>
  <c r="AV168" i="5"/>
  <c r="AW168" i="5"/>
  <c r="AX168" i="5"/>
  <c r="AZ168" i="5"/>
  <c r="BL168" i="5"/>
  <c r="BM168" i="5"/>
  <c r="BN168" i="5"/>
  <c r="BO168" i="5"/>
  <c r="BP168" i="5"/>
  <c r="BQ168" i="5"/>
  <c r="BR168" i="5"/>
  <c r="BU168" i="5"/>
  <c r="AU169" i="5"/>
  <c r="AV169" i="5"/>
  <c r="AW169" i="5"/>
  <c r="AX169" i="5"/>
  <c r="AZ169" i="5"/>
  <c r="BL169" i="5"/>
  <c r="BM169" i="5"/>
  <c r="BN169" i="5"/>
  <c r="BO169" i="5"/>
  <c r="BP169" i="5"/>
  <c r="BQ169" i="5"/>
  <c r="BR169" i="5"/>
  <c r="BU169" i="5"/>
  <c r="AU170" i="5"/>
  <c r="AV170" i="5"/>
  <c r="AW170" i="5"/>
  <c r="AX170" i="5"/>
  <c r="AZ170" i="5"/>
  <c r="BL170" i="5"/>
  <c r="BM170" i="5"/>
  <c r="BN170" i="5"/>
  <c r="BO170" i="5"/>
  <c r="BP170" i="5"/>
  <c r="BQ170" i="5"/>
  <c r="BR170" i="5"/>
  <c r="BU170" i="5"/>
  <c r="AU171" i="5"/>
  <c r="AV171" i="5"/>
  <c r="AW171" i="5"/>
  <c r="AX171" i="5"/>
  <c r="AZ171" i="5"/>
  <c r="BL171" i="5"/>
  <c r="BM171" i="5"/>
  <c r="BN171" i="5"/>
  <c r="BO171" i="5"/>
  <c r="BP171" i="5"/>
  <c r="BQ171" i="5"/>
  <c r="BR171" i="5"/>
  <c r="BU171" i="5"/>
  <c r="AU172" i="5"/>
  <c r="AV172" i="5"/>
  <c r="AW172" i="5"/>
  <c r="AX172" i="5"/>
  <c r="AZ172" i="5"/>
  <c r="BL172" i="5"/>
  <c r="BM172" i="5"/>
  <c r="BN172" i="5"/>
  <c r="BO172" i="5"/>
  <c r="BP172" i="5"/>
  <c r="BQ172" i="5"/>
  <c r="BR172" i="5"/>
  <c r="BU172" i="5"/>
  <c r="AU173" i="5"/>
  <c r="AV173" i="5"/>
  <c r="AW173" i="5"/>
  <c r="AX173" i="5"/>
  <c r="AZ173" i="5"/>
  <c r="BL173" i="5"/>
  <c r="BM173" i="5"/>
  <c r="BN173" i="5"/>
  <c r="BO173" i="5"/>
  <c r="BP173" i="5"/>
  <c r="BQ173" i="5"/>
  <c r="BR173" i="5"/>
  <c r="BU173" i="5"/>
  <c r="AU174" i="5"/>
  <c r="AV174" i="5"/>
  <c r="AW174" i="5"/>
  <c r="AX174" i="5"/>
  <c r="AZ174" i="5"/>
  <c r="BL174" i="5"/>
  <c r="BM174" i="5"/>
  <c r="BN174" i="5"/>
  <c r="BO174" i="5"/>
  <c r="BP174" i="5"/>
  <c r="BQ174" i="5"/>
  <c r="BR174" i="5"/>
  <c r="BU174" i="5"/>
  <c r="AU175" i="5"/>
  <c r="AV175" i="5"/>
  <c r="AW175" i="5"/>
  <c r="AX175" i="5"/>
  <c r="AZ175" i="5"/>
  <c r="BL175" i="5"/>
  <c r="BM175" i="5"/>
  <c r="BN175" i="5"/>
  <c r="BO175" i="5"/>
  <c r="BP175" i="5"/>
  <c r="BQ175" i="5"/>
  <c r="BR175" i="5"/>
  <c r="BU175" i="5"/>
  <c r="AU176" i="5"/>
  <c r="AV176" i="5"/>
  <c r="AW176" i="5"/>
  <c r="AX176" i="5"/>
  <c r="AZ176" i="5"/>
  <c r="BL176" i="5"/>
  <c r="BM176" i="5"/>
  <c r="BN176" i="5"/>
  <c r="BO176" i="5"/>
  <c r="BP176" i="5"/>
  <c r="BQ176" i="5"/>
  <c r="BR176" i="5"/>
  <c r="BU176" i="5"/>
  <c r="AU177" i="5"/>
  <c r="AV177" i="5"/>
  <c r="AW177" i="5"/>
  <c r="AX177" i="5"/>
  <c r="AZ177" i="5"/>
  <c r="BL177" i="5"/>
  <c r="BM177" i="5"/>
  <c r="BN177" i="5"/>
  <c r="BO177" i="5"/>
  <c r="BP177" i="5"/>
  <c r="BQ177" i="5"/>
  <c r="BR177" i="5"/>
  <c r="BU177" i="5"/>
  <c r="AU178" i="5"/>
  <c r="AV178" i="5"/>
  <c r="AW178" i="5"/>
  <c r="AX178" i="5"/>
  <c r="AZ178" i="5"/>
  <c r="BL178" i="5"/>
  <c r="BM178" i="5"/>
  <c r="BN178" i="5"/>
  <c r="BO178" i="5"/>
  <c r="BP178" i="5"/>
  <c r="BQ178" i="5"/>
  <c r="BR178" i="5"/>
  <c r="BU178" i="5"/>
  <c r="AU179" i="5"/>
  <c r="AV179" i="5"/>
  <c r="AW179" i="5"/>
  <c r="AX179" i="5"/>
  <c r="AZ179" i="5"/>
  <c r="BL179" i="5"/>
  <c r="BM179" i="5"/>
  <c r="BN179" i="5"/>
  <c r="BO179" i="5"/>
  <c r="BP179" i="5"/>
  <c r="BQ179" i="5"/>
  <c r="BR179" i="5"/>
  <c r="BU179" i="5"/>
  <c r="AU180" i="5"/>
  <c r="AV180" i="5"/>
  <c r="AW180" i="5"/>
  <c r="AX180" i="5"/>
  <c r="AZ180" i="5"/>
  <c r="BL180" i="5"/>
  <c r="BM180" i="5"/>
  <c r="BN180" i="5"/>
  <c r="BO180" i="5"/>
  <c r="BP180" i="5"/>
  <c r="BQ180" i="5"/>
  <c r="BR180" i="5"/>
  <c r="BU180" i="5"/>
  <c r="AU181" i="5"/>
  <c r="AV181" i="5"/>
  <c r="AW181" i="5"/>
  <c r="AX181" i="5"/>
  <c r="AZ181" i="5"/>
  <c r="BL181" i="5"/>
  <c r="BM181" i="5"/>
  <c r="BN181" i="5"/>
  <c r="BO181" i="5"/>
  <c r="BP181" i="5"/>
  <c r="BQ181" i="5"/>
  <c r="BR181" i="5"/>
  <c r="BU181" i="5"/>
  <c r="AU182" i="5"/>
  <c r="AV182" i="5"/>
  <c r="AW182" i="5"/>
  <c r="AX182" i="5"/>
  <c r="AZ182" i="5"/>
  <c r="BL182" i="5"/>
  <c r="BM182" i="5"/>
  <c r="BN182" i="5"/>
  <c r="BO182" i="5"/>
  <c r="BP182" i="5"/>
  <c r="BQ182" i="5"/>
  <c r="BR182" i="5"/>
  <c r="BU182" i="5"/>
  <c r="AU183" i="5"/>
  <c r="AV183" i="5"/>
  <c r="AW183" i="5"/>
  <c r="AX183" i="5"/>
  <c r="AZ183" i="5"/>
  <c r="BL183" i="5"/>
  <c r="BM183" i="5"/>
  <c r="BN183" i="5"/>
  <c r="BO183" i="5"/>
  <c r="BP183" i="5"/>
  <c r="BQ183" i="5"/>
  <c r="BR183" i="5"/>
  <c r="BU183" i="5"/>
  <c r="AU184" i="5"/>
  <c r="AV184" i="5"/>
  <c r="AW184" i="5"/>
  <c r="AX184" i="5"/>
  <c r="AZ184" i="5"/>
  <c r="BL184" i="5"/>
  <c r="BM184" i="5"/>
  <c r="BN184" i="5"/>
  <c r="BO184" i="5"/>
  <c r="BP184" i="5"/>
  <c r="BQ184" i="5"/>
  <c r="BR184" i="5"/>
  <c r="BU184" i="5"/>
  <c r="AU185" i="5"/>
  <c r="AV185" i="5"/>
  <c r="AW185" i="5"/>
  <c r="AX185" i="5"/>
  <c r="AZ185" i="5"/>
  <c r="BL185" i="5"/>
  <c r="BM185" i="5"/>
  <c r="BN185" i="5"/>
  <c r="BO185" i="5"/>
  <c r="BP185" i="5"/>
  <c r="BQ185" i="5"/>
  <c r="BR185" i="5"/>
  <c r="BU185" i="5"/>
  <c r="AU186" i="5"/>
  <c r="AV186" i="5"/>
  <c r="AW186" i="5"/>
  <c r="AX186" i="5"/>
  <c r="AZ186" i="5"/>
  <c r="BL186" i="5"/>
  <c r="BM186" i="5"/>
  <c r="BN186" i="5"/>
  <c r="BO186" i="5"/>
  <c r="BP186" i="5"/>
  <c r="BQ186" i="5"/>
  <c r="BR186" i="5"/>
  <c r="BU186" i="5"/>
  <c r="AU187" i="5"/>
  <c r="AV187" i="5"/>
  <c r="AW187" i="5"/>
  <c r="AX187" i="5"/>
  <c r="AZ187" i="5"/>
  <c r="BL187" i="5"/>
  <c r="BM187" i="5"/>
  <c r="BN187" i="5"/>
  <c r="BO187" i="5"/>
  <c r="BP187" i="5"/>
  <c r="BQ187" i="5"/>
  <c r="BR187" i="5"/>
  <c r="BU187" i="5"/>
  <c r="AU188" i="5"/>
  <c r="AV188" i="5"/>
  <c r="AW188" i="5"/>
  <c r="AX188" i="5"/>
  <c r="AZ188" i="5"/>
  <c r="BL188" i="5"/>
  <c r="BM188" i="5"/>
  <c r="BN188" i="5"/>
  <c r="BO188" i="5"/>
  <c r="BP188" i="5"/>
  <c r="BQ188" i="5"/>
  <c r="BR188" i="5"/>
  <c r="BU188" i="5"/>
  <c r="AU189" i="5"/>
  <c r="AV189" i="5"/>
  <c r="AW189" i="5"/>
  <c r="AX189" i="5"/>
  <c r="AZ189" i="5"/>
  <c r="BL189" i="5"/>
  <c r="BM189" i="5"/>
  <c r="BN189" i="5"/>
  <c r="BO189" i="5"/>
  <c r="BP189" i="5"/>
  <c r="BQ189" i="5"/>
  <c r="BR189" i="5"/>
  <c r="BU189" i="5"/>
  <c r="AU190" i="5"/>
  <c r="AV190" i="5"/>
  <c r="AW190" i="5"/>
  <c r="AX190" i="5"/>
  <c r="AZ190" i="5"/>
  <c r="BL190" i="5"/>
  <c r="BM190" i="5"/>
  <c r="BN190" i="5"/>
  <c r="BO190" i="5"/>
  <c r="BP190" i="5"/>
  <c r="BQ190" i="5"/>
  <c r="BR190" i="5"/>
  <c r="BU190" i="5"/>
  <c r="AU191" i="5"/>
  <c r="AV191" i="5"/>
  <c r="AW191" i="5"/>
  <c r="AX191" i="5"/>
  <c r="AZ191" i="5"/>
  <c r="BL191" i="5"/>
  <c r="BM191" i="5"/>
  <c r="BN191" i="5"/>
  <c r="BO191" i="5"/>
  <c r="BP191" i="5"/>
  <c r="BQ191" i="5"/>
  <c r="BR191" i="5"/>
  <c r="BU191" i="5"/>
  <c r="AU192" i="5"/>
  <c r="AV192" i="5"/>
  <c r="AW192" i="5"/>
  <c r="AX192" i="5"/>
  <c r="AZ192" i="5"/>
  <c r="BL192" i="5"/>
  <c r="BM192" i="5"/>
  <c r="BN192" i="5"/>
  <c r="BO192" i="5"/>
  <c r="BP192" i="5"/>
  <c r="BQ192" i="5"/>
  <c r="BR192" i="5"/>
  <c r="BU192" i="5"/>
  <c r="AU193" i="5"/>
  <c r="AV193" i="5"/>
  <c r="AW193" i="5"/>
  <c r="AX193" i="5"/>
  <c r="AZ193" i="5"/>
  <c r="BL193" i="5"/>
  <c r="BM193" i="5"/>
  <c r="BN193" i="5"/>
  <c r="BO193" i="5"/>
  <c r="BP193" i="5"/>
  <c r="BQ193" i="5"/>
  <c r="BR193" i="5"/>
  <c r="BU193" i="5"/>
  <c r="AU194" i="5"/>
  <c r="AV194" i="5"/>
  <c r="AW194" i="5"/>
  <c r="AX194" i="5"/>
  <c r="AZ194" i="5"/>
  <c r="BL194" i="5"/>
  <c r="BM194" i="5"/>
  <c r="BN194" i="5"/>
  <c r="BO194" i="5"/>
  <c r="BP194" i="5"/>
  <c r="BQ194" i="5"/>
  <c r="BR194" i="5"/>
  <c r="BU194" i="5"/>
  <c r="AU195" i="5"/>
  <c r="AV195" i="5"/>
  <c r="AW195" i="5"/>
  <c r="AX195" i="5"/>
  <c r="AZ195" i="5"/>
  <c r="BL195" i="5"/>
  <c r="BM195" i="5"/>
  <c r="BN195" i="5"/>
  <c r="BO195" i="5"/>
  <c r="BP195" i="5"/>
  <c r="BQ195" i="5"/>
  <c r="BR195" i="5"/>
  <c r="BU195" i="5"/>
  <c r="AU196" i="5"/>
  <c r="AV196" i="5"/>
  <c r="AW196" i="5"/>
  <c r="AX196" i="5"/>
  <c r="AZ196" i="5"/>
  <c r="BL196" i="5"/>
  <c r="BM196" i="5"/>
  <c r="BN196" i="5"/>
  <c r="BO196" i="5"/>
  <c r="BP196" i="5"/>
  <c r="BQ196" i="5"/>
  <c r="BR196" i="5"/>
  <c r="BU196" i="5"/>
  <c r="AU197" i="5"/>
  <c r="AV197" i="5"/>
  <c r="AW197" i="5"/>
  <c r="AX197" i="5"/>
  <c r="AZ197" i="5"/>
  <c r="BL197" i="5"/>
  <c r="BM197" i="5"/>
  <c r="BN197" i="5"/>
  <c r="BO197" i="5"/>
  <c r="BP197" i="5"/>
  <c r="BQ197" i="5"/>
  <c r="BR197" i="5"/>
  <c r="BU197" i="5"/>
  <c r="AU198" i="5"/>
  <c r="AV198" i="5"/>
  <c r="AW198" i="5"/>
  <c r="AX198" i="5"/>
  <c r="AZ198" i="5"/>
  <c r="BL198" i="5"/>
  <c r="BM198" i="5"/>
  <c r="BN198" i="5"/>
  <c r="BO198" i="5"/>
  <c r="BP198" i="5"/>
  <c r="BQ198" i="5"/>
  <c r="BR198" i="5"/>
  <c r="BU198" i="5"/>
  <c r="AU199" i="5"/>
  <c r="AV199" i="5"/>
  <c r="AW199" i="5"/>
  <c r="AX199" i="5"/>
  <c r="AZ199" i="5"/>
  <c r="BL199" i="5"/>
  <c r="BM199" i="5"/>
  <c r="BN199" i="5"/>
  <c r="BO199" i="5"/>
  <c r="BP199" i="5"/>
  <c r="BQ199" i="5"/>
  <c r="BR199" i="5"/>
  <c r="BU199" i="5"/>
  <c r="AU200" i="5"/>
  <c r="AV200" i="5"/>
  <c r="AW200" i="5"/>
  <c r="AX200" i="5"/>
  <c r="AZ200" i="5"/>
  <c r="BL200" i="5"/>
  <c r="BM200" i="5"/>
  <c r="BN200" i="5"/>
  <c r="BO200" i="5"/>
  <c r="BP200" i="5"/>
  <c r="BQ200" i="5"/>
  <c r="BR200" i="5"/>
  <c r="BU200" i="5"/>
  <c r="AU201" i="5"/>
  <c r="AV201" i="5"/>
  <c r="AW201" i="5"/>
  <c r="AX201" i="5"/>
  <c r="AZ201" i="5"/>
  <c r="BL201" i="5"/>
  <c r="BM201" i="5"/>
  <c r="BN201" i="5"/>
  <c r="BO201" i="5"/>
  <c r="BP201" i="5"/>
  <c r="BQ201" i="5"/>
  <c r="BR201" i="5"/>
  <c r="BU201" i="5"/>
  <c r="AU202" i="5"/>
  <c r="AV202" i="5"/>
  <c r="AW202" i="5"/>
  <c r="AX202" i="5"/>
  <c r="AZ202" i="5"/>
  <c r="BL202" i="5"/>
  <c r="BM202" i="5"/>
  <c r="BN202" i="5"/>
  <c r="BO202" i="5"/>
  <c r="BP202" i="5"/>
  <c r="BQ202" i="5"/>
  <c r="BR202" i="5"/>
  <c r="BU202" i="5"/>
  <c r="AU203" i="5"/>
  <c r="AV203" i="5"/>
  <c r="AW203" i="5"/>
  <c r="AX203" i="5"/>
  <c r="AZ203" i="5"/>
  <c r="BL203" i="5"/>
  <c r="BM203" i="5"/>
  <c r="BN203" i="5"/>
  <c r="BO203" i="5"/>
  <c r="BP203" i="5"/>
  <c r="BQ203" i="5"/>
  <c r="BR203" i="5"/>
  <c r="BU203" i="5"/>
  <c r="AU204" i="5"/>
  <c r="AV204" i="5"/>
  <c r="AW204" i="5"/>
  <c r="AX204" i="5"/>
  <c r="AZ204" i="5"/>
  <c r="BL204" i="5"/>
  <c r="BM204" i="5"/>
  <c r="BN204" i="5"/>
  <c r="BO204" i="5"/>
  <c r="BP204" i="5"/>
  <c r="BQ204" i="5"/>
  <c r="BR204" i="5"/>
  <c r="BU204" i="5"/>
  <c r="AU205" i="5"/>
  <c r="AV205" i="5"/>
  <c r="AW205" i="5"/>
  <c r="AX205" i="5"/>
  <c r="AZ205" i="5"/>
  <c r="BL205" i="5"/>
  <c r="BM205" i="5"/>
  <c r="BN205" i="5"/>
  <c r="BO205" i="5"/>
  <c r="BP205" i="5"/>
  <c r="BQ205" i="5"/>
  <c r="BR205" i="5"/>
  <c r="BU205" i="5"/>
  <c r="AU206" i="5"/>
  <c r="AV206" i="5"/>
  <c r="AW206" i="5"/>
  <c r="AX206" i="5"/>
  <c r="AZ206" i="5"/>
  <c r="BL206" i="5"/>
  <c r="BM206" i="5"/>
  <c r="BN206" i="5"/>
  <c r="BO206" i="5"/>
  <c r="BP206" i="5"/>
  <c r="BQ206" i="5"/>
  <c r="BR206" i="5"/>
  <c r="BU206" i="5"/>
  <c r="AU207" i="5"/>
  <c r="AV207" i="5"/>
  <c r="AW207" i="5"/>
  <c r="AX207" i="5"/>
  <c r="AZ207" i="5"/>
  <c r="BL207" i="5"/>
  <c r="BM207" i="5"/>
  <c r="BN207" i="5"/>
  <c r="BO207" i="5"/>
  <c r="BP207" i="5"/>
  <c r="BQ207" i="5"/>
  <c r="BR207" i="5"/>
  <c r="BU207" i="5"/>
  <c r="AU208" i="5"/>
  <c r="AV208" i="5"/>
  <c r="AW208" i="5"/>
  <c r="AX208" i="5"/>
  <c r="AZ208" i="5"/>
  <c r="BL208" i="5"/>
  <c r="BM208" i="5"/>
  <c r="BN208" i="5"/>
  <c r="BO208" i="5"/>
  <c r="BP208" i="5"/>
  <c r="BQ208" i="5"/>
  <c r="BR208" i="5"/>
  <c r="BU208" i="5"/>
  <c r="AU209" i="5"/>
  <c r="AV209" i="5"/>
  <c r="AW209" i="5"/>
  <c r="AX209" i="5"/>
  <c r="AZ209" i="5"/>
  <c r="BL209" i="5"/>
  <c r="BM209" i="5"/>
  <c r="BN209" i="5"/>
  <c r="BO209" i="5"/>
  <c r="BP209" i="5"/>
  <c r="BQ209" i="5"/>
  <c r="BR209" i="5"/>
  <c r="BU209" i="5"/>
  <c r="AU210" i="5"/>
  <c r="AV210" i="5"/>
  <c r="AW210" i="5"/>
  <c r="AX210" i="5"/>
  <c r="AZ210" i="5"/>
  <c r="BL210" i="5"/>
  <c r="BM210" i="5"/>
  <c r="BN210" i="5"/>
  <c r="BO210" i="5"/>
  <c r="BP210" i="5"/>
  <c r="BQ210" i="5"/>
  <c r="BR210" i="5"/>
  <c r="BU210" i="5"/>
  <c r="AU211" i="5"/>
  <c r="AV211" i="5"/>
  <c r="AW211" i="5"/>
  <c r="AX211" i="5"/>
  <c r="AZ211" i="5"/>
  <c r="BL211" i="5"/>
  <c r="BM211" i="5"/>
  <c r="BN211" i="5"/>
  <c r="BO211" i="5"/>
  <c r="BP211" i="5"/>
  <c r="BQ211" i="5"/>
  <c r="BR211" i="5"/>
  <c r="BU211" i="5"/>
  <c r="AU212" i="5"/>
  <c r="AV212" i="5"/>
  <c r="AW212" i="5"/>
  <c r="AX212" i="5"/>
  <c r="AZ212" i="5"/>
  <c r="BL212" i="5"/>
  <c r="BM212" i="5"/>
  <c r="BN212" i="5"/>
  <c r="BO212" i="5"/>
  <c r="BP212" i="5"/>
  <c r="BQ212" i="5"/>
  <c r="BR212" i="5"/>
  <c r="BU212" i="5"/>
  <c r="AU213" i="5"/>
  <c r="AV213" i="5"/>
  <c r="AW213" i="5"/>
  <c r="AX213" i="5"/>
  <c r="AZ213" i="5"/>
  <c r="BL213" i="5"/>
  <c r="BM213" i="5"/>
  <c r="BN213" i="5"/>
  <c r="BO213" i="5"/>
  <c r="BP213" i="5"/>
  <c r="BQ213" i="5"/>
  <c r="BR213" i="5"/>
  <c r="BU213" i="5"/>
  <c r="AU214" i="5"/>
  <c r="AV214" i="5"/>
  <c r="AW214" i="5"/>
  <c r="AX214" i="5"/>
  <c r="AZ214" i="5"/>
  <c r="BL214" i="5"/>
  <c r="BM214" i="5"/>
  <c r="BN214" i="5"/>
  <c r="BO214" i="5"/>
  <c r="BP214" i="5"/>
  <c r="BQ214" i="5"/>
  <c r="BR214" i="5"/>
  <c r="BU214" i="5"/>
  <c r="AU215" i="5"/>
  <c r="AV215" i="5"/>
  <c r="AW215" i="5"/>
  <c r="AX215" i="5"/>
  <c r="AZ215" i="5"/>
  <c r="BL215" i="5"/>
  <c r="BM215" i="5"/>
  <c r="BN215" i="5"/>
  <c r="BO215" i="5"/>
  <c r="BP215" i="5"/>
  <c r="BQ215" i="5"/>
  <c r="BR215" i="5"/>
  <c r="BU215" i="5"/>
  <c r="AU216" i="5"/>
  <c r="AV216" i="5"/>
  <c r="AW216" i="5"/>
  <c r="AX216" i="5"/>
  <c r="AZ216" i="5"/>
  <c r="BL216" i="5"/>
  <c r="BM216" i="5"/>
  <c r="BN216" i="5"/>
  <c r="BO216" i="5"/>
  <c r="BP216" i="5"/>
  <c r="BQ216" i="5"/>
  <c r="BR216" i="5"/>
  <c r="BU216" i="5"/>
  <c r="AU217" i="5"/>
  <c r="AV217" i="5"/>
  <c r="AW217" i="5"/>
  <c r="AX217" i="5"/>
  <c r="AZ217" i="5"/>
  <c r="BL217" i="5"/>
  <c r="BM217" i="5"/>
  <c r="BN217" i="5"/>
  <c r="BO217" i="5"/>
  <c r="BP217" i="5"/>
  <c r="BQ217" i="5"/>
  <c r="BR217" i="5"/>
  <c r="BU217" i="5"/>
  <c r="AU218" i="5"/>
  <c r="AV218" i="5"/>
  <c r="AW218" i="5"/>
  <c r="AX218" i="5"/>
  <c r="AZ218" i="5"/>
  <c r="BL218" i="5"/>
  <c r="BM218" i="5"/>
  <c r="BN218" i="5"/>
  <c r="BO218" i="5"/>
  <c r="BP218" i="5"/>
  <c r="BQ218" i="5"/>
  <c r="BR218" i="5"/>
  <c r="BU218" i="5"/>
  <c r="AU219" i="5"/>
  <c r="AV219" i="5"/>
  <c r="AW219" i="5"/>
  <c r="AX219" i="5"/>
  <c r="AZ219" i="5"/>
  <c r="BL219" i="5"/>
  <c r="BM219" i="5"/>
  <c r="BN219" i="5"/>
  <c r="BO219" i="5"/>
  <c r="BP219" i="5"/>
  <c r="BQ219" i="5"/>
  <c r="BR219" i="5"/>
  <c r="BU219" i="5"/>
  <c r="AU220" i="5"/>
  <c r="AV220" i="5"/>
  <c r="AW220" i="5"/>
  <c r="AX220" i="5"/>
  <c r="AZ220" i="5"/>
  <c r="BL220" i="5"/>
  <c r="BM220" i="5"/>
  <c r="BN220" i="5"/>
  <c r="BO220" i="5"/>
  <c r="BP220" i="5"/>
  <c r="BQ220" i="5"/>
  <c r="BR220" i="5"/>
  <c r="BU220" i="5"/>
  <c r="AU221" i="5"/>
  <c r="AV221" i="5"/>
  <c r="AW221" i="5"/>
  <c r="AX221" i="5"/>
  <c r="AZ221" i="5"/>
  <c r="BL221" i="5"/>
  <c r="BM221" i="5"/>
  <c r="BN221" i="5"/>
  <c r="BO221" i="5"/>
  <c r="BP221" i="5"/>
  <c r="BQ221" i="5"/>
  <c r="BR221" i="5"/>
  <c r="BU221" i="5"/>
  <c r="AU222" i="5"/>
  <c r="AV222" i="5"/>
  <c r="AW222" i="5"/>
  <c r="AX222" i="5"/>
  <c r="AZ222" i="5"/>
  <c r="BL222" i="5"/>
  <c r="BM222" i="5"/>
  <c r="BN222" i="5"/>
  <c r="BO222" i="5"/>
  <c r="BP222" i="5"/>
  <c r="BQ222" i="5"/>
  <c r="BR222" i="5"/>
  <c r="BU222" i="5"/>
  <c r="AU223" i="5"/>
  <c r="AV223" i="5"/>
  <c r="AW223" i="5"/>
  <c r="AX223" i="5"/>
  <c r="AZ223" i="5"/>
  <c r="BL223" i="5"/>
  <c r="BM223" i="5"/>
  <c r="BN223" i="5"/>
  <c r="BO223" i="5"/>
  <c r="BP223" i="5"/>
  <c r="BQ223" i="5"/>
  <c r="BR223" i="5"/>
  <c r="BU223" i="5"/>
  <c r="AU224" i="5"/>
  <c r="AV224" i="5"/>
  <c r="AW224" i="5"/>
  <c r="AX224" i="5"/>
  <c r="AZ224" i="5"/>
  <c r="BL224" i="5"/>
  <c r="BM224" i="5"/>
  <c r="BN224" i="5"/>
  <c r="BO224" i="5"/>
  <c r="BP224" i="5"/>
  <c r="BQ224" i="5"/>
  <c r="BR224" i="5"/>
  <c r="BU224" i="5"/>
  <c r="AU225" i="5"/>
  <c r="AV225" i="5"/>
  <c r="AW225" i="5"/>
  <c r="AX225" i="5"/>
  <c r="AZ225" i="5"/>
  <c r="BL225" i="5"/>
  <c r="BM225" i="5"/>
  <c r="BN225" i="5"/>
  <c r="BO225" i="5"/>
  <c r="BP225" i="5"/>
  <c r="BQ225" i="5"/>
  <c r="BR225" i="5"/>
  <c r="BU225" i="5"/>
  <c r="AU226" i="5"/>
  <c r="AV226" i="5"/>
  <c r="AW226" i="5"/>
  <c r="AX226" i="5"/>
  <c r="AZ226" i="5"/>
  <c r="BL226" i="5"/>
  <c r="BM226" i="5"/>
  <c r="BN226" i="5"/>
  <c r="BO226" i="5"/>
  <c r="BP226" i="5"/>
  <c r="BQ226" i="5"/>
  <c r="BR226" i="5"/>
  <c r="BU226" i="5"/>
  <c r="AU227" i="5"/>
  <c r="AV227" i="5"/>
  <c r="AW227" i="5"/>
  <c r="AX227" i="5"/>
  <c r="AZ227" i="5"/>
  <c r="BL227" i="5"/>
  <c r="BM227" i="5"/>
  <c r="BN227" i="5"/>
  <c r="BO227" i="5"/>
  <c r="BP227" i="5"/>
  <c r="BQ227" i="5"/>
  <c r="BR227" i="5"/>
  <c r="BU227" i="5"/>
  <c r="AU228" i="5"/>
  <c r="AV228" i="5"/>
  <c r="AW228" i="5"/>
  <c r="AX228" i="5"/>
  <c r="AZ228" i="5"/>
  <c r="BL228" i="5"/>
  <c r="BM228" i="5"/>
  <c r="BN228" i="5"/>
  <c r="BO228" i="5"/>
  <c r="BP228" i="5"/>
  <c r="BQ228" i="5"/>
  <c r="BR228" i="5"/>
  <c r="BU228" i="5"/>
  <c r="AU229" i="5"/>
  <c r="AV229" i="5"/>
  <c r="AW229" i="5"/>
  <c r="AX229" i="5"/>
  <c r="AZ229" i="5"/>
  <c r="BL229" i="5"/>
  <c r="BM229" i="5"/>
  <c r="BN229" i="5"/>
  <c r="BO229" i="5"/>
  <c r="BP229" i="5"/>
  <c r="BQ229" i="5"/>
  <c r="BR229" i="5"/>
  <c r="BU229" i="5"/>
  <c r="AU230" i="5"/>
  <c r="AV230" i="5"/>
  <c r="AW230" i="5"/>
  <c r="AX230" i="5"/>
  <c r="AZ230" i="5"/>
  <c r="BL230" i="5"/>
  <c r="BM230" i="5"/>
  <c r="BN230" i="5"/>
  <c r="BO230" i="5"/>
  <c r="BP230" i="5"/>
  <c r="BQ230" i="5"/>
  <c r="BR230" i="5"/>
  <c r="BU230" i="5"/>
  <c r="AU231" i="5"/>
  <c r="AV231" i="5"/>
  <c r="AW231" i="5"/>
  <c r="AX231" i="5"/>
  <c r="AZ231" i="5"/>
  <c r="BL231" i="5"/>
  <c r="BM231" i="5"/>
  <c r="BN231" i="5"/>
  <c r="BO231" i="5"/>
  <c r="BP231" i="5"/>
  <c r="BQ231" i="5"/>
  <c r="BR231" i="5"/>
  <c r="BU231" i="5"/>
  <c r="AU232" i="5"/>
  <c r="AV232" i="5"/>
  <c r="AW232" i="5"/>
  <c r="AX232" i="5"/>
  <c r="AZ232" i="5"/>
  <c r="BL232" i="5"/>
  <c r="BM232" i="5"/>
  <c r="BN232" i="5"/>
  <c r="BO232" i="5"/>
  <c r="BP232" i="5"/>
  <c r="BQ232" i="5"/>
  <c r="BR232" i="5"/>
  <c r="BU232" i="5"/>
  <c r="AU233" i="5"/>
  <c r="AV233" i="5"/>
  <c r="AW233" i="5"/>
  <c r="AX233" i="5"/>
  <c r="AZ233" i="5"/>
  <c r="BL233" i="5"/>
  <c r="BM233" i="5"/>
  <c r="BN233" i="5"/>
  <c r="BO233" i="5"/>
  <c r="BP233" i="5"/>
  <c r="BQ233" i="5"/>
  <c r="BR233" i="5"/>
  <c r="BU233" i="5"/>
  <c r="AU234" i="5"/>
  <c r="AV234" i="5"/>
  <c r="AW234" i="5"/>
  <c r="AX234" i="5"/>
  <c r="AZ234" i="5"/>
  <c r="BL234" i="5"/>
  <c r="BM234" i="5"/>
  <c r="BN234" i="5"/>
  <c r="BO234" i="5"/>
  <c r="BP234" i="5"/>
  <c r="BQ234" i="5"/>
  <c r="BR234" i="5"/>
  <c r="BU234" i="5"/>
  <c r="AU235" i="5"/>
  <c r="AV235" i="5"/>
  <c r="AW235" i="5"/>
  <c r="AX235" i="5"/>
  <c r="AZ235" i="5"/>
  <c r="BL235" i="5"/>
  <c r="BM235" i="5"/>
  <c r="BN235" i="5"/>
  <c r="BO235" i="5"/>
  <c r="BP235" i="5"/>
  <c r="BQ235" i="5"/>
  <c r="BR235" i="5"/>
  <c r="BU235" i="5"/>
  <c r="AU236" i="5"/>
  <c r="AV236" i="5"/>
  <c r="AW236" i="5"/>
  <c r="AX236" i="5"/>
  <c r="AZ236" i="5"/>
  <c r="BL236" i="5"/>
  <c r="BM236" i="5"/>
  <c r="BN236" i="5"/>
  <c r="BO236" i="5"/>
  <c r="BP236" i="5"/>
  <c r="BQ236" i="5"/>
  <c r="BR236" i="5"/>
  <c r="BU236" i="5"/>
  <c r="AU237" i="5"/>
  <c r="AV237" i="5"/>
  <c r="AW237" i="5"/>
  <c r="AX237" i="5"/>
  <c r="AZ237" i="5"/>
  <c r="BL237" i="5"/>
  <c r="BM237" i="5"/>
  <c r="BN237" i="5"/>
  <c r="BO237" i="5"/>
  <c r="BP237" i="5"/>
  <c r="BQ237" i="5"/>
  <c r="BR237" i="5"/>
  <c r="BU237" i="5"/>
  <c r="AU238" i="5"/>
  <c r="AV238" i="5"/>
  <c r="AW238" i="5"/>
  <c r="AX238" i="5"/>
  <c r="AZ238" i="5"/>
  <c r="BL238" i="5"/>
  <c r="BM238" i="5"/>
  <c r="BN238" i="5"/>
  <c r="BO238" i="5"/>
  <c r="BP238" i="5"/>
  <c r="BQ238" i="5"/>
  <c r="BR238" i="5"/>
  <c r="BU238" i="5"/>
  <c r="AU239" i="5"/>
  <c r="AV239" i="5"/>
  <c r="AW239" i="5"/>
  <c r="AX239" i="5"/>
  <c r="AZ239" i="5"/>
  <c r="BL239" i="5"/>
  <c r="BM239" i="5"/>
  <c r="BN239" i="5"/>
  <c r="BO239" i="5"/>
  <c r="BP239" i="5"/>
  <c r="BQ239" i="5"/>
  <c r="BR239" i="5"/>
  <c r="BU239" i="5"/>
  <c r="AU240" i="5"/>
  <c r="AV240" i="5"/>
  <c r="AW240" i="5"/>
  <c r="AX240" i="5"/>
  <c r="AZ240" i="5"/>
  <c r="BL240" i="5"/>
  <c r="BM240" i="5"/>
  <c r="BN240" i="5"/>
  <c r="BO240" i="5"/>
  <c r="BP240" i="5"/>
  <c r="BQ240" i="5"/>
  <c r="BR240" i="5"/>
  <c r="BU240" i="5"/>
  <c r="AU241" i="5"/>
  <c r="AV241" i="5"/>
  <c r="AW241" i="5"/>
  <c r="AX241" i="5"/>
  <c r="AZ241" i="5"/>
  <c r="BL241" i="5"/>
  <c r="BM241" i="5"/>
  <c r="BN241" i="5"/>
  <c r="BO241" i="5"/>
  <c r="BP241" i="5"/>
  <c r="BQ241" i="5"/>
  <c r="BR241" i="5"/>
  <c r="BU241" i="5"/>
  <c r="AU242" i="5"/>
  <c r="AV242" i="5"/>
  <c r="AW242" i="5"/>
  <c r="AX242" i="5"/>
  <c r="AZ242" i="5"/>
  <c r="BL242" i="5"/>
  <c r="BM242" i="5"/>
  <c r="BN242" i="5"/>
  <c r="BO242" i="5"/>
  <c r="BP242" i="5"/>
  <c r="BQ242" i="5"/>
  <c r="BR242" i="5"/>
  <c r="BU242" i="5"/>
  <c r="AU243" i="5"/>
  <c r="AV243" i="5"/>
  <c r="AW243" i="5"/>
  <c r="AX243" i="5"/>
  <c r="AZ243" i="5"/>
  <c r="BL243" i="5"/>
  <c r="BM243" i="5"/>
  <c r="BN243" i="5"/>
  <c r="BO243" i="5"/>
  <c r="BP243" i="5"/>
  <c r="BQ243" i="5"/>
  <c r="BR243" i="5"/>
  <c r="BU243" i="5"/>
  <c r="AU244" i="5"/>
  <c r="AV244" i="5"/>
  <c r="AW244" i="5"/>
  <c r="AX244" i="5"/>
  <c r="AZ244" i="5"/>
  <c r="BL244" i="5"/>
  <c r="BM244" i="5"/>
  <c r="BN244" i="5"/>
  <c r="BO244" i="5"/>
  <c r="BP244" i="5"/>
  <c r="BQ244" i="5"/>
  <c r="BR244" i="5"/>
  <c r="BU244" i="5"/>
  <c r="AU245" i="5"/>
  <c r="AV245" i="5"/>
  <c r="AW245" i="5"/>
  <c r="AX245" i="5"/>
  <c r="AZ245" i="5"/>
  <c r="BL245" i="5"/>
  <c r="BM245" i="5"/>
  <c r="BN245" i="5"/>
  <c r="BO245" i="5"/>
  <c r="BP245" i="5"/>
  <c r="BQ245" i="5"/>
  <c r="BR245" i="5"/>
  <c r="BU245" i="5"/>
  <c r="AU246" i="5"/>
  <c r="AV246" i="5"/>
  <c r="AW246" i="5"/>
  <c r="AX246" i="5"/>
  <c r="AZ246" i="5"/>
  <c r="BL246" i="5"/>
  <c r="BM246" i="5"/>
  <c r="BN246" i="5"/>
  <c r="BO246" i="5"/>
  <c r="BP246" i="5"/>
  <c r="BQ246" i="5"/>
  <c r="BR246" i="5"/>
  <c r="BU246" i="5"/>
  <c r="AU247" i="5"/>
  <c r="AV247" i="5"/>
  <c r="AW247" i="5"/>
  <c r="AX247" i="5"/>
  <c r="AZ247" i="5"/>
  <c r="BL247" i="5"/>
  <c r="BM247" i="5"/>
  <c r="BN247" i="5"/>
  <c r="BO247" i="5"/>
  <c r="BP247" i="5"/>
  <c r="BQ247" i="5"/>
  <c r="BR247" i="5"/>
  <c r="BU247" i="5"/>
  <c r="AU248" i="5"/>
  <c r="AV248" i="5"/>
  <c r="AW248" i="5"/>
  <c r="AX248" i="5"/>
  <c r="AZ248" i="5"/>
  <c r="BL248" i="5"/>
  <c r="BM248" i="5"/>
  <c r="BN248" i="5"/>
  <c r="BO248" i="5"/>
  <c r="BP248" i="5"/>
  <c r="BQ248" i="5"/>
  <c r="BR248" i="5"/>
  <c r="BU248" i="5"/>
  <c r="AU249" i="5"/>
  <c r="AV249" i="5"/>
  <c r="AW249" i="5"/>
  <c r="AX249" i="5"/>
  <c r="AZ249" i="5"/>
  <c r="BL249" i="5"/>
  <c r="BM249" i="5"/>
  <c r="BN249" i="5"/>
  <c r="BO249" i="5"/>
  <c r="BP249" i="5"/>
  <c r="BQ249" i="5"/>
  <c r="BR249" i="5"/>
  <c r="BU249" i="5"/>
  <c r="AU250" i="5"/>
  <c r="AV250" i="5"/>
  <c r="AW250" i="5"/>
  <c r="AX250" i="5"/>
  <c r="AZ250" i="5"/>
  <c r="BL250" i="5"/>
  <c r="BM250" i="5"/>
  <c r="BN250" i="5"/>
  <c r="BO250" i="5"/>
  <c r="BP250" i="5"/>
  <c r="BQ250" i="5"/>
  <c r="BR250" i="5"/>
  <c r="BU250" i="5"/>
  <c r="AU251" i="5"/>
  <c r="AV251" i="5"/>
  <c r="AW251" i="5"/>
  <c r="AX251" i="5"/>
  <c r="AZ251" i="5"/>
  <c r="BL251" i="5"/>
  <c r="BM251" i="5"/>
  <c r="BN251" i="5"/>
  <c r="BO251" i="5"/>
  <c r="BP251" i="5"/>
  <c r="BQ251" i="5"/>
  <c r="BR251" i="5"/>
  <c r="BU251" i="5"/>
  <c r="AU252" i="5"/>
  <c r="AV252" i="5"/>
  <c r="AW252" i="5"/>
  <c r="AX252" i="5"/>
  <c r="AZ252" i="5"/>
  <c r="BL252" i="5"/>
  <c r="BM252" i="5"/>
  <c r="BN252" i="5"/>
  <c r="BO252" i="5"/>
  <c r="BP252" i="5"/>
  <c r="BQ252" i="5"/>
  <c r="BR252" i="5"/>
  <c r="BU252" i="5"/>
  <c r="AU253" i="5"/>
  <c r="AV253" i="5"/>
  <c r="AW253" i="5"/>
  <c r="AX253" i="5"/>
  <c r="AZ253" i="5"/>
  <c r="BL253" i="5"/>
  <c r="BM253" i="5"/>
  <c r="BN253" i="5"/>
  <c r="BO253" i="5"/>
  <c r="BP253" i="5"/>
  <c r="BQ253" i="5"/>
  <c r="BR253" i="5"/>
  <c r="BU253" i="5"/>
  <c r="AU254" i="5"/>
  <c r="AV254" i="5"/>
  <c r="AW254" i="5"/>
  <c r="AX254" i="5"/>
  <c r="AZ254" i="5"/>
  <c r="BL254" i="5"/>
  <c r="BM254" i="5"/>
  <c r="BN254" i="5"/>
  <c r="BO254" i="5"/>
  <c r="BP254" i="5"/>
  <c r="BQ254" i="5"/>
  <c r="BR254" i="5"/>
  <c r="BU254" i="5"/>
  <c r="AU255" i="5"/>
  <c r="AV255" i="5"/>
  <c r="AW255" i="5"/>
  <c r="AX255" i="5"/>
  <c r="AZ255" i="5"/>
  <c r="BL255" i="5"/>
  <c r="BM255" i="5"/>
  <c r="BN255" i="5"/>
  <c r="BO255" i="5"/>
  <c r="BP255" i="5"/>
  <c r="BQ255" i="5"/>
  <c r="BR255" i="5"/>
  <c r="BU255" i="5"/>
  <c r="AU256" i="5"/>
  <c r="AV256" i="5"/>
  <c r="AW256" i="5"/>
  <c r="AX256" i="5"/>
  <c r="AZ256" i="5"/>
  <c r="BL256" i="5"/>
  <c r="BM256" i="5"/>
  <c r="BN256" i="5"/>
  <c r="BO256" i="5"/>
  <c r="BP256" i="5"/>
  <c r="BQ256" i="5"/>
  <c r="BR256" i="5"/>
  <c r="BU256" i="5"/>
  <c r="AU257" i="5"/>
  <c r="AV257" i="5"/>
  <c r="AW257" i="5"/>
  <c r="AX257" i="5"/>
  <c r="AZ257" i="5"/>
  <c r="BL257" i="5"/>
  <c r="BM257" i="5"/>
  <c r="BN257" i="5"/>
  <c r="BO257" i="5"/>
  <c r="BP257" i="5"/>
  <c r="BQ257" i="5"/>
  <c r="BR257" i="5"/>
  <c r="BU257" i="5"/>
  <c r="AU258" i="5"/>
  <c r="AV258" i="5"/>
  <c r="AW258" i="5"/>
  <c r="AX258" i="5"/>
  <c r="AZ258" i="5"/>
  <c r="BL258" i="5"/>
  <c r="BM258" i="5"/>
  <c r="BN258" i="5"/>
  <c r="BO258" i="5"/>
  <c r="BP258" i="5"/>
  <c r="BQ258" i="5"/>
  <c r="BR258" i="5"/>
  <c r="BU258" i="5"/>
  <c r="AU259" i="5"/>
  <c r="AV259" i="5"/>
  <c r="AW259" i="5"/>
  <c r="AX259" i="5"/>
  <c r="AZ259" i="5"/>
  <c r="BL259" i="5"/>
  <c r="BM259" i="5"/>
  <c r="BN259" i="5"/>
  <c r="BO259" i="5"/>
  <c r="BP259" i="5"/>
  <c r="BQ259" i="5"/>
  <c r="BR259" i="5"/>
  <c r="BU259" i="5"/>
  <c r="AU260" i="5"/>
  <c r="AV260" i="5"/>
  <c r="AW260" i="5"/>
  <c r="AX260" i="5"/>
  <c r="AZ260" i="5"/>
  <c r="BL260" i="5"/>
  <c r="BM260" i="5"/>
  <c r="BN260" i="5"/>
  <c r="BO260" i="5"/>
  <c r="BP260" i="5"/>
  <c r="BQ260" i="5"/>
  <c r="BR260" i="5"/>
  <c r="BU260" i="5"/>
  <c r="AU261" i="5"/>
  <c r="AV261" i="5"/>
  <c r="AW261" i="5"/>
  <c r="AX261" i="5"/>
  <c r="AZ261" i="5"/>
  <c r="BL261" i="5"/>
  <c r="BM261" i="5"/>
  <c r="BN261" i="5"/>
  <c r="BO261" i="5"/>
  <c r="BP261" i="5"/>
  <c r="BQ261" i="5"/>
  <c r="BR261" i="5"/>
  <c r="BU261" i="5"/>
  <c r="AU262" i="5"/>
  <c r="AV262" i="5"/>
  <c r="AW262" i="5"/>
  <c r="AX262" i="5"/>
  <c r="AZ262" i="5"/>
  <c r="BL262" i="5"/>
  <c r="BM262" i="5"/>
  <c r="BN262" i="5"/>
  <c r="BO262" i="5"/>
  <c r="BP262" i="5"/>
  <c r="BQ262" i="5"/>
  <c r="BR262" i="5"/>
  <c r="BU262" i="5"/>
  <c r="AU263" i="5"/>
  <c r="AV263" i="5"/>
  <c r="AW263" i="5"/>
  <c r="AX263" i="5"/>
  <c r="AZ263" i="5"/>
  <c r="BL263" i="5"/>
  <c r="BM263" i="5"/>
  <c r="BN263" i="5"/>
  <c r="BO263" i="5"/>
  <c r="BP263" i="5"/>
  <c r="BQ263" i="5"/>
  <c r="BR263" i="5"/>
  <c r="BU263" i="5"/>
  <c r="AU264" i="5"/>
  <c r="AV264" i="5"/>
  <c r="AW264" i="5"/>
  <c r="AX264" i="5"/>
  <c r="AZ264" i="5"/>
  <c r="BL264" i="5"/>
  <c r="BM264" i="5"/>
  <c r="BN264" i="5"/>
  <c r="BO264" i="5"/>
  <c r="BP264" i="5"/>
  <c r="BQ264" i="5"/>
  <c r="BR264" i="5"/>
  <c r="BU264" i="5"/>
  <c r="AU265" i="5"/>
  <c r="AV265" i="5"/>
  <c r="AW265" i="5"/>
  <c r="AX265" i="5"/>
  <c r="AZ265" i="5"/>
  <c r="BL265" i="5"/>
  <c r="BM265" i="5"/>
  <c r="BN265" i="5"/>
  <c r="BO265" i="5"/>
  <c r="BP265" i="5"/>
  <c r="BQ265" i="5"/>
  <c r="BR265" i="5"/>
  <c r="BU265" i="5"/>
  <c r="AU266" i="5"/>
  <c r="AV266" i="5"/>
  <c r="AW266" i="5"/>
  <c r="AX266" i="5"/>
  <c r="AZ266" i="5"/>
  <c r="BL266" i="5"/>
  <c r="BM266" i="5"/>
  <c r="BN266" i="5"/>
  <c r="BO266" i="5"/>
  <c r="BP266" i="5"/>
  <c r="BQ266" i="5"/>
  <c r="BR266" i="5"/>
  <c r="BU266" i="5"/>
  <c r="AU267" i="5"/>
  <c r="AV267" i="5"/>
  <c r="AW267" i="5"/>
  <c r="AX267" i="5"/>
  <c r="AZ267" i="5"/>
  <c r="BL267" i="5"/>
  <c r="BM267" i="5"/>
  <c r="BN267" i="5"/>
  <c r="BO267" i="5"/>
  <c r="BP267" i="5"/>
  <c r="BQ267" i="5"/>
  <c r="BR267" i="5"/>
  <c r="BU267" i="5"/>
  <c r="AU268" i="5"/>
  <c r="AV268" i="5"/>
  <c r="AW268" i="5"/>
  <c r="AX268" i="5"/>
  <c r="AZ268" i="5"/>
  <c r="BL268" i="5"/>
  <c r="BM268" i="5"/>
  <c r="BN268" i="5"/>
  <c r="BO268" i="5"/>
  <c r="BP268" i="5"/>
  <c r="BQ268" i="5"/>
  <c r="BR268" i="5"/>
  <c r="BU268" i="5"/>
  <c r="AU269" i="5"/>
  <c r="AV269" i="5"/>
  <c r="AW269" i="5"/>
  <c r="AX269" i="5"/>
  <c r="AZ269" i="5"/>
  <c r="BL269" i="5"/>
  <c r="BM269" i="5"/>
  <c r="BN269" i="5"/>
  <c r="BO269" i="5"/>
  <c r="BP269" i="5"/>
  <c r="BQ269" i="5"/>
  <c r="BR269" i="5"/>
  <c r="BU269" i="5"/>
  <c r="AU270" i="5"/>
  <c r="AV270" i="5"/>
  <c r="AW270" i="5"/>
  <c r="AX270" i="5"/>
  <c r="AZ270" i="5"/>
  <c r="BL270" i="5"/>
  <c r="BM270" i="5"/>
  <c r="BN270" i="5"/>
  <c r="BO270" i="5"/>
  <c r="BP270" i="5"/>
  <c r="BQ270" i="5"/>
  <c r="BR270" i="5"/>
  <c r="BU270" i="5"/>
  <c r="AU271" i="5"/>
  <c r="AV271" i="5"/>
  <c r="AW271" i="5"/>
  <c r="AX271" i="5"/>
  <c r="AZ271" i="5"/>
  <c r="BL271" i="5"/>
  <c r="BM271" i="5"/>
  <c r="BN271" i="5"/>
  <c r="BO271" i="5"/>
  <c r="BP271" i="5"/>
  <c r="BQ271" i="5"/>
  <c r="BR271" i="5"/>
  <c r="BU271" i="5"/>
  <c r="AU272" i="5"/>
  <c r="AV272" i="5"/>
  <c r="AW272" i="5"/>
  <c r="AX272" i="5"/>
  <c r="AZ272" i="5"/>
  <c r="BL272" i="5"/>
  <c r="BM272" i="5"/>
  <c r="BN272" i="5"/>
  <c r="BO272" i="5"/>
  <c r="BP272" i="5"/>
  <c r="BQ272" i="5"/>
  <c r="BR272" i="5"/>
  <c r="BU272" i="5"/>
  <c r="AU273" i="5"/>
  <c r="AV273" i="5"/>
  <c r="AW273" i="5"/>
  <c r="AX273" i="5"/>
  <c r="AZ273" i="5"/>
  <c r="BL273" i="5"/>
  <c r="BM273" i="5"/>
  <c r="BN273" i="5"/>
  <c r="BO273" i="5"/>
  <c r="BP273" i="5"/>
  <c r="BQ273" i="5"/>
  <c r="BR273" i="5"/>
  <c r="BU273" i="5"/>
  <c r="AU274" i="5"/>
  <c r="AV274" i="5"/>
  <c r="AW274" i="5"/>
  <c r="AX274" i="5"/>
  <c r="AZ274" i="5"/>
  <c r="BL274" i="5"/>
  <c r="BM274" i="5"/>
  <c r="BN274" i="5"/>
  <c r="BO274" i="5"/>
  <c r="BP274" i="5"/>
  <c r="BQ274" i="5"/>
  <c r="BR274" i="5"/>
  <c r="BU274" i="5"/>
  <c r="AU275" i="5"/>
  <c r="AV275" i="5"/>
  <c r="AW275" i="5"/>
  <c r="AX275" i="5"/>
  <c r="AZ275" i="5"/>
  <c r="BL275" i="5"/>
  <c r="BM275" i="5"/>
  <c r="BN275" i="5"/>
  <c r="BO275" i="5"/>
  <c r="BP275" i="5"/>
  <c r="BQ275" i="5"/>
  <c r="BR275" i="5"/>
  <c r="BU275" i="5"/>
  <c r="AU276" i="5"/>
  <c r="AV276" i="5"/>
  <c r="AW276" i="5"/>
  <c r="AX276" i="5"/>
  <c r="AZ276" i="5"/>
  <c r="BL276" i="5"/>
  <c r="BM276" i="5"/>
  <c r="BN276" i="5"/>
  <c r="BO276" i="5"/>
  <c r="BP276" i="5"/>
  <c r="BQ276" i="5"/>
  <c r="BR276" i="5"/>
  <c r="BU276" i="5"/>
  <c r="AU277" i="5"/>
  <c r="AV277" i="5"/>
  <c r="AW277" i="5"/>
  <c r="AX277" i="5"/>
  <c r="AZ277" i="5"/>
  <c r="BL277" i="5"/>
  <c r="BM277" i="5"/>
  <c r="BN277" i="5"/>
  <c r="BO277" i="5"/>
  <c r="BP277" i="5"/>
  <c r="BQ277" i="5"/>
  <c r="BR277" i="5"/>
  <c r="BU277" i="5"/>
  <c r="AU278" i="5"/>
  <c r="AV278" i="5"/>
  <c r="AW278" i="5"/>
  <c r="AX278" i="5"/>
  <c r="AZ278" i="5"/>
  <c r="BL278" i="5"/>
  <c r="BM278" i="5"/>
  <c r="BN278" i="5"/>
  <c r="BO278" i="5"/>
  <c r="BP278" i="5"/>
  <c r="BQ278" i="5"/>
  <c r="BR278" i="5"/>
  <c r="BU278" i="5"/>
  <c r="AU279" i="5"/>
  <c r="AV279" i="5"/>
  <c r="AW279" i="5"/>
  <c r="AX279" i="5"/>
  <c r="AZ279" i="5"/>
  <c r="BL279" i="5"/>
  <c r="BM279" i="5"/>
  <c r="BN279" i="5"/>
  <c r="BO279" i="5"/>
  <c r="BP279" i="5"/>
  <c r="BQ279" i="5"/>
  <c r="BR279" i="5"/>
  <c r="BU279" i="5"/>
  <c r="AU280" i="5"/>
  <c r="AV280" i="5"/>
  <c r="AW280" i="5"/>
  <c r="AX280" i="5"/>
  <c r="AZ280" i="5"/>
  <c r="BL280" i="5"/>
  <c r="BM280" i="5"/>
  <c r="BN280" i="5"/>
  <c r="BO280" i="5"/>
  <c r="BP280" i="5"/>
  <c r="BQ280" i="5"/>
  <c r="BR280" i="5"/>
  <c r="BU280" i="5"/>
  <c r="AU281" i="5"/>
  <c r="AV281" i="5"/>
  <c r="AW281" i="5"/>
  <c r="AX281" i="5"/>
  <c r="AZ281" i="5"/>
  <c r="BL281" i="5"/>
  <c r="BM281" i="5"/>
  <c r="BN281" i="5"/>
  <c r="BO281" i="5"/>
  <c r="BP281" i="5"/>
  <c r="BQ281" i="5"/>
  <c r="BR281" i="5"/>
  <c r="BU281" i="5"/>
  <c r="AU282" i="5"/>
  <c r="AV282" i="5"/>
  <c r="AW282" i="5"/>
  <c r="AX282" i="5"/>
  <c r="AZ282" i="5"/>
  <c r="BL282" i="5"/>
  <c r="BM282" i="5"/>
  <c r="BN282" i="5"/>
  <c r="BO282" i="5"/>
  <c r="BP282" i="5"/>
  <c r="BQ282" i="5"/>
  <c r="BR282" i="5"/>
  <c r="BU282" i="5"/>
  <c r="AU283" i="5"/>
  <c r="AV283" i="5"/>
  <c r="AW283" i="5"/>
  <c r="AX283" i="5"/>
  <c r="AZ283" i="5"/>
  <c r="BL283" i="5"/>
  <c r="BM283" i="5"/>
  <c r="BN283" i="5"/>
  <c r="BO283" i="5"/>
  <c r="BP283" i="5"/>
  <c r="BQ283" i="5"/>
  <c r="BR283" i="5"/>
  <c r="BU283" i="5"/>
  <c r="AX284" i="5"/>
  <c r="AZ284" i="5"/>
  <c r="BL284" i="5"/>
  <c r="BM284" i="5"/>
  <c r="BU284" i="5"/>
  <c r="AX285" i="5"/>
  <c r="AZ285" i="5"/>
  <c r="BL285" i="5"/>
  <c r="BM285" i="5"/>
  <c r="BU285" i="5"/>
  <c r="AX286" i="5"/>
  <c r="AZ286" i="5"/>
  <c r="BL286" i="5"/>
  <c r="BM286" i="5"/>
  <c r="BU286" i="5"/>
  <c r="AX287" i="5"/>
  <c r="AZ287" i="5"/>
  <c r="BL287" i="5"/>
  <c r="BM287" i="5"/>
  <c r="BU287" i="5"/>
  <c r="AX288" i="5"/>
  <c r="AZ288" i="5"/>
  <c r="BL288" i="5"/>
  <c r="BM288" i="5"/>
  <c r="BU288" i="5"/>
  <c r="AX289" i="5"/>
  <c r="AZ289" i="5"/>
  <c r="BL289" i="5"/>
  <c r="BM289" i="5"/>
  <c r="BU289" i="5"/>
  <c r="AX290" i="5"/>
  <c r="AZ290" i="5"/>
  <c r="BL290" i="5"/>
  <c r="BM290" i="5"/>
  <c r="BU290" i="5"/>
  <c r="AX291" i="5"/>
  <c r="AZ291" i="5"/>
  <c r="BL291" i="5"/>
  <c r="BM291" i="5"/>
  <c r="BU291" i="5"/>
  <c r="AX292" i="5"/>
  <c r="AZ292" i="5"/>
  <c r="BL292" i="5"/>
  <c r="BM292" i="5"/>
  <c r="AX293" i="5"/>
  <c r="AZ293" i="5"/>
  <c r="BL293" i="5"/>
  <c r="BM293" i="5"/>
  <c r="AX294" i="5"/>
  <c r="AZ294" i="5"/>
  <c r="BL294" i="5"/>
  <c r="BM294" i="5"/>
  <c r="AX295" i="5"/>
  <c r="AZ295" i="5"/>
  <c r="BL295" i="5"/>
  <c r="BM295" i="5"/>
  <c r="AX296" i="5"/>
  <c r="AZ296" i="5"/>
  <c r="BL296" i="5"/>
  <c r="BM296" i="5"/>
  <c r="AX297" i="5"/>
  <c r="AZ297" i="5"/>
  <c r="BL297" i="5"/>
  <c r="BM297" i="5"/>
  <c r="AX298" i="5"/>
  <c r="AZ298" i="5"/>
  <c r="BL298" i="5"/>
  <c r="BM298" i="5"/>
  <c r="BL299" i="5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C2" i="7"/>
  <c r="S11" i="7"/>
  <c r="M14" i="7"/>
  <c r="N14" i="7"/>
  <c r="O14" i="7"/>
  <c r="P14" i="7"/>
  <c r="Q14" i="7"/>
  <c r="R14" i="7"/>
  <c r="S14" i="7"/>
  <c r="R15" i="7"/>
  <c r="S15" i="7"/>
  <c r="M16" i="7"/>
  <c r="M17" i="7"/>
  <c r="C31" i="7"/>
  <c r="D31" i="7"/>
  <c r="E31" i="7"/>
  <c r="F31" i="7"/>
  <c r="G31" i="7"/>
  <c r="H31" i="7"/>
  <c r="I31" i="7"/>
  <c r="J31" i="7"/>
  <c r="Q1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Z13" i="2"/>
  <c r="AA13" i="2"/>
  <c r="AB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E8" i="1"/>
  <c r="E20" i="1"/>
  <c r="O22" i="1"/>
  <c r="J24" i="1"/>
  <c r="O28" i="1"/>
  <c r="N32" i="1"/>
  <c r="O32" i="1"/>
  <c r="N33" i="1"/>
  <c r="E34" i="1"/>
  <c r="N34" i="1"/>
  <c r="O34" i="1"/>
  <c r="D38" i="1"/>
  <c r="E38" i="1"/>
  <c r="J39" i="1"/>
  <c r="J40" i="1"/>
  <c r="E42" i="1"/>
  <c r="D44" i="1"/>
  <c r="E44" i="1"/>
  <c r="E45" i="1"/>
  <c r="J47" i="1"/>
  <c r="E48" i="1"/>
  <c r="I49" i="1"/>
  <c r="J49" i="1"/>
  <c r="D50" i="1"/>
  <c r="E50" i="1"/>
  <c r="E51" i="1"/>
  <c r="O53" i="1"/>
  <c r="E54" i="1"/>
  <c r="O54" i="1"/>
  <c r="D56" i="1"/>
  <c r="E56" i="1"/>
  <c r="E57" i="1"/>
  <c r="E60" i="1"/>
  <c r="D62" i="1"/>
  <c r="E62" i="1"/>
  <c r="E63" i="1"/>
  <c r="N64" i="1"/>
  <c r="O64" i="1"/>
  <c r="N65" i="1"/>
  <c r="O65" i="1"/>
  <c r="E66" i="1"/>
  <c r="N66" i="1"/>
  <c r="O66" i="1"/>
  <c r="N67" i="1"/>
  <c r="O67" i="1"/>
  <c r="N68" i="1"/>
  <c r="O68" i="1"/>
  <c r="N69" i="1"/>
  <c r="O69" i="1"/>
  <c r="N70" i="1"/>
  <c r="N71" i="1"/>
  <c r="O71" i="1"/>
  <c r="N82" i="1"/>
  <c r="N83" i="1"/>
  <c r="E92" i="1"/>
  <c r="D94" i="1"/>
  <c r="E94" i="1"/>
  <c r="E95" i="1"/>
  <c r="E96" i="1"/>
  <c r="E97" i="1"/>
  <c r="E98" i="1"/>
  <c r="N98" i="1"/>
  <c r="O98" i="1"/>
  <c r="O103" i="1"/>
  <c r="O104" i="1"/>
  <c r="M105" i="1"/>
  <c r="O105" i="1"/>
  <c r="O106" i="1"/>
  <c r="E107" i="1"/>
  <c r="E108" i="1"/>
  <c r="E109" i="1"/>
  <c r="E110" i="1"/>
  <c r="E111" i="1"/>
  <c r="O111" i="1"/>
  <c r="E113" i="1"/>
  <c r="O113" i="1"/>
  <c r="E117" i="1"/>
  <c r="D122" i="1"/>
</calcChain>
</file>

<file path=xl/comments1.xml><?xml version="1.0" encoding="utf-8"?>
<comments xmlns="http://schemas.openxmlformats.org/spreadsheetml/2006/main">
  <authors>
    <author>Julie Lim</author>
  </authors>
  <commentList>
    <comment ref="BY13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Division by scalar is a result of dividing the take function by outage: corrects the resultant scalar</t>
        </r>
      </text>
    </comment>
    <comment ref="DS14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For floating gas, option value is calculated using the spread option; for fixed gas only the call option on power is priced.   For the later scenario, the strike is the cost of fixed priced gas + O&amp;M.</t>
        </r>
      </text>
    </comment>
    <comment ref="DZ14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Material only if Supplemental Hourly Dispatch uses a different HR.</t>
        </r>
      </text>
    </comment>
    <comment ref="EV14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LV Option value is priced as Monthly Option, but supplemental dispatch is based on hourly intrinsic value because plant HAS to run (even if at a loss) to maintain QF contract.</t>
        </r>
      </text>
    </comment>
  </commentList>
</comments>
</file>

<file path=xl/comments2.xml><?xml version="1.0" encoding="utf-8"?>
<comments xmlns="http://schemas.openxmlformats.org/spreadsheetml/2006/main">
  <authors>
    <author>Julie Lim</author>
    <author>s_mcrouch</author>
  </authors>
  <commentList>
    <comment ref="C36" authorId="0" shapeId="0">
      <text>
        <r>
          <rPr>
            <b/>
            <sz val="8"/>
            <color indexed="81"/>
            <rFont val="Tahoma"/>
          </rPr>
          <t>Julie Lim:</t>
        </r>
        <r>
          <rPr>
            <sz val="8"/>
            <color indexed="81"/>
            <rFont val="Tahoma"/>
          </rPr>
          <t xml:space="preserve">
Transportation demand charges are paid on maximum volume throughout 20 yrs.  They are fixed and non-refundable even if the capacity is not used.</t>
        </r>
      </text>
    </comment>
    <comment ref="G38" authorId="1" shapeId="0">
      <text>
        <r>
          <rPr>
            <b/>
            <sz val="8"/>
            <color indexed="81"/>
            <rFont val="Tahoma"/>
          </rPr>
          <t>s_mcrouch:</t>
        </r>
        <r>
          <rPr>
            <sz val="8"/>
            <color indexed="81"/>
            <rFont val="Tahoma"/>
          </rPr>
          <t xml:space="preserve">
Demand Fee accounts for fixed payments through April 30, 2011 (term of Duke agreeemnt). After which price of gas reflects delivered cost.</t>
        </r>
      </text>
    </comment>
  </commentList>
</comments>
</file>

<file path=xl/sharedStrings.xml><?xml version="1.0" encoding="utf-8"?>
<sst xmlns="http://schemas.openxmlformats.org/spreadsheetml/2006/main" count="2390" uniqueCount="1148">
  <si>
    <t>=(IF($B17&lt;Summary!$E$27,SpreadOptionPowerMargin,SpreadOptionPowerMargin_2)+(SpreadOptionGasMargin*$CQ18/1000)+Summary!$O$94*(VLOOKUP(A18,GasTable,17)+Summary!$O$89))</t>
  </si>
  <si>
    <t>Cash on Hand</t>
  </si>
  <si>
    <t>Sources</t>
  </si>
  <si>
    <t>Capital Exp.:</t>
  </si>
  <si>
    <t>PP&amp;E</t>
  </si>
  <si>
    <t>Dividend/Distribution</t>
  </si>
  <si>
    <t>Treasury Stock Acquisition</t>
  </si>
  <si>
    <t>Transaction Fees</t>
  </si>
  <si>
    <t>Excess Cash/Other Funding</t>
  </si>
  <si>
    <t>Uses</t>
  </si>
  <si>
    <t>Proof:</t>
  </si>
  <si>
    <t>TRANSACTION FEES:</t>
  </si>
  <si>
    <t>Kern P/Lfixed thru 9/30/01 ($/mmbtu-mo)</t>
  </si>
  <si>
    <t>Kern P/L 10/1/01</t>
  </si>
  <si>
    <t>REGION 11</t>
  </si>
  <si>
    <t>SP15</t>
  </si>
  <si>
    <t>Purchase Volumes Mid Basis thru 2010</t>
  </si>
  <si>
    <t>Tax Life</t>
  </si>
  <si>
    <t>Accounting</t>
  </si>
  <si>
    <t>%</t>
  </si>
  <si>
    <t>(Yrs)</t>
  </si>
  <si>
    <t>Treatment</t>
  </si>
  <si>
    <t>Transaction Advisory Fee</t>
  </si>
  <si>
    <t>NA</t>
  </si>
  <si>
    <t>Expensed:</t>
  </si>
  <si>
    <t>Other Fees and Expenses</t>
  </si>
  <si>
    <t>Capitalized:</t>
  </si>
  <si>
    <t>Upfront Placement Fees:</t>
  </si>
  <si>
    <t>Amortization:</t>
  </si>
  <si>
    <t>*(As % of Commitment)</t>
  </si>
  <si>
    <t>HISTORICAL AND OPENING BALANCE SHEETS:</t>
  </si>
  <si>
    <t>ASSETS:</t>
  </si>
  <si>
    <t>Add</t>
  </si>
  <si>
    <t>Subtract</t>
  </si>
  <si>
    <t>Operating Cash</t>
  </si>
  <si>
    <t>Cash and Marketable Securities</t>
  </si>
  <si>
    <t>Accounts Receivable</t>
  </si>
  <si>
    <t>Inventories</t>
  </si>
  <si>
    <t>Other Current Assets</t>
  </si>
  <si>
    <t>Total Current Assets</t>
  </si>
  <si>
    <t>Intangibles</t>
  </si>
  <si>
    <t>Gross PP&amp;E</t>
  </si>
  <si>
    <t>Accumulated Depreciation</t>
  </si>
  <si>
    <t>Net PP&amp;E</t>
  </si>
  <si>
    <t>Total Assets</t>
  </si>
  <si>
    <t>LIABILITIES &amp; EQUITY:</t>
  </si>
  <si>
    <t>Accounts Payable</t>
  </si>
  <si>
    <t>Long-term</t>
  </si>
  <si>
    <t>Accrued Expenses</t>
  </si>
  <si>
    <t>Capitalization</t>
  </si>
  <si>
    <t>Other Payables</t>
  </si>
  <si>
    <t>Current Maturities</t>
  </si>
  <si>
    <t>Total Current Liabilities</t>
  </si>
  <si>
    <t>Other Liabilities</t>
  </si>
  <si>
    <t>Total Long-term Liabilities</t>
  </si>
  <si>
    <t>Total Liabilities</t>
  </si>
  <si>
    <t>Paid in Capital</t>
  </si>
  <si>
    <t>Treasury Stock</t>
  </si>
  <si>
    <t>Retained Earnings</t>
  </si>
  <si>
    <t>Preferred and Common Dividends</t>
  </si>
  <si>
    <t>Total Stockholders' Equity</t>
  </si>
  <si>
    <t>Total Liabilities &amp; Equity</t>
  </si>
  <si>
    <t>ADJ. WORKING CAPITAL ANALYSIS</t>
  </si>
  <si>
    <t>Operating Cash Balance</t>
  </si>
  <si>
    <t xml:space="preserve">Adjusted W/C Balance: </t>
  </si>
  <si>
    <t>Total Scheduled Debt Service</t>
  </si>
  <si>
    <t>Starting Reserve</t>
  </si>
  <si>
    <t>Ending Reserve</t>
  </si>
  <si>
    <t>SCHEDULED DEBT AND STOCK</t>
  </si>
  <si>
    <t xml:space="preserve">    REPAYMENT AND ADDITIONS:</t>
  </si>
  <si>
    <t>(Scheduled Additions)</t>
  </si>
  <si>
    <t>Interest Deferral: (YES or NO)</t>
  </si>
  <si>
    <t>Market Wheeling Cost / Market O&amp;M</t>
  </si>
  <si>
    <t>Other Variable Cost ($/MWh) (Market Volumes Only)</t>
  </si>
  <si>
    <t>Market Wheeling / O&amp;M</t>
  </si>
  <si>
    <t>Interest Deferral Tax Deductible: (YES or NO)</t>
  </si>
  <si>
    <t>YES</t>
  </si>
  <si>
    <t>Interest Rate Deferred</t>
  </si>
  <si>
    <t>Amount Deferred (Accrued Semi-annually)</t>
  </si>
  <si>
    <t>Excess Cash Flow Recapture:</t>
  </si>
  <si>
    <t>Amount Deferred (Accrued Semi-annually)-Avg Balance</t>
  </si>
  <si>
    <t>Treasury Stock Purchases</t>
  </si>
  <si>
    <t>(Issues)</t>
  </si>
  <si>
    <t>INTEREST RATES, COUPON RATES AND</t>
  </si>
  <si>
    <t>DIVIDEND YIELDS:</t>
  </si>
  <si>
    <t>Hist Common Div'ds</t>
  </si>
  <si>
    <t>Dividend Payout Ratio</t>
  </si>
  <si>
    <t>Interest Earned on Cash Balances?</t>
  </si>
  <si>
    <t>Hist Int Income/Int on Cash Balances</t>
  </si>
  <si>
    <t>HISTORICAL AND PROFORMA NON-OPERATING ASSUMPTIONS:</t>
  </si>
  <si>
    <t>FYE:</t>
  </si>
  <si>
    <t>Amortization   -  Transaction Fees</t>
  </si>
  <si>
    <t xml:space="preserve">    Total Amortization Expense</t>
  </si>
  <si>
    <t>Other Income (excluding interest income)</t>
  </si>
  <si>
    <t>HRSG Modifications</t>
  </si>
  <si>
    <t>ASSET SALES</t>
  </si>
  <si>
    <t>Gross Sale Price</t>
  </si>
  <si>
    <t>Gross Book Value of Assets Sold</t>
  </si>
  <si>
    <t>Accumulated Depreciation - Book</t>
  </si>
  <si>
    <t>Net Book Value of Assets Sold</t>
  </si>
  <si>
    <t>Pretax Gain/(Loss) - Book</t>
  </si>
  <si>
    <t>Change in Book Depreciation  Expense Associated with Assets Sold</t>
  </si>
  <si>
    <t>Net Tax Value - Regular Tax*</t>
  </si>
  <si>
    <t>Pretax Gain/(Loss) - Tax</t>
  </si>
  <si>
    <t>Fixed</t>
  </si>
  <si>
    <t>Variable ($%)</t>
  </si>
  <si>
    <t>Reserved for future use</t>
  </si>
  <si>
    <t>FW19/(CQ19/1000)</t>
  </si>
  <si>
    <t>SWGas P/L Reduc. effective Jan 2012</t>
  </si>
  <si>
    <t>Change in Tax Depreciation Expense Associated with Assets Sold</t>
  </si>
  <si>
    <t>*Default to Book Gain/(Loss)</t>
  </si>
  <si>
    <t>TAX ASSUMPTIONS:</t>
  </si>
  <si>
    <t xml:space="preserve">    $</t>
  </si>
  <si>
    <t xml:space="preserve">    %</t>
  </si>
  <si>
    <t>Historical Book Taxes</t>
  </si>
  <si>
    <t>Federal Income Tax Rate</t>
  </si>
  <si>
    <t>State Income Tax Rate</t>
  </si>
  <si>
    <t>Gross Receipt Tax</t>
  </si>
  <si>
    <t>INCOME TAX CALCULATION:</t>
  </si>
  <si>
    <t>REGULAR IRS TAXES:</t>
  </si>
  <si>
    <t>Income before Taxes</t>
  </si>
  <si>
    <t>Add Back:</t>
  </si>
  <si>
    <t>Book Depreciation</t>
  </si>
  <si>
    <t>Fuel Contract Transfer Payment</t>
  </si>
  <si>
    <t>Book Loss/(Gain) on Asset Sales</t>
  </si>
  <si>
    <t xml:space="preserve">Deduct: </t>
  </si>
  <si>
    <t>Tax Depreciation (Regular)</t>
  </si>
  <si>
    <t>Tax Loss/(Gain) on Asset Sales (Regular)</t>
  </si>
  <si>
    <t>Taxable Income before NOL</t>
  </si>
  <si>
    <t>Beginning NOL Balance</t>
  </si>
  <si>
    <t>Less: NOL Expired</t>
  </si>
  <si>
    <t>NOL Applicable</t>
  </si>
  <si>
    <t>NOL (Addition)</t>
  </si>
  <si>
    <t>NOL Used</t>
  </si>
  <si>
    <t>Ending NOL Balance</t>
  </si>
  <si>
    <t>Taxable Income After NOL</t>
  </si>
  <si>
    <t>State Taxes @</t>
  </si>
  <si>
    <t>Federal Taxes @</t>
  </si>
  <si>
    <t>Regular Taxes before AMT Tax Credit</t>
  </si>
  <si>
    <t>BOOK TAXES:</t>
  </si>
  <si>
    <t xml:space="preserve">Taxable Book Income before NOL </t>
  </si>
  <si>
    <t>Taxable Book Income After NOL</t>
  </si>
  <si>
    <t>Book Taxes</t>
  </si>
  <si>
    <t>Cash Taxes Paid (greater of AMT Taxes or Regular Taxes)</t>
  </si>
  <si>
    <t>DISCOUNTED CASHFLOW VALUATION ANALYSIS:</t>
  </si>
  <si>
    <t>OPERATING CASH FLOWS:</t>
  </si>
  <si>
    <t>Initial Equity Investment</t>
  </si>
  <si>
    <t>Plus:</t>
  </si>
  <si>
    <t>EPMI Calc ($/MWh)</t>
  </si>
  <si>
    <t>Fee ($/MWh)</t>
  </si>
  <si>
    <t>to Share ($/MWh)</t>
  </si>
  <si>
    <t>Spread ($/MWh)</t>
  </si>
  <si>
    <t>Generation Cost($/MWh)</t>
  </si>
  <si>
    <t>Amortization &amp; Depreciation</t>
  </si>
  <si>
    <t>Less:</t>
  </si>
  <si>
    <t>(Decrease)/Increase in Other Assets/Liabilities</t>
  </si>
  <si>
    <t>Operating Cash Flows</t>
  </si>
  <si>
    <t>Capital Expenditures</t>
  </si>
  <si>
    <t>Debt Principal Repayment</t>
  </si>
  <si>
    <t>Disbursements from Debt</t>
  </si>
  <si>
    <t>Valuation</t>
  </si>
  <si>
    <t>Annuity</t>
  </si>
  <si>
    <t>W/Terminal Value</t>
  </si>
  <si>
    <t>Interest Expense</t>
  </si>
  <si>
    <t>Discount Rate</t>
  </si>
  <si>
    <t>Debt Repayment</t>
  </si>
  <si>
    <t>Running IRR</t>
  </si>
  <si>
    <t>Total Sale Price</t>
  </si>
  <si>
    <t>Book Value for Tax Purposes</t>
  </si>
  <si>
    <t>Net After Tax Proceeds</t>
  </si>
  <si>
    <t>Current and Long-Term Portions of Debt</t>
  </si>
  <si>
    <t>Include All Off-Peak Hours at Avoided Cost</t>
  </si>
  <si>
    <t>Exclude 45MW From Market Sales</t>
  </si>
  <si>
    <t>Adder for losses into California</t>
  </si>
  <si>
    <t>Adder for Interruptible Power</t>
  </si>
  <si>
    <t>Greenhouse Operating Costs</t>
  </si>
  <si>
    <t>Res. Fee Mid Basis (Rockies) thru</t>
  </si>
  <si>
    <t xml:space="preserve">Fixed Price thru </t>
  </si>
  <si>
    <t>Discounted Operating Cash Flows</t>
  </si>
  <si>
    <t>Discounted Terminal Value</t>
  </si>
  <si>
    <t>Investments (Excess Cash)</t>
  </si>
  <si>
    <t>Firm Value Today</t>
  </si>
  <si>
    <t>IRR</t>
  </si>
  <si>
    <t>Data from Operating Section</t>
  </si>
  <si>
    <t>Data to Operating Section</t>
  </si>
  <si>
    <t>Fraction of current year</t>
  </si>
  <si>
    <t>Unit</t>
  </si>
  <si>
    <t>FASB CASH FLOW ANALYSIS</t>
  </si>
  <si>
    <t>Cash Flow From Operating Activities:</t>
  </si>
  <si>
    <t>Losses/(Gains)</t>
  </si>
  <si>
    <t>Add/</t>
  </si>
  <si>
    <t>(Subtract)</t>
  </si>
  <si>
    <t>Change in:</t>
  </si>
  <si>
    <t>Cash Flow From Investing Activities:</t>
  </si>
  <si>
    <t>Reserv.</t>
  </si>
  <si>
    <t>Penalty</t>
  </si>
  <si>
    <t>Actual Mid</t>
  </si>
  <si>
    <t>Year-on-</t>
  </si>
  <si>
    <t>Year Esc.</t>
  </si>
  <si>
    <t>Cash Flow From Financing Activities:</t>
  </si>
  <si>
    <t>Dividends Paid</t>
  </si>
  <si>
    <t>Scheduled Debt and Preferred Stock Reductions</t>
  </si>
  <si>
    <t>Proceeds of Debt &amp; Stock Issues</t>
  </si>
  <si>
    <t>Net Increase/(Decrease) in Cash and Cash Equivalents</t>
  </si>
  <si>
    <t>Generator Rewind</t>
  </si>
  <si>
    <t>Equity Fees</t>
  </si>
  <si>
    <t>Equity Legal Fees</t>
  </si>
  <si>
    <r>
      <t xml:space="preserve">Amortization   -  Intangibles </t>
    </r>
    <r>
      <rPr>
        <i/>
        <sz val="8"/>
        <rFont val="Arial"/>
      </rPr>
      <t>(from operating sheet)</t>
    </r>
  </si>
  <si>
    <t>MMBTU</t>
  </si>
  <si>
    <t>Market Cost</t>
  </si>
  <si>
    <t>Purchased Power</t>
  </si>
  <si>
    <t>"Minimum Operation" Take</t>
  </si>
  <si>
    <t>"Minimum Operation" MWHs Sold</t>
  </si>
  <si>
    <t>"Supplemental Operation" Take</t>
  </si>
  <si>
    <t>"Supplemental Operation" MWHs Sold</t>
  </si>
  <si>
    <t xml:space="preserve">"Supplemental Operation" MWHs Sold </t>
  </si>
  <si>
    <t>Operation</t>
  </si>
  <si>
    <t>Unused</t>
  </si>
  <si>
    <t>Market Purchase</t>
  </si>
  <si>
    <t xml:space="preserve">                               Revenues</t>
  </si>
  <si>
    <t>Peak-Sun</t>
  </si>
  <si>
    <t>Increase/(Decrease) in Adjusted W/C (ex. OpCash)</t>
  </si>
  <si>
    <t xml:space="preserve">                                                                     Expenses</t>
  </si>
  <si>
    <t>Plant Operating Costs</t>
  </si>
  <si>
    <t>Contracted Net</t>
  </si>
  <si>
    <t>Hourly Capacity</t>
  </si>
  <si>
    <t>All Hours</t>
  </si>
  <si>
    <t xml:space="preserve">                      "Minimum Operation" Market Price Curve</t>
  </si>
  <si>
    <t>Variable O$M ($/MWh)</t>
  </si>
  <si>
    <t>Transmission Losses</t>
  </si>
  <si>
    <t>Gas Curves</t>
  </si>
  <si>
    <t>Gas</t>
  </si>
  <si>
    <t>Winter Months</t>
  </si>
  <si>
    <t>May - Sept</t>
  </si>
  <si>
    <t>12 Peak Hours</t>
  </si>
  <si>
    <t>Summer Months</t>
  </si>
  <si>
    <t>Oct - Apr</t>
  </si>
  <si>
    <t>13 Peak Hours</t>
  </si>
  <si>
    <t>HE 1100 to 2200</t>
  </si>
  <si>
    <t>HE 0600 to 1000 and 1700 to 2400</t>
  </si>
  <si>
    <t xml:space="preserve">Energy </t>
  </si>
  <si>
    <t>Peak Capacity</t>
  </si>
  <si>
    <t>Summer</t>
  </si>
  <si>
    <t>Winter</t>
  </si>
  <si>
    <t>Capacity Payments on Peak Only</t>
  </si>
  <si>
    <t>NPC has first right of refusal on the Off-Peak</t>
  </si>
  <si>
    <t>Energy</t>
  </si>
  <si>
    <t>Gas Price ($/MWh)</t>
  </si>
  <si>
    <t>Gas Cost</t>
  </si>
  <si>
    <t>Gas (mmbtu)</t>
  </si>
  <si>
    <t>Gas Price</t>
  </si>
  <si>
    <t>Other</t>
  </si>
  <si>
    <t>Other Term Loan</t>
  </si>
  <si>
    <t>Gas Costs</t>
  </si>
  <si>
    <t>Asset Purchase</t>
  </si>
  <si>
    <t>(If Enron runs plant to sell to Market increase fixed O&amp;M to $2,000)</t>
  </si>
  <si>
    <t>General &amp; Administrative</t>
  </si>
  <si>
    <t>Total Required Reserve</t>
  </si>
  <si>
    <t>Debt Service/O&amp;M Reserve</t>
  </si>
  <si>
    <t>Project Scenario</t>
  </si>
  <si>
    <t>PLANT SUMMARY:</t>
  </si>
  <si>
    <t>$/kW</t>
  </si>
  <si>
    <t>Output:</t>
  </si>
  <si>
    <t>NYMEX</t>
  </si>
  <si>
    <t>MID</t>
  </si>
  <si>
    <t>Site Prep / Balance of Construction:</t>
  </si>
  <si>
    <t xml:space="preserve">   Spare Parts/Shop Tools</t>
  </si>
  <si>
    <t xml:space="preserve">   Switchyard / Interconnect / Trans. Line Upgrade</t>
  </si>
  <si>
    <t xml:space="preserve">   Black Start Capability</t>
  </si>
  <si>
    <t xml:space="preserve">   Fuel Gas Line</t>
  </si>
  <si>
    <t xml:space="preserve">   Zero Discharge</t>
  </si>
  <si>
    <t xml:space="preserve">   Fuel Gas Compressor</t>
  </si>
  <si>
    <t>Operating Parameters:</t>
  </si>
  <si>
    <t xml:space="preserve">   SCR</t>
  </si>
  <si>
    <t xml:space="preserve">   Foundation</t>
  </si>
  <si>
    <t xml:space="preserve">Dispatchability </t>
  </si>
  <si>
    <t xml:space="preserve">   Inlet Air Cooling</t>
  </si>
  <si>
    <t xml:space="preserve">   Intake and Water Discharge Structure</t>
  </si>
  <si>
    <t xml:space="preserve">   Duct Burner</t>
  </si>
  <si>
    <t xml:space="preserve">   230 kV Line</t>
  </si>
  <si>
    <t xml:space="preserve">   Passthrough Interconnect</t>
  </si>
  <si>
    <t>Net Plant Availability Factor</t>
  </si>
  <si>
    <t>Soft Costs:</t>
  </si>
  <si>
    <t>Funding Date</t>
  </si>
  <si>
    <t>Effective Tax Rate</t>
  </si>
  <si>
    <t>Book</t>
  </si>
  <si>
    <t>Tax</t>
  </si>
  <si>
    <t>Term (Years)</t>
  </si>
  <si>
    <t>Price Curve</t>
  </si>
  <si>
    <t>Total Capital Cost</t>
  </si>
  <si>
    <t>Effective Date of Buy-Out</t>
  </si>
  <si>
    <t>Buy-Out Date (MM/DD/YY)</t>
  </si>
  <si>
    <t>FINANCING:</t>
  </si>
  <si>
    <t xml:space="preserve">   Debt Term (Yrs.) </t>
  </si>
  <si>
    <t>Interest on Cash Balance</t>
  </si>
  <si>
    <t>RETURNS:</t>
  </si>
  <si>
    <t>Maximum</t>
  </si>
  <si>
    <t>Average</t>
  </si>
  <si>
    <t>LVCOGEN LLP</t>
  </si>
  <si>
    <t>Baseload Heat Rate (Btu/kWh)</t>
  </si>
  <si>
    <t>Timing:</t>
  </si>
  <si>
    <t xml:space="preserve">Commercial Operation Date </t>
  </si>
  <si>
    <t xml:space="preserve">Commercial Ending Date </t>
  </si>
  <si>
    <t>CORPORATE ASSUMPTIONS:</t>
  </si>
  <si>
    <t>Taxes:</t>
  </si>
  <si>
    <t>Depreciation:</t>
  </si>
  <si>
    <t>Escalation:</t>
  </si>
  <si>
    <t>CAPITAL COST:</t>
  </si>
  <si>
    <t>($'000s)</t>
  </si>
  <si>
    <t xml:space="preserve">EPC Turnkey: </t>
  </si>
  <si>
    <t xml:space="preserve">Total: </t>
  </si>
  <si>
    <t>Interest During Construction:</t>
  </si>
  <si>
    <t>Long Term Financing:</t>
  </si>
  <si>
    <t xml:space="preserve">   Equity (% of Asset)</t>
  </si>
  <si>
    <t xml:space="preserve">   Debt (% of Asset)</t>
  </si>
  <si>
    <t>Total:</t>
  </si>
  <si>
    <t xml:space="preserve">   Working Capital</t>
  </si>
  <si>
    <t>Base Gas</t>
  </si>
  <si>
    <t>Addt'l Pur.</t>
  </si>
  <si>
    <t>Total Fuel &amp; Variable Cost</t>
  </si>
  <si>
    <t xml:space="preserve">               "Supplemental Operation" Market Price Curve (Mid)</t>
  </si>
  <si>
    <t>Undiscounted Value</t>
  </si>
  <si>
    <t>Excluding</t>
  </si>
  <si>
    <t>Henwood</t>
  </si>
  <si>
    <t>SoCal</t>
  </si>
  <si>
    <t>Opal</t>
  </si>
  <si>
    <t>Inflated</t>
  </si>
  <si>
    <t xml:space="preserve">   Debt Service/O&amp;M Reserve</t>
  </si>
  <si>
    <t>Interest Income:</t>
  </si>
  <si>
    <t xml:space="preserve">If yes, Interest Rate </t>
  </si>
  <si>
    <t xml:space="preserve">   Total Debt Amount:</t>
  </si>
  <si>
    <t xml:space="preserve">   Capitalized Fees</t>
  </si>
  <si>
    <t xml:space="preserve">   Debt Fees</t>
  </si>
  <si>
    <t>Terminal Value in Year 2019:</t>
  </si>
  <si>
    <t>Working Capital Balance</t>
  </si>
  <si>
    <t>PROJECT REVENUES:</t>
  </si>
  <si>
    <t>Anchor Tenant:</t>
  </si>
  <si>
    <t>Merchant Sales:</t>
  </si>
  <si>
    <t>Other Revenues:</t>
  </si>
  <si>
    <t>Fixed Expenses:</t>
  </si>
  <si>
    <t>Include Merchant Sales</t>
  </si>
  <si>
    <t>Power Curve Date</t>
  </si>
  <si>
    <t>PROJECT EXPENSES:</t>
  </si>
  <si>
    <t xml:space="preserve">   Labour</t>
  </si>
  <si>
    <t xml:space="preserve">   Repairs &amp; Maintenance</t>
  </si>
  <si>
    <t xml:space="preserve">   Chemicals</t>
  </si>
  <si>
    <t>Variable Expenses:</t>
  </si>
  <si>
    <t>O&amp;M Reserve Account</t>
  </si>
  <si>
    <t>Sr. Secured Debt Terms:</t>
  </si>
  <si>
    <t xml:space="preserve">   One Yr. LIBOR Rate (15 yr. Swap)</t>
  </si>
  <si>
    <t xml:space="preserve">Cash Flows </t>
  </si>
  <si>
    <t>Average Loan Life</t>
  </si>
  <si>
    <t>Additions</t>
  </si>
  <si>
    <t>Repayments</t>
  </si>
  <si>
    <t>Life</t>
  </si>
  <si>
    <t>Debt Service Coverage</t>
  </si>
  <si>
    <t>Weighted Average Life</t>
  </si>
  <si>
    <t>Equity Investment</t>
  </si>
  <si>
    <t xml:space="preserve">Merchant </t>
  </si>
  <si>
    <t>Revenue</t>
  </si>
  <si>
    <t>Debt Service Coverage Ratio (Pre-Tax):</t>
  </si>
  <si>
    <t>Equity Returns:</t>
  </si>
  <si>
    <t xml:space="preserve">   G&amp;A</t>
  </si>
  <si>
    <t>Net Output (MW)</t>
  </si>
  <si>
    <t>Nameplate Capacity (MW)</t>
  </si>
  <si>
    <t>Long Term Debt</t>
  </si>
  <si>
    <t>Weighted Average Loan Life (Yrs.)</t>
  </si>
  <si>
    <t>Energy Price ($/MWh)</t>
  </si>
  <si>
    <t>Capacity Charge ($/MWh)</t>
  </si>
  <si>
    <t xml:space="preserve">Start Depreciation </t>
  </si>
  <si>
    <t xml:space="preserve">   Interest Rate on Construction Loan</t>
  </si>
  <si>
    <t xml:space="preserve">   Term (Mths)</t>
  </si>
  <si>
    <t xml:space="preserve">   Drawdown Schedule (SL/Custom)</t>
  </si>
  <si>
    <t xml:space="preserve">   Drawdown Fee (BPS)</t>
  </si>
  <si>
    <t xml:space="preserve">   Total IDC</t>
  </si>
  <si>
    <t xml:space="preserve">   Total Project Cost</t>
  </si>
  <si>
    <t>Salaries and Wages</t>
  </si>
  <si>
    <t>Building Repairs</t>
  </si>
  <si>
    <t>Supplies</t>
  </si>
  <si>
    <t>Vehicle Expense</t>
  </si>
  <si>
    <t>Boiler Maintenance - HRSG - Unscheduled</t>
  </si>
  <si>
    <t>Lubricants</t>
  </si>
  <si>
    <t>Equipment Rentals</t>
  </si>
  <si>
    <t>Consulting Fees</t>
  </si>
  <si>
    <t>Outside Labour</t>
  </si>
  <si>
    <t>Water Chemicals</t>
  </si>
  <si>
    <t>CEMS Gases</t>
  </si>
  <si>
    <t>Small Tools</t>
  </si>
  <si>
    <t>Training Expenses</t>
  </si>
  <si>
    <t>Annual Maintenance Contracts</t>
  </si>
  <si>
    <t>Contract Buy-Out</t>
  </si>
  <si>
    <t>Outside Testing</t>
  </si>
  <si>
    <t>Insurance</t>
  </si>
  <si>
    <t>Telephone</t>
  </si>
  <si>
    <t>Waste Removal</t>
  </si>
  <si>
    <t>Safety Equipment</t>
  </si>
  <si>
    <t>Leased Engine</t>
  </si>
  <si>
    <t>Freight</t>
  </si>
  <si>
    <t>Subtotal:</t>
  </si>
  <si>
    <t>Repairs &amp; Maintenance</t>
  </si>
  <si>
    <t>Repairs/Maintenance</t>
  </si>
  <si>
    <t>Chemicals</t>
  </si>
  <si>
    <t>Consulting</t>
  </si>
  <si>
    <t>Travel Expense</t>
  </si>
  <si>
    <t>Meals/Entertainment</t>
  </si>
  <si>
    <t>Taxes/Licences</t>
  </si>
  <si>
    <t>Donations</t>
  </si>
  <si>
    <t>Postage</t>
  </si>
  <si>
    <t>Dues/Subscriptions</t>
  </si>
  <si>
    <t xml:space="preserve">   Consulting</t>
  </si>
  <si>
    <t xml:space="preserve">   Other</t>
  </si>
  <si>
    <t>Based on 1999 Prices</t>
  </si>
  <si>
    <t>Option 2 - Enron Sells Thermal Energy to Greenhouse</t>
  </si>
  <si>
    <t>Fixed Price</t>
  </si>
  <si>
    <t>Variable Price</t>
  </si>
  <si>
    <t>Esc. (%)</t>
  </si>
  <si>
    <t>Produce Sales</t>
  </si>
  <si>
    <t>Site Lease</t>
  </si>
  <si>
    <t>Thermal Sales</t>
  </si>
  <si>
    <t>NPC CONTRACTED REVENUES</t>
  </si>
  <si>
    <t>MERCHANT MARKET SALES</t>
  </si>
  <si>
    <t>GREENHOUSE REVENUES</t>
  </si>
  <si>
    <t>Thermal Volumes (mmbtu)</t>
  </si>
  <si>
    <t>Total Output 3 Revenue</t>
  </si>
  <si>
    <t>Gas Volumes (mmbtu)</t>
  </si>
  <si>
    <t>Wkdy</t>
  </si>
  <si>
    <t>Loan - Intercompany (United)</t>
  </si>
  <si>
    <t>Loan - Intercompany (Sunco)</t>
  </si>
  <si>
    <t>Total Operating Expenses:</t>
  </si>
  <si>
    <t>Gas Demand Charges</t>
  </si>
  <si>
    <t>Gas Transport</t>
  </si>
  <si>
    <t>VARIABLE O&amp;M EXPENSES</t>
  </si>
  <si>
    <t>O&amp;M EXPENSES ($'000s)</t>
  </si>
  <si>
    <t>FIXED EXPENSES</t>
  </si>
  <si>
    <t>Cost of Gas</t>
  </si>
  <si>
    <t>Revenues less</t>
  </si>
  <si>
    <t>Cost to Gen</t>
  </si>
  <si>
    <t>EPMI Mkt</t>
  </si>
  <si>
    <t>Market Service Fee for Sierra ($/Mwh)</t>
  </si>
  <si>
    <t>EPMI Based Market Service Fee ($/MWh)</t>
  </si>
  <si>
    <t xml:space="preserve">Gen Cost for </t>
  </si>
  <si>
    <t>Rev. Less</t>
  </si>
  <si>
    <t>EPMI Gen Cost</t>
  </si>
  <si>
    <t>EPMI Profit Sharing (%)</t>
  </si>
  <si>
    <t>EPMI</t>
  </si>
  <si>
    <t>Sharing (%)</t>
  </si>
  <si>
    <t>Total EPMI</t>
  </si>
  <si>
    <t>Sharing</t>
  </si>
  <si>
    <t>NEV SHARING CALCULATIONS</t>
  </si>
  <si>
    <t>EPMI SHARING CALCULATIONS</t>
  </si>
  <si>
    <t>REVENUE INPUTS</t>
  </si>
  <si>
    <t>VARIABLE CHARGES</t>
  </si>
  <si>
    <t>Market Sales Sharing Expenses</t>
  </si>
  <si>
    <t>Annual Summary:</t>
  </si>
  <si>
    <t>NEV Sharing</t>
  </si>
  <si>
    <t>EPMI Sharing</t>
  </si>
  <si>
    <t>Total Merchant Sharing Expense</t>
  </si>
  <si>
    <t>Shared Market</t>
  </si>
  <si>
    <t>Sales Volume</t>
  </si>
  <si>
    <t>Other Variable Costs</t>
  </si>
  <si>
    <t>GENERAL &amp; ADMINISTRATIVE</t>
  </si>
  <si>
    <t>Total Fixed Expenses:</t>
  </si>
  <si>
    <t>Total G&amp;A Expenses:</t>
  </si>
  <si>
    <t>General &amp; Administrative Expenses:</t>
  </si>
  <si>
    <t>Equity Returns</t>
  </si>
  <si>
    <t>TOTAL O&amp;M EXPENSES</t>
  </si>
  <si>
    <t>Market Wheeling Cost</t>
  </si>
  <si>
    <t>Charge</t>
  </si>
  <si>
    <t>Wheel Cost</t>
  </si>
  <si>
    <t>Wheel (MWh)</t>
  </si>
  <si>
    <t>Market Sales Wheeling Charge</t>
  </si>
  <si>
    <t>Cacacity</t>
  </si>
  <si>
    <t>RO Unit Rental</t>
  </si>
  <si>
    <t>Plant Output</t>
  </si>
  <si>
    <t>45MW</t>
  </si>
  <si>
    <t>57MW</t>
  </si>
  <si>
    <t>Inc. O&amp;M Adjustment</t>
  </si>
  <si>
    <t xml:space="preserve">   Inc. O&amp;M Adjustment</t>
  </si>
  <si>
    <t>1 x LM6000 SC</t>
  </si>
  <si>
    <t>United Net Gain (Loss)</t>
  </si>
  <si>
    <t>ASSUMPTIONS</t>
  </si>
  <si>
    <t>Avg DSC Ratio (Pre-tax)</t>
  </si>
  <si>
    <t>Wheeling Losses</t>
  </si>
  <si>
    <t>Final</t>
  </si>
  <si>
    <t>Avg. Heat Rate (btu/kwh)</t>
  </si>
  <si>
    <t>Purchase Cost ($MM)</t>
  </si>
  <si>
    <t>Incr. Capex ($MM)</t>
  </si>
  <si>
    <t>Yearly Fixed Opex ($MM)</t>
  </si>
  <si>
    <t>G&amp;A ($MM)</t>
  </si>
  <si>
    <t>Monthly Volatilities</t>
  </si>
  <si>
    <t>Discount rate</t>
  </si>
  <si>
    <t>Intra-Month Volatilties</t>
  </si>
  <si>
    <t>OffPeak</t>
  </si>
  <si>
    <t>NPC Contract Amount (MW)</t>
  </si>
  <si>
    <t xml:space="preserve">NPV @ </t>
  </si>
  <si>
    <t xml:space="preserve">Base Case* </t>
  </si>
  <si>
    <t>Debt Amount</t>
  </si>
  <si>
    <t>Offer Case</t>
  </si>
  <si>
    <t>WSCC</t>
  </si>
  <si>
    <t>Peak, Week</t>
  </si>
  <si>
    <t>NPC</t>
  </si>
  <si>
    <t>0MW</t>
  </si>
  <si>
    <t>12MW or 57MW</t>
  </si>
  <si>
    <t>$5.50/MWh</t>
  </si>
  <si>
    <t>EBIT + DD&amp;A</t>
  </si>
  <si>
    <t>OUTPUTS - ECT Returns</t>
  </si>
  <si>
    <t>Include Winter Afternoon @ Avoided Cost</t>
  </si>
  <si>
    <t>7MW</t>
  </si>
  <si>
    <t>5MW or 50MW</t>
  </si>
  <si>
    <t>PV of Above Mkt CF</t>
  </si>
  <si>
    <t>Credit Reserve</t>
  </si>
  <si>
    <t>LOI Payments</t>
  </si>
  <si>
    <t>MTM Earnings</t>
  </si>
  <si>
    <t>Market</t>
  </si>
  <si>
    <t>Excess Power Sold to Nevada</t>
  </si>
  <si>
    <t>of Funds</t>
  </si>
  <si>
    <t>Cash Flows</t>
  </si>
  <si>
    <t>Option Value</t>
  </si>
  <si>
    <t>$5.00/MWh</t>
  </si>
  <si>
    <t>LOI 4/21/99</t>
  </si>
  <si>
    <t>104MW</t>
  </si>
  <si>
    <t>(57MW + 47MW)</t>
  </si>
  <si>
    <t>59MW or 104MW</t>
  </si>
  <si>
    <t>1.20x</t>
  </si>
  <si>
    <t>Merchant Volumes (MW)</t>
  </si>
  <si>
    <t>No</t>
  </si>
  <si>
    <t>CONTRACT MONETIZATION:</t>
  </si>
  <si>
    <t>Market Optionality</t>
  </si>
  <si>
    <t>LAS VEGAS COGEN SENSITIVITY ANALYSIS</t>
  </si>
  <si>
    <t>17 year gas price</t>
  </si>
  <si>
    <t xml:space="preserve">   6/30/00 Payoff w/penalties</t>
  </si>
  <si>
    <t>Time Value</t>
  </si>
  <si>
    <t>% of</t>
  </si>
  <si>
    <t xml:space="preserve">Option </t>
  </si>
  <si>
    <t>50MW</t>
  </si>
  <si>
    <t>1.53x</t>
  </si>
  <si>
    <t>NYMEX Offer</t>
  </si>
  <si>
    <t>Term (years)</t>
  </si>
  <si>
    <t>NPC Avoided Cost Volume</t>
  </si>
  <si>
    <t>Market Volume</t>
  </si>
  <si>
    <t>No PA to PC</t>
  </si>
  <si>
    <t>Upgrade</t>
  </si>
  <si>
    <t>80/20</t>
  </si>
  <si>
    <t>PA to PC</t>
  </si>
  <si>
    <t>Power Curve</t>
  </si>
  <si>
    <t>PV Mid</t>
  </si>
  <si>
    <t>1.47x</t>
  </si>
  <si>
    <t>Debt/Equity Ratio</t>
  </si>
  <si>
    <t>Equity Investment ($MM)</t>
  </si>
  <si>
    <t>Inflation (%)</t>
  </si>
  <si>
    <t>Variable Gas Transport</t>
  </si>
  <si>
    <t>NPC Contract Volume**</t>
  </si>
  <si>
    <t>Base case includes greenhouse payments and assumes a PA to PC conversion that generates excess energy that is wheeled and sold at Mead.</t>
  </si>
  <si>
    <t>Note 1*</t>
  </si>
  <si>
    <t>Note 2**</t>
  </si>
  <si>
    <t xml:space="preserve">NPC Peak Summer hours: HE1100 to HE1200 (12 hours) </t>
  </si>
  <si>
    <t>WSCC Peak hours: HE0700 to HE2200 (16 hours)</t>
  </si>
  <si>
    <t>NPC Peak Winter hours: HE0600 to HE1000 (5 hours) and HE1700 to HE2400 (8 hours)</t>
  </si>
  <si>
    <t>Investments</t>
  </si>
  <si>
    <t>Nova Scotia penalty</t>
  </si>
  <si>
    <t>Transport</t>
  </si>
  <si>
    <t>MIN</t>
  </si>
  <si>
    <t>AVE</t>
  </si>
  <si>
    <t>Market volumes are assumed to have daily optionality, computed using PV Mid.  Time value of the option is included as an additional source of revenue.</t>
  </si>
  <si>
    <t>Enron Net Cash to United</t>
  </si>
  <si>
    <t>Transaction Fee</t>
  </si>
  <si>
    <t>Funding Spread (BPS)</t>
  </si>
  <si>
    <t>PV of Replacement (Palo Verde Mid)</t>
  </si>
  <si>
    <t>Value after Credit Reserve</t>
  </si>
  <si>
    <t>PV of Contract Cash Flows</t>
  </si>
  <si>
    <t>Closing Cost Fees</t>
  </si>
  <si>
    <t>Total Equity Amount</t>
  </si>
  <si>
    <t>w/ NYMEX</t>
  </si>
  <si>
    <t>w/ fixed gas</t>
  </si>
  <si>
    <t>$2.35/mmbtu</t>
  </si>
  <si>
    <t>1.40x</t>
  </si>
  <si>
    <t>NPV12 ($MM)</t>
  </si>
  <si>
    <t>1.36x</t>
  </si>
  <si>
    <t>1.29x</t>
  </si>
  <si>
    <t>1.42x</t>
  </si>
  <si>
    <t>1.57x</t>
  </si>
  <si>
    <t>Market Case</t>
  </si>
  <si>
    <t>Net Revenue</t>
  </si>
  <si>
    <r>
      <t xml:space="preserve">United Equity Cash Flows </t>
    </r>
    <r>
      <rPr>
        <i/>
        <u/>
        <sz val="12"/>
        <rFont val="Arial"/>
        <family val="2"/>
      </rPr>
      <t>(in thousands of US$)</t>
    </r>
  </si>
  <si>
    <t>NPV</t>
  </si>
  <si>
    <t>Pre-Upgrade Heat Rate (Btu/kWh)</t>
  </si>
  <si>
    <t>Scheduled Upgrade</t>
  </si>
  <si>
    <t>Q1 Curve Adder</t>
  </si>
  <si>
    <t>Q2 Curve Adder</t>
  </si>
  <si>
    <t>Q3 Curve Adder</t>
  </si>
  <si>
    <t>Q4 Curve Adder</t>
  </si>
  <si>
    <t>Expected Fuel Use Rates (HHV):</t>
  </si>
  <si>
    <t>Peak Premium ($)</t>
  </si>
  <si>
    <t>Off-Peak Premium ($)</t>
  </si>
  <si>
    <t>Coverages</t>
  </si>
  <si>
    <t>.</t>
  </si>
  <si>
    <t>(Pre-Tax)</t>
  </si>
  <si>
    <t>Fee</t>
  </si>
  <si>
    <t>UP Fuels Reservation Fee</t>
  </si>
  <si>
    <t>10 year gas</t>
  </si>
  <si>
    <t>Swing Penalty</t>
  </si>
  <si>
    <t>UP Fuels</t>
  </si>
  <si>
    <t>Intrinsic Value ($)</t>
  </si>
  <si>
    <t>Time Value ($)</t>
  </si>
  <si>
    <t>Total Blended Premium ($)</t>
  </si>
  <si>
    <t>Up-Fr. Cost ($/MWh)</t>
  </si>
  <si>
    <t>Nominal MWh</t>
  </si>
  <si>
    <t>Annuitized Cost ($/MWh)</t>
  </si>
  <si>
    <t>PV MWh</t>
  </si>
  <si>
    <t>Annuitized Cost ($/kW-mo)</t>
  </si>
  <si>
    <t>Demand Charge Div.</t>
  </si>
  <si>
    <t>Demand</t>
  </si>
  <si>
    <t>Divisor</t>
  </si>
  <si>
    <t>Intrinsic</t>
  </si>
  <si>
    <t xml:space="preserve">  Option Price ($/Mwh)</t>
  </si>
  <si>
    <t xml:space="preserve">  Option Price ($/kW-Mo)</t>
  </si>
  <si>
    <t xml:space="preserve">Total Option </t>
  </si>
  <si>
    <t>Latest United Financials</t>
  </si>
  <si>
    <t>Rate (%)</t>
  </si>
  <si>
    <t>Yrs. 1-3</t>
  </si>
  <si>
    <t>Yrs. 4-6</t>
  </si>
  <si>
    <t>Yrs. 7-9</t>
  </si>
  <si>
    <t>Yrs. 14-17</t>
  </si>
  <si>
    <t>Spread (BPS)</t>
  </si>
  <si>
    <t>Yrs. 10-13</t>
  </si>
  <si>
    <t xml:space="preserve">   Gas Transport Dem Chg</t>
  </si>
  <si>
    <t>If no, fix rate of inflation to</t>
  </si>
  <si>
    <t>(nominal)</t>
  </si>
  <si>
    <t xml:space="preserve">   (ii)  Sale of Thermal Energy</t>
  </si>
  <si>
    <t>Tomato Profit Sharing</t>
  </si>
  <si>
    <t>20 yrs MACRS (1/2 yr.)</t>
  </si>
  <si>
    <t>15 yrs MACRS (1/2 yr.)</t>
  </si>
  <si>
    <t>SW Gas Transport Fee</t>
  </si>
  <si>
    <t>Kern River Transport Fee</t>
  </si>
  <si>
    <t>Maximum Take (mmbtu/day)</t>
  </si>
  <si>
    <t>Transport Charges</t>
  </si>
  <si>
    <t>Fixed ($/mmbtu-mo)</t>
  </si>
  <si>
    <t>Variable ($/mmbtu)</t>
  </si>
  <si>
    <t>SWGas P/L</t>
  </si>
  <si>
    <t>Managing Swing</t>
  </si>
  <si>
    <t>Gas Used</t>
  </si>
  <si>
    <t>KEY FINANCIAL DATA</t>
  </si>
  <si>
    <t>Operating Cash Flow</t>
  </si>
  <si>
    <t>Cash Flow Available to Equity Holders</t>
  </si>
  <si>
    <t>DDA</t>
  </si>
  <si>
    <t>Pre-tax DSC Ratio</t>
  </si>
  <si>
    <t>West Coast Power LLP</t>
  </si>
  <si>
    <t>Heat</t>
  </si>
  <si>
    <t>Effective Availability for upgrade month</t>
  </si>
  <si>
    <t>Southwest Gas LOC Amount</t>
  </si>
  <si>
    <t>Duke LOC Amount</t>
  </si>
  <si>
    <t>Funding Spread over Base Spread</t>
  </si>
  <si>
    <t>Debt Service Reserve Scenario</t>
  </si>
  <si>
    <t>Reserve Account=1, LOC=2</t>
  </si>
  <si>
    <t>Amount subject to LOC, if 2 above</t>
  </si>
  <si>
    <t xml:space="preserve">Debt Service Reserve % </t>
  </si>
  <si>
    <t>LOC Fee % of reserve if 2 above</t>
  </si>
  <si>
    <t>Asset Purchase Price</t>
  </si>
  <si>
    <t>Plant Improvements</t>
  </si>
  <si>
    <t>Working Capital Adjustment</t>
  </si>
  <si>
    <t>Environmental Offsets</t>
  </si>
  <si>
    <t>Enron Legal Fees</t>
  </si>
  <si>
    <t>Nevada Council</t>
  </si>
  <si>
    <t>Lenders' Legal Fee</t>
  </si>
  <si>
    <t>Title Policy</t>
  </si>
  <si>
    <t>Contingency Fee</t>
  </si>
  <si>
    <t>Other Fees  (%)</t>
  </si>
  <si>
    <t>Startup and Acceptance</t>
  </si>
  <si>
    <t>Water Entitlements</t>
  </si>
  <si>
    <t>Sales and Property Tax</t>
  </si>
  <si>
    <t>Insurance and Perf. Bond</t>
  </si>
  <si>
    <t>Contingency @</t>
  </si>
  <si>
    <t>Bank Amortization Schedule</t>
  </si>
  <si>
    <t>yes</t>
  </si>
  <si>
    <t>Real Estate Taxes</t>
  </si>
  <si>
    <t>Real Property Taxes</t>
  </si>
  <si>
    <t>Annual Degradation</t>
  </si>
  <si>
    <t>NPC Energy Only Sales (MW)</t>
  </si>
  <si>
    <t>Proceeds from Asset Sales</t>
  </si>
  <si>
    <t>Reservation Premium after UP Fuel Term</t>
  </si>
  <si>
    <t>SL Amortization</t>
  </si>
  <si>
    <t>(Pre-Tax) Debt Cvg. Ratio</t>
  </si>
  <si>
    <t>Var. Gas Transport - Kern &amp; SWGas</t>
  </si>
  <si>
    <t>Increase/(Decrease) in O&amp;M Reserve Acccount</t>
  </si>
  <si>
    <t>Increase/(Decrease) in Reserve Accounts</t>
  </si>
  <si>
    <t>Acquisition Basis</t>
  </si>
  <si>
    <t>Partial Overhaul 1 Basis</t>
  </si>
  <si>
    <t>Complete Overhaul 1 Basis</t>
  </si>
  <si>
    <t>Partial Overhaul 2 Basis</t>
  </si>
  <si>
    <t>Complete Overhaul 2 Basis</t>
  </si>
  <si>
    <t xml:space="preserve"> - amortized over</t>
  </si>
  <si>
    <t>Net Cash Flow Available to All Equity Holders</t>
  </si>
  <si>
    <t>Reserve Additions (Subtractions) for O&amp;M Account</t>
  </si>
  <si>
    <t>Reserve Additions (Subtractions) for DS account</t>
  </si>
  <si>
    <t>Partial Overhaul 1</t>
  </si>
  <si>
    <t>Complete Overhaul 1</t>
  </si>
  <si>
    <t>Partial Overhaul 2</t>
  </si>
  <si>
    <t>Complete Overhaul 2</t>
  </si>
  <si>
    <t>Method  (SL/DB)</t>
  </si>
  <si>
    <t xml:space="preserve">  If DB, state rate</t>
  </si>
  <si>
    <t>Gas Swap Price</t>
  </si>
  <si>
    <t>$0.06/mmbtu</t>
  </si>
  <si>
    <t xml:space="preserve">Gas </t>
  </si>
  <si>
    <t>Commodity</t>
  </si>
  <si>
    <t>O&amp;M</t>
  </si>
  <si>
    <t>Marginal</t>
  </si>
  <si>
    <t>Transmission</t>
  </si>
  <si>
    <t>Charges</t>
  </si>
  <si>
    <t xml:space="preserve">Market Service </t>
  </si>
  <si>
    <t>Providor Charges</t>
  </si>
  <si>
    <t>Merchant Gas</t>
  </si>
  <si>
    <t>SHARING AGREEMENT:</t>
  </si>
  <si>
    <t>O&amp;M Charges ($/MWh)</t>
  </si>
  <si>
    <t>Heat Rate (MMBtu?Mwh</t>
  </si>
  <si>
    <t>Gas Transport ($/MMBtu)</t>
  </si>
  <si>
    <t>Gas Daily Premium ($/MMBtu)</t>
  </si>
  <si>
    <t>Total Paymet</t>
  </si>
  <si>
    <t>to Sierra</t>
  </si>
  <si>
    <t>Amount Available</t>
  </si>
  <si>
    <t>End of Sharing with NPC</t>
  </si>
  <si>
    <t>Total</t>
  </si>
  <si>
    <t>Year</t>
  </si>
  <si>
    <t>Use Fixed US CPI? (3%)</t>
  </si>
  <si>
    <t>Starting Date</t>
  </si>
  <si>
    <t>no</t>
  </si>
  <si>
    <t>Rockies</t>
  </si>
  <si>
    <t>15-Day</t>
  </si>
  <si>
    <t>Number Of Various Days</t>
  </si>
  <si>
    <t>MWHs</t>
  </si>
  <si>
    <t>Effective</t>
  </si>
  <si>
    <t>Yrs</t>
  </si>
  <si>
    <t>Power Vols</t>
  </si>
  <si>
    <t>Delivery</t>
  </si>
  <si>
    <t>Possible</t>
  </si>
  <si>
    <t>Deal</t>
  </si>
  <si>
    <t>Interest</t>
  </si>
  <si>
    <t>Discount</t>
  </si>
  <si>
    <t>Power</t>
  </si>
  <si>
    <t>Between Deal Start And End</t>
  </si>
  <si>
    <t>Taken</t>
  </si>
  <si>
    <t>to</t>
  </si>
  <si>
    <t>Before Vol Smile Adjustment</t>
  </si>
  <si>
    <t>Holiday</t>
  </si>
  <si>
    <t>Starts</t>
  </si>
  <si>
    <t>Ends</t>
  </si>
  <si>
    <t>Rate</t>
  </si>
  <si>
    <t>Factor</t>
  </si>
  <si>
    <t>Corr</t>
  </si>
  <si>
    <t>Week</t>
  </si>
  <si>
    <t>Exp.</t>
  </si>
  <si>
    <t>-Hol</t>
  </si>
  <si>
    <t>Weekday</t>
  </si>
  <si>
    <t>Peak Sat</t>
  </si>
  <si>
    <t>Peak Sun</t>
  </si>
  <si>
    <t>Peak,Sat</t>
  </si>
  <si>
    <t>Peak,Sun</t>
  </si>
  <si>
    <t>Peak,Week</t>
  </si>
  <si>
    <t>Discounting</t>
  </si>
  <si>
    <t>Volatilities</t>
  </si>
  <si>
    <t>Availability</t>
  </si>
  <si>
    <t>Spread Option Section</t>
  </si>
  <si>
    <t>PEAK</t>
  </si>
  <si>
    <t>Group</t>
  </si>
  <si>
    <t>Prudent</t>
  </si>
  <si>
    <t>Capacity</t>
  </si>
  <si>
    <t>Code</t>
  </si>
  <si>
    <t>Start</t>
  </si>
  <si>
    <t>($/MWH)</t>
  </si>
  <si>
    <t>SL</t>
  </si>
  <si>
    <t>Fraction:</t>
  </si>
  <si>
    <t>Months:</t>
  </si>
  <si>
    <t>Fiscal Year End:</t>
  </si>
  <si>
    <t>NO</t>
  </si>
  <si>
    <t>Monthly</t>
  </si>
  <si>
    <t>Blended</t>
  </si>
  <si>
    <t>Curve Date</t>
  </si>
  <si>
    <t>Month</t>
  </si>
  <si>
    <t>Sat</t>
  </si>
  <si>
    <t>Sun</t>
  </si>
  <si>
    <t>Hol</t>
  </si>
  <si>
    <t>Bid</t>
  </si>
  <si>
    <t>Offer</t>
  </si>
  <si>
    <t>Vol</t>
  </si>
  <si>
    <t>Volume</t>
  </si>
  <si>
    <t>Price</t>
  </si>
  <si>
    <t>Basis</t>
  </si>
  <si>
    <t>Saturday</t>
  </si>
  <si>
    <t xml:space="preserve"> </t>
  </si>
  <si>
    <t>Sunday</t>
  </si>
  <si>
    <t>Region</t>
  </si>
  <si>
    <t>Outages</t>
  </si>
  <si>
    <t>Planned Outages</t>
  </si>
  <si>
    <t>($/mmbtu)</t>
  </si>
  <si>
    <t>Min</t>
  </si>
  <si>
    <t>Sup</t>
  </si>
  <si>
    <t>Min Peak</t>
  </si>
  <si>
    <t>Sup Peak</t>
  </si>
  <si>
    <t>Minimum</t>
  </si>
  <si>
    <t>Supplemental</t>
  </si>
  <si>
    <t>Labor</t>
  </si>
  <si>
    <t>Performance Incentive</t>
  </si>
  <si>
    <t>GT - Scheduled Maintenance</t>
  </si>
  <si>
    <t>GT - Unscheduled Maintenance</t>
  </si>
  <si>
    <t>ST - Scheduled Maintenance</t>
  </si>
  <si>
    <t>ST - Unscheduled Maintenance</t>
  </si>
  <si>
    <t>Boiler Mainenance - HRSG - Scheduled</t>
  </si>
  <si>
    <t>Ammonia</t>
  </si>
  <si>
    <t>Demineralized Water Treatment</t>
  </si>
  <si>
    <t>Water/Sewer</t>
  </si>
  <si>
    <t>Emissions Testing/Expense</t>
  </si>
  <si>
    <t>Cumulative 80% index equivalent</t>
  </si>
  <si>
    <t>Banker Trust Fee</t>
  </si>
  <si>
    <t>Agent Bank Fee</t>
  </si>
  <si>
    <t>Debt Srvc Reserve Enron Undertaking Fees</t>
  </si>
  <si>
    <t>LOC Fee - Duke Fuels</t>
  </si>
  <si>
    <t>LOC Fee - Southwest Gas</t>
  </si>
  <si>
    <t>Corporate Services</t>
  </si>
  <si>
    <t>Power Technical Support</t>
  </si>
  <si>
    <t>Tax Returns</t>
  </si>
  <si>
    <t>Audit</t>
  </si>
  <si>
    <t>Legal</t>
  </si>
  <si>
    <t>Human Resources</t>
  </si>
  <si>
    <t>Information Technology</t>
  </si>
  <si>
    <t>Insurance Support</t>
  </si>
  <si>
    <t>Corporate Secretary/Records</t>
  </si>
  <si>
    <t>Treasury</t>
  </si>
  <si>
    <t>Mid Basis</t>
  </si>
  <si>
    <t>Addt'l</t>
  </si>
  <si>
    <t>Curve</t>
  </si>
  <si>
    <t>Sell-Back Volumes Spread from Purchase</t>
  </si>
  <si>
    <t>Last Date Of Monthly Vol:</t>
  </si>
  <si>
    <t>Nymex Price</t>
  </si>
  <si>
    <t>Spreads</t>
  </si>
  <si>
    <t>Change in</t>
  </si>
  <si>
    <t>Mid</t>
  </si>
  <si>
    <t>Tenths of 1c</t>
  </si>
  <si>
    <t>Unlevered Free Cash Flows</t>
  </si>
  <si>
    <t>Date</t>
  </si>
  <si>
    <t>Be Careful with Copying Rows, Formulas in the Grey Cells Are "Special".</t>
  </si>
  <si>
    <t>($)</t>
  </si>
  <si>
    <t>Additional Turbine</t>
  </si>
  <si>
    <t>First Month of Price Curve:</t>
  </si>
  <si>
    <t>Calendar</t>
  </si>
  <si>
    <t>Project Name</t>
  </si>
  <si>
    <t xml:space="preserve">Peak </t>
  </si>
  <si>
    <t>Peak Only</t>
  </si>
  <si>
    <t>Peak-</t>
  </si>
  <si>
    <t>Power-</t>
  </si>
  <si>
    <t>Volatility</t>
  </si>
  <si>
    <t>Off-Peak</t>
  </si>
  <si>
    <t>Scalars</t>
  </si>
  <si>
    <t>Peak</t>
  </si>
  <si>
    <t>Standard Repayment</t>
  </si>
  <si>
    <t>Monetization Debt Paydown</t>
  </si>
  <si>
    <t>Standard Amortization</t>
  </si>
  <si>
    <t>Adjusted Amortization</t>
  </si>
  <si>
    <t>Monetization Revenues</t>
  </si>
  <si>
    <t>Forced Outages</t>
  </si>
  <si>
    <t>Discount Factor</t>
  </si>
  <si>
    <t>Capital Price</t>
  </si>
  <si>
    <t>ValDate</t>
  </si>
  <si>
    <t>PV</t>
  </si>
  <si>
    <t>(MW)</t>
  </si>
  <si>
    <t>Contracted Power</t>
  </si>
  <si>
    <t>MWHs Bought from Market</t>
  </si>
  <si>
    <t>Excess Power Produced from Plant Sold to Market</t>
  </si>
  <si>
    <t>Power Bought from Market to Fulfill Contract</t>
  </si>
  <si>
    <t xml:space="preserve">Power Produced from Plant to Fulfill Contract </t>
  </si>
  <si>
    <t>Contract Price</t>
  </si>
  <si>
    <t>MWHs Contracted</t>
  </si>
  <si>
    <t>Blended Unit</t>
  </si>
  <si>
    <t>Revenues</t>
  </si>
  <si>
    <t>Market Sales</t>
  </si>
  <si>
    <t>Contract Sales</t>
  </si>
  <si>
    <t>Cost</t>
  </si>
  <si>
    <t>Sales</t>
  </si>
  <si>
    <t>Contract Volumes</t>
  </si>
  <si>
    <t>Market Volumes</t>
  </si>
  <si>
    <t>Market Price</t>
  </si>
  <si>
    <t>Total Revenues</t>
  </si>
  <si>
    <t>O&amp;M Price</t>
  </si>
  <si>
    <t>O&amp;M Cost</t>
  </si>
  <si>
    <t>Power Cost</t>
  </si>
  <si>
    <t>Volumes</t>
  </si>
  <si>
    <t>(MWHs)</t>
  </si>
  <si>
    <t>Blended Price</t>
  </si>
  <si>
    <t>(mmbtu)</t>
  </si>
  <si>
    <t>Market Purchases</t>
  </si>
  <si>
    <t>O&amp;M Vol</t>
  </si>
  <si>
    <t>Sources:</t>
  </si>
  <si>
    <t>Intrinsic Value Formula</t>
  </si>
  <si>
    <t>Option Value Formula</t>
  </si>
  <si>
    <t>e502</t>
  </si>
  <si>
    <t>Include Supplemental Time Value (on Merchant Sales)</t>
  </si>
  <si>
    <t>Uses:</t>
  </si>
  <si>
    <t>Purchase Price</t>
  </si>
  <si>
    <t>Fees</t>
  </si>
  <si>
    <t>Check</t>
  </si>
  <si>
    <t>Proof</t>
  </si>
  <si>
    <t>Yes</t>
  </si>
  <si>
    <t>ADJUSTED WORKING CAPITAL INPUT:</t>
  </si>
  <si>
    <t>$</t>
  </si>
  <si>
    <t>)</t>
  </si>
  <si>
    <t>Scheduled Capital Expenditures</t>
  </si>
  <si>
    <t>Total Asset</t>
  </si>
  <si>
    <t>Not all formulas in row same</t>
  </si>
  <si>
    <t>Summary!D50</t>
  </si>
  <si>
    <t>Summary!D56</t>
  </si>
  <si>
    <t>Summary!D62</t>
  </si>
  <si>
    <t>Summary!$E$44*0.25</t>
  </si>
  <si>
    <t>Summary!$E$50*0.125</t>
  </si>
  <si>
    <t>Summary!$E$50*0.625</t>
  </si>
  <si>
    <t>Summary!$E$56*0.25</t>
  </si>
  <si>
    <t>Summary!$E$62*0.125</t>
  </si>
  <si>
    <t>Summary!$E$62*0.625</t>
  </si>
  <si>
    <t>TEMP:====&gt;</t>
  </si>
  <si>
    <t>Depreciable Assets</t>
  </si>
  <si>
    <t>Book Value</t>
  </si>
  <si>
    <t>Fixed Assets</t>
  </si>
  <si>
    <t>Asset 6</t>
  </si>
  <si>
    <t>Asset 7</t>
  </si>
  <si>
    <t>Asset 8</t>
  </si>
  <si>
    <t>Asset 9</t>
  </si>
  <si>
    <t>Asset 10</t>
  </si>
  <si>
    <t xml:space="preserve">   Total Fixed Assets</t>
  </si>
  <si>
    <t>Additional Revenues:</t>
  </si>
  <si>
    <t>Lease Revenues (LV Cogen II)</t>
  </si>
  <si>
    <t>O&amp;M Revenues (LV Cogen)</t>
  </si>
  <si>
    <t>ADDITIONAL PROJECT REVENUES:</t>
  </si>
  <si>
    <t>Sources of Revenues:</t>
  </si>
  <si>
    <t>Annual Lease Revenues (LV Cogen II)</t>
  </si>
  <si>
    <t>Annual O&amp;M Revenues (LV Cogen)</t>
  </si>
  <si>
    <t>Date Lease Revenues Begin:</t>
  </si>
  <si>
    <t>O&amp;MLease Revenues Begin:</t>
  </si>
  <si>
    <t>Capitalized Construction Interest/Intangibles</t>
  </si>
  <si>
    <t>Funding 1</t>
  </si>
  <si>
    <t>Rate:</t>
  </si>
  <si>
    <t>Funding 2</t>
  </si>
  <si>
    <t xml:space="preserve">Subtotal  </t>
  </si>
  <si>
    <t>Non-Depreciable Assets (Land)</t>
  </si>
  <si>
    <t>Total Capital Expenditures</t>
  </si>
  <si>
    <t>Oil &amp; Gas Prices</t>
  </si>
  <si>
    <t>Depreciation &amp; Amortization Parameters</t>
  </si>
  <si>
    <t>Oil &amp; Gas Reserve Information</t>
  </si>
  <si>
    <t>Hedging Profits/(Losses)</t>
  </si>
  <si>
    <t>Book Capitalization and Depreciation</t>
  </si>
  <si>
    <t>Tax Depreciation</t>
  </si>
  <si>
    <t>Oil &amp; Gas Reserve Totals</t>
  </si>
  <si>
    <t>Simulated</t>
  </si>
  <si>
    <t>Residual/</t>
  </si>
  <si>
    <t>Depreciation</t>
  </si>
  <si>
    <t>Method</t>
  </si>
  <si>
    <t>DB Decline</t>
  </si>
  <si>
    <t>Desc.</t>
  </si>
  <si>
    <t>Salvage</t>
  </si>
  <si>
    <t>(mm/dd/yy)</t>
  </si>
  <si>
    <t>Life (yrs)</t>
  </si>
  <si>
    <t>(SL/DB)</t>
  </si>
  <si>
    <t>Value</t>
  </si>
  <si>
    <t>Life (yrs.)</t>
  </si>
  <si>
    <t>DB</t>
  </si>
  <si>
    <t xml:space="preserve">Subtotal </t>
  </si>
  <si>
    <t>diff. vs. book:</t>
  </si>
  <si>
    <t>Scheduled Depreciation Expense - Book</t>
  </si>
  <si>
    <t>Total Depreciation Expense</t>
  </si>
  <si>
    <t>Total Amortization of Capitalized Interest</t>
  </si>
  <si>
    <t>Total Book Depreciation/Amortization Expense</t>
  </si>
  <si>
    <t>chk:</t>
  </si>
  <si>
    <t>Scheduled Depreciation Expense - Tax</t>
  </si>
  <si>
    <t>Total Tax Depreciation/Amortization Expense</t>
  </si>
  <si>
    <t>Fixed Asset Summary</t>
  </si>
  <si>
    <t>Capitalized Costs</t>
  </si>
  <si>
    <t>Land</t>
  </si>
  <si>
    <t>Depreciation and  Amortization Expense - Book</t>
  </si>
  <si>
    <t>Depreciation Expense - Pre-Transaction Assets</t>
  </si>
  <si>
    <t>Add:  Book Depreciation Expense - Transaction Assets</t>
  </si>
  <si>
    <t xml:space="preserve">    Total Depreciation Expense - Book</t>
  </si>
  <si>
    <t>Amortization of Capitalized Costs - Book</t>
  </si>
  <si>
    <t>Depreciation and  Amortization Expense - Tax</t>
  </si>
  <si>
    <t xml:space="preserve">    Net Depreciation Expense - Tax</t>
  </si>
  <si>
    <t>Amortization of Capitalized Costs - Tax</t>
  </si>
  <si>
    <t>MACROECONOMIC DATA</t>
  </si>
  <si>
    <t>Escalation Factors - Dollars</t>
  </si>
  <si>
    <t>(1)</t>
  </si>
  <si>
    <t>Input Scenario</t>
  </si>
  <si>
    <t xml:space="preserve">Inflation Rate </t>
  </si>
  <si>
    <t>Cumulative index equivalent</t>
  </si>
  <si>
    <t>Other Currency Information</t>
  </si>
  <si>
    <t>Second currency name:</t>
  </si>
  <si>
    <t>Reis</t>
  </si>
  <si>
    <t>Distribution</t>
  </si>
  <si>
    <t>Normal</t>
  </si>
  <si>
    <t>Output Pricing</t>
  </si>
  <si>
    <t>Escalation Scenario (1 Flat, 2 esc)</t>
  </si>
  <si>
    <t>Beginning Price</t>
  </si>
  <si>
    <t>Input Price</t>
  </si>
  <si>
    <t>Adustments</t>
  </si>
  <si>
    <t xml:space="preserve">    Total Price</t>
  </si>
  <si>
    <t xml:space="preserve">    Price in USD</t>
  </si>
  <si>
    <t>Output Sales</t>
  </si>
  <si>
    <t>Total Output 1 Revenue</t>
  </si>
  <si>
    <t>Total Output 2 Revenue</t>
  </si>
  <si>
    <t xml:space="preserve">    Total Sales Revenue</t>
  </si>
  <si>
    <t>Cost of Sales</t>
  </si>
  <si>
    <t>Variable Cost</t>
  </si>
  <si>
    <t>Costs vary with</t>
  </si>
  <si>
    <t>MWH</t>
  </si>
  <si>
    <t>Totals in USD</t>
  </si>
  <si>
    <t>Total Variable Production Costs</t>
  </si>
  <si>
    <t>Fixed Cost</t>
  </si>
  <si>
    <t>Amount</t>
  </si>
  <si>
    <t>Total Fixed Production Costs</t>
  </si>
  <si>
    <t>Total Costs of Sales</t>
  </si>
  <si>
    <t>General &amp; Admin</t>
  </si>
  <si>
    <t>Total Variable Operating Expenses</t>
  </si>
  <si>
    <t>Total Fixed Operating Expenses</t>
  </si>
  <si>
    <t>Total Operating Expenses</t>
  </si>
  <si>
    <t>SUMMARY INFORMATION</t>
  </si>
  <si>
    <t xml:space="preserve">    Total</t>
  </si>
  <si>
    <t>Cost of Revenues</t>
  </si>
  <si>
    <t>Other Costs of Sales</t>
  </si>
  <si>
    <t xml:space="preserve">    Total Cost of Revenues</t>
  </si>
  <si>
    <t>Gross Margin</t>
  </si>
  <si>
    <t>EBDIT</t>
  </si>
  <si>
    <t>Data to Financing Section</t>
  </si>
  <si>
    <t>Revenues (excluding deferred PP revenue)</t>
  </si>
  <si>
    <t>Cash Expenses</t>
  </si>
  <si>
    <t>Capital Expenditures - Total</t>
  </si>
  <si>
    <t>Capital Expenditures - Land</t>
  </si>
  <si>
    <t>Depreciation Expense - Book</t>
  </si>
  <si>
    <t>Depreciation Expense - Tax</t>
  </si>
  <si>
    <t>Amortization of Intangibles - Book</t>
  </si>
  <si>
    <t>Amortization of Intangibles - Tax</t>
  </si>
  <si>
    <t>Data from Financing Section</t>
  </si>
  <si>
    <t>Fraction of year</t>
  </si>
  <si>
    <t>Units</t>
  </si>
  <si>
    <t xml:space="preserve">SCENARIO:    </t>
  </si>
  <si>
    <t>Base Case</t>
  </si>
  <si>
    <t>($ in</t>
  </si>
  <si>
    <t>Thousands</t>
  </si>
  <si>
    <t>INCOME STATEMENT:</t>
  </si>
  <si>
    <t>Total Cost of Revenues</t>
  </si>
  <si>
    <t>Gross Profits</t>
  </si>
  <si>
    <t>Depreciation and Depletion</t>
  </si>
  <si>
    <t xml:space="preserve">    Subtotal - Depreciation, Depletion, Amortization</t>
  </si>
  <si>
    <t>EBIT</t>
  </si>
  <si>
    <t>Other Income:</t>
  </si>
  <si>
    <t>Interest Income</t>
  </si>
  <si>
    <t>Total Other Income</t>
  </si>
  <si>
    <t>Interest Expense:</t>
  </si>
  <si>
    <t>Deficit Revolver</t>
  </si>
  <si>
    <t>Total Interest Expense</t>
  </si>
  <si>
    <t>Income b/f Taxes and Gains</t>
  </si>
  <si>
    <t>Gain on Sale of Assets</t>
  </si>
  <si>
    <t>Gross Receipts Tax</t>
  </si>
  <si>
    <t>Income b/f Income Taxes</t>
  </si>
  <si>
    <t>Income Taxes</t>
  </si>
  <si>
    <t>Net Income</t>
  </si>
  <si>
    <t>Legal Reserve Requirement</t>
  </si>
  <si>
    <t>Net Income Available to Common</t>
  </si>
  <si>
    <t>Common Dividends</t>
  </si>
  <si>
    <t>SOURCES AND USES:</t>
  </si>
  <si>
    <t>SOURCES:</t>
  </si>
  <si>
    <t>Depreciation &amp; Amortization</t>
  </si>
  <si>
    <t>Deferred Income Taxes</t>
  </si>
  <si>
    <t>Non-Cash Interest and Dividends</t>
  </si>
  <si>
    <t>Net Proceeds from Sale of Assets</t>
  </si>
  <si>
    <t>Total Sources</t>
  </si>
  <si>
    <t>USES:</t>
  </si>
  <si>
    <t>Change in Adjusted W/C</t>
  </si>
  <si>
    <t>Decrease in</t>
  </si>
  <si>
    <t>Dividends/Treasury Stock Acquisition/Preferred Stock Redemption</t>
  </si>
  <si>
    <t>Total Uses</t>
  </si>
  <si>
    <t>EXCESS/(DEFICIT)</t>
  </si>
  <si>
    <t>FINANCED BY:</t>
  </si>
  <si>
    <t>Total Scheduled Financing</t>
  </si>
  <si>
    <t>Increase/(Decrease) in Deficit Revolver</t>
  </si>
  <si>
    <t>Decrease/(Increase) in Excess Cash</t>
  </si>
  <si>
    <t>Total Financing</t>
  </si>
  <si>
    <t>AVAILABLE CASH:</t>
  </si>
  <si>
    <t>Beginning Cash</t>
  </si>
  <si>
    <t>Operating Increase/(Decrease)</t>
  </si>
  <si>
    <t>Old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</si>
  <si>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</si>
  <si>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</si>
  <si>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</si>
  <si>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</si>
  <si>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</si>
  <si>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</si>
  <si>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</si>
  <si>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</si>
  <si>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</si>
  <si>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</si>
  <si>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</si>
  <si>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</si>
  <si>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</si>
  <si>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</si>
  <si>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</si>
  <si>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</si>
  <si>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</si>
  <si>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</si>
  <si>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</si>
  <si>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</si>
  <si>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</si>
  <si>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</si>
  <si>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</si>
  <si>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</si>
  <si>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</si>
  <si>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</si>
  <si>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Purchase</t>
  </si>
  <si>
    <t>Interest rate SWAP (1= "Yes")</t>
  </si>
  <si>
    <t>Excess Increase/(Decrease)</t>
  </si>
  <si>
    <t>Ending Cash</t>
  </si>
  <si>
    <t>Underwriting COF</t>
  </si>
  <si>
    <t>BALANCE SHEET:</t>
  </si>
  <si>
    <t>Total Intangibles</t>
  </si>
  <si>
    <t>Short Term Debt</t>
  </si>
  <si>
    <t>CAPITALIZATION:</t>
  </si>
  <si>
    <t>Deficit Revolver:</t>
  </si>
  <si>
    <t>Beginning Balance</t>
  </si>
  <si>
    <t>(Addition)</t>
  </si>
  <si>
    <t>Repayment</t>
  </si>
  <si>
    <t>Ending Balance</t>
  </si>
  <si>
    <t xml:space="preserve">    Interest Rate</t>
  </si>
  <si>
    <t>Excess Cash Flow Recapture</t>
  </si>
  <si>
    <t>TRANSACTION ASSUMPTIONS:</t>
  </si>
  <si>
    <t>Transaction Date:</t>
  </si>
  <si>
    <t>Current Value of Assets ($ per kW)</t>
  </si>
  <si>
    <t>Transaction Date Adjustment:</t>
  </si>
  <si>
    <t>Pre Transaction Revenues</t>
  </si>
  <si>
    <t>and Expenses, and</t>
  </si>
  <si>
    <t>Post Transaction Revenues</t>
  </si>
  <si>
    <t>and Expenses in fiscal</t>
  </si>
  <si>
    <t>Transaction Funds Flow</t>
  </si>
  <si>
    <t>Subsequent Fundings</t>
  </si>
  <si>
    <t>Transaction</t>
  </si>
  <si>
    <t>Totals</t>
  </si>
  <si>
    <t>Purchase Term Loan</t>
  </si>
  <si>
    <t>Common Stock</t>
  </si>
  <si>
    <t>Date Supplemental Energy Sales Begin</t>
  </si>
  <si>
    <t>Date of NEV Deregulation</t>
  </si>
  <si>
    <t>Wheeling ($/MWh) Prior to Deregulation</t>
  </si>
  <si>
    <t>Wheeling ($/MWh) POST Deregulation</t>
  </si>
  <si>
    <t>Duke contract End</t>
  </si>
  <si>
    <t>Duke</t>
  </si>
  <si>
    <t>Premium</t>
  </si>
  <si>
    <t>NYMEX  Delivered Basis thru</t>
  </si>
  <si>
    <t>Gas Curve Henwood=1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</si>
</sst>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-0_)"/>
    <numFmt numFmtId="165" formatCode="General_)"/>
    <numFmt numFmtId="166" formatCode="dd\-mmm\-yy_)"/>
    <numFmt numFmtId="168" formatCode="0_)"/>
    <numFmt numFmtId="171" formatCode="&quot;$&quot;#,##0.000_);\(&quot;$&quot;#,##0.000\)"/>
    <numFmt numFmtId="172" formatCode="&quot;$&quot;#,##0.0000_);\(&quot;$&quot;#,##0.0000\)"/>
    <numFmt numFmtId="173" formatCode="0.0000%"/>
    <numFmt numFmtId="174" formatCode="hh:mm\ AM/PM_)"/>
    <numFmt numFmtId="175" formatCode="mmm\-yy_)"/>
    <numFmt numFmtId="179" formatCode="mm/dd/yy_)"/>
    <numFmt numFmtId="180" formatCode="0.000000_)"/>
    <numFmt numFmtId="181" formatCode="_(* #,##0.0_);_(* \(#,##0.0\);_(* &quot;-&quot;??_);_(@_)"/>
    <numFmt numFmtId="182" formatCode="_(* #,##0_);_(* \(#,##0\);_(* &quot;-&quot;??_);_(@_)"/>
    <numFmt numFmtId="183" formatCode="0.0%"/>
    <numFmt numFmtId="190" formatCode="0.0"/>
    <numFmt numFmtId="191" formatCode="0.00000"/>
    <numFmt numFmtId="192" formatCode="0.0000"/>
    <numFmt numFmtId="193" formatCode="0.000"/>
    <numFmt numFmtId="195" formatCode="#,##0.0_);\(#,##0.0\)"/>
    <numFmt numFmtId="196" formatCode="#,##0.000"/>
    <numFmt numFmtId="198" formatCode="_(* #,##0.000_);_(* \(#,##0.000\);_(* &quot;-&quot;??_);_(@_)"/>
    <numFmt numFmtId="212" formatCode="_(* #,##0.00_);_(* \(#,##0.00\);_(* &quot;-&quot;_);_(@_)"/>
    <numFmt numFmtId="213" formatCode="_(* #,##0.000_);_(* \(#,##0.000\);_(* &quot;-&quot;_);_(@_)"/>
    <numFmt numFmtId="219" formatCode="_(&quot;$&quot;* #,##0.00_);_(&quot;$&quot;* \(#,##0.00\);_(&quot;$&quot;* &quot;-&quot;????_);_(@_)"/>
    <numFmt numFmtId="220" formatCode="mm/dd/yy"/>
    <numFmt numFmtId="222" formatCode="#,##0.000_);\(#,##0.000\)"/>
    <numFmt numFmtId="229" formatCode="_(&quot;$&quot;* #,##0_);_(&quot;$&quot;* \(#,##0\);_(&quot;$&quot;* &quot;-&quot;??_);_(@_)"/>
    <numFmt numFmtId="236" formatCode="0.000%"/>
    <numFmt numFmtId="238" formatCode="&quot;$&quot;#,##0.00"/>
    <numFmt numFmtId="241" formatCode=";;;"/>
    <numFmt numFmtId="242" formatCode="#,##0.00000_);\(#,##0.00000\)"/>
    <numFmt numFmtId="245" formatCode="#,##0.000_);[Red]\(#,##0.000\)"/>
    <numFmt numFmtId="246" formatCode="#,##0.0_);[Red]\(#,##0.0\)"/>
    <numFmt numFmtId="247" formatCode="#,##0.0000_);[Red]\(#,##0.0000\)"/>
    <numFmt numFmtId="253" formatCode="mmm\-dd"/>
    <numFmt numFmtId="254" formatCode="&quot;$&quot;#,##0.000_);[Red]\(&quot;$&quot;#,##0.000\)"/>
    <numFmt numFmtId="259" formatCode="0.00000%"/>
    <numFmt numFmtId="261" formatCode="&quot;$&quot;#,##0.0_);\(&quot;$&quot;#,##0.0\)"/>
    <numFmt numFmtId="262" formatCode="yyyy"/>
    <numFmt numFmtId="264" formatCode="0;[Red]0"/>
    <numFmt numFmtId="311" formatCode="_-&quot;$&quot;* #,##0_-;\-&quot;$&quot;* #,##0_-;_-&quot;$&quot;* &quot;-&quot;_-;_-@_-"/>
    <numFmt numFmtId="312" formatCode="_-* #,##0_-;\-* #,##0_-;_-* &quot;-&quot;_-;_-@_-"/>
    <numFmt numFmtId="313" formatCode="_-&quot;$&quot;* #,##0.00_-;\-&quot;$&quot;* #,##0.00_-;_-&quot;$&quot;* &quot;-&quot;??_-;_-@_-"/>
    <numFmt numFmtId="314" formatCode="_-* #,##0.00_-;\-* #,##0.00_-;_-* &quot;-&quot;??_-;_-@_-"/>
    <numFmt numFmtId="354" formatCode="_ * #,##0_ ;_ * \-#,##0_ ;_ * &quot;-&quot;_ ;_ @_ "/>
    <numFmt numFmtId="355" formatCode="_ * #,##0.00_ ;_ * \-#,##0.00_ ;_ * &quot;-&quot;??_ ;_ @_ "/>
    <numFmt numFmtId="356" formatCode="_ &quot;CHF&quot;\ * #,##0.00_ ;_ &quot;CHF&quot;\ * \-#,##0.00_ ;_ &quot;CHF&quot;\ * &quot;-&quot;??_ ;_ @_ "/>
    <numFmt numFmtId="357" formatCode="_-* #,##0\ _D_M_-;\-* #,##0\ _D_M_-;_-* &quot;-&quot;\ _D_M_-;_-@_-"/>
    <numFmt numFmtId="358" formatCode="_-* #,##0.00\ _D_M_-;\-* #,##0.00\ _D_M_-;_-* &quot;-&quot;??\ _D_M_-;_-@_-"/>
    <numFmt numFmtId="359" formatCode="_-* #,##0\ &quot;DM&quot;_-;\-* #,##0\ &quot;DM&quot;_-;_-* &quot;-&quot;\ &quot;DM&quot;_-;_-@_-"/>
  </numFmts>
  <fonts count="90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8"/>
      <color indexed="12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b/>
      <sz val="10"/>
      <color indexed="8"/>
      <name val="Courier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10"/>
      <color indexed="8"/>
      <name val="Courier"/>
    </font>
    <font>
      <sz val="8"/>
      <name val="Tahoma"/>
      <family val="2"/>
    </font>
    <font>
      <sz val="12"/>
      <color indexed="8"/>
      <name val="Arial MT"/>
    </font>
    <font>
      <sz val="8"/>
      <color indexed="81"/>
      <name val="Tahoma"/>
    </font>
    <font>
      <b/>
      <u/>
      <sz val="11"/>
      <color indexed="37"/>
      <name val="Arial"/>
      <family val="2"/>
    </font>
    <font>
      <sz val="8"/>
      <name val="Arial"/>
    </font>
    <font>
      <sz val="8"/>
      <name val="Arial"/>
    </font>
    <font>
      <sz val="10"/>
      <name val="Courier"/>
    </font>
    <font>
      <sz val="8"/>
      <name val="Tms Rmn"/>
    </font>
    <font>
      <sz val="8"/>
      <color indexed="12"/>
      <name val="Arial"/>
      <family val="2"/>
    </font>
    <font>
      <b/>
      <u/>
      <sz val="10"/>
      <name val="Arial"/>
      <family val="2"/>
    </font>
    <font>
      <sz val="10"/>
      <name val="MS Sans Serif"/>
    </font>
    <font>
      <sz val="10"/>
      <name val="Courier"/>
      <family val="3"/>
    </font>
    <font>
      <b/>
      <sz val="8"/>
      <color indexed="12"/>
      <name val="Arial"/>
      <family val="2"/>
    </font>
    <font>
      <b/>
      <sz val="8"/>
      <color indexed="81"/>
      <name val="Tahoma"/>
    </font>
    <font>
      <sz val="12"/>
      <name val="Helv"/>
    </font>
    <font>
      <i/>
      <sz val="8"/>
      <name val="Arial"/>
      <family val="2"/>
    </font>
    <font>
      <b/>
      <sz val="8"/>
      <color indexed="56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</font>
    <font>
      <b/>
      <u/>
      <sz val="8"/>
      <name val="Arial"/>
      <family val="2"/>
    </font>
    <font>
      <i/>
      <sz val="8"/>
      <name val="Arial"/>
    </font>
    <font>
      <sz val="8"/>
      <color indexed="56"/>
      <name val="Arial"/>
      <family val="2"/>
    </font>
    <font>
      <b/>
      <sz val="8"/>
      <name val="Arial"/>
    </font>
    <font>
      <sz val="8"/>
      <color indexed="9"/>
      <name val="Arial"/>
    </font>
    <font>
      <sz val="8"/>
      <color indexed="9"/>
      <name val="Arial"/>
    </font>
    <font>
      <sz val="7"/>
      <name val="Arial"/>
    </font>
    <font>
      <u/>
      <sz val="8"/>
      <name val="Arial"/>
      <family val="2"/>
    </font>
    <font>
      <u/>
      <sz val="8"/>
      <color indexed="12"/>
      <name val="Arial"/>
      <family val="2"/>
    </font>
    <font>
      <sz val="8"/>
      <color indexed="10"/>
      <name val="Arial"/>
      <family val="2"/>
    </font>
    <font>
      <sz val="8"/>
      <color indexed="12"/>
      <name val="Arial"/>
    </font>
    <font>
      <b/>
      <sz val="8"/>
      <color indexed="10"/>
      <name val="Arial"/>
      <family val="2"/>
    </font>
    <font>
      <i/>
      <sz val="7.5"/>
      <color indexed="12"/>
      <name val="Arial"/>
      <family val="2"/>
    </font>
    <font>
      <i/>
      <u/>
      <sz val="8"/>
      <name val="Arial"/>
      <family val="2"/>
    </font>
    <font>
      <sz val="8"/>
      <color indexed="9"/>
      <name val="Arial"/>
      <family val="2"/>
    </font>
    <font>
      <b/>
      <i/>
      <sz val="8"/>
      <name val="Arial"/>
    </font>
    <font>
      <sz val="10"/>
      <color indexed="56"/>
      <name val="Arial"/>
      <family val="2"/>
    </font>
    <font>
      <sz val="10"/>
      <color indexed="9"/>
      <name val="Arial"/>
      <family val="2"/>
    </font>
    <font>
      <sz val="11"/>
      <name val="Arial"/>
    </font>
    <font>
      <i/>
      <sz val="8"/>
      <color indexed="9"/>
      <name val="Arial"/>
      <family val="2"/>
    </font>
    <font>
      <sz val="8"/>
      <color indexed="56"/>
      <name val="Arial"/>
    </font>
    <font>
      <b/>
      <sz val="10"/>
      <color indexed="56"/>
      <name val="Arial"/>
      <family val="2"/>
    </font>
    <font>
      <b/>
      <i/>
      <sz val="10"/>
      <name val="Arial"/>
      <family val="2"/>
    </font>
    <font>
      <b/>
      <sz val="12"/>
      <color indexed="56"/>
      <name val="Arial"/>
      <family val="2"/>
    </font>
    <font>
      <b/>
      <u val="singleAccounting"/>
      <sz val="8"/>
      <name val="Arial"/>
      <family val="2"/>
    </font>
    <font>
      <b/>
      <i/>
      <u/>
      <sz val="8"/>
      <name val="Arial"/>
      <family val="2"/>
    </font>
    <font>
      <u val="singleAccounting"/>
      <sz val="8"/>
      <name val="Arial"/>
      <family val="2"/>
    </font>
    <font>
      <u val="singleAccounting"/>
      <sz val="8"/>
      <color indexed="56"/>
      <name val="Arial"/>
      <family val="2"/>
    </font>
    <font>
      <b/>
      <u/>
      <sz val="9"/>
      <name val="Arial"/>
      <family val="2"/>
    </font>
    <font>
      <sz val="7"/>
      <name val="Arial"/>
      <family val="2"/>
    </font>
    <font>
      <b/>
      <sz val="10"/>
      <color indexed="2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color indexed="56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  <font>
      <b/>
      <u/>
      <sz val="8"/>
      <color indexed="56"/>
      <name val="Arial"/>
      <family val="2"/>
    </font>
    <font>
      <i/>
      <sz val="6"/>
      <name val="Arial"/>
      <family val="2"/>
    </font>
    <font>
      <i/>
      <u/>
      <sz val="6"/>
      <name val="Arial"/>
      <family val="2"/>
    </font>
    <font>
      <b/>
      <u/>
      <sz val="14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  <font>
      <b/>
      <u val="singleAccounting"/>
      <sz val="8"/>
      <color indexed="56"/>
      <name val="Arial"/>
      <family val="2"/>
    </font>
    <font>
      <i/>
      <u/>
      <sz val="12"/>
      <name val="Arial"/>
      <family val="2"/>
    </font>
    <font>
      <sz val="6"/>
      <name val="Arial"/>
      <family val="2"/>
    </font>
    <font>
      <sz val="8"/>
      <color indexed="10"/>
      <name val="Arial"/>
    </font>
    <font>
      <sz val="8"/>
      <name val="MS Sans Serif"/>
      <family val="2"/>
    </font>
    <font>
      <b/>
      <sz val="8"/>
      <color indexed="12"/>
      <name val="Arial"/>
    </font>
    <font>
      <b/>
      <sz val="8"/>
      <color indexed="9"/>
      <name val="Arial"/>
      <family val="2"/>
    </font>
    <font>
      <sz val="8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</patternFill>
    </fill>
    <fill>
      <patternFill patternType="lightGray">
        <fgColor indexed="13"/>
      </patternFill>
    </fill>
    <fill>
      <patternFill patternType="solid">
        <f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8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64"/>
      </bottom>
      <diagonal/>
    </border>
    <border>
      <left style="double">
        <color indexed="8"/>
      </left>
      <right style="double">
        <color indexed="64"/>
      </right>
      <top style="double">
        <color indexed="8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8"/>
      </bottom>
      <diagonal/>
    </border>
    <border>
      <left/>
      <right style="thin">
        <color indexed="64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64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double">
        <color indexed="64"/>
      </top>
      <bottom style="double">
        <color indexed="8"/>
      </bottom>
      <diagonal/>
    </border>
    <border>
      <left style="thin">
        <color indexed="64"/>
      </left>
      <right/>
      <top style="double">
        <color indexed="8"/>
      </top>
      <bottom/>
      <diagonal/>
    </border>
    <border>
      <left style="thin">
        <color indexed="64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8"/>
      </bottom>
      <diagonal/>
    </border>
  </borders>
  <cellStyleXfs count="25">
    <xf numFmtId="0" fontId="0" fillId="0" borderId="0"/>
    <xf numFmtId="43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12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7" fontId="24" fillId="0" borderId="0"/>
    <xf numFmtId="0" fontId="23" fillId="0" borderId="0" applyNumberFormat="0" applyFill="0" applyBorder="0" applyAlignment="0" applyProtection="0"/>
    <xf numFmtId="0" fontId="4" fillId="0" borderId="1" applyNumberFormat="0" applyFill="0" applyAlignment="0" applyProtection="0"/>
    <xf numFmtId="3" fontId="24" fillId="0" borderId="0" applyFont="0" applyAlignment="0">
      <alignment horizontal="center"/>
    </xf>
    <xf numFmtId="0" fontId="2" fillId="0" borderId="0"/>
    <xf numFmtId="37" fontId="25" fillId="0" borderId="0"/>
    <xf numFmtId="0" fontId="12" fillId="0" borderId="0"/>
    <xf numFmtId="168" fontId="24" fillId="0" borderId="0" applyNumberFormat="0" applyFont="0" applyAlignment="0">
      <alignment horizontal="center"/>
    </xf>
    <xf numFmtId="9" fontId="2" fillId="0" borderId="0" applyFont="0" applyFill="0" applyBorder="0" applyAlignment="0" applyProtection="0"/>
    <xf numFmtId="0" fontId="2" fillId="3" borderId="0"/>
    <xf numFmtId="219" fontId="2" fillId="0" borderId="0"/>
    <xf numFmtId="38" fontId="12" fillId="4" borderId="0" applyNumberFormat="0" applyBorder="0" applyAlignment="0" applyProtection="0"/>
    <xf numFmtId="37" fontId="12" fillId="4" borderId="0" applyNumberFormat="0" applyBorder="0" applyAlignment="0" applyProtection="0"/>
    <xf numFmtId="37" fontId="24" fillId="0" borderId="0"/>
    <xf numFmtId="37" fontId="24" fillId="4" borderId="0" applyNumberFormat="0" applyBorder="0" applyAlignment="0" applyProtection="0"/>
    <xf numFmtId="3" fontId="28" fillId="0" borderId="1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1691">
    <xf numFmtId="0" fontId="0" fillId="0" borderId="0" xfId="0"/>
    <xf numFmtId="0" fontId="0" fillId="0" borderId="0" xfId="0" applyFill="1"/>
    <xf numFmtId="166" fontId="0" fillId="0" borderId="0" xfId="0" applyNumberFormat="1" applyBorder="1" applyProtection="1"/>
    <xf numFmtId="164" fontId="3" fillId="0" borderId="0" xfId="0" applyNumberFormat="1" applyFont="1" applyProtection="1"/>
    <xf numFmtId="0" fontId="0" fillId="0" borderId="0" xfId="0" applyProtection="1"/>
    <xf numFmtId="0" fontId="3" fillId="0" borderId="0" xfId="0" applyFont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left"/>
    </xf>
    <xf numFmtId="0" fontId="7" fillId="0" borderId="0" xfId="0" applyFont="1" applyFill="1" applyBorder="1"/>
    <xf numFmtId="0" fontId="0" fillId="0" borderId="0" xfId="0" applyBorder="1"/>
    <xf numFmtId="37" fontId="10" fillId="0" borderId="0" xfId="0" applyNumberFormat="1" applyFont="1" applyFill="1" applyBorder="1" applyProtection="1"/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2" xfId="0" applyBorder="1"/>
    <xf numFmtId="17" fontId="0" fillId="0" borderId="0" xfId="0" applyNumberFormat="1"/>
    <xf numFmtId="0" fontId="1" fillId="0" borderId="0" xfId="0" applyFont="1" applyBorder="1"/>
    <xf numFmtId="2" fontId="0" fillId="0" borderId="0" xfId="0" applyNumberFormat="1"/>
    <xf numFmtId="15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3" xfId="0" applyBorder="1" applyAlignment="1">
      <alignment horizontal="center"/>
    </xf>
    <xf numFmtId="15" fontId="0" fillId="0" borderId="0" xfId="0" quotePrefix="1" applyNumberFormat="1"/>
    <xf numFmtId="14" fontId="7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5" xfId="0" applyBorder="1"/>
    <xf numFmtId="1" fontId="1" fillId="0" borderId="4" xfId="0" applyNumberFormat="1" applyFont="1" applyBorder="1" applyAlignment="1">
      <alignment horizontal="centerContinuous"/>
    </xf>
    <xf numFmtId="1" fontId="0" fillId="0" borderId="3" xfId="0" applyNumberFormat="1" applyBorder="1" applyAlignment="1">
      <alignment horizontal="centerContinuous"/>
    </xf>
    <xf numFmtId="0" fontId="0" fillId="0" borderId="6" xfId="0" applyBorder="1"/>
    <xf numFmtId="0" fontId="1" fillId="0" borderId="7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192" fontId="0" fillId="0" borderId="3" xfId="0" applyNumberFormat="1" applyBorder="1"/>
    <xf numFmtId="192" fontId="0" fillId="0" borderId="9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5" xfId="0" quotePrefix="1" applyBorder="1"/>
    <xf numFmtId="0" fontId="0" fillId="0" borderId="0" xfId="0" quotePrefix="1" applyBorder="1"/>
    <xf numFmtId="0" fontId="0" fillId="0" borderId="6" xfId="0" quotePrefix="1" applyBorder="1"/>
    <xf numFmtId="0" fontId="0" fillId="0" borderId="0" xfId="0" applyAlignment="1"/>
    <xf numFmtId="9" fontId="0" fillId="0" borderId="0" xfId="0" applyNumberFormat="1"/>
    <xf numFmtId="9" fontId="0" fillId="0" borderId="0" xfId="15" applyNumberFormat="1" applyFont="1" applyBorder="1"/>
    <xf numFmtId="9" fontId="0" fillId="0" borderId="10" xfId="15" applyNumberFormat="1" applyFont="1" applyBorder="1"/>
    <xf numFmtId="0" fontId="0" fillId="0" borderId="11" xfId="0" applyBorder="1" applyAlignment="1">
      <alignment horizontal="centerContinuous"/>
    </xf>
    <xf numFmtId="17" fontId="0" fillId="0" borderId="12" xfId="0" applyNumberFormat="1" applyBorder="1"/>
    <xf numFmtId="17" fontId="0" fillId="0" borderId="2" xfId="0" applyNumberFormat="1" applyBorder="1"/>
    <xf numFmtId="0" fontId="2" fillId="0" borderId="0" xfId="0" applyFont="1" applyBorder="1" applyAlignment="1">
      <alignment horizontal="center"/>
    </xf>
    <xf numFmtId="41" fontId="0" fillId="0" borderId="0" xfId="0" quotePrefix="1" applyNumberFormat="1" applyBorder="1"/>
    <xf numFmtId="0" fontId="2" fillId="0" borderId="10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2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21" xfId="0" applyFont="1" applyBorder="1" applyAlignment="1">
      <alignment horizontal="centerContinuous"/>
    </xf>
    <xf numFmtId="9" fontId="2" fillId="0" borderId="0" xfId="0" applyNumberFormat="1" applyFont="1" applyBorder="1" applyAlignment="1">
      <alignment horizontal="centerContinuous"/>
    </xf>
    <xf numFmtId="9" fontId="2" fillId="0" borderId="10" xfId="0" applyNumberFormat="1" applyFont="1" applyBorder="1" applyAlignment="1">
      <alignment horizontal="centerContinuous"/>
    </xf>
    <xf numFmtId="9" fontId="2" fillId="0" borderId="21" xfId="0" applyNumberFormat="1" applyFont="1" applyBorder="1" applyAlignment="1">
      <alignment horizontal="centerContinuous"/>
    </xf>
    <xf numFmtId="9" fontId="2" fillId="0" borderId="9" xfId="0" applyNumberFormat="1" applyFont="1" applyBorder="1" applyAlignment="1">
      <alignment horizontal="centerContinuous"/>
    </xf>
    <xf numFmtId="0" fontId="2" fillId="0" borderId="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2" fillId="0" borderId="23" xfId="0" applyNumberFormat="1" applyFont="1" applyBorder="1" applyAlignment="1">
      <alignment horizontal="center"/>
    </xf>
    <xf numFmtId="9" fontId="2" fillId="0" borderId="22" xfId="0" applyNumberFormat="1" applyFont="1" applyBorder="1" applyAlignment="1">
      <alignment horizontal="center"/>
    </xf>
    <xf numFmtId="9" fontId="2" fillId="0" borderId="24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9" fontId="2" fillId="0" borderId="15" xfId="0" applyNumberFormat="1" applyFont="1" applyBorder="1" applyAlignment="1">
      <alignment horizontal="centerContinuous"/>
    </xf>
    <xf numFmtId="9" fontId="2" fillId="0" borderId="16" xfId="0" applyNumberFormat="1" applyFont="1" applyBorder="1" applyAlignment="1">
      <alignment horizontal="centerContinuous"/>
    </xf>
    <xf numFmtId="9" fontId="2" fillId="0" borderId="17" xfId="0" applyNumberFormat="1" applyFont="1" applyBorder="1" applyAlignment="1">
      <alignment horizontal="centerContinuous"/>
    </xf>
    <xf numFmtId="43" fontId="0" fillId="0" borderId="0" xfId="0" quotePrefix="1" applyNumberFormat="1" applyBorder="1"/>
    <xf numFmtId="0" fontId="2" fillId="0" borderId="21" xfId="0" applyFont="1" applyBorder="1" applyAlignment="1">
      <alignment horizontal="center"/>
    </xf>
    <xf numFmtId="43" fontId="0" fillId="0" borderId="21" xfId="0" quotePrefix="1" applyNumberFormat="1" applyBorder="1"/>
    <xf numFmtId="9" fontId="0" fillId="0" borderId="0" xfId="0" applyNumberFormat="1" applyBorder="1"/>
    <xf numFmtId="3" fontId="0" fillId="0" borderId="0" xfId="0" quotePrefix="1" applyNumberFormat="1" applyBorder="1"/>
    <xf numFmtId="3" fontId="0" fillId="0" borderId="4" xfId="0" quotePrefix="1" applyNumberFormat="1" applyBorder="1"/>
    <xf numFmtId="3" fontId="0" fillId="0" borderId="12" xfId="0" quotePrefix="1" applyNumberFormat="1" applyBorder="1"/>
    <xf numFmtId="3" fontId="0" fillId="0" borderId="12" xfId="0" applyNumberFormat="1" applyBorder="1"/>
    <xf numFmtId="3" fontId="0" fillId="0" borderId="2" xfId="0" applyNumberFormat="1" applyBorder="1"/>
    <xf numFmtId="3" fontId="0" fillId="0" borderId="21" xfId="0" quotePrefix="1" applyNumberFormat="1" applyBorder="1"/>
    <xf numFmtId="3" fontId="0" fillId="0" borderId="6" xfId="0" quotePrefix="1" applyNumberFormat="1" applyBorder="1"/>
    <xf numFmtId="43" fontId="0" fillId="0" borderId="6" xfId="0" quotePrefix="1" applyNumberFormat="1" applyBorder="1"/>
    <xf numFmtId="43" fontId="0" fillId="0" borderId="12" xfId="0" quotePrefix="1" applyNumberFormat="1" applyBorder="1"/>
    <xf numFmtId="164" fontId="3" fillId="0" borderId="0" xfId="0" applyNumberFormat="1" applyFont="1" applyBorder="1" applyProtection="1"/>
    <xf numFmtId="0" fontId="14" fillId="0" borderId="25" xfId="0" applyFont="1" applyBorder="1" applyProtection="1"/>
    <xf numFmtId="0" fontId="3" fillId="0" borderId="26" xfId="0" applyFont="1" applyBorder="1" applyProtection="1"/>
    <xf numFmtId="0" fontId="3" fillId="0" borderId="27" xfId="0" applyFont="1" applyBorder="1" applyProtection="1"/>
    <xf numFmtId="175" fontId="1" fillId="0" borderId="28" xfId="0" applyNumberFormat="1" applyFont="1" applyBorder="1" applyProtection="1"/>
    <xf numFmtId="0" fontId="1" fillId="0" borderId="25" xfId="0" applyFont="1" applyBorder="1" applyAlignment="1">
      <alignment horizontal="centerContinuous"/>
    </xf>
    <xf numFmtId="0" fontId="0" fillId="0" borderId="27" xfId="0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7" fontId="0" fillId="0" borderId="0" xfId="0" applyNumberFormat="1" applyBorder="1" applyProtection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28" xfId="0" applyBorder="1"/>
    <xf numFmtId="0" fontId="0" fillId="0" borderId="12" xfId="0" applyBorder="1"/>
    <xf numFmtId="0" fontId="1" fillId="0" borderId="32" xfId="0" applyFont="1" applyBorder="1" applyAlignment="1" applyProtection="1">
      <alignment horizontal="center"/>
    </xf>
    <xf numFmtId="0" fontId="16" fillId="0" borderId="0" xfId="0" applyFont="1"/>
    <xf numFmtId="0" fontId="0" fillId="0" borderId="33" xfId="0" applyBorder="1"/>
    <xf numFmtId="0" fontId="1" fillId="0" borderId="34" xfId="0" applyFont="1" applyBorder="1" applyAlignment="1" applyProtection="1">
      <alignment horizontal="centerContinuous"/>
    </xf>
    <xf numFmtId="0" fontId="1" fillId="0" borderId="33" xfId="0" applyFont="1" applyBorder="1" applyAlignment="1" applyProtection="1">
      <alignment horizontal="centerContinuous"/>
    </xf>
    <xf numFmtId="0" fontId="1" fillId="0" borderId="5" xfId="0" applyFont="1" applyBorder="1" applyAlignment="1">
      <alignment horizontal="centerContinuous"/>
    </xf>
    <xf numFmtId="0" fontId="1" fillId="0" borderId="35" xfId="0" applyFont="1" applyBorder="1" applyAlignment="1" applyProtection="1">
      <alignment horizontal="centerContinuous"/>
    </xf>
    <xf numFmtId="0" fontId="1" fillId="0" borderId="36" xfId="0" applyFont="1" applyBorder="1" applyAlignment="1" applyProtection="1">
      <alignment horizontal="centerContinuous"/>
    </xf>
    <xf numFmtId="0" fontId="1" fillId="0" borderId="37" xfId="0" applyFont="1" applyBorder="1" applyAlignment="1" applyProtection="1">
      <alignment horizontal="center"/>
    </xf>
    <xf numFmtId="0" fontId="1" fillId="0" borderId="38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3" fillId="0" borderId="41" xfId="0" applyFont="1" applyBorder="1" applyProtection="1"/>
    <xf numFmtId="0" fontId="1" fillId="0" borderId="42" xfId="0" applyFont="1" applyBorder="1" applyAlignment="1">
      <alignment horizontal="center"/>
    </xf>
    <xf numFmtId="10" fontId="1" fillId="0" borderId="42" xfId="0" applyNumberFormat="1" applyFont="1" applyBorder="1" applyAlignment="1">
      <alignment horizontal="center"/>
    </xf>
    <xf numFmtId="0" fontId="1" fillId="0" borderId="7" xfId="0" applyFont="1" applyBorder="1" applyAlignment="1" applyProtection="1">
      <alignment horizontal="centerContinuous"/>
    </xf>
    <xf numFmtId="0" fontId="1" fillId="0" borderId="8" xfId="0" applyFont="1" applyBorder="1" applyAlignment="1" applyProtection="1">
      <alignment horizontal="centerContinuous"/>
    </xf>
    <xf numFmtId="0" fontId="1" fillId="0" borderId="11" xfId="0" applyFont="1" applyBorder="1" applyAlignment="1" applyProtection="1">
      <alignment horizontal="centerContinuous"/>
    </xf>
    <xf numFmtId="10" fontId="1" fillId="0" borderId="43" xfId="0" applyNumberFormat="1" applyFont="1" applyBorder="1" applyAlignment="1">
      <alignment horizontal="center"/>
    </xf>
    <xf numFmtId="17" fontId="0" fillId="2" borderId="28" xfId="0" applyNumberFormat="1" applyFill="1" applyBorder="1"/>
    <xf numFmtId="193" fontId="0" fillId="0" borderId="0" xfId="0" applyNumberFormat="1"/>
    <xf numFmtId="10" fontId="0" fillId="0" borderId="0" xfId="0" applyNumberFormat="1"/>
    <xf numFmtId="2" fontId="0" fillId="5" borderId="0" xfId="0" applyNumberFormat="1" applyFill="1" applyBorder="1"/>
    <xf numFmtId="2" fontId="0" fillId="5" borderId="10" xfId="0" applyNumberFormat="1" applyFill="1" applyBorder="1"/>
    <xf numFmtId="0" fontId="1" fillId="0" borderId="25" xfId="0" applyFont="1" applyBorder="1"/>
    <xf numFmtId="0" fontId="18" fillId="0" borderId="0" xfId="0" applyFont="1"/>
    <xf numFmtId="0" fontId="2" fillId="0" borderId="26" xfId="0" applyFont="1" applyBorder="1"/>
    <xf numFmtId="17" fontId="2" fillId="0" borderId="44" xfId="0" applyNumberFormat="1" applyFont="1" applyBorder="1" applyAlignment="1">
      <alignment horizontal="center"/>
    </xf>
    <xf numFmtId="1" fontId="0" fillId="0" borderId="0" xfId="0" applyNumberFormat="1" applyBorder="1" applyProtection="1"/>
    <xf numFmtId="1" fontId="0" fillId="5" borderId="0" xfId="0" applyNumberFormat="1" applyFill="1" applyBorder="1" applyProtection="1"/>
    <xf numFmtId="0" fontId="14" fillId="0" borderId="32" xfId="0" applyFont="1" applyBorder="1" applyAlignment="1" applyProtection="1">
      <alignment horizontal="center"/>
    </xf>
    <xf numFmtId="0" fontId="14" fillId="0" borderId="40" xfId="0" applyFont="1" applyBorder="1" applyAlignment="1" applyProtection="1">
      <alignment horizontal="center"/>
    </xf>
    <xf numFmtId="0" fontId="6" fillId="0" borderId="41" xfId="0" applyFont="1" applyBorder="1" applyAlignment="1" applyProtection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45" xfId="0" applyFont="1" applyBorder="1" applyAlignment="1">
      <alignment horizontal="centerContinuous"/>
    </xf>
    <xf numFmtId="43" fontId="0" fillId="0" borderId="10" xfId="0" quotePrefix="1" applyNumberFormat="1" applyBorder="1"/>
    <xf numFmtId="193" fontId="0" fillId="0" borderId="0" xfId="0" applyNumberFormat="1" applyBorder="1" applyProtection="1"/>
    <xf numFmtId="193" fontId="0" fillId="0" borderId="0" xfId="0" quotePrefix="1" applyNumberFormat="1" applyBorder="1" applyProtection="1"/>
    <xf numFmtId="0" fontId="19" fillId="0" borderId="32" xfId="0" applyFont="1" applyBorder="1" applyAlignment="1" applyProtection="1">
      <alignment horizontal="center"/>
    </xf>
    <xf numFmtId="0" fontId="19" fillId="0" borderId="40" xfId="0" applyFont="1" applyBorder="1" applyAlignment="1" applyProtection="1">
      <alignment horizontal="center"/>
    </xf>
    <xf numFmtId="0" fontId="7" fillId="0" borderId="41" xfId="0" applyFont="1" applyBorder="1" applyAlignment="1" applyProtection="1">
      <alignment horizontal="center"/>
    </xf>
    <xf numFmtId="10" fontId="0" fillId="0" borderId="0" xfId="0" quotePrefix="1" applyNumberFormat="1"/>
    <xf numFmtId="2" fontId="0" fillId="0" borderId="21" xfId="0" applyNumberFormat="1" applyBorder="1"/>
    <xf numFmtId="10" fontId="0" fillId="0" borderId="0" xfId="0" applyNumberFormat="1" applyBorder="1"/>
    <xf numFmtId="0" fontId="2" fillId="0" borderId="42" xfId="0" applyFont="1" applyBorder="1" applyAlignment="1">
      <alignment horizontal="centerContinuous"/>
    </xf>
    <xf numFmtId="193" fontId="0" fillId="0" borderId="0" xfId="0" applyNumberFormat="1" applyAlignment="1"/>
    <xf numFmtId="2" fontId="0" fillId="5" borderId="21" xfId="0" applyNumberFormat="1" applyFill="1" applyBorder="1"/>
    <xf numFmtId="9" fontId="0" fillId="0" borderId="8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3" fontId="2" fillId="0" borderId="38" xfId="0" applyNumberFormat="1" applyFont="1" applyBorder="1" applyAlignment="1">
      <alignment horizontal="right"/>
    </xf>
    <xf numFmtId="3" fontId="2" fillId="0" borderId="39" xfId="0" applyNumberFormat="1" applyFont="1" applyBorder="1" applyAlignment="1">
      <alignment horizontal="right"/>
    </xf>
    <xf numFmtId="3" fontId="0" fillId="0" borderId="21" xfId="0" applyNumberFormat="1" applyBorder="1"/>
    <xf numFmtId="3" fontId="0" fillId="0" borderId="22" xfId="0" applyNumberFormat="1" applyBorder="1"/>
    <xf numFmtId="3" fontId="0" fillId="0" borderId="31" xfId="0" quotePrefix="1" applyNumberFormat="1" applyBorder="1"/>
    <xf numFmtId="3" fontId="0" fillId="0" borderId="31" xfId="0" applyNumberFormat="1" applyBorder="1"/>
    <xf numFmtId="3" fontId="0" fillId="0" borderId="46" xfId="0" applyNumberFormat="1" applyBorder="1"/>
    <xf numFmtId="0" fontId="2" fillId="0" borderId="47" xfId="0" applyFont="1" applyBorder="1" applyAlignment="1">
      <alignment horizontal="center"/>
    </xf>
    <xf numFmtId="3" fontId="2" fillId="0" borderId="37" xfId="0" applyNumberFormat="1" applyFont="1" applyBorder="1" applyAlignment="1">
      <alignment horizontal="right"/>
    </xf>
    <xf numFmtId="3" fontId="0" fillId="0" borderId="48" xfId="0" quotePrefix="1" applyNumberFormat="1" applyBorder="1"/>
    <xf numFmtId="2" fontId="0" fillId="0" borderId="3" xfId="15" quotePrefix="1" applyNumberFormat="1" applyFont="1" applyBorder="1"/>
    <xf numFmtId="9" fontId="2" fillId="0" borderId="14" xfId="0" applyNumberFormat="1" applyFont="1" applyBorder="1" applyAlignment="1">
      <alignment horizontal="centerContinuous"/>
    </xf>
    <xf numFmtId="0" fontId="2" fillId="0" borderId="45" xfId="0" applyFont="1" applyBorder="1" applyAlignment="1">
      <alignment horizontal="center"/>
    </xf>
    <xf numFmtId="3" fontId="2" fillId="0" borderId="49" xfId="0" applyNumberFormat="1" applyFont="1" applyBorder="1" applyAlignment="1">
      <alignment horizontal="right"/>
    </xf>
    <xf numFmtId="49" fontId="2" fillId="0" borderId="24" xfId="0" applyNumberFormat="1" applyFont="1" applyBorder="1" applyAlignment="1">
      <alignment horizontal="center"/>
    </xf>
    <xf numFmtId="0" fontId="0" fillId="0" borderId="0" xfId="0" quotePrefix="1" applyAlignment="1"/>
    <xf numFmtId="0" fontId="15" fillId="0" borderId="26" xfId="0" applyFont="1" applyBorder="1" applyAlignment="1">
      <alignment horizontal="centerContinuous"/>
    </xf>
    <xf numFmtId="0" fontId="15" fillId="0" borderId="27" xfId="0" applyFont="1" applyBorder="1" applyAlignment="1">
      <alignment horizontal="centerContinuous"/>
    </xf>
    <xf numFmtId="192" fontId="0" fillId="0" borderId="0" xfId="0" applyNumberFormat="1"/>
    <xf numFmtId="182" fontId="0" fillId="0" borderId="0" xfId="0" applyNumberFormat="1"/>
    <xf numFmtId="41" fontId="0" fillId="0" borderId="0" xfId="0" applyNumberFormat="1" applyBorder="1"/>
    <xf numFmtId="37" fontId="24" fillId="0" borderId="0" xfId="12" applyFont="1" applyAlignment="1">
      <alignment horizontal="right"/>
    </xf>
    <xf numFmtId="10" fontId="24" fillId="0" borderId="30" xfId="12" applyNumberFormat="1" applyFont="1" applyBorder="1" applyProtection="1"/>
    <xf numFmtId="37" fontId="24" fillId="0" borderId="42" xfId="12" applyFont="1" applyBorder="1"/>
    <xf numFmtId="10" fontId="24" fillId="0" borderId="0" xfId="12" applyNumberFormat="1" applyFont="1" applyAlignment="1" applyProtection="1">
      <alignment horizontal="right"/>
    </xf>
    <xf numFmtId="37" fontId="0" fillId="0" borderId="0" xfId="0" applyNumberFormat="1" applyBorder="1"/>
    <xf numFmtId="0" fontId="2" fillId="0" borderId="1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15" xfId="0" applyFont="1" applyBorder="1" applyAlignment="1">
      <alignment horizontal="left"/>
    </xf>
    <xf numFmtId="9" fontId="1" fillId="0" borderId="8" xfId="0" applyNumberFormat="1" applyFont="1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41" fontId="0" fillId="0" borderId="6" xfId="0" applyNumberFormat="1" applyBorder="1"/>
    <xf numFmtId="9" fontId="0" fillId="0" borderId="0" xfId="15" applyFont="1" applyProtection="1"/>
    <xf numFmtId="212" fontId="0" fillId="0" borderId="0" xfId="0" applyNumberFormat="1" applyBorder="1"/>
    <xf numFmtId="212" fontId="0" fillId="0" borderId="6" xfId="0" applyNumberFormat="1" applyBorder="1"/>
    <xf numFmtId="0" fontId="2" fillId="0" borderId="35" xfId="0" applyFont="1" applyBorder="1" applyAlignment="1">
      <alignment horizontal="centerContinuous"/>
    </xf>
    <xf numFmtId="3" fontId="0" fillId="0" borderId="6" xfId="0" applyNumberFormat="1" applyBorder="1"/>
    <xf numFmtId="0" fontId="0" fillId="0" borderId="7" xfId="0" applyBorder="1" applyAlignment="1">
      <alignment horizontal="centerContinuous"/>
    </xf>
    <xf numFmtId="10" fontId="0" fillId="0" borderId="0" xfId="15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182" fontId="0" fillId="0" borderId="0" xfId="0" quotePrefix="1" applyNumberFormat="1" applyBorder="1"/>
    <xf numFmtId="41" fontId="0" fillId="0" borderId="9" xfId="0" quotePrefix="1" applyNumberFormat="1" applyBorder="1"/>
    <xf numFmtId="0" fontId="2" fillId="0" borderId="23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0" fillId="0" borderId="4" xfId="0" quotePrefix="1" applyBorder="1"/>
    <xf numFmtId="182" fontId="0" fillId="0" borderId="10" xfId="0" quotePrefix="1" applyNumberFormat="1" applyBorder="1"/>
    <xf numFmtId="41" fontId="0" fillId="0" borderId="3" xfId="0" applyNumberFormat="1" applyBorder="1"/>
    <xf numFmtId="41" fontId="0" fillId="0" borderId="5" xfId="0" applyNumberFormat="1" applyBorder="1"/>
    <xf numFmtId="0" fontId="1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31" fillId="0" borderId="0" xfId="0" applyFont="1" applyBorder="1" applyProtection="1"/>
    <xf numFmtId="37" fontId="0" fillId="0" borderId="0" xfId="0" applyNumberFormat="1"/>
    <xf numFmtId="43" fontId="0" fillId="0" borderId="0" xfId="0" applyNumberFormat="1" applyBorder="1"/>
    <xf numFmtId="9" fontId="0" fillId="0" borderId="9" xfId="0" applyNumberFormat="1" applyBorder="1"/>
    <xf numFmtId="182" fontId="0" fillId="0" borderId="23" xfId="0" quotePrefix="1" applyNumberFormat="1" applyBorder="1"/>
    <xf numFmtId="41" fontId="0" fillId="0" borderId="6" xfId="0" quotePrefix="1" applyNumberFormat="1" applyBorder="1"/>
    <xf numFmtId="43" fontId="0" fillId="0" borderId="9" xfId="0" quotePrefix="1" applyNumberFormat="1" applyBorder="1"/>
    <xf numFmtId="9" fontId="0" fillId="0" borderId="12" xfId="0" quotePrefix="1" applyNumberFormat="1" applyBorder="1"/>
    <xf numFmtId="10" fontId="0" fillId="0" borderId="10" xfId="0" applyNumberFormat="1" applyBorder="1"/>
    <xf numFmtId="3" fontId="2" fillId="0" borderId="24" xfId="0" applyNumberFormat="1" applyFont="1" applyBorder="1" applyAlignment="1">
      <alignment horizontal="center"/>
    </xf>
    <xf numFmtId="3" fontId="0" fillId="0" borderId="3" xfId="0" quotePrefix="1" applyNumberFormat="1" applyBorder="1"/>
    <xf numFmtId="3" fontId="0" fillId="0" borderId="9" xfId="0" quotePrefix="1" applyNumberFormat="1" applyBorder="1"/>
    <xf numFmtId="3" fontId="0" fillId="0" borderId="2" xfId="0" quotePrefix="1" applyNumberFormat="1" applyBorder="1"/>
    <xf numFmtId="3" fontId="0" fillId="0" borderId="24" xfId="0" quotePrefix="1" applyNumberFormat="1" applyBorder="1"/>
    <xf numFmtId="3" fontId="2" fillId="0" borderId="6" xfId="0" applyNumberFormat="1" applyFont="1" applyBorder="1" applyAlignment="1">
      <alignment horizontal="center"/>
    </xf>
    <xf numFmtId="0" fontId="2" fillId="0" borderId="2" xfId="0" applyFont="1" applyBorder="1" applyAlignment="1"/>
    <xf numFmtId="182" fontId="0" fillId="0" borderId="21" xfId="0" quotePrefix="1" applyNumberFormat="1" applyBorder="1"/>
    <xf numFmtId="0" fontId="0" fillId="0" borderId="32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49" fontId="2" fillId="0" borderId="40" xfId="0" applyNumberFormat="1" applyFont="1" applyBorder="1" applyAlignment="1">
      <alignment horizontal="center"/>
    </xf>
    <xf numFmtId="15" fontId="0" fillId="0" borderId="5" xfId="0" quotePrefix="1" applyNumberFormat="1" applyBorder="1"/>
    <xf numFmtId="15" fontId="0" fillId="0" borderId="0" xfId="0" quotePrefix="1" applyNumberFormat="1" applyBorder="1"/>
    <xf numFmtId="15" fontId="0" fillId="0" borderId="6" xfId="0" quotePrefix="1" applyNumberFormat="1" applyBorder="1"/>
    <xf numFmtId="15" fontId="0" fillId="0" borderId="32" xfId="0" applyNumberFormat="1" applyBorder="1"/>
    <xf numFmtId="15" fontId="0" fillId="0" borderId="40" xfId="0" applyNumberFormat="1" applyBorder="1"/>
    <xf numFmtId="15" fontId="0" fillId="0" borderId="41" xfId="0" applyNumberFormat="1" applyBorder="1"/>
    <xf numFmtId="15" fontId="0" fillId="0" borderId="51" xfId="0" applyNumberFormat="1" applyBorder="1"/>
    <xf numFmtId="15" fontId="0" fillId="0" borderId="21" xfId="0" applyNumberFormat="1" applyBorder="1"/>
    <xf numFmtId="15" fontId="0" fillId="0" borderId="22" xfId="0" applyNumberFormat="1" applyBorder="1"/>
    <xf numFmtId="3" fontId="2" fillId="0" borderId="37" xfId="0" applyNumberFormat="1" applyFont="1" applyBorder="1" applyAlignment="1">
      <alignment horizontal="center"/>
    </xf>
    <xf numFmtId="41" fontId="0" fillId="0" borderId="21" xfId="0" applyNumberFormat="1" applyBorder="1"/>
    <xf numFmtId="41" fontId="0" fillId="0" borderId="10" xfId="0" applyNumberFormat="1" applyBorder="1"/>
    <xf numFmtId="37" fontId="0" fillId="0" borderId="21" xfId="0" applyNumberFormat="1" applyBorder="1"/>
    <xf numFmtId="37" fontId="0" fillId="0" borderId="10" xfId="0" applyNumberFormat="1" applyBorder="1"/>
    <xf numFmtId="41" fontId="0" fillId="0" borderId="9" xfId="0" applyNumberFormat="1" applyBorder="1"/>
    <xf numFmtId="41" fontId="0" fillId="0" borderId="22" xfId="0" applyNumberFormat="1" applyBorder="1"/>
    <xf numFmtId="41" fontId="0" fillId="0" borderId="23" xfId="0" applyNumberFormat="1" applyBorder="1"/>
    <xf numFmtId="41" fontId="0" fillId="0" borderId="24" xfId="0" applyNumberFormat="1" applyBorder="1"/>
    <xf numFmtId="212" fontId="0" fillId="0" borderId="5" xfId="0" applyNumberFormat="1" applyBorder="1"/>
    <xf numFmtId="37" fontId="0" fillId="0" borderId="12" xfId="0" applyNumberFormat="1" applyBorder="1"/>
    <xf numFmtId="3" fontId="2" fillId="0" borderId="52" xfId="0" applyNumberFormat="1" applyFont="1" applyBorder="1" applyAlignment="1">
      <alignment horizontal="center"/>
    </xf>
    <xf numFmtId="3" fontId="2" fillId="0" borderId="46" xfId="0" applyNumberFormat="1" applyFont="1" applyBorder="1" applyAlignment="1">
      <alignment horizontal="center"/>
    </xf>
    <xf numFmtId="213" fontId="0" fillId="0" borderId="0" xfId="0" applyNumberFormat="1" applyBorder="1"/>
    <xf numFmtId="41" fontId="0" fillId="0" borderId="4" xfId="0" applyNumberFormat="1" applyBorder="1"/>
    <xf numFmtId="41" fontId="0" fillId="0" borderId="12" xfId="0" applyNumberFormat="1" applyBorder="1"/>
    <xf numFmtId="41" fontId="0" fillId="0" borderId="2" xfId="0" applyNumberFormat="1" applyBorder="1"/>
    <xf numFmtId="3" fontId="2" fillId="0" borderId="29" xfId="0" applyNumberFormat="1" applyFont="1" applyBorder="1" applyAlignment="1">
      <alignment horizontal="center"/>
    </xf>
    <xf numFmtId="41" fontId="0" fillId="0" borderId="53" xfId="0" applyNumberFormat="1" applyBorder="1"/>
    <xf numFmtId="41" fontId="0" fillId="0" borderId="0" xfId="0" applyNumberForma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3" fontId="2" fillId="0" borderId="55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2" fontId="0" fillId="0" borderId="5" xfId="0" applyNumberFormat="1" applyBorder="1"/>
    <xf numFmtId="41" fontId="0" fillId="0" borderId="5" xfId="0" quotePrefix="1" applyNumberFormat="1" applyBorder="1"/>
    <xf numFmtId="3" fontId="2" fillId="0" borderId="2" xfId="0" applyNumberFormat="1" applyFont="1" applyBorder="1" applyAlignment="1">
      <alignment horizontal="center"/>
    </xf>
    <xf numFmtId="3" fontId="24" fillId="0" borderId="0" xfId="10" applyAlignment="1"/>
    <xf numFmtId="3" fontId="24" fillId="0" borderId="0" xfId="10" applyBorder="1" applyAlignment="1"/>
    <xf numFmtId="37" fontId="24" fillId="0" borderId="0" xfId="12" applyFont="1" applyBorder="1"/>
    <xf numFmtId="37" fontId="44" fillId="0" borderId="0" xfId="12" applyFont="1"/>
    <xf numFmtId="3" fontId="44" fillId="0" borderId="0" xfId="10" applyFont="1" applyAlignment="1"/>
    <xf numFmtId="37" fontId="24" fillId="0" borderId="0" xfId="12" applyFont="1"/>
    <xf numFmtId="37" fontId="24" fillId="0" borderId="0" xfId="14" applyNumberFormat="1" applyAlignment="1"/>
    <xf numFmtId="0" fontId="24" fillId="0" borderId="0" xfId="14" applyNumberFormat="1" applyAlignment="1"/>
    <xf numFmtId="37" fontId="45" fillId="0" borderId="0" xfId="12" applyFont="1"/>
    <xf numFmtId="37" fontId="46" fillId="0" borderId="0" xfId="12" applyFont="1" applyAlignment="1"/>
    <xf numFmtId="262" fontId="24" fillId="7" borderId="56" xfId="12" applyNumberFormat="1" applyFont="1" applyFill="1" applyBorder="1" applyAlignment="1" applyProtection="1">
      <alignment horizontal="center"/>
    </xf>
    <xf numFmtId="15" fontId="24" fillId="0" borderId="0" xfId="12" applyNumberFormat="1" applyFont="1" applyAlignment="1">
      <alignment horizontal="left"/>
    </xf>
    <xf numFmtId="18" fontId="24" fillId="0" borderId="0" xfId="12" applyNumberFormat="1" applyFont="1"/>
    <xf numFmtId="0" fontId="12" fillId="0" borderId="0" xfId="14" applyNumberFormat="1" applyFont="1" applyAlignment="1">
      <alignment horizontal="right"/>
    </xf>
    <xf numFmtId="222" fontId="24" fillId="0" borderId="0" xfId="12" applyNumberFormat="1" applyFont="1" applyAlignment="1"/>
    <xf numFmtId="262" fontId="24" fillId="8" borderId="57" xfId="12" applyNumberFormat="1" applyFont="1" applyFill="1" applyBorder="1" applyAlignment="1" applyProtection="1">
      <alignment horizontal="center"/>
    </xf>
    <xf numFmtId="14" fontId="24" fillId="8" borderId="57" xfId="12" applyNumberFormat="1" applyFont="1" applyFill="1" applyBorder="1" applyAlignment="1" applyProtection="1">
      <alignment horizontal="center"/>
    </xf>
    <xf numFmtId="14" fontId="24" fillId="7" borderId="58" xfId="12" applyNumberFormat="1" applyFont="1" applyFill="1" applyBorder="1" applyAlignment="1" applyProtection="1">
      <alignment horizontal="center"/>
    </xf>
    <xf numFmtId="264" fontId="24" fillId="7" borderId="56" xfId="12" applyNumberFormat="1" applyFont="1" applyFill="1" applyBorder="1" applyAlignment="1" applyProtection="1">
      <alignment horizontal="center"/>
    </xf>
    <xf numFmtId="0" fontId="43" fillId="0" borderId="0" xfId="14" applyNumberFormat="1" applyFont="1" applyAlignment="1"/>
    <xf numFmtId="18" fontId="24" fillId="0" borderId="0" xfId="14" applyNumberFormat="1" applyAlignment="1"/>
    <xf numFmtId="37" fontId="43" fillId="0" borderId="0" xfId="14" applyNumberFormat="1" applyFont="1" applyAlignment="1"/>
    <xf numFmtId="0" fontId="41" fillId="0" borderId="0" xfId="14" applyNumberFormat="1" applyFont="1" applyAlignment="1">
      <alignment horizontal="right"/>
    </xf>
    <xf numFmtId="37" fontId="24" fillId="0" borderId="0" xfId="14" applyNumberFormat="1" applyFont="1" applyAlignment="1">
      <alignment horizontal="right"/>
    </xf>
    <xf numFmtId="37" fontId="24" fillId="0" borderId="0" xfId="14" applyNumberFormat="1" applyFont="1" applyAlignment="1">
      <alignment horizontal="center"/>
    </xf>
    <xf numFmtId="37" fontId="24" fillId="0" borderId="0" xfId="14" quotePrefix="1" applyNumberFormat="1" applyAlignment="1">
      <alignment horizontal="left"/>
    </xf>
    <xf numFmtId="0" fontId="24" fillId="0" borderId="0" xfId="14" applyNumberFormat="1" applyAlignment="1">
      <alignment horizontal="right"/>
    </xf>
    <xf numFmtId="0" fontId="24" fillId="0" borderId="59" xfId="14" applyNumberFormat="1" applyBorder="1" applyAlignment="1"/>
    <xf numFmtId="0" fontId="40" fillId="0" borderId="0" xfId="13" quotePrefix="1" applyFont="1" applyBorder="1" applyAlignment="1">
      <alignment horizontal="left"/>
    </xf>
    <xf numFmtId="0" fontId="12" fillId="0" borderId="0" xfId="13" applyBorder="1"/>
    <xf numFmtId="14" fontId="24" fillId="0" borderId="60" xfId="12" applyNumberFormat="1" applyFont="1" applyFill="1" applyBorder="1" applyAlignment="1" applyProtection="1">
      <alignment horizontal="center"/>
    </xf>
    <xf numFmtId="1" fontId="24" fillId="0" borderId="60" xfId="12" applyNumberFormat="1" applyFont="1" applyFill="1" applyBorder="1" applyAlignment="1" applyProtection="1">
      <alignment horizontal="center"/>
    </xf>
    <xf numFmtId="0" fontId="43" fillId="0" borderId="0" xfId="13" quotePrefix="1" applyFont="1" applyBorder="1" applyAlignment="1">
      <alignment horizontal="left"/>
    </xf>
    <xf numFmtId="0" fontId="47" fillId="0" borderId="0" xfId="13" applyFont="1" applyBorder="1"/>
    <xf numFmtId="0" fontId="28" fillId="0" borderId="0" xfId="13" applyFont="1" applyBorder="1" applyAlignment="1">
      <alignment horizontal="left"/>
    </xf>
    <xf numFmtId="3" fontId="12" fillId="0" borderId="0" xfId="13" applyNumberFormat="1" applyBorder="1"/>
    <xf numFmtId="3" fontId="24" fillId="0" borderId="0" xfId="14" applyNumberFormat="1" applyAlignment="1"/>
    <xf numFmtId="3" fontId="28" fillId="0" borderId="0" xfId="13" applyNumberFormat="1" applyFont="1" applyBorder="1"/>
    <xf numFmtId="0" fontId="28" fillId="0" borderId="0" xfId="13" quotePrefix="1" applyFont="1" applyBorder="1" applyAlignment="1">
      <alignment horizontal="left"/>
    </xf>
    <xf numFmtId="3" fontId="12" fillId="0" borderId="0" xfId="13" applyNumberFormat="1" applyFont="1" applyBorder="1"/>
    <xf numFmtId="3" fontId="47" fillId="0" borderId="0" xfId="13" applyNumberFormat="1" applyFont="1" applyBorder="1"/>
    <xf numFmtId="3" fontId="48" fillId="0" borderId="0" xfId="13" applyNumberFormat="1" applyFont="1" applyBorder="1"/>
    <xf numFmtId="0" fontId="12" fillId="0" borderId="0" xfId="13" applyBorder="1" applyAlignment="1">
      <alignment horizontal="right"/>
    </xf>
    <xf numFmtId="3" fontId="28" fillId="0" borderId="0" xfId="14" applyNumberFormat="1" applyFont="1" applyAlignment="1"/>
    <xf numFmtId="0" fontId="12" fillId="0" borderId="0" xfId="13" quotePrefix="1" applyBorder="1" applyAlignment="1">
      <alignment horizontal="right"/>
    </xf>
    <xf numFmtId="0" fontId="43" fillId="0" borderId="0" xfId="13" quotePrefix="1" applyFont="1" applyAlignment="1">
      <alignment horizontal="left"/>
    </xf>
    <xf numFmtId="0" fontId="24" fillId="0" borderId="0" xfId="14" quotePrefix="1" applyNumberFormat="1" applyAlignment="1">
      <alignment horizontal="right"/>
    </xf>
    <xf numFmtId="10" fontId="28" fillId="0" borderId="42" xfId="13" quotePrefix="1" applyNumberFormat="1" applyFont="1" applyBorder="1" applyAlignment="1">
      <alignment horizontal="right"/>
    </xf>
    <xf numFmtId="0" fontId="28" fillId="0" borderId="0" xfId="14" quotePrefix="1" applyNumberFormat="1" applyFont="1" applyAlignment="1">
      <alignment horizontal="left"/>
    </xf>
    <xf numFmtId="0" fontId="12" fillId="0" borderId="0" xfId="13"/>
    <xf numFmtId="0" fontId="11" fillId="0" borderId="0" xfId="13" quotePrefix="1" applyFont="1" applyBorder="1" applyAlignment="1">
      <alignment horizontal="left"/>
    </xf>
    <xf numFmtId="0" fontId="11" fillId="0" borderId="0" xfId="13" applyFont="1" applyBorder="1"/>
    <xf numFmtId="0" fontId="11" fillId="0" borderId="61" xfId="13" applyFont="1" applyBorder="1"/>
    <xf numFmtId="0" fontId="12" fillId="0" borderId="61" xfId="13" quotePrefix="1" applyBorder="1" applyAlignment="1">
      <alignment horizontal="right"/>
    </xf>
    <xf numFmtId="0" fontId="12" fillId="0" borderId="61" xfId="13" applyBorder="1"/>
    <xf numFmtId="3" fontId="12" fillId="0" borderId="61" xfId="13" applyNumberFormat="1" applyBorder="1"/>
    <xf numFmtId="0" fontId="40" fillId="0" borderId="0" xfId="14" quotePrefix="1" applyNumberFormat="1" applyFont="1" applyAlignment="1">
      <alignment horizontal="left"/>
    </xf>
    <xf numFmtId="0" fontId="24" fillId="0" borderId="0" xfId="14" quotePrefix="1" applyNumberFormat="1" applyAlignment="1">
      <alignment horizontal="left"/>
    </xf>
    <xf numFmtId="0" fontId="40" fillId="0" borderId="17" xfId="14" applyNumberFormat="1" applyFont="1" applyBorder="1" applyAlignment="1">
      <alignment horizontal="centerContinuous"/>
    </xf>
    <xf numFmtId="0" fontId="24" fillId="0" borderId="15" xfId="14" applyNumberFormat="1" applyBorder="1" applyAlignment="1">
      <alignment horizontal="centerContinuous"/>
    </xf>
    <xf numFmtId="0" fontId="40" fillId="0" borderId="15" xfId="14" applyNumberFormat="1" applyFont="1" applyBorder="1" applyAlignment="1">
      <alignment horizontal="centerContinuous"/>
    </xf>
    <xf numFmtId="0" fontId="40" fillId="0" borderId="16" xfId="14" applyNumberFormat="1" applyFont="1" applyBorder="1" applyAlignment="1">
      <alignment horizontal="centerContinuous"/>
    </xf>
    <xf numFmtId="0" fontId="24" fillId="0" borderId="16" xfId="14" applyNumberFormat="1" applyBorder="1" applyAlignment="1">
      <alignment horizontal="centerContinuous"/>
    </xf>
    <xf numFmtId="0" fontId="24" fillId="0" borderId="21" xfId="14" applyNumberFormat="1" applyBorder="1" applyAlignment="1"/>
    <xf numFmtId="0" fontId="24" fillId="0" borderId="10" xfId="14" applyNumberFormat="1" applyBorder="1" applyAlignment="1"/>
    <xf numFmtId="0" fontId="12" fillId="0" borderId="21" xfId="14" applyNumberFormat="1" applyFont="1" applyBorder="1" applyAlignment="1"/>
    <xf numFmtId="0" fontId="24" fillId="0" borderId="0" xfId="14" applyNumberFormat="1" applyBorder="1" applyAlignment="1">
      <alignment horizontal="right"/>
    </xf>
    <xf numFmtId="0" fontId="24" fillId="0" borderId="0" xfId="14" quotePrefix="1" applyNumberFormat="1" applyBorder="1" applyAlignment="1">
      <alignment horizontal="left"/>
    </xf>
    <xf numFmtId="0" fontId="24" fillId="0" borderId="0" xfId="14" applyNumberFormat="1" applyBorder="1" applyAlignment="1"/>
    <xf numFmtId="0" fontId="24" fillId="0" borderId="0" xfId="14" applyNumberFormat="1" applyBorder="1" applyAlignment="1">
      <alignment horizontal="center"/>
    </xf>
    <xf numFmtId="0" fontId="47" fillId="0" borderId="21" xfId="14" applyNumberFormat="1" applyFont="1" applyBorder="1" applyAlignment="1"/>
    <xf numFmtId="0" fontId="47" fillId="0" borderId="0" xfId="14" applyNumberFormat="1" applyFont="1" applyBorder="1" applyAlignment="1">
      <alignment horizontal="right"/>
    </xf>
    <xf numFmtId="0" fontId="47" fillId="0" borderId="0" xfId="14" quotePrefix="1" applyNumberFormat="1" applyFont="1" applyBorder="1" applyAlignment="1">
      <alignment horizontal="right"/>
    </xf>
    <xf numFmtId="0" fontId="47" fillId="0" borderId="0" xfId="14" quotePrefix="1" applyNumberFormat="1" applyFont="1" applyBorder="1" applyAlignment="1">
      <alignment horizontal="center"/>
    </xf>
    <xf numFmtId="0" fontId="47" fillId="0" borderId="10" xfId="14" applyNumberFormat="1" applyFont="1" applyBorder="1" applyAlignment="1">
      <alignment horizontal="center"/>
    </xf>
    <xf numFmtId="0" fontId="12" fillId="0" borderId="21" xfId="14" quotePrefix="1" applyNumberFormat="1" applyFont="1" applyBorder="1" applyAlignment="1">
      <alignment horizontal="left"/>
    </xf>
    <xf numFmtId="3" fontId="12" fillId="0" borderId="0" xfId="14" applyNumberFormat="1" applyFont="1" applyBorder="1" applyAlignment="1"/>
    <xf numFmtId="3" fontId="28" fillId="0" borderId="0" xfId="14" applyNumberFormat="1" applyFont="1" applyBorder="1" applyAlignment="1"/>
    <xf numFmtId="17" fontId="28" fillId="0" borderId="0" xfId="14" applyNumberFormat="1" applyFont="1" applyBorder="1" applyAlignment="1"/>
    <xf numFmtId="0" fontId="28" fillId="0" borderId="0" xfId="14" applyNumberFormat="1" applyFont="1" applyBorder="1" applyAlignment="1"/>
    <xf numFmtId="0" fontId="28" fillId="0" borderId="0" xfId="14" applyNumberFormat="1" applyFont="1" applyBorder="1" applyAlignment="1">
      <alignment horizontal="right"/>
    </xf>
    <xf numFmtId="9" fontId="28" fillId="0" borderId="10" xfId="14" applyNumberFormat="1" applyFont="1" applyBorder="1" applyAlignment="1"/>
    <xf numFmtId="0" fontId="38" fillId="0" borderId="21" xfId="14" quotePrefix="1" applyNumberFormat="1" applyFont="1" applyBorder="1" applyAlignment="1">
      <alignment horizontal="left"/>
    </xf>
    <xf numFmtId="3" fontId="48" fillId="0" borderId="0" xfId="14" applyNumberFormat="1" applyFont="1" applyBorder="1" applyAlignment="1"/>
    <xf numFmtId="0" fontId="24" fillId="0" borderId="21" xfId="14" quotePrefix="1" applyNumberFormat="1" applyBorder="1" applyAlignment="1">
      <alignment horizontal="right"/>
    </xf>
    <xf numFmtId="0" fontId="49" fillId="0" borderId="0" xfId="14" applyNumberFormat="1" applyFont="1" applyAlignment="1"/>
    <xf numFmtId="0" fontId="24" fillId="0" borderId="0" xfId="14" applyNumberFormat="1" applyBorder="1" applyAlignment="1">
      <alignment horizontal="centerContinuous"/>
    </xf>
    <xf numFmtId="3" fontId="24" fillId="0" borderId="0" xfId="14" applyNumberFormat="1" applyBorder="1" applyAlignment="1"/>
    <xf numFmtId="3" fontId="24" fillId="0" borderId="10" xfId="14" applyNumberFormat="1" applyBorder="1" applyAlignment="1"/>
    <xf numFmtId="0" fontId="43" fillId="0" borderId="0" xfId="14" quotePrefix="1" applyNumberFormat="1" applyFont="1" applyAlignment="1">
      <alignment horizontal="left"/>
    </xf>
    <xf numFmtId="0" fontId="24" fillId="0" borderId="54" xfId="14" applyNumberFormat="1" applyBorder="1" applyAlignment="1"/>
    <xf numFmtId="0" fontId="24" fillId="0" borderId="18" xfId="14" applyNumberFormat="1" applyBorder="1" applyAlignment="1"/>
    <xf numFmtId="0" fontId="24" fillId="0" borderId="62" xfId="14" applyNumberFormat="1" applyBorder="1" applyAlignment="1"/>
    <xf numFmtId="0" fontId="24" fillId="0" borderId="18" xfId="14" quotePrefix="1" applyNumberFormat="1" applyBorder="1" applyAlignment="1">
      <alignment horizontal="right"/>
    </xf>
    <xf numFmtId="3" fontId="24" fillId="0" borderId="18" xfId="14" applyNumberFormat="1" applyBorder="1" applyAlignment="1"/>
    <xf numFmtId="8" fontId="24" fillId="0" borderId="0" xfId="14" applyNumberFormat="1" applyBorder="1" applyAlignment="1"/>
    <xf numFmtId="3" fontId="38" fillId="0" borderId="0" xfId="14" quotePrefix="1" applyNumberFormat="1" applyFont="1" applyAlignment="1">
      <alignment horizontal="right"/>
    </xf>
    <xf numFmtId="3" fontId="24" fillId="0" borderId="15" xfId="14" applyNumberFormat="1" applyBorder="1" applyAlignment="1"/>
    <xf numFmtId="3" fontId="38" fillId="0" borderId="15" xfId="14" quotePrefix="1" applyNumberFormat="1" applyFont="1" applyBorder="1" applyAlignment="1">
      <alignment horizontal="right"/>
    </xf>
    <xf numFmtId="0" fontId="24" fillId="0" borderId="0" xfId="14" applyNumberFormat="1" applyFont="1" applyAlignment="1"/>
    <xf numFmtId="0" fontId="43" fillId="0" borderId="61" xfId="14" quotePrefix="1" applyNumberFormat="1" applyFont="1" applyBorder="1" applyAlignment="1">
      <alignment horizontal="left"/>
    </xf>
    <xf numFmtId="0" fontId="24" fillId="0" borderId="61" xfId="14" applyNumberFormat="1" applyBorder="1" applyAlignment="1"/>
    <xf numFmtId="3" fontId="24" fillId="0" borderId="61" xfId="14" applyNumberFormat="1" applyBorder="1" applyAlignment="1"/>
    <xf numFmtId="0" fontId="43" fillId="0" borderId="0" xfId="14" applyNumberFormat="1" applyFont="1" applyAlignment="1">
      <alignment horizontal="left"/>
    </xf>
    <xf numFmtId="3" fontId="12" fillId="0" borderId="0" xfId="14" applyNumberFormat="1" applyFont="1" applyAlignment="1"/>
    <xf numFmtId="37" fontId="43" fillId="0" borderId="0" xfId="12" applyFont="1" applyAlignment="1">
      <alignment horizontal="left"/>
    </xf>
    <xf numFmtId="0" fontId="28" fillId="0" borderId="15" xfId="14" applyNumberFormat="1" applyFont="1" applyBorder="1" applyAlignment="1"/>
    <xf numFmtId="0" fontId="28" fillId="0" borderId="0" xfId="14" applyNumberFormat="1" applyFont="1" applyAlignment="1"/>
    <xf numFmtId="0" fontId="12" fillId="0" borderId="15" xfId="14" applyNumberFormat="1" applyFont="1" applyBorder="1" applyAlignment="1"/>
    <xf numFmtId="0" fontId="12" fillId="0" borderId="0" xfId="14" applyNumberFormat="1" applyFont="1" applyBorder="1" applyAlignment="1"/>
    <xf numFmtId="0" fontId="24" fillId="0" borderId="61" xfId="14" quotePrefix="1" applyNumberFormat="1" applyBorder="1" applyAlignment="1">
      <alignment horizontal="left"/>
    </xf>
    <xf numFmtId="0" fontId="12" fillId="0" borderId="61" xfId="14" applyNumberFormat="1" applyFont="1" applyBorder="1" applyAlignment="1"/>
    <xf numFmtId="0" fontId="11" fillId="0" borderId="0" xfId="14" applyNumberFormat="1" applyFont="1" applyAlignment="1"/>
    <xf numFmtId="0" fontId="12" fillId="0" borderId="0" xfId="14" applyNumberFormat="1" applyFont="1" applyAlignment="1"/>
    <xf numFmtId="0" fontId="43" fillId="0" borderId="0" xfId="14" quotePrefix="1" applyNumberFormat="1" applyFont="1" applyAlignment="1">
      <alignment horizontal="right"/>
    </xf>
    <xf numFmtId="0" fontId="24" fillId="0" borderId="0" xfId="14" applyNumberFormat="1" applyFont="1" applyAlignment="1">
      <alignment horizontal="left"/>
    </xf>
    <xf numFmtId="10" fontId="28" fillId="0" borderId="42" xfId="22" applyNumberFormat="1" applyBorder="1"/>
    <xf numFmtId="193" fontId="24" fillId="0" borderId="0" xfId="14" applyNumberFormat="1" applyAlignment="1"/>
    <xf numFmtId="0" fontId="24" fillId="0" borderId="18" xfId="14" quotePrefix="1" applyNumberFormat="1" applyBorder="1" applyAlignment="1">
      <alignment horizontal="left"/>
    </xf>
    <xf numFmtId="0" fontId="12" fillId="0" borderId="18" xfId="14" applyNumberFormat="1" applyFont="1" applyBorder="1" applyAlignment="1"/>
    <xf numFmtId="0" fontId="24" fillId="0" borderId="15" xfId="14" applyNumberFormat="1" applyBorder="1" applyAlignment="1"/>
    <xf numFmtId="0" fontId="12" fillId="0" borderId="15" xfId="13" applyBorder="1"/>
    <xf numFmtId="0" fontId="40" fillId="0" borderId="0" xfId="13" applyFont="1" applyBorder="1" applyAlignment="1">
      <alignment horizontal="left"/>
    </xf>
    <xf numFmtId="0" fontId="12" fillId="0" borderId="0" xfId="13" quotePrefix="1" applyBorder="1" applyAlignment="1">
      <alignment horizontal="left"/>
    </xf>
    <xf numFmtId="0" fontId="28" fillId="0" borderId="42" xfId="13" applyFont="1" applyBorder="1" applyAlignment="1">
      <alignment horizontal="right"/>
    </xf>
    <xf numFmtId="0" fontId="43" fillId="0" borderId="0" xfId="13" applyFont="1" applyBorder="1" applyAlignment="1">
      <alignment horizontal="left"/>
    </xf>
    <xf numFmtId="0" fontId="28" fillId="0" borderId="0" xfId="13" quotePrefix="1" applyFont="1" applyBorder="1" applyAlignment="1">
      <alignment horizontal="right"/>
    </xf>
    <xf numFmtId="10" fontId="12" fillId="0" borderId="0" xfId="13" applyNumberFormat="1" applyBorder="1"/>
    <xf numFmtId="0" fontId="43" fillId="0" borderId="0" xfId="13" quotePrefix="1" applyFont="1" applyAlignment="1">
      <alignment horizontal="right"/>
    </xf>
    <xf numFmtId="0" fontId="12" fillId="0" borderId="0" xfId="13" applyFont="1" applyAlignment="1">
      <alignment horizontal="left"/>
    </xf>
    <xf numFmtId="0" fontId="12" fillId="0" borderId="0" xfId="13" applyAlignment="1">
      <alignment horizontal="right"/>
    </xf>
    <xf numFmtId="0" fontId="28" fillId="0" borderId="42" xfId="13" applyFont="1" applyBorder="1"/>
    <xf numFmtId="172" fontId="12" fillId="0" borderId="0" xfId="13" applyNumberFormat="1" applyBorder="1"/>
    <xf numFmtId="0" fontId="12" fillId="0" borderId="0" xfId="13" quotePrefix="1" applyAlignment="1">
      <alignment horizontal="left"/>
    </xf>
    <xf numFmtId="37" fontId="12" fillId="0" borderId="0" xfId="13" applyNumberFormat="1"/>
    <xf numFmtId="193" fontId="12" fillId="0" borderId="0" xfId="13" applyNumberFormat="1"/>
    <xf numFmtId="0" fontId="28" fillId="0" borderId="42" xfId="14" applyNumberFormat="1" applyFont="1" applyBorder="1" applyAlignment="1"/>
    <xf numFmtId="168" fontId="24" fillId="0" borderId="0" xfId="12" applyNumberFormat="1" applyFont="1" applyFill="1" applyBorder="1" applyAlignment="1" applyProtection="1">
      <alignment horizontal="center"/>
    </xf>
    <xf numFmtId="0" fontId="12" fillId="0" borderId="0" xfId="13" quotePrefix="1" applyFont="1" applyAlignment="1">
      <alignment horizontal="left"/>
    </xf>
    <xf numFmtId="3" fontId="28" fillId="0" borderId="42" xfId="22" applyBorder="1"/>
    <xf numFmtId="196" fontId="28" fillId="0" borderId="42" xfId="22" applyNumberFormat="1" applyBorder="1"/>
    <xf numFmtId="193" fontId="12" fillId="0" borderId="42" xfId="22" applyNumberFormat="1" applyFont="1" applyBorder="1"/>
    <xf numFmtId="193" fontId="28" fillId="0" borderId="0" xfId="14" applyNumberFormat="1" applyFont="1" applyAlignment="1"/>
    <xf numFmtId="193" fontId="28" fillId="0" borderId="42" xfId="22" applyNumberFormat="1" applyBorder="1"/>
    <xf numFmtId="193" fontId="24" fillId="0" borderId="0" xfId="14" quotePrefix="1" applyNumberFormat="1" applyAlignment="1">
      <alignment horizontal="left"/>
    </xf>
    <xf numFmtId="0" fontId="40" fillId="0" borderId="0" xfId="14" quotePrefix="1" applyNumberFormat="1" applyFont="1" applyBorder="1" applyAlignment="1">
      <alignment horizontal="left"/>
    </xf>
    <xf numFmtId="193" fontId="24" fillId="0" borderId="0" xfId="14" quotePrefix="1" applyNumberFormat="1" applyBorder="1" applyAlignment="1">
      <alignment horizontal="left"/>
    </xf>
    <xf numFmtId="0" fontId="40" fillId="0" borderId="0" xfId="14" applyNumberFormat="1" applyFont="1" applyBorder="1" applyAlignment="1"/>
    <xf numFmtId="0" fontId="43" fillId="0" borderId="0" xfId="14" applyNumberFormat="1" applyFont="1" applyBorder="1" applyAlignment="1"/>
    <xf numFmtId="4" fontId="24" fillId="0" borderId="0" xfId="14" applyNumberFormat="1" applyBorder="1" applyAlignment="1"/>
    <xf numFmtId="0" fontId="24" fillId="0" borderId="0" xfId="14" applyNumberFormat="1" applyBorder="1" applyAlignment="1">
      <alignment horizontal="left"/>
    </xf>
    <xf numFmtId="1" fontId="24" fillId="0" borderId="15" xfId="14" applyNumberFormat="1" applyBorder="1" applyAlignment="1"/>
    <xf numFmtId="3" fontId="24" fillId="0" borderId="18" xfId="10" applyBorder="1" applyAlignment="1"/>
    <xf numFmtId="0" fontId="24" fillId="0" borderId="18" xfId="14" applyNumberFormat="1" applyBorder="1" applyAlignment="1">
      <alignment horizontal="left"/>
    </xf>
    <xf numFmtId="193" fontId="24" fillId="0" borderId="18" xfId="14" quotePrefix="1" applyNumberFormat="1" applyBorder="1" applyAlignment="1">
      <alignment horizontal="left"/>
    </xf>
    <xf numFmtId="1" fontId="24" fillId="0" borderId="18" xfId="14" applyNumberFormat="1" applyBorder="1" applyAlignment="1"/>
    <xf numFmtId="1" fontId="24" fillId="0" borderId="0" xfId="14" applyNumberFormat="1" applyBorder="1" applyAlignment="1"/>
    <xf numFmtId="0" fontId="43" fillId="0" borderId="0" xfId="14" quotePrefix="1" applyNumberFormat="1" applyFont="1" applyBorder="1" applyAlignment="1">
      <alignment horizontal="left"/>
    </xf>
    <xf numFmtId="0" fontId="40" fillId="0" borderId="0" xfId="14" applyNumberFormat="1" applyFont="1" applyAlignment="1">
      <alignment horizontal="left"/>
    </xf>
    <xf numFmtId="37" fontId="28" fillId="0" borderId="0" xfId="12" applyFont="1" applyBorder="1"/>
    <xf numFmtId="38" fontId="50" fillId="0" borderId="0" xfId="2" applyNumberFormat="1" applyFont="1" applyAlignment="1" applyProtection="1">
      <alignment horizontal="right"/>
    </xf>
    <xf numFmtId="38" fontId="28" fillId="0" borderId="0" xfId="2" applyNumberFormat="1" applyFont="1" applyAlignment="1" applyProtection="1">
      <alignment horizontal="right"/>
    </xf>
    <xf numFmtId="37" fontId="43" fillId="0" borderId="0" xfId="12" applyFont="1"/>
    <xf numFmtId="38" fontId="28" fillId="0" borderId="0" xfId="2" applyNumberFormat="1" applyFont="1"/>
    <xf numFmtId="38" fontId="24" fillId="0" borderId="0" xfId="2" applyNumberFormat="1" applyFont="1"/>
    <xf numFmtId="38" fontId="12" fillId="0" borderId="0" xfId="2" applyNumberFormat="1" applyFont="1"/>
    <xf numFmtId="38" fontId="28" fillId="0" borderId="42" xfId="2" applyNumberFormat="1" applyFont="1" applyBorder="1" applyAlignment="1">
      <alignment horizontal="center"/>
    </xf>
    <xf numFmtId="38" fontId="28" fillId="0" borderId="0" xfId="2" applyNumberFormat="1" applyFont="1" applyFill="1"/>
    <xf numFmtId="0" fontId="12" fillId="0" borderId="0" xfId="13" applyBorder="1" applyAlignment="1">
      <alignment horizontal="left"/>
    </xf>
    <xf numFmtId="8" fontId="28" fillId="0" borderId="42" xfId="4" applyNumberFormat="1" applyFont="1" applyBorder="1"/>
    <xf numFmtId="4" fontId="28" fillId="0" borderId="0" xfId="2" applyNumberFormat="1" applyFont="1" applyFill="1"/>
    <xf numFmtId="3" fontId="12" fillId="0" borderId="0" xfId="13" applyNumberFormat="1"/>
    <xf numFmtId="3" fontId="12" fillId="0" borderId="15" xfId="13" applyNumberFormat="1" applyBorder="1"/>
    <xf numFmtId="37" fontId="43" fillId="0" borderId="0" xfId="12" quotePrefix="1" applyFont="1" applyAlignment="1">
      <alignment horizontal="left"/>
    </xf>
    <xf numFmtId="6" fontId="28" fillId="0" borderId="42" xfId="4" applyNumberFormat="1" applyFont="1" applyBorder="1"/>
    <xf numFmtId="38" fontId="24" fillId="0" borderId="15" xfId="2" applyNumberFormat="1" applyFont="1" applyBorder="1" applyAlignment="1"/>
    <xf numFmtId="38" fontId="24" fillId="0" borderId="15" xfId="2" applyNumberFormat="1" applyFont="1" applyBorder="1"/>
    <xf numFmtId="37" fontId="24" fillId="0" borderId="59" xfId="12" applyFont="1" applyBorder="1"/>
    <xf numFmtId="37" fontId="40" fillId="0" borderId="0" xfId="12" applyFont="1"/>
    <xf numFmtId="38" fontId="28" fillId="0" borderId="15" xfId="2" applyNumberFormat="1" applyFont="1" applyBorder="1"/>
    <xf numFmtId="1" fontId="24" fillId="0" borderId="0" xfId="14" applyNumberFormat="1" applyAlignment="1"/>
    <xf numFmtId="37" fontId="24" fillId="0" borderId="0" xfId="14" applyNumberFormat="1" applyBorder="1" applyAlignment="1"/>
    <xf numFmtId="37" fontId="24" fillId="0" borderId="15" xfId="14" applyNumberFormat="1" applyBorder="1" applyAlignment="1"/>
    <xf numFmtId="38" fontId="24" fillId="0" borderId="0" xfId="14" applyNumberFormat="1" applyAlignment="1"/>
    <xf numFmtId="0" fontId="51" fillId="0" borderId="0" xfId="14" quotePrefix="1" applyNumberFormat="1" applyFont="1" applyAlignment="1">
      <alignment horizontal="left"/>
    </xf>
    <xf numFmtId="0" fontId="24" fillId="0" borderId="0" xfId="14" applyNumberFormat="1" applyAlignment="1">
      <alignment horizontal="left"/>
    </xf>
    <xf numFmtId="0" fontId="24" fillId="0" borderId="15" xfId="14" quotePrefix="1" applyNumberFormat="1" applyBorder="1" applyAlignment="1">
      <alignment horizontal="left"/>
    </xf>
    <xf numFmtId="37" fontId="24" fillId="0" borderId="0" xfId="12" quotePrefix="1" applyFont="1" applyAlignment="1">
      <alignment horizontal="left"/>
    </xf>
    <xf numFmtId="10" fontId="24" fillId="0" borderId="0" xfId="14" applyNumberFormat="1" applyAlignment="1"/>
    <xf numFmtId="37" fontId="24" fillId="0" borderId="0" xfId="12" quotePrefix="1" applyFont="1" applyBorder="1" applyAlignment="1">
      <alignment horizontal="right"/>
    </xf>
    <xf numFmtId="0" fontId="32" fillId="0" borderId="0" xfId="11" applyFont="1"/>
    <xf numFmtId="37" fontId="25" fillId="0" borderId="0" xfId="12"/>
    <xf numFmtId="37" fontId="50" fillId="0" borderId="0" xfId="12" applyFont="1" applyProtection="1">
      <protection locked="0"/>
    </xf>
    <xf numFmtId="174" fontId="24" fillId="0" borderId="0" xfId="12" applyNumberFormat="1" applyFont="1" applyProtection="1"/>
    <xf numFmtId="179" fontId="24" fillId="0" borderId="0" xfId="12" applyNumberFormat="1" applyFont="1" applyProtection="1"/>
    <xf numFmtId="0" fontId="52" fillId="0" borderId="0" xfId="11" applyFont="1" applyAlignment="1">
      <alignment horizontal="center"/>
    </xf>
    <xf numFmtId="165" fontId="24" fillId="0" borderId="0" xfId="12" applyNumberFormat="1" applyFont="1" applyAlignment="1" applyProtection="1">
      <alignment horizontal="center"/>
    </xf>
    <xf numFmtId="37" fontId="24" fillId="0" borderId="0" xfId="12" quotePrefix="1" applyFont="1" applyAlignment="1">
      <alignment horizontal="right"/>
    </xf>
    <xf numFmtId="3" fontId="24" fillId="0" borderId="0" xfId="10" applyFont="1" applyAlignment="1">
      <alignment horizontal="center"/>
    </xf>
    <xf numFmtId="3" fontId="24" fillId="0" borderId="0" xfId="10" applyFont="1" applyAlignment="1"/>
    <xf numFmtId="262" fontId="24" fillId="0" borderId="60" xfId="12" applyNumberFormat="1" applyFont="1" applyFill="1" applyBorder="1" applyAlignment="1" applyProtection="1">
      <alignment horizontal="center"/>
    </xf>
    <xf numFmtId="168" fontId="24" fillId="0" borderId="0" xfId="12" applyNumberFormat="1" applyFont="1" applyProtection="1"/>
    <xf numFmtId="37" fontId="24" fillId="0" borderId="0" xfId="10" applyNumberFormat="1" applyAlignment="1"/>
    <xf numFmtId="3" fontId="24" fillId="0" borderId="10" xfId="10" applyBorder="1" applyAlignment="1"/>
    <xf numFmtId="37" fontId="24" fillId="0" borderId="0" xfId="12" applyFont="1" applyAlignment="1">
      <alignment horizontal="left"/>
    </xf>
    <xf numFmtId="37" fontId="50" fillId="0" borderId="0" xfId="12" applyNumberFormat="1" applyFont="1" applyProtection="1">
      <protection locked="0"/>
    </xf>
    <xf numFmtId="37" fontId="24" fillId="0" borderId="0" xfId="12" applyNumberFormat="1" applyFont="1" applyProtection="1"/>
    <xf numFmtId="37" fontId="24" fillId="0" borderId="10" xfId="10" applyNumberFormat="1" applyBorder="1" applyAlignment="1"/>
    <xf numFmtId="37" fontId="24" fillId="0" borderId="18" xfId="12" applyNumberFormat="1" applyFont="1" applyBorder="1" applyProtection="1"/>
    <xf numFmtId="3" fontId="24" fillId="0" borderId="18" xfId="12" applyNumberFormat="1" applyFont="1" applyBorder="1" applyProtection="1"/>
    <xf numFmtId="37" fontId="24" fillId="0" borderId="54" xfId="12" applyNumberFormat="1" applyFont="1" applyBorder="1" applyProtection="1"/>
    <xf numFmtId="37" fontId="41" fillId="0" borderId="0" xfId="12" applyFont="1" applyAlignment="1">
      <alignment horizontal="left"/>
    </xf>
    <xf numFmtId="37" fontId="24" fillId="0" borderId="0" xfId="12" applyNumberFormat="1" applyFont="1" applyBorder="1" applyProtection="1"/>
    <xf numFmtId="37" fontId="24" fillId="0" borderId="21" xfId="12" applyNumberFormat="1" applyFont="1" applyBorder="1" applyProtection="1"/>
    <xf numFmtId="37" fontId="24" fillId="0" borderId="63" xfId="12" applyNumberFormat="1" applyFont="1" applyBorder="1" applyProtection="1"/>
    <xf numFmtId="37" fontId="24" fillId="0" borderId="64" xfId="12" applyNumberFormat="1" applyFont="1" applyBorder="1" applyProtection="1"/>
    <xf numFmtId="37" fontId="24" fillId="0" borderId="65" xfId="12" applyNumberFormat="1" applyFont="1" applyBorder="1" applyProtection="1"/>
    <xf numFmtId="37" fontId="24" fillId="0" borderId="10" xfId="12" applyNumberFormat="1" applyFont="1" applyBorder="1" applyProtection="1"/>
    <xf numFmtId="37" fontId="24" fillId="0" borderId="15" xfId="12" applyFont="1" applyBorder="1"/>
    <xf numFmtId="37" fontId="24" fillId="0" borderId="16" xfId="12" applyFont="1" applyBorder="1"/>
    <xf numFmtId="37" fontId="24" fillId="0" borderId="10" xfId="12" applyFont="1" applyBorder="1"/>
    <xf numFmtId="37" fontId="24" fillId="0" borderId="66" xfId="12" applyNumberFormat="1" applyFont="1" applyBorder="1" applyProtection="1"/>
    <xf numFmtId="37" fontId="24" fillId="0" borderId="66" xfId="12" applyFont="1" applyBorder="1"/>
    <xf numFmtId="37" fontId="24" fillId="0" borderId="64" xfId="12" applyFont="1" applyBorder="1"/>
    <xf numFmtId="37" fontId="24" fillId="0" borderId="67" xfId="12" applyFont="1" applyBorder="1"/>
    <xf numFmtId="10" fontId="24" fillId="0" borderId="0" xfId="12" applyNumberFormat="1" applyFont="1" applyProtection="1"/>
    <xf numFmtId="37" fontId="50" fillId="0" borderId="66" xfId="12" applyNumberFormat="1" applyFont="1" applyBorder="1" applyProtection="1">
      <protection locked="0"/>
    </xf>
    <xf numFmtId="37" fontId="24" fillId="0" borderId="67" xfId="12" applyNumberFormat="1" applyFont="1" applyBorder="1" applyProtection="1"/>
    <xf numFmtId="37" fontId="24" fillId="0" borderId="65" xfId="12" applyFont="1" applyBorder="1"/>
    <xf numFmtId="37" fontId="24" fillId="0" borderId="68" xfId="12" applyNumberFormat="1" applyFont="1" applyBorder="1" applyProtection="1"/>
    <xf numFmtId="37" fontId="24" fillId="0" borderId="69" xfId="12" applyNumberFormat="1" applyFont="1" applyBorder="1" applyProtection="1"/>
    <xf numFmtId="9" fontId="24" fillId="0" borderId="0" xfId="12" applyNumberFormat="1" applyFont="1" applyProtection="1"/>
    <xf numFmtId="37" fontId="24" fillId="0" borderId="68" xfId="12" applyFont="1" applyBorder="1"/>
    <xf numFmtId="183" fontId="24" fillId="0" borderId="0" xfId="12" applyNumberFormat="1" applyFont="1" applyProtection="1"/>
    <xf numFmtId="195" fontId="24" fillId="0" borderId="0" xfId="12" applyNumberFormat="1" applyFont="1" applyProtection="1"/>
    <xf numFmtId="37" fontId="12" fillId="0" borderId="0" xfId="12" applyFont="1"/>
    <xf numFmtId="37" fontId="25" fillId="0" borderId="0" xfId="12" applyFont="1"/>
    <xf numFmtId="220" fontId="24" fillId="0" borderId="60" xfId="12" applyNumberFormat="1" applyFont="1" applyFill="1" applyBorder="1" applyAlignment="1" applyProtection="1">
      <alignment horizontal="center"/>
    </xf>
    <xf numFmtId="220" fontId="24" fillId="0" borderId="70" xfId="12" applyNumberFormat="1" applyFont="1" applyFill="1" applyBorder="1" applyAlignment="1" applyProtection="1">
      <alignment horizontal="center"/>
    </xf>
    <xf numFmtId="37" fontId="41" fillId="0" borderId="0" xfId="12" applyFont="1"/>
    <xf numFmtId="37" fontId="24" fillId="0" borderId="15" xfId="12" applyNumberFormat="1" applyFont="1" applyBorder="1" applyProtection="1"/>
    <xf numFmtId="37" fontId="24" fillId="0" borderId="16" xfId="12" applyNumberFormat="1" applyFont="1" applyBorder="1" applyProtection="1"/>
    <xf numFmtId="37" fontId="24" fillId="0" borderId="71" xfId="12" applyNumberFormat="1" applyFont="1" applyBorder="1" applyProtection="1"/>
    <xf numFmtId="37" fontId="24" fillId="0" borderId="62" xfId="12" applyNumberFormat="1" applyFont="1" applyBorder="1" applyProtection="1"/>
    <xf numFmtId="37" fontId="24" fillId="0" borderId="0" xfId="12" applyNumberFormat="1" applyFont="1" applyFill="1" applyProtection="1"/>
    <xf numFmtId="37" fontId="24" fillId="0" borderId="21" xfId="12" applyFont="1" applyBorder="1"/>
    <xf numFmtId="37" fontId="24" fillId="0" borderId="72" xfId="12" applyNumberFormat="1" applyFont="1" applyBorder="1" applyProtection="1"/>
    <xf numFmtId="14" fontId="24" fillId="0" borderId="70" xfId="12" applyNumberFormat="1" applyFont="1" applyFill="1" applyBorder="1" applyAlignment="1" applyProtection="1">
      <alignment horizontal="center"/>
    </xf>
    <xf numFmtId="262" fontId="24" fillId="0" borderId="70" xfId="12" applyNumberFormat="1" applyFont="1" applyFill="1" applyBorder="1" applyAlignment="1" applyProtection="1">
      <alignment horizontal="center"/>
    </xf>
    <xf numFmtId="10" fontId="24" fillId="0" borderId="0" xfId="15" applyNumberFormat="1" applyFont="1"/>
    <xf numFmtId="14" fontId="24" fillId="0" borderId="0" xfId="12" applyNumberFormat="1" applyFont="1"/>
    <xf numFmtId="14" fontId="24" fillId="0" borderId="0" xfId="11" applyNumberFormat="1" applyFont="1"/>
    <xf numFmtId="168" fontId="24" fillId="0" borderId="0" xfId="12" applyNumberFormat="1" applyFont="1" applyAlignment="1" applyProtection="1">
      <alignment horizontal="left"/>
    </xf>
    <xf numFmtId="37" fontId="24" fillId="0" borderId="59" xfId="12" applyFont="1" applyBorder="1" applyAlignment="1">
      <alignment horizontal="left"/>
    </xf>
    <xf numFmtId="3" fontId="24" fillId="0" borderId="59" xfId="10" applyBorder="1" applyAlignment="1"/>
    <xf numFmtId="168" fontId="24" fillId="0" borderId="59" xfId="12" applyNumberFormat="1" applyFont="1" applyBorder="1" applyProtection="1"/>
    <xf numFmtId="3" fontId="24" fillId="0" borderId="0" xfId="10" quotePrefix="1" applyAlignment="1">
      <alignment horizontal="center"/>
    </xf>
    <xf numFmtId="3" fontId="47" fillId="0" borderId="0" xfId="10" quotePrefix="1" applyFont="1" applyAlignment="1">
      <alignment horizontal="center"/>
    </xf>
    <xf numFmtId="37" fontId="24" fillId="0" borderId="0" xfId="12" quotePrefix="1" applyFont="1" applyAlignment="1">
      <alignment horizontal="center"/>
    </xf>
    <xf numFmtId="37" fontId="53" fillId="0" borderId="0" xfId="12" applyFont="1" applyAlignment="1">
      <alignment horizontal="left"/>
    </xf>
    <xf numFmtId="14" fontId="24" fillId="0" borderId="73" xfId="12" applyNumberFormat="1" applyFont="1" applyFill="1" applyBorder="1" applyAlignment="1" applyProtection="1">
      <alignment horizontal="center"/>
    </xf>
    <xf numFmtId="37" fontId="28" fillId="0" borderId="0" xfId="12" applyFont="1" applyAlignment="1">
      <alignment horizontal="left"/>
    </xf>
    <xf numFmtId="37" fontId="12" fillId="0" borderId="0" xfId="12" applyNumberFormat="1" applyFont="1" applyProtection="1">
      <protection locked="0"/>
    </xf>
    <xf numFmtId="38" fontId="12" fillId="0" borderId="0" xfId="2" applyNumberFormat="1" applyFont="1" applyBorder="1"/>
    <xf numFmtId="38" fontId="50" fillId="0" borderId="0" xfId="2" applyNumberFormat="1" applyFont="1" applyBorder="1"/>
    <xf numFmtId="10" fontId="24" fillId="0" borderId="15" xfId="12" applyNumberFormat="1" applyFont="1" applyBorder="1" applyProtection="1"/>
    <xf numFmtId="3" fontId="24" fillId="0" borderId="15" xfId="10" applyBorder="1" applyAlignment="1"/>
    <xf numFmtId="37" fontId="24" fillId="0" borderId="0" xfId="12" applyFont="1" applyAlignment="1">
      <alignment horizontal="center"/>
    </xf>
    <xf numFmtId="38" fontId="50" fillId="0" borderId="30" xfId="2" applyNumberFormat="1" applyFont="1" applyBorder="1"/>
    <xf numFmtId="38" fontId="50" fillId="0" borderId="17" xfId="2" applyNumberFormat="1" applyFont="1" applyBorder="1"/>
    <xf numFmtId="37" fontId="12" fillId="0" borderId="29" xfId="12" applyFont="1" applyBorder="1"/>
    <xf numFmtId="38" fontId="50" fillId="0" borderId="21" xfId="2" applyNumberFormat="1" applyFont="1" applyBorder="1"/>
    <xf numFmtId="37" fontId="28" fillId="0" borderId="50" xfId="12" applyFont="1" applyBorder="1"/>
    <xf numFmtId="38" fontId="50" fillId="0" borderId="54" xfId="2" applyNumberFormat="1" applyFont="1" applyBorder="1"/>
    <xf numFmtId="37" fontId="24" fillId="0" borderId="18" xfId="12" applyFont="1" applyBorder="1"/>
    <xf numFmtId="37" fontId="24" fillId="0" borderId="62" xfId="12" applyFont="1" applyBorder="1"/>
    <xf numFmtId="38" fontId="50" fillId="0" borderId="0" xfId="2" applyNumberFormat="1" applyFont="1"/>
    <xf numFmtId="38" fontId="12" fillId="0" borderId="0" xfId="2" quotePrefix="1" applyNumberFormat="1" applyFont="1" applyBorder="1" applyAlignment="1">
      <alignment horizontal="right"/>
    </xf>
    <xf numFmtId="37" fontId="28" fillId="0" borderId="0" xfId="12" quotePrefix="1" applyFont="1" applyAlignment="1">
      <alignment horizontal="left"/>
    </xf>
    <xf numFmtId="37" fontId="41" fillId="0" borderId="0" xfId="12" applyFont="1" applyAlignment="1">
      <alignment horizontal="right"/>
    </xf>
    <xf numFmtId="37" fontId="24" fillId="0" borderId="74" xfId="12" applyFont="1" applyBorder="1" applyAlignment="1">
      <alignment horizontal="center"/>
    </xf>
    <xf numFmtId="37" fontId="24" fillId="0" borderId="75" xfId="12" applyFont="1" applyBorder="1" applyAlignment="1">
      <alignment horizontal="centerContinuous"/>
    </xf>
    <xf numFmtId="37" fontId="24" fillId="0" borderId="76" xfId="12" applyFont="1" applyBorder="1" applyAlignment="1">
      <alignment horizontal="centerContinuous"/>
    </xf>
    <xf numFmtId="37" fontId="24" fillId="0" borderId="1" xfId="12" applyFont="1" applyBorder="1" applyAlignment="1">
      <alignment horizontal="center"/>
    </xf>
    <xf numFmtId="37" fontId="24" fillId="0" borderId="77" xfId="12" applyFont="1" applyBorder="1" applyAlignment="1">
      <alignment horizontal="center"/>
    </xf>
    <xf numFmtId="37" fontId="24" fillId="0" borderId="78" xfId="12" applyFont="1" applyBorder="1" applyAlignment="1">
      <alignment horizontal="centerContinuous"/>
    </xf>
    <xf numFmtId="168" fontId="24" fillId="0" borderId="79" xfId="12" applyNumberFormat="1" applyFont="1" applyBorder="1" applyAlignment="1" applyProtection="1">
      <alignment horizontal="centerContinuous"/>
    </xf>
    <xf numFmtId="14" fontId="24" fillId="9" borderId="70" xfId="12" applyNumberFormat="1" applyFont="1" applyFill="1" applyBorder="1" applyAlignment="1" applyProtection="1">
      <alignment horizontal="center"/>
    </xf>
    <xf numFmtId="262" fontId="24" fillId="9" borderId="70" xfId="12" applyNumberFormat="1" applyFont="1" applyFill="1" applyBorder="1" applyAlignment="1" applyProtection="1">
      <alignment horizontal="center"/>
    </xf>
    <xf numFmtId="37" fontId="24" fillId="0" borderId="80" xfId="12" applyFont="1" applyBorder="1"/>
    <xf numFmtId="236" fontId="50" fillId="0" borderId="0" xfId="12" applyNumberFormat="1" applyFont="1" applyProtection="1">
      <protection locked="0"/>
    </xf>
    <xf numFmtId="262" fontId="24" fillId="0" borderId="60" xfId="12" applyNumberFormat="1" applyFont="1" applyBorder="1" applyAlignment="1" applyProtection="1">
      <alignment horizontal="center"/>
    </xf>
    <xf numFmtId="179" fontId="24" fillId="0" borderId="60" xfId="12" applyNumberFormat="1" applyFont="1" applyBorder="1" applyAlignment="1" applyProtection="1">
      <alignment horizontal="center"/>
    </xf>
    <xf numFmtId="37" fontId="24" fillId="0" borderId="60" xfId="12" applyFont="1" applyBorder="1" applyAlignment="1">
      <alignment horizontal="center"/>
    </xf>
    <xf numFmtId="3" fontId="24" fillId="0" borderId="75" xfId="10" applyBorder="1" applyAlignment="1">
      <alignment horizontal="centerContinuous"/>
    </xf>
    <xf numFmtId="3" fontId="24" fillId="0" borderId="76" xfId="10" applyBorder="1" applyAlignment="1">
      <alignment horizontal="centerContinuous"/>
    </xf>
    <xf numFmtId="3" fontId="24" fillId="0" borderId="78" xfId="10" applyBorder="1" applyAlignment="1">
      <alignment horizontal="centerContinuous"/>
    </xf>
    <xf numFmtId="3" fontId="24" fillId="0" borderId="79" xfId="10" applyBorder="1" applyAlignment="1">
      <alignment horizontal="centerContinuous"/>
    </xf>
    <xf numFmtId="37" fontId="50" fillId="0" borderId="0" xfId="12" applyNumberFormat="1" applyFont="1" applyBorder="1" applyAlignment="1" applyProtection="1">
      <alignment horizontal="right"/>
    </xf>
    <xf numFmtId="3" fontId="24" fillId="0" borderId="0" xfId="10" applyAlignment="1">
      <alignment horizontal="centerContinuous"/>
    </xf>
    <xf numFmtId="37" fontId="39" fillId="0" borderId="0" xfId="12" applyNumberFormat="1" applyFont="1" applyProtection="1">
      <protection locked="0"/>
    </xf>
    <xf numFmtId="37" fontId="24" fillId="0" borderId="81" xfId="12" applyNumberFormat="1" applyFont="1" applyBorder="1" applyAlignment="1" applyProtection="1">
      <alignment horizontal="centerContinuous"/>
    </xf>
    <xf numFmtId="37" fontId="24" fillId="0" borderId="82" xfId="12" applyNumberFormat="1" applyFont="1" applyBorder="1" applyAlignment="1" applyProtection="1">
      <alignment horizontal="centerContinuous"/>
    </xf>
    <xf numFmtId="37" fontId="24" fillId="0" borderId="83" xfId="12" applyNumberFormat="1" applyFont="1" applyBorder="1" applyAlignment="1" applyProtection="1">
      <alignment horizontal="centerContinuous"/>
    </xf>
    <xf numFmtId="37" fontId="24" fillId="0" borderId="84" xfId="12" applyNumberFormat="1" applyFont="1" applyBorder="1" applyAlignment="1" applyProtection="1">
      <alignment horizontal="centerContinuous"/>
    </xf>
    <xf numFmtId="37" fontId="38" fillId="0" borderId="0" xfId="12" applyNumberFormat="1" applyFont="1" applyProtection="1">
      <protection locked="0"/>
    </xf>
    <xf numFmtId="37" fontId="38" fillId="0" borderId="0" xfId="12" applyFont="1" applyProtection="1">
      <protection locked="0"/>
    </xf>
    <xf numFmtId="10" fontId="24" fillId="0" borderId="85" xfId="12" applyNumberFormat="1" applyFont="1" applyBorder="1" applyProtection="1"/>
    <xf numFmtId="37" fontId="25" fillId="0" borderId="59" xfId="12" applyBorder="1"/>
    <xf numFmtId="10" fontId="24" fillId="0" borderId="59" xfId="12" applyNumberFormat="1" applyFont="1" applyBorder="1" applyProtection="1"/>
    <xf numFmtId="14" fontId="24" fillId="0" borderId="60" xfId="12" applyNumberFormat="1" applyFont="1" applyBorder="1" applyAlignment="1" applyProtection="1">
      <alignment horizontal="center"/>
    </xf>
    <xf numFmtId="37" fontId="24" fillId="0" borderId="0" xfId="10" applyNumberFormat="1" applyFont="1" applyAlignment="1"/>
    <xf numFmtId="195" fontId="24" fillId="0" borderId="0" xfId="10" applyNumberFormat="1" applyFont="1" applyAlignment="1"/>
    <xf numFmtId="195" fontId="28" fillId="0" borderId="0" xfId="10" applyNumberFormat="1" applyFont="1" applyAlignment="1"/>
    <xf numFmtId="195" fontId="50" fillId="0" borderId="0" xfId="10" applyNumberFormat="1" applyFont="1" applyAlignment="1"/>
    <xf numFmtId="6" fontId="28" fillId="0" borderId="0" xfId="4" applyNumberFormat="1" applyFont="1"/>
    <xf numFmtId="6" fontId="50" fillId="0" borderId="0" xfId="4" applyNumberFormat="1" applyFont="1"/>
    <xf numFmtId="37" fontId="43" fillId="0" borderId="17" xfId="12" applyFont="1" applyBorder="1" applyAlignment="1">
      <alignment horizontal="left"/>
    </xf>
    <xf numFmtId="262" fontId="24" fillId="0" borderId="86" xfId="12" applyNumberFormat="1" applyFont="1" applyBorder="1" applyAlignment="1" applyProtection="1">
      <alignment horizontal="center"/>
    </xf>
    <xf numFmtId="37" fontId="24" fillId="0" borderId="21" xfId="12" applyFont="1" applyBorder="1" applyAlignment="1">
      <alignment horizontal="left"/>
    </xf>
    <xf numFmtId="37" fontId="12" fillId="0" borderId="0" xfId="12" applyNumberFormat="1" applyFont="1" applyBorder="1" applyProtection="1"/>
    <xf numFmtId="37" fontId="12" fillId="0" borderId="21" xfId="12" applyNumberFormat="1" applyFont="1" applyBorder="1" applyProtection="1"/>
    <xf numFmtId="37" fontId="12" fillId="0" borderId="10" xfId="12" applyNumberFormat="1" applyFont="1" applyBorder="1" applyProtection="1"/>
    <xf numFmtId="37" fontId="50" fillId="0" borderId="0" xfId="12" applyNumberFormat="1" applyFont="1" applyBorder="1" applyProtection="1">
      <protection locked="0"/>
    </xf>
    <xf numFmtId="241" fontId="24" fillId="0" borderId="0" xfId="12" applyNumberFormat="1" applyFont="1" applyBorder="1" applyProtection="1"/>
    <xf numFmtId="37" fontId="24" fillId="0" borderId="54" xfId="12" applyFont="1" applyBorder="1" applyAlignment="1">
      <alignment horizontal="left"/>
    </xf>
    <xf numFmtId="37" fontId="24" fillId="0" borderId="17" xfId="12" applyFont="1" applyBorder="1" applyAlignment="1">
      <alignment horizontal="left"/>
    </xf>
    <xf numFmtId="37" fontId="50" fillId="0" borderId="15" xfId="12" applyFont="1" applyBorder="1" applyProtection="1">
      <protection locked="0"/>
    </xf>
    <xf numFmtId="37" fontId="50" fillId="0" borderId="0" xfId="12" applyFont="1" applyBorder="1" applyProtection="1">
      <protection locked="0"/>
    </xf>
    <xf numFmtId="37" fontId="50" fillId="0" borderId="10" xfId="12" applyFont="1" applyBorder="1" applyProtection="1">
      <protection locked="0"/>
    </xf>
    <xf numFmtId="37" fontId="12" fillId="0" borderId="0" xfId="12" applyFont="1" applyBorder="1" applyProtection="1">
      <protection locked="0"/>
    </xf>
    <xf numFmtId="37" fontId="12" fillId="0" borderId="0" xfId="12" applyFont="1" applyFill="1" applyBorder="1" applyProtection="1">
      <protection locked="0"/>
    </xf>
    <xf numFmtId="168" fontId="50" fillId="0" borderId="0" xfId="12" applyNumberFormat="1" applyFont="1" applyProtection="1">
      <protection locked="0"/>
    </xf>
    <xf numFmtId="168" fontId="50" fillId="0" borderId="0" xfId="12" applyNumberFormat="1" applyFont="1" applyAlignment="1" applyProtection="1">
      <alignment horizontal="right"/>
      <protection locked="0"/>
    </xf>
    <xf numFmtId="10" fontId="50" fillId="0" borderId="0" xfId="12" applyNumberFormat="1" applyFont="1" applyProtection="1">
      <protection locked="0"/>
    </xf>
    <xf numFmtId="10" fontId="28" fillId="0" borderId="0" xfId="12" applyNumberFormat="1" applyFont="1" applyProtection="1">
      <protection locked="0"/>
    </xf>
    <xf numFmtId="37" fontId="24" fillId="0" borderId="59" xfId="12" applyNumberFormat="1" applyFont="1" applyBorder="1" applyProtection="1"/>
    <xf numFmtId="262" fontId="24" fillId="0" borderId="87" xfId="12" applyNumberFormat="1" applyFont="1" applyBorder="1" applyAlignment="1" applyProtection="1">
      <alignment horizontal="center"/>
    </xf>
    <xf numFmtId="14" fontId="24" fillId="0" borderId="87" xfId="12" applyNumberFormat="1" applyFont="1" applyBorder="1" applyAlignment="1" applyProtection="1">
      <alignment horizontal="center"/>
    </xf>
    <xf numFmtId="14" fontId="24" fillId="9" borderId="76" xfId="12" applyNumberFormat="1" applyFont="1" applyFill="1" applyBorder="1" applyAlignment="1" applyProtection="1">
      <alignment horizontal="center"/>
    </xf>
    <xf numFmtId="262" fontId="24" fillId="9" borderId="76" xfId="12" applyNumberFormat="1" applyFont="1" applyFill="1" applyBorder="1" applyAlignment="1" applyProtection="1">
      <alignment horizontal="center"/>
    </xf>
    <xf numFmtId="37" fontId="24" fillId="0" borderId="88" xfId="12" applyFont="1" applyBorder="1" applyAlignment="1">
      <alignment horizontal="center"/>
    </xf>
    <xf numFmtId="37" fontId="24" fillId="0" borderId="77" xfId="12" applyFont="1" applyFill="1" applyBorder="1" applyAlignment="1">
      <alignment horizontal="center"/>
    </xf>
    <xf numFmtId="37" fontId="24" fillId="9" borderId="77" xfId="12" applyFont="1" applyFill="1" applyBorder="1" applyAlignment="1">
      <alignment horizontal="center"/>
    </xf>
    <xf numFmtId="37" fontId="24" fillId="9" borderId="79" xfId="12" applyFont="1" applyFill="1" applyBorder="1" applyAlignment="1">
      <alignment horizontal="center"/>
    </xf>
    <xf numFmtId="37" fontId="24" fillId="0" borderId="0" xfId="12" applyFont="1" applyBorder="1" applyAlignment="1">
      <alignment horizontal="center"/>
    </xf>
    <xf numFmtId="37" fontId="24" fillId="0" borderId="0" xfId="12" applyFont="1" applyFill="1" applyBorder="1" applyAlignment="1">
      <alignment horizontal="center"/>
    </xf>
    <xf numFmtId="37" fontId="12" fillId="0" borderId="0" xfId="12" applyFont="1" applyFill="1"/>
    <xf numFmtId="37" fontId="40" fillId="0" borderId="0" xfId="12" applyFont="1" applyAlignment="1">
      <alignment horizontal="left"/>
    </xf>
    <xf numFmtId="37" fontId="50" fillId="0" borderId="0" xfId="12" applyNumberFormat="1" applyFont="1" applyAlignment="1" applyProtection="1">
      <alignment horizontal="right"/>
      <protection locked="0"/>
    </xf>
    <xf numFmtId="3" fontId="24" fillId="0" borderId="74" xfId="10" applyFont="1" applyBorder="1" applyAlignment="1">
      <alignment horizontal="center"/>
    </xf>
    <xf numFmtId="3" fontId="24" fillId="9" borderId="74" xfId="10" applyFont="1" applyFill="1" applyBorder="1" applyAlignment="1">
      <alignment horizontal="center"/>
    </xf>
    <xf numFmtId="253" fontId="24" fillId="0" borderId="0" xfId="12" applyNumberFormat="1" applyFont="1" applyProtection="1"/>
    <xf numFmtId="14" fontId="24" fillId="9" borderId="77" xfId="10" applyNumberFormat="1" applyFont="1" applyFill="1" applyBorder="1" applyAlignment="1">
      <alignment horizontal="center"/>
    </xf>
    <xf numFmtId="262" fontId="24" fillId="9" borderId="60" xfId="12" applyNumberFormat="1" applyFont="1" applyFill="1" applyBorder="1" applyAlignment="1" applyProtection="1">
      <alignment horizontal="center"/>
    </xf>
    <xf numFmtId="37" fontId="12" fillId="0" borderId="85" xfId="12" applyNumberFormat="1" applyFont="1" applyBorder="1" applyProtection="1">
      <protection locked="0"/>
    </xf>
    <xf numFmtId="37" fontId="11" fillId="0" borderId="0" xfId="12" quotePrefix="1" applyFont="1" applyAlignment="1">
      <alignment horizontal="left"/>
    </xf>
    <xf numFmtId="262" fontId="24" fillId="0" borderId="89" xfId="12" applyNumberFormat="1" applyFont="1" applyFill="1" applyBorder="1" applyAlignment="1" applyProtection="1">
      <alignment horizontal="center"/>
    </xf>
    <xf numFmtId="183" fontId="50" fillId="0" borderId="0" xfId="12" applyNumberFormat="1" applyFont="1" applyProtection="1">
      <protection locked="0"/>
    </xf>
    <xf numFmtId="3" fontId="24" fillId="0" borderId="0" xfId="10" applyFont="1" applyAlignment="1">
      <alignment horizontal="left"/>
    </xf>
    <xf numFmtId="37" fontId="24" fillId="0" borderId="61" xfId="12" applyFont="1" applyBorder="1" applyAlignment="1">
      <alignment horizontal="left"/>
    </xf>
    <xf numFmtId="37" fontId="24" fillId="0" borderId="61" xfId="12" applyFont="1" applyBorder="1"/>
    <xf numFmtId="3" fontId="24" fillId="0" borderId="61" xfId="10" applyBorder="1" applyAlignment="1"/>
    <xf numFmtId="37" fontId="24" fillId="0" borderId="61" xfId="12" applyFont="1" applyBorder="1" applyAlignment="1">
      <alignment horizontal="right"/>
    </xf>
    <xf numFmtId="37" fontId="50" fillId="0" borderId="61" xfId="12" applyFont="1" applyBorder="1" applyProtection="1">
      <protection locked="0"/>
    </xf>
    <xf numFmtId="37" fontId="50" fillId="0" borderId="61" xfId="12" applyNumberFormat="1" applyFont="1" applyBorder="1" applyProtection="1">
      <protection locked="0"/>
    </xf>
    <xf numFmtId="37" fontId="41" fillId="0" borderId="0" xfId="12" applyFont="1" applyAlignment="1"/>
    <xf numFmtId="37" fontId="24" fillId="0" borderId="90" xfId="12" applyNumberFormat="1" applyFont="1" applyBorder="1" applyProtection="1"/>
    <xf numFmtId="37" fontId="24" fillId="0" borderId="0" xfId="12" applyFont="1" applyAlignment="1"/>
    <xf numFmtId="38" fontId="24" fillId="0" borderId="0" xfId="12" applyNumberFormat="1" applyFont="1" applyBorder="1" applyProtection="1"/>
    <xf numFmtId="38" fontId="24" fillId="0" borderId="21" xfId="12" applyNumberFormat="1" applyFont="1" applyBorder="1" applyProtection="1"/>
    <xf numFmtId="38" fontId="24" fillId="0" borderId="0" xfId="12" applyNumberFormat="1" applyFont="1" applyProtection="1"/>
    <xf numFmtId="37" fontId="12" fillId="0" borderId="0" xfId="12" applyFont="1" applyAlignment="1"/>
    <xf numFmtId="38" fontId="24" fillId="0" borderId="0" xfId="12" applyNumberFormat="1" applyFont="1" applyBorder="1"/>
    <xf numFmtId="38" fontId="24" fillId="0" borderId="21" xfId="12" applyNumberFormat="1" applyFont="1" applyBorder="1"/>
    <xf numFmtId="38" fontId="24" fillId="0" borderId="0" xfId="12" applyNumberFormat="1" applyFont="1"/>
    <xf numFmtId="38" fontId="24" fillId="0" borderId="64" xfId="12" applyNumberFormat="1" applyFont="1" applyBorder="1" applyProtection="1"/>
    <xf numFmtId="38" fontId="24" fillId="0" borderId="72" xfId="12" applyNumberFormat="1" applyFont="1" applyBorder="1" applyProtection="1"/>
    <xf numFmtId="38" fontId="24" fillId="0" borderId="0" xfId="10" applyNumberFormat="1" applyFont="1" applyBorder="1" applyAlignment="1"/>
    <xf numFmtId="38" fontId="24" fillId="0" borderId="21" xfId="10" applyNumberFormat="1" applyFont="1" applyBorder="1" applyAlignment="1"/>
    <xf numFmtId="38" fontId="24" fillId="0" borderId="0" xfId="10" applyNumberFormat="1" applyFont="1" applyAlignment="1"/>
    <xf numFmtId="3" fontId="24" fillId="0" borderId="0" xfId="10" applyFont="1" applyBorder="1" applyAlignment="1"/>
    <xf numFmtId="38" fontId="24" fillId="0" borderId="18" xfId="10" applyNumberFormat="1" applyFont="1" applyBorder="1" applyAlignment="1"/>
    <xf numFmtId="38" fontId="28" fillId="0" borderId="54" xfId="10" applyNumberFormat="1" applyFont="1" applyBorder="1" applyAlignment="1"/>
    <xf numFmtId="38" fontId="28" fillId="0" borderId="18" xfId="10" applyNumberFormat="1" applyFont="1" applyBorder="1" applyAlignment="1"/>
    <xf numFmtId="38" fontId="24" fillId="0" borderId="64" xfId="10" applyNumberFormat="1" applyFont="1" applyBorder="1" applyAlignment="1"/>
    <xf numFmtId="38" fontId="24" fillId="0" borderId="72" xfId="10" applyNumberFormat="1" applyFont="1" applyBorder="1" applyAlignment="1"/>
    <xf numFmtId="37" fontId="24" fillId="0" borderId="0" xfId="12" applyFont="1" applyBorder="1" applyAlignment="1"/>
    <xf numFmtId="38" fontId="24" fillId="0" borderId="68" xfId="12" applyNumberFormat="1" applyFont="1" applyBorder="1"/>
    <xf numFmtId="38" fontId="24" fillId="0" borderId="91" xfId="12" applyNumberFormat="1" applyFont="1" applyBorder="1"/>
    <xf numFmtId="38" fontId="24" fillId="0" borderId="0" xfId="10" applyNumberFormat="1" applyAlignment="1"/>
    <xf numFmtId="38" fontId="24" fillId="0" borderId="21" xfId="10" applyNumberFormat="1" applyBorder="1" applyAlignment="1"/>
    <xf numFmtId="38" fontId="24" fillId="0" borderId="10" xfId="12" applyNumberFormat="1" applyFont="1" applyBorder="1"/>
    <xf numFmtId="38" fontId="24" fillId="0" borderId="71" xfId="12" applyNumberFormat="1" applyFont="1" applyBorder="1"/>
    <xf numFmtId="38" fontId="24" fillId="0" borderId="68" xfId="12" applyNumberFormat="1" applyFont="1" applyBorder="1" applyProtection="1"/>
    <xf numFmtId="38" fontId="24" fillId="0" borderId="71" xfId="12" applyNumberFormat="1" applyFont="1" applyBorder="1" applyProtection="1"/>
    <xf numFmtId="37" fontId="25" fillId="0" borderId="61" xfId="12" applyBorder="1"/>
    <xf numFmtId="14" fontId="24" fillId="0" borderId="92" xfId="12" applyNumberFormat="1" applyFont="1" applyFill="1" applyBorder="1" applyAlignment="1" applyProtection="1">
      <alignment horizontal="center"/>
    </xf>
    <xf numFmtId="262" fontId="24" fillId="0" borderId="93" xfId="12" applyNumberFormat="1" applyFont="1" applyFill="1" applyBorder="1" applyAlignment="1" applyProtection="1">
      <alignment horizontal="center"/>
    </xf>
    <xf numFmtId="3" fontId="24" fillId="0" borderId="90" xfId="10" applyBorder="1" applyAlignment="1"/>
    <xf numFmtId="38" fontId="42" fillId="0" borderId="21" xfId="12" applyNumberFormat="1" applyFont="1" applyBorder="1" applyProtection="1"/>
    <xf numFmtId="38" fontId="42" fillId="0" borderId="0" xfId="12" applyNumberFormat="1" applyFont="1" applyBorder="1" applyProtection="1"/>
    <xf numFmtId="37" fontId="24" fillId="0" borderId="34" xfId="12" applyFont="1" applyBorder="1"/>
    <xf numFmtId="37" fontId="24" fillId="0" borderId="33" xfId="12" applyFont="1" applyBorder="1"/>
    <xf numFmtId="37" fontId="37" fillId="0" borderId="0" xfId="12" applyFont="1" applyAlignment="1">
      <alignment horizontal="left"/>
    </xf>
    <xf numFmtId="37" fontId="24" fillId="5" borderId="85" xfId="12" applyFont="1" applyFill="1" applyBorder="1"/>
    <xf numFmtId="37" fontId="24" fillId="0" borderId="4" xfId="12" applyFont="1" applyBorder="1" applyAlignment="1">
      <alignment horizontal="left"/>
    </xf>
    <xf numFmtId="37" fontId="24" fillId="0" borderId="5" xfId="12" applyFont="1" applyBorder="1"/>
    <xf numFmtId="37" fontId="24" fillId="0" borderId="5" xfId="12" applyFont="1" applyFill="1" applyBorder="1" applyAlignment="1">
      <alignment horizontal="center"/>
    </xf>
    <xf numFmtId="0" fontId="24" fillId="0" borderId="3" xfId="14" applyNumberFormat="1" applyBorder="1" applyAlignment="1"/>
    <xf numFmtId="37" fontId="41" fillId="0" borderId="12" xfId="12" applyFont="1" applyBorder="1" applyAlignment="1">
      <alignment horizontal="left"/>
    </xf>
    <xf numFmtId="0" fontId="24" fillId="0" borderId="9" xfId="14" applyNumberFormat="1" applyBorder="1" applyAlignment="1"/>
    <xf numFmtId="262" fontId="11" fillId="0" borderId="0" xfId="10" applyNumberFormat="1" applyFont="1" applyBorder="1" applyAlignment="1">
      <alignment horizontal="right"/>
    </xf>
    <xf numFmtId="37" fontId="24" fillId="0" borderId="12" xfId="12" applyFont="1" applyBorder="1" applyAlignment="1">
      <alignment horizontal="left"/>
    </xf>
    <xf numFmtId="0" fontId="24" fillId="0" borderId="0" xfId="14" applyNumberFormat="1" applyFont="1" applyBorder="1" applyAlignment="1">
      <alignment horizontal="left" indent="2"/>
    </xf>
    <xf numFmtId="0" fontId="24" fillId="0" borderId="12" xfId="14" applyNumberFormat="1" applyBorder="1" applyAlignment="1"/>
    <xf numFmtId="10" fontId="42" fillId="0" borderId="0" xfId="12" applyNumberFormat="1" applyFont="1" applyBorder="1" applyProtection="1"/>
    <xf numFmtId="3" fontId="24" fillId="0" borderId="0" xfId="10" applyBorder="1" applyAlignment="1">
      <alignment horizontal="left" indent="2"/>
    </xf>
    <xf numFmtId="246" fontId="24" fillId="0" borderId="0" xfId="10" applyNumberFormat="1" applyBorder="1" applyAlignment="1"/>
    <xf numFmtId="37" fontId="37" fillId="0" borderId="12" xfId="12" applyFont="1" applyBorder="1" applyAlignment="1">
      <alignment horizontal="left"/>
    </xf>
    <xf numFmtId="38" fontId="28" fillId="0" borderId="0" xfId="12" applyNumberFormat="1" applyFont="1" applyBorder="1" applyProtection="1"/>
    <xf numFmtId="9" fontId="24" fillId="0" borderId="0" xfId="15" applyNumberFormat="1" applyFont="1" applyBorder="1"/>
    <xf numFmtId="0" fontId="24" fillId="0" borderId="33" xfId="14" applyNumberFormat="1" applyBorder="1" applyAlignment="1"/>
    <xf numFmtId="6" fontId="24" fillId="0" borderId="0" xfId="10" applyNumberFormat="1" applyBorder="1" applyAlignment="1"/>
    <xf numFmtId="0" fontId="24" fillId="0" borderId="13" xfId="14" applyNumberFormat="1" applyFont="1" applyBorder="1" applyAlignment="1"/>
    <xf numFmtId="37" fontId="24" fillId="0" borderId="16" xfId="14" applyNumberFormat="1" applyBorder="1" applyAlignment="1"/>
    <xf numFmtId="0" fontId="11" fillId="0" borderId="12" xfId="14" applyNumberFormat="1" applyFont="1" applyBorder="1" applyAlignment="1"/>
    <xf numFmtId="38" fontId="11" fillId="0" borderId="10" xfId="12" applyNumberFormat="1" applyFont="1" applyBorder="1" applyProtection="1"/>
    <xf numFmtId="37" fontId="11" fillId="0" borderId="12" xfId="12" applyFont="1" applyBorder="1" applyAlignment="1">
      <alignment horizontal="left"/>
    </xf>
    <xf numFmtId="37" fontId="11" fillId="0" borderId="0" xfId="12" applyFont="1" applyBorder="1"/>
    <xf numFmtId="38" fontId="24" fillId="0" borderId="10" xfId="10" applyNumberFormat="1" applyBorder="1" applyAlignment="1"/>
    <xf numFmtId="37" fontId="24" fillId="0" borderId="20" xfId="12" applyFont="1" applyBorder="1" applyAlignment="1">
      <alignment horizontal="left"/>
    </xf>
    <xf numFmtId="3" fontId="24" fillId="0" borderId="94" xfId="12" applyNumberFormat="1" applyFont="1" applyBorder="1"/>
    <xf numFmtId="37" fontId="35" fillId="0" borderId="12" xfId="12" applyFont="1" applyBorder="1" applyAlignment="1">
      <alignment horizontal="left"/>
    </xf>
    <xf numFmtId="37" fontId="11" fillId="0" borderId="64" xfId="12" applyFont="1" applyBorder="1"/>
    <xf numFmtId="0" fontId="24" fillId="0" borderId="24" xfId="14" applyNumberFormat="1" applyBorder="1" applyAlignment="1"/>
    <xf numFmtId="3" fontId="24" fillId="10" borderId="59" xfId="10" applyFill="1" applyBorder="1" applyAlignment="1"/>
    <xf numFmtId="37" fontId="24" fillId="10" borderId="59" xfId="12" applyFont="1" applyFill="1" applyBorder="1"/>
    <xf numFmtId="3" fontId="51" fillId="10" borderId="0" xfId="10" applyFont="1" applyFill="1" applyAlignment="1"/>
    <xf numFmtId="3" fontId="24" fillId="10" borderId="0" xfId="10" applyFill="1" applyAlignment="1"/>
    <xf numFmtId="37" fontId="24" fillId="10" borderId="0" xfId="12" applyFont="1" applyFill="1"/>
    <xf numFmtId="38" fontId="24" fillId="10" borderId="0" xfId="2" applyNumberFormat="1" applyFont="1" applyFill="1"/>
    <xf numFmtId="38" fontId="24" fillId="10" borderId="0" xfId="10" applyNumberFormat="1" applyFill="1" applyAlignment="1"/>
    <xf numFmtId="37" fontId="24" fillId="10" borderId="61" xfId="12" applyFont="1" applyFill="1" applyBorder="1"/>
    <xf numFmtId="3" fontId="24" fillId="10" borderId="61" xfId="10" applyFill="1" applyBorder="1" applyAlignment="1"/>
    <xf numFmtId="3" fontId="51" fillId="10" borderId="0" xfId="10" quotePrefix="1" applyFont="1" applyFill="1" applyAlignment="1">
      <alignment horizontal="left"/>
    </xf>
    <xf numFmtId="10" fontId="24" fillId="10" borderId="0" xfId="10" applyNumberFormat="1" applyFill="1" applyAlignment="1"/>
    <xf numFmtId="3" fontId="24" fillId="10" borderId="0" xfId="10" quotePrefix="1" applyFill="1" applyAlignment="1">
      <alignment horizontal="left"/>
    </xf>
    <xf numFmtId="37" fontId="24" fillId="10" borderId="0" xfId="12" quotePrefix="1" applyFont="1" applyFill="1" applyBorder="1" applyAlignment="1">
      <alignment horizontal="right"/>
    </xf>
    <xf numFmtId="37" fontId="24" fillId="10" borderId="0" xfId="10" applyNumberFormat="1" applyFill="1" applyAlignment="1"/>
    <xf numFmtId="195" fontId="24" fillId="10" borderId="0" xfId="10" applyNumberFormat="1" applyFill="1" applyAlignment="1"/>
    <xf numFmtId="3" fontId="24" fillId="10" borderId="0" xfId="10" applyFill="1" applyAlignment="1">
      <alignment horizontal="left"/>
    </xf>
    <xf numFmtId="37" fontId="24" fillId="0" borderId="0" xfId="12" applyFont="1" applyFill="1" applyBorder="1"/>
    <xf numFmtId="37" fontId="55" fillId="0" borderId="0" xfId="12" applyFont="1" applyAlignment="1">
      <alignment horizontal="left"/>
    </xf>
    <xf numFmtId="37" fontId="41" fillId="0" borderId="0" xfId="12" quotePrefix="1" applyFont="1" applyAlignment="1">
      <alignment horizontal="left"/>
    </xf>
    <xf numFmtId="37" fontId="24" fillId="0" borderId="72" xfId="12" applyFont="1" applyBorder="1"/>
    <xf numFmtId="37" fontId="55" fillId="0" borderId="0" xfId="12" applyFont="1"/>
    <xf numFmtId="37" fontId="24" fillId="0" borderId="95" xfId="12" applyFont="1" applyBorder="1"/>
    <xf numFmtId="37" fontId="24" fillId="0" borderId="96" xfId="12" applyFont="1" applyBorder="1"/>
    <xf numFmtId="0" fontId="36" fillId="0" borderId="0" xfId="14" applyNumberFormat="1" applyFont="1" applyAlignment="1">
      <alignment horizontal="left"/>
    </xf>
    <xf numFmtId="3" fontId="28" fillId="0" borderId="0" xfId="2" applyNumberFormat="1" applyFont="1" applyFill="1"/>
    <xf numFmtId="3" fontId="42" fillId="0" borderId="0" xfId="13" applyNumberFormat="1" applyFont="1" applyBorder="1"/>
    <xf numFmtId="3" fontId="0" fillId="0" borderId="33" xfId="0" applyNumberForma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5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41" fontId="0" fillId="0" borderId="33" xfId="0" applyNumberFormat="1" applyBorder="1" applyAlignment="1">
      <alignment horizontal="center"/>
    </xf>
    <xf numFmtId="41" fontId="0" fillId="0" borderId="36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41" fontId="0" fillId="0" borderId="45" xfId="0" applyNumberForma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/>
    <xf numFmtId="41" fontId="0" fillId="0" borderId="0" xfId="0" applyNumberFormat="1" applyBorder="1" applyAlignment="1"/>
    <xf numFmtId="0" fontId="2" fillId="0" borderId="12" xfId="0" applyFont="1" applyBorder="1" applyAlignment="1"/>
    <xf numFmtId="0" fontId="2" fillId="0" borderId="10" xfId="0" applyFont="1" applyBorder="1" applyAlignment="1"/>
    <xf numFmtId="0" fontId="2" fillId="0" borderId="0" xfId="0" applyFont="1" applyBorder="1" applyAlignment="1"/>
    <xf numFmtId="0" fontId="2" fillId="0" borderId="21" xfId="0" applyFont="1" applyBorder="1" applyAlignment="1"/>
    <xf numFmtId="0" fontId="2" fillId="0" borderId="31" xfId="0" applyFont="1" applyBorder="1" applyAlignment="1"/>
    <xf numFmtId="0" fontId="2" fillId="0" borderId="0" xfId="0" applyFont="1" applyAlignment="1"/>
    <xf numFmtId="41" fontId="0" fillId="0" borderId="12" xfId="0" applyNumberFormat="1" applyBorder="1" applyAlignment="1"/>
    <xf numFmtId="0" fontId="2" fillId="0" borderId="23" xfId="0" applyFont="1" applyBorder="1" applyAlignment="1"/>
    <xf numFmtId="15" fontId="2" fillId="0" borderId="30" xfId="0" applyNumberFormat="1" applyFont="1" applyBorder="1" applyAlignment="1"/>
    <xf numFmtId="0" fontId="2" fillId="0" borderId="22" xfId="0" applyFont="1" applyBorder="1" applyAlignment="1"/>
    <xf numFmtId="0" fontId="2" fillId="0" borderId="46" xfId="0" applyFont="1" applyBorder="1" applyAlignment="1"/>
    <xf numFmtId="0" fontId="2" fillId="0" borderId="6" xfId="0" applyFont="1" applyBorder="1" applyAlignment="1"/>
    <xf numFmtId="0" fontId="2" fillId="0" borderId="52" xfId="0" applyFont="1" applyBorder="1" applyAlignment="1"/>
    <xf numFmtId="3" fontId="2" fillId="0" borderId="22" xfId="0" applyNumberFormat="1" applyFont="1" applyBorder="1" applyAlignment="1"/>
    <xf numFmtId="3" fontId="2" fillId="0" borderId="6" xfId="0" applyNumberFormat="1" applyFont="1" applyBorder="1" applyAlignment="1"/>
    <xf numFmtId="3" fontId="2" fillId="0" borderId="23" xfId="0" applyNumberFormat="1" applyFont="1" applyBorder="1" applyAlignment="1"/>
    <xf numFmtId="3" fontId="2" fillId="0" borderId="97" xfId="0" applyNumberFormat="1" applyFont="1" applyBorder="1" applyAlignment="1"/>
    <xf numFmtId="3" fontId="2" fillId="0" borderId="55" xfId="0" applyNumberFormat="1" applyFont="1" applyBorder="1" applyAlignment="1"/>
    <xf numFmtId="3" fontId="2" fillId="0" borderId="38" xfId="0" applyNumberFormat="1" applyFont="1" applyBorder="1" applyAlignment="1"/>
    <xf numFmtId="0" fontId="2" fillId="0" borderId="17" xfId="0" applyFont="1" applyBorder="1" applyAlignment="1">
      <alignment horizontal="left" indent="3"/>
    </xf>
    <xf numFmtId="0" fontId="0" fillId="0" borderId="4" xfId="0" applyBorder="1" applyAlignment="1">
      <alignment horizontal="left" indent="4"/>
    </xf>
    <xf numFmtId="0" fontId="0" fillId="0" borderId="12" xfId="0" applyBorder="1" applyAlignment="1">
      <alignment horizontal="left" indent="1"/>
    </xf>
    <xf numFmtId="0" fontId="0" fillId="0" borderId="34" xfId="0" applyBorder="1" applyAlignment="1">
      <alignment horizontal="left" indent="4"/>
    </xf>
    <xf numFmtId="0" fontId="15" fillId="0" borderId="7" xfId="0" applyFont="1" applyBorder="1" applyAlignment="1">
      <alignment horizontal="left" indent="15"/>
    </xf>
    <xf numFmtId="41" fontId="0" fillId="0" borderId="0" xfId="0" applyNumberFormat="1" applyBorder="1" applyAlignment="1">
      <alignment horizontal="left" indent="8"/>
    </xf>
    <xf numFmtId="0" fontId="1" fillId="0" borderId="4" xfId="0" applyFont="1" applyBorder="1" applyAlignment="1">
      <alignment horizontal="left" indent="2"/>
    </xf>
    <xf numFmtId="0" fontId="1" fillId="0" borderId="12" xfId="0" applyFont="1" applyBorder="1" applyAlignment="1">
      <alignment horizontal="left" indent="2"/>
    </xf>
    <xf numFmtId="0" fontId="1" fillId="0" borderId="12" xfId="0" applyFont="1" applyBorder="1" applyAlignment="1">
      <alignment horizontal="left" indent="3"/>
    </xf>
    <xf numFmtId="0" fontId="1" fillId="0" borderId="12" xfId="0" applyFont="1" applyBorder="1" applyAlignment="1">
      <alignment horizontal="left" indent="4"/>
    </xf>
    <xf numFmtId="0" fontId="1" fillId="0" borderId="20" xfId="0" applyFont="1" applyBorder="1" applyAlignment="1">
      <alignment horizontal="left" indent="3"/>
    </xf>
    <xf numFmtId="0" fontId="1" fillId="0" borderId="20" xfId="0" applyFont="1" applyBorder="1" applyAlignment="1">
      <alignment horizontal="left" indent="4"/>
    </xf>
    <xf numFmtId="0" fontId="57" fillId="0" borderId="23" xfId="0" applyFont="1" applyBorder="1" applyAlignment="1"/>
    <xf numFmtId="0" fontId="0" fillId="0" borderId="18" xfId="0" applyBorder="1" applyAlignment="1">
      <alignment horizontal="left" indent="5"/>
    </xf>
    <xf numFmtId="0" fontId="0" fillId="0" borderId="54" xfId="0" applyBorder="1" applyAlignment="1">
      <alignment horizontal="left" indent="5"/>
    </xf>
    <xf numFmtId="41" fontId="0" fillId="0" borderId="34" xfId="0" applyNumberFormat="1" applyBorder="1" applyAlignment="1">
      <alignment horizontal="left" indent="5"/>
    </xf>
    <xf numFmtId="0" fontId="2" fillId="0" borderId="98" xfId="0" applyFont="1" applyBorder="1" applyAlignment="1">
      <alignment horizontal="center"/>
    </xf>
    <xf numFmtId="0" fontId="2" fillId="0" borderId="99" xfId="0" applyFont="1" applyBorder="1" applyAlignment="1">
      <alignment horizontal="center"/>
    </xf>
    <xf numFmtId="0" fontId="2" fillId="0" borderId="100" xfId="0" applyFont="1" applyBorder="1" applyAlignment="1"/>
    <xf numFmtId="3" fontId="2" fillId="0" borderId="40" xfId="0" applyNumberFormat="1" applyFont="1" applyBorder="1" applyAlignment="1">
      <alignment horizontal="center"/>
    </xf>
    <xf numFmtId="1" fontId="0" fillId="0" borderId="40" xfId="0" applyNumberFormat="1" applyBorder="1"/>
    <xf numFmtId="38" fontId="36" fillId="0" borderId="45" xfId="14" applyNumberFormat="1" applyFont="1" applyBorder="1" applyAlignment="1"/>
    <xf numFmtId="4" fontId="56" fillId="0" borderId="0" xfId="0" applyNumberFormat="1" applyFont="1"/>
    <xf numFmtId="10" fontId="56" fillId="0" borderId="0" xfId="0" applyNumberFormat="1" applyFont="1"/>
    <xf numFmtId="37" fontId="35" fillId="0" borderId="0" xfId="12" applyFont="1" applyAlignment="1">
      <alignment horizontal="left"/>
    </xf>
    <xf numFmtId="37" fontId="35" fillId="0" borderId="0" xfId="12" applyFont="1"/>
    <xf numFmtId="37" fontId="59" fillId="0" borderId="0" xfId="12" applyFont="1" applyBorder="1"/>
    <xf numFmtId="37" fontId="35" fillId="0" borderId="0" xfId="12" applyFont="1" applyBorder="1"/>
    <xf numFmtId="0" fontId="35" fillId="0" borderId="0" xfId="14" applyNumberFormat="1" applyFont="1" applyAlignment="1"/>
    <xf numFmtId="37" fontId="35" fillId="0" borderId="0" xfId="14" applyNumberFormat="1" applyFont="1" applyAlignment="1"/>
    <xf numFmtId="3" fontId="24" fillId="0" borderId="0" xfId="14" applyNumberFormat="1" applyAlignment="1">
      <alignment horizontal="right"/>
    </xf>
    <xf numFmtId="37" fontId="24" fillId="0" borderId="0" xfId="14" applyNumberFormat="1" applyAlignment="1">
      <alignment horizontal="right"/>
    </xf>
    <xf numFmtId="37" fontId="24" fillId="0" borderId="0" xfId="14" applyNumberFormat="1" applyBorder="1" applyAlignment="1">
      <alignment horizontal="right"/>
    </xf>
    <xf numFmtId="37" fontId="24" fillId="0" borderId="15" xfId="14" applyNumberFormat="1" applyBorder="1" applyAlignment="1">
      <alignment horizontal="right"/>
    </xf>
    <xf numFmtId="38" fontId="24" fillId="0" borderId="0" xfId="14" applyNumberFormat="1" applyAlignment="1">
      <alignment horizontal="right"/>
    </xf>
    <xf numFmtId="3" fontId="24" fillId="0" borderId="18" xfId="14" applyNumberFormat="1" applyBorder="1" applyAlignment="1">
      <alignment horizontal="right"/>
    </xf>
    <xf numFmtId="41" fontId="0" fillId="0" borderId="0" xfId="0" applyNumberFormat="1"/>
    <xf numFmtId="4" fontId="0" fillId="0" borderId="0" xfId="0" applyNumberFormat="1" applyBorder="1" applyAlignment="1"/>
    <xf numFmtId="3" fontId="2" fillId="0" borderId="23" xfId="0" applyNumberFormat="1" applyFont="1" applyBorder="1" applyAlignment="1">
      <alignment horizontal="center"/>
    </xf>
    <xf numFmtId="3" fontId="0" fillId="0" borderId="33" xfId="0" applyNumberFormat="1" applyFill="1" applyBorder="1" applyAlignment="1">
      <alignment horizontal="left" indent="6"/>
    </xf>
    <xf numFmtId="41" fontId="0" fillId="0" borderId="16" xfId="0" applyNumberFormat="1" applyBorder="1" applyAlignment="1"/>
    <xf numFmtId="3" fontId="2" fillId="0" borderId="49" xfId="0" applyNumberFormat="1" applyFont="1" applyBorder="1" applyAlignment="1">
      <alignment horizontal="center"/>
    </xf>
    <xf numFmtId="41" fontId="0" fillId="0" borderId="4" xfId="0" quotePrefix="1" applyNumberFormat="1" applyBorder="1"/>
    <xf numFmtId="0" fontId="2" fillId="0" borderId="34" xfId="0" applyFont="1" applyBorder="1" applyAlignment="1">
      <alignment horizontal="left" indent="3"/>
    </xf>
    <xf numFmtId="0" fontId="0" fillId="0" borderId="34" xfId="0" applyBorder="1" applyAlignment="1"/>
    <xf numFmtId="0" fontId="2" fillId="0" borderId="13" xfId="0" applyFont="1" applyBorder="1" applyAlignment="1">
      <alignment horizontal="center"/>
    </xf>
    <xf numFmtId="4" fontId="56" fillId="0" borderId="0" xfId="0" applyNumberFormat="1" applyFont="1" applyAlignment="1">
      <alignment horizontal="right"/>
    </xf>
    <xf numFmtId="10" fontId="56" fillId="0" borderId="0" xfId="0" applyNumberFormat="1" applyFont="1" applyAlignment="1">
      <alignment horizontal="right"/>
    </xf>
    <xf numFmtId="37" fontId="0" fillId="0" borderId="0" xfId="0" applyNumberFormat="1" applyFill="1" applyBorder="1"/>
    <xf numFmtId="3" fontId="2" fillId="0" borderId="21" xfId="0" applyNumberFormat="1" applyFont="1" applyBorder="1" applyAlignment="1">
      <alignment horizontal="center"/>
    </xf>
    <xf numFmtId="41" fontId="0" fillId="0" borderId="51" xfId="0" applyNumberFormat="1" applyBorder="1"/>
    <xf numFmtId="37" fontId="42" fillId="0" borderId="0" xfId="12" applyNumberFormat="1" applyFont="1" applyProtection="1">
      <protection locked="0"/>
    </xf>
    <xf numFmtId="37" fontId="42" fillId="0" borderId="0" xfId="12" applyNumberFormat="1" applyFont="1" applyProtection="1"/>
    <xf numFmtId="37" fontId="12" fillId="0" borderId="0" xfId="12" applyNumberFormat="1" applyFont="1" applyFill="1" applyBorder="1" applyProtection="1"/>
    <xf numFmtId="37" fontId="12" fillId="0" borderId="10" xfId="12" applyNumberFormat="1" applyFont="1" applyFill="1" applyBorder="1" applyProtection="1"/>
    <xf numFmtId="262" fontId="24" fillId="9" borderId="101" xfId="12" applyNumberFormat="1" applyFont="1" applyFill="1" applyBorder="1" applyAlignment="1" applyProtection="1">
      <alignment horizontal="center"/>
    </xf>
    <xf numFmtId="262" fontId="24" fillId="9" borderId="16" xfId="12" applyNumberFormat="1" applyFont="1" applyFill="1" applyBorder="1" applyAlignment="1" applyProtection="1">
      <alignment horizontal="center"/>
    </xf>
    <xf numFmtId="37" fontId="12" fillId="0" borderId="17" xfId="12" applyNumberFormat="1" applyFont="1" applyBorder="1" applyProtection="1"/>
    <xf numFmtId="37" fontId="12" fillId="0" borderId="15" xfId="12" applyNumberFormat="1" applyFont="1" applyBorder="1" applyProtection="1"/>
    <xf numFmtId="37" fontId="12" fillId="0" borderId="16" xfId="12" applyNumberFormat="1" applyFont="1" applyBorder="1" applyProtection="1"/>
    <xf numFmtId="37" fontId="12" fillId="0" borderId="21" xfId="12" applyNumberFormat="1" applyFont="1" applyFill="1" applyBorder="1" applyProtection="1"/>
    <xf numFmtId="37" fontId="12" fillId="0" borderId="54" xfId="12" applyNumberFormat="1" applyFont="1" applyBorder="1" applyProtection="1"/>
    <xf numFmtId="37" fontId="12" fillId="0" borderId="18" xfId="12" applyNumberFormat="1" applyFont="1" applyBorder="1" applyProtection="1"/>
    <xf numFmtId="37" fontId="12" fillId="0" borderId="62" xfId="12" applyNumberFormat="1" applyFont="1" applyBorder="1" applyProtection="1"/>
    <xf numFmtId="254" fontId="0" fillId="0" borderId="0" xfId="0" applyNumberFormat="1"/>
    <xf numFmtId="1" fontId="24" fillId="0" borderId="15" xfId="14" applyNumberFormat="1" applyFill="1" applyBorder="1" applyAlignment="1"/>
    <xf numFmtId="37" fontId="50" fillId="0" borderId="0" xfId="12" applyFont="1" applyFill="1" applyBorder="1" applyProtection="1">
      <protection locked="0"/>
    </xf>
    <xf numFmtId="37" fontId="12" fillId="0" borderId="10" xfId="12" applyFont="1" applyBorder="1" applyProtection="1">
      <protection locked="0"/>
    </xf>
    <xf numFmtId="37" fontId="24" fillId="0" borderId="62" xfId="12" applyFont="1" applyFill="1" applyBorder="1"/>
    <xf numFmtId="0" fontId="15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left" indent="13"/>
    </xf>
    <xf numFmtId="41" fontId="15" fillId="0" borderId="20" xfId="0" applyNumberFormat="1" applyFont="1" applyBorder="1" applyAlignment="1">
      <alignment horizontal="left" indent="9"/>
    </xf>
    <xf numFmtId="41" fontId="15" fillId="0" borderId="18" xfId="0" applyNumberFormat="1" applyFont="1" applyBorder="1" applyAlignment="1">
      <alignment horizontal="center"/>
    </xf>
    <xf numFmtId="41" fontId="15" fillId="0" borderId="6" xfId="0" applyNumberFormat="1" applyFont="1" applyBorder="1" applyAlignment="1">
      <alignment horizontal="center"/>
    </xf>
    <xf numFmtId="0" fontId="0" fillId="0" borderId="26" xfId="0" applyBorder="1" applyAlignment="1"/>
    <xf numFmtId="41" fontId="0" fillId="0" borderId="26" xfId="0" applyNumberFormat="1" applyBorder="1" applyAlignment="1"/>
    <xf numFmtId="41" fontId="0" fillId="0" borderId="27" xfId="0" applyNumberFormat="1" applyBorder="1" applyAlignment="1"/>
    <xf numFmtId="37" fontId="12" fillId="4" borderId="0" xfId="12" applyFont="1" applyFill="1" applyBorder="1" applyProtection="1">
      <protection locked="0"/>
    </xf>
    <xf numFmtId="37" fontId="12" fillId="4" borderId="15" xfId="12" applyNumberFormat="1" applyFont="1" applyFill="1" applyBorder="1" applyProtection="1"/>
    <xf numFmtId="37" fontId="12" fillId="4" borderId="0" xfId="12" applyNumberFormat="1" applyFont="1" applyFill="1" applyBorder="1" applyProtection="1"/>
    <xf numFmtId="37" fontId="24" fillId="4" borderId="0" xfId="12" applyFont="1" applyFill="1"/>
    <xf numFmtId="37" fontId="24" fillId="4" borderId="0" xfId="12" applyNumberFormat="1" applyFont="1" applyFill="1" applyProtection="1"/>
    <xf numFmtId="37" fontId="24" fillId="4" borderId="64" xfId="12" applyNumberFormat="1" applyFont="1" applyFill="1" applyBorder="1" applyProtection="1"/>
    <xf numFmtId="0" fontId="36" fillId="0" borderId="0" xfId="14" applyNumberFormat="1" applyFont="1" applyBorder="1" applyAlignme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12" fillId="5" borderId="5" xfId="0" applyFont="1" applyFill="1" applyBorder="1"/>
    <xf numFmtId="0" fontId="12" fillId="5" borderId="0" xfId="0" applyFont="1" applyFill="1" applyBorder="1"/>
    <xf numFmtId="0" fontId="12" fillId="5" borderId="6" xfId="0" applyFont="1" applyFill="1" applyBorder="1"/>
    <xf numFmtId="0" fontId="12" fillId="5" borderId="12" xfId="0" applyFont="1" applyFill="1" applyBorder="1" applyAlignment="1">
      <alignment horizontal="left"/>
    </xf>
    <xf numFmtId="0" fontId="11" fillId="5" borderId="2" xfId="0" applyFont="1" applyFill="1" applyBorder="1"/>
    <xf numFmtId="37" fontId="42" fillId="0" borderId="0" xfId="12" applyFont="1"/>
    <xf numFmtId="41" fontId="28" fillId="0" borderId="42" xfId="4" applyNumberFormat="1" applyFont="1" applyBorder="1"/>
    <xf numFmtId="0" fontId="24" fillId="0" borderId="0" xfId="14" applyNumberFormat="1" applyBorder="1" applyAlignment="1">
      <alignment horizontal="left" indent="2"/>
    </xf>
    <xf numFmtId="0" fontId="24" fillId="0" borderId="0" xfId="14" applyNumberFormat="1" applyAlignment="1">
      <alignment horizontal="left" indent="2"/>
    </xf>
    <xf numFmtId="0" fontId="47" fillId="0" borderId="0" xfId="14" applyNumberFormat="1" applyFont="1" applyBorder="1" applyAlignment="1">
      <alignment horizontal="left" indent="1"/>
    </xf>
    <xf numFmtId="37" fontId="47" fillId="0" borderId="0" xfId="12" applyFont="1" applyBorder="1" applyAlignment="1">
      <alignment horizontal="left" indent="1"/>
    </xf>
    <xf numFmtId="2" fontId="24" fillId="0" borderId="0" xfId="14" applyNumberFormat="1" applyAlignment="1"/>
    <xf numFmtId="41" fontId="24" fillId="0" borderId="0" xfId="12" applyNumberFormat="1" applyFont="1" applyFill="1" applyBorder="1" applyAlignment="1" applyProtection="1">
      <alignment horizontal="right"/>
    </xf>
    <xf numFmtId="41" fontId="47" fillId="0" borderId="0" xfId="12" applyNumberFormat="1" applyFont="1" applyFill="1" applyBorder="1" applyAlignment="1" applyProtection="1">
      <alignment horizontal="right"/>
    </xf>
    <xf numFmtId="41" fontId="24" fillId="0" borderId="0" xfId="14" applyNumberFormat="1" applyBorder="1" applyAlignment="1"/>
    <xf numFmtId="193" fontId="0" fillId="4" borderId="0" xfId="0" applyNumberFormat="1" applyFill="1" applyBorder="1" applyProtection="1"/>
    <xf numFmtId="0" fontId="12" fillId="0" borderId="0" xfId="0" applyFont="1" applyFill="1" applyBorder="1"/>
    <xf numFmtId="182" fontId="11" fillId="0" borderId="0" xfId="0" applyNumberFormat="1" applyFont="1" applyFill="1" applyBorder="1"/>
    <xf numFmtId="0" fontId="12" fillId="0" borderId="0" xfId="0" applyFont="1" applyFill="1" applyBorder="1" applyAlignment="1">
      <alignment horizontal="left" indent="1"/>
    </xf>
    <xf numFmtId="0" fontId="65" fillId="0" borderId="0" xfId="0" applyFont="1" applyFill="1" applyBorder="1" applyAlignment="1">
      <alignment horizontal="right"/>
    </xf>
    <xf numFmtId="37" fontId="24" fillId="0" borderId="18" xfId="12" applyNumberFormat="1" applyFont="1" applyFill="1" applyBorder="1"/>
    <xf numFmtId="0" fontId="61" fillId="0" borderId="0" xfId="0" applyFont="1" applyBorder="1"/>
    <xf numFmtId="0" fontId="36" fillId="0" borderId="15" xfId="14" applyNumberFormat="1" applyFont="1" applyBorder="1" applyAlignment="1"/>
    <xf numFmtId="183" fontId="24" fillId="0" borderId="42" xfId="15" applyNumberFormat="1" applyFont="1" applyBorder="1"/>
    <xf numFmtId="193" fontId="12" fillId="0" borderId="0" xfId="14" applyNumberFormat="1" applyFont="1" applyAlignment="1"/>
    <xf numFmtId="1" fontId="12" fillId="0" borderId="42" xfId="22" applyNumberFormat="1" applyFont="1" applyBorder="1"/>
    <xf numFmtId="38" fontId="28" fillId="0" borderId="0" xfId="2" applyNumberFormat="1" applyFont="1" applyBorder="1" applyAlignment="1"/>
    <xf numFmtId="38" fontId="28" fillId="0" borderId="0" xfId="2" quotePrefix="1" applyNumberFormat="1" applyFont="1" applyBorder="1" applyAlignment="1"/>
    <xf numFmtId="3" fontId="11" fillId="0" borderId="0" xfId="14" applyNumberFormat="1" applyFont="1" applyBorder="1" applyAlignment="1"/>
    <xf numFmtId="0" fontId="0" fillId="0" borderId="18" xfId="0" applyBorder="1"/>
    <xf numFmtId="182" fontId="42" fillId="0" borderId="0" xfId="1" applyNumberFormat="1" applyFont="1" applyBorder="1"/>
    <xf numFmtId="182" fontId="24" fillId="0" borderId="0" xfId="1" applyNumberFormat="1" applyFont="1" applyBorder="1"/>
    <xf numFmtId="182" fontId="42" fillId="0" borderId="18" xfId="1" applyNumberFormat="1" applyFont="1" applyBorder="1"/>
    <xf numFmtId="182" fontId="12" fillId="0" borderId="0" xfId="1" applyNumberFormat="1" applyFont="1" applyFill="1"/>
    <xf numFmtId="193" fontId="5" fillId="0" borderId="0" xfId="0" applyNumberFormat="1" applyFont="1"/>
    <xf numFmtId="0" fontId="11" fillId="0" borderId="0" xfId="0" applyFont="1" applyFill="1" applyBorder="1"/>
    <xf numFmtId="182" fontId="12" fillId="0" borderId="0" xfId="1" applyNumberFormat="1" applyFont="1" applyFill="1" applyBorder="1"/>
    <xf numFmtId="182" fontId="66" fillId="0" borderId="0" xfId="1" applyNumberFormat="1" applyFont="1" applyFill="1" applyBorder="1"/>
    <xf numFmtId="182" fontId="11" fillId="0" borderId="0" xfId="1" applyNumberFormat="1" applyFont="1" applyFill="1" applyBorder="1"/>
    <xf numFmtId="182" fontId="42" fillId="0" borderId="0" xfId="1" applyNumberFormat="1" applyFont="1" applyFill="1" applyBorder="1"/>
    <xf numFmtId="182" fontId="67" fillId="0" borderId="0" xfId="1" applyNumberFormat="1" applyFont="1" applyFill="1" applyBorder="1"/>
    <xf numFmtId="3" fontId="42" fillId="0" borderId="0" xfId="13" applyNumberFormat="1" applyFont="1" applyBorder="1" applyAlignment="1">
      <alignment horizontal="right"/>
    </xf>
    <xf numFmtId="0" fontId="12" fillId="0" borderId="0" xfId="0" applyFont="1"/>
    <xf numFmtId="183" fontId="0" fillId="0" borderId="32" xfId="15" quotePrefix="1" applyNumberFormat="1" applyFont="1" applyBorder="1"/>
    <xf numFmtId="37" fontId="42" fillId="0" borderId="0" xfId="12" applyFont="1" applyAlignment="1">
      <alignment horizontal="right"/>
    </xf>
    <xf numFmtId="10" fontId="42" fillId="0" borderId="0" xfId="12" applyNumberFormat="1" applyFont="1" applyProtection="1"/>
    <xf numFmtId="183" fontId="42" fillId="0" borderId="0" xfId="15" applyNumberFormat="1" applyFont="1" applyProtection="1"/>
    <xf numFmtId="37" fontId="42" fillId="0" borderId="0" xfId="12" applyFont="1" applyAlignment="1">
      <alignment horizontal="left"/>
    </xf>
    <xf numFmtId="0" fontId="70" fillId="0" borderId="0" xfId="0" applyFont="1" applyFill="1" applyBorder="1"/>
    <xf numFmtId="41" fontId="0" fillId="0" borderId="26" xfId="0" applyNumberFormat="1" applyBorder="1"/>
    <xf numFmtId="0" fontId="0" fillId="0" borderId="0" xfId="0" applyAlignment="1">
      <alignment horizontal="left"/>
    </xf>
    <xf numFmtId="37" fontId="0" fillId="0" borderId="26" xfId="0" applyNumberFormat="1" applyBorder="1"/>
    <xf numFmtId="37" fontId="0" fillId="0" borderId="102" xfId="0" applyNumberFormat="1" applyBorder="1"/>
    <xf numFmtId="193" fontId="0" fillId="4" borderId="0" xfId="0" quotePrefix="1" applyNumberFormat="1" applyFill="1" applyBorder="1" applyProtection="1"/>
    <xf numFmtId="0" fontId="0" fillId="0" borderId="5" xfId="0" applyBorder="1" applyAlignment="1"/>
    <xf numFmtId="0" fontId="0" fillId="0" borderId="19" xfId="0" applyBorder="1" applyAlignment="1">
      <alignment horizontal="center"/>
    </xf>
    <xf numFmtId="10" fontId="11" fillId="0" borderId="0" xfId="12" applyNumberFormat="1" applyFont="1" applyBorder="1"/>
    <xf numFmtId="0" fontId="24" fillId="0" borderId="35" xfId="14" applyNumberFormat="1" applyFont="1" applyBorder="1" applyAlignment="1"/>
    <xf numFmtId="0" fontId="24" fillId="0" borderId="6" xfId="14" applyNumberFormat="1" applyBorder="1" applyAlignment="1"/>
    <xf numFmtId="0" fontId="11" fillId="0" borderId="2" xfId="14" applyNumberFormat="1" applyFont="1" applyBorder="1" applyAlignment="1"/>
    <xf numFmtId="0" fontId="0" fillId="0" borderId="36" xfId="0" applyBorder="1" applyAlignment="1">
      <alignment horizontal="center"/>
    </xf>
    <xf numFmtId="37" fontId="0" fillId="0" borderId="53" xfId="0" applyNumberFormat="1" applyBorder="1"/>
    <xf numFmtId="37" fontId="0" fillId="0" borderId="4" xfId="0" applyNumberFormat="1" applyBorder="1"/>
    <xf numFmtId="37" fontId="0" fillId="0" borderId="5" xfId="0" applyNumberFormat="1" applyBorder="1"/>
    <xf numFmtId="37" fontId="0" fillId="0" borderId="2" xfId="0" applyNumberFormat="1" applyBorder="1"/>
    <xf numFmtId="37" fontId="0" fillId="0" borderId="6" xfId="0" applyNumberFormat="1" applyBorder="1"/>
    <xf numFmtId="37" fontId="0" fillId="0" borderId="23" xfId="0" applyNumberFormat="1" applyBorder="1"/>
    <xf numFmtId="193" fontId="0" fillId="0" borderId="0" xfId="0" applyNumberFormat="1" applyFill="1" applyBorder="1" applyProtection="1"/>
    <xf numFmtId="193" fontId="0" fillId="0" borderId="0" xfId="0" applyNumberFormat="1" applyFill="1"/>
    <xf numFmtId="193" fontId="5" fillId="4" borderId="0" xfId="0" applyNumberFormat="1" applyFont="1" applyFill="1" applyBorder="1" applyProtection="1"/>
    <xf numFmtId="0" fontId="2" fillId="0" borderId="0" xfId="0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17" fontId="9" fillId="0" borderId="0" xfId="0" applyNumberFormat="1" applyFont="1" applyFill="1" applyBorder="1"/>
    <xf numFmtId="43" fontId="9" fillId="0" borderId="0" xfId="1" applyFont="1" applyFill="1" applyBorder="1" applyAlignment="1" applyProtection="1">
      <alignment horizontal="centerContinuous"/>
      <protection locked="0"/>
    </xf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Protection="1"/>
    <xf numFmtId="43" fontId="9" fillId="0" borderId="0" xfId="0" applyNumberFormat="1" applyFont="1" applyFill="1" applyBorder="1"/>
    <xf numFmtId="2" fontId="0" fillId="0" borderId="0" xfId="0" applyNumberFormat="1" applyFill="1" applyBorder="1"/>
    <xf numFmtId="2" fontId="7" fillId="0" borderId="0" xfId="0" applyNumberFormat="1" applyFont="1" applyFill="1" applyBorder="1"/>
    <xf numFmtId="43" fontId="7" fillId="0" borderId="0" xfId="0" applyNumberFormat="1" applyFont="1" applyFill="1" applyBorder="1"/>
    <xf numFmtId="43" fontId="0" fillId="0" borderId="0" xfId="0" applyNumberFormat="1" applyFill="1" applyBorder="1"/>
    <xf numFmtId="192" fontId="0" fillId="0" borderId="0" xfId="0" applyNumberFormat="1" applyBorder="1"/>
    <xf numFmtId="10" fontId="0" fillId="0" borderId="4" xfId="0" applyNumberFormat="1" applyBorder="1"/>
    <xf numFmtId="10" fontId="0" fillId="0" borderId="12" xfId="0" applyNumberFormat="1" applyBorder="1"/>
    <xf numFmtId="10" fontId="0" fillId="0" borderId="2" xfId="0" applyNumberFormat="1" applyBorder="1"/>
    <xf numFmtId="192" fontId="0" fillId="0" borderId="24" xfId="0" applyNumberFormat="1" applyBorder="1"/>
    <xf numFmtId="1" fontId="24" fillId="0" borderId="103" xfId="12" applyNumberFormat="1" applyFont="1" applyFill="1" applyBorder="1" applyAlignment="1" applyProtection="1">
      <alignment horizontal="center"/>
    </xf>
    <xf numFmtId="0" fontId="68" fillId="0" borderId="0" xfId="0" applyFont="1" applyFill="1" applyBorder="1"/>
    <xf numFmtId="0" fontId="42" fillId="0" borderId="0" xfId="0" applyFont="1" applyFill="1" applyBorder="1"/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" fontId="24" fillId="0" borderId="0" xfId="12" applyNumberFormat="1" applyFont="1" applyProtection="1"/>
    <xf numFmtId="0" fontId="12" fillId="0" borderId="0" xfId="0" applyFont="1" applyFill="1" applyBorder="1" applyAlignment="1">
      <alignment horizontal="right"/>
    </xf>
    <xf numFmtId="10" fontId="11" fillId="0" borderId="6" xfId="14" applyNumberFormat="1" applyFont="1" applyBorder="1" applyAlignment="1"/>
    <xf numFmtId="37" fontId="11" fillId="0" borderId="6" xfId="12" applyFont="1" applyBorder="1"/>
    <xf numFmtId="229" fontId="24" fillId="0" borderId="18" xfId="3" applyNumberFormat="1" applyFont="1" applyBorder="1" applyAlignment="1">
      <alignment horizontal="left"/>
    </xf>
    <xf numFmtId="0" fontId="15" fillId="0" borderId="8" xfId="0" applyFont="1" applyBorder="1" applyAlignment="1">
      <alignment horizontal="left" indent="13"/>
    </xf>
    <xf numFmtId="0" fontId="0" fillId="0" borderId="33" xfId="0" applyBorder="1" applyAlignment="1">
      <alignment horizontal="left" indent="5"/>
    </xf>
    <xf numFmtId="3" fontId="2" fillId="0" borderId="38" xfId="0" applyNumberFormat="1" applyFont="1" applyBorder="1" applyAlignment="1">
      <alignment horizontal="center"/>
    </xf>
    <xf numFmtId="3" fontId="2" fillId="0" borderId="55" xfId="0" applyNumberFormat="1" applyFont="1" applyBorder="1" applyAlignment="1">
      <alignment horizontal="center"/>
    </xf>
    <xf numFmtId="3" fontId="0" fillId="0" borderId="33" xfId="0" applyNumberFormat="1" applyFill="1" applyBorder="1" applyAlignment="1">
      <alignment horizontal="left" indent="15"/>
    </xf>
    <xf numFmtId="3" fontId="2" fillId="0" borderId="16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right"/>
    </xf>
    <xf numFmtId="3" fontId="2" fillId="0" borderId="16" xfId="0" applyNumberFormat="1" applyFont="1" applyBorder="1" applyAlignment="1">
      <alignment horizontal="right"/>
    </xf>
    <xf numFmtId="3" fontId="2" fillId="0" borderId="104" xfId="0" applyNumberFormat="1" applyFont="1" applyBorder="1" applyAlignment="1">
      <alignment horizontal="right"/>
    </xf>
    <xf numFmtId="0" fontId="71" fillId="0" borderId="0" xfId="0" applyFont="1"/>
    <xf numFmtId="0" fontId="71" fillId="0" borderId="0" xfId="0" applyFont="1" applyBorder="1"/>
    <xf numFmtId="0" fontId="71" fillId="0" borderId="10" xfId="0" applyFont="1" applyBorder="1"/>
    <xf numFmtId="0" fontId="74" fillId="0" borderId="0" xfId="0" applyFont="1"/>
    <xf numFmtId="0" fontId="74" fillId="0" borderId="10" xfId="0" applyFont="1" applyBorder="1"/>
    <xf numFmtId="0" fontId="71" fillId="0" borderId="12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0" xfId="0" applyFont="1" applyAlignment="1">
      <alignment horizontal="left"/>
    </xf>
    <xf numFmtId="0" fontId="71" fillId="0" borderId="10" xfId="0" applyFont="1" applyBorder="1" applyAlignment="1">
      <alignment horizontal="center"/>
    </xf>
    <xf numFmtId="261" fontId="71" fillId="0" borderId="0" xfId="0" applyNumberFormat="1" applyFont="1" applyBorder="1" applyAlignment="1">
      <alignment horizontal="center"/>
    </xf>
    <xf numFmtId="7" fontId="71" fillId="0" borderId="0" xfId="0" applyNumberFormat="1" applyFont="1" applyBorder="1" applyAlignment="1">
      <alignment horizontal="center"/>
    </xf>
    <xf numFmtId="14" fontId="71" fillId="0" borderId="0" xfId="0" applyNumberFormat="1" applyFont="1" applyBorder="1" applyAlignment="1">
      <alignment horizontal="center"/>
    </xf>
    <xf numFmtId="0" fontId="71" fillId="0" borderId="0" xfId="0" applyFont="1" applyBorder="1" applyAlignment="1">
      <alignment horizontal="left"/>
    </xf>
    <xf numFmtId="9" fontId="71" fillId="0" borderId="0" xfId="0" applyNumberFormat="1" applyFont="1" applyBorder="1" applyAlignment="1">
      <alignment horizontal="center"/>
    </xf>
    <xf numFmtId="183" fontId="71" fillId="0" borderId="0" xfId="0" applyNumberFormat="1" applyFont="1" applyBorder="1" applyAlignment="1">
      <alignment horizontal="center"/>
    </xf>
    <xf numFmtId="0" fontId="71" fillId="0" borderId="0" xfId="0" applyFont="1" applyFill="1" applyBorder="1"/>
    <xf numFmtId="0" fontId="63" fillId="0" borderId="0" xfId="0" applyFont="1" applyBorder="1" applyAlignment="1">
      <alignment horizontal="left" indent="2"/>
    </xf>
    <xf numFmtId="0" fontId="63" fillId="0" borderId="0" xfId="0" applyFont="1" applyBorder="1" applyAlignment="1">
      <alignment horizontal="left" indent="3"/>
    </xf>
    <xf numFmtId="0" fontId="63" fillId="0" borderId="0" xfId="0" applyFont="1" applyBorder="1" applyAlignment="1">
      <alignment horizontal="left" indent="1"/>
    </xf>
    <xf numFmtId="0" fontId="73" fillId="0" borderId="0" xfId="0" applyFont="1" applyBorder="1"/>
    <xf numFmtId="183" fontId="71" fillId="0" borderId="0" xfId="15" applyNumberFormat="1" applyFont="1" applyBorder="1" applyAlignment="1">
      <alignment horizontal="center"/>
    </xf>
    <xf numFmtId="2" fontId="0" fillId="5" borderId="5" xfId="0" applyNumberFormat="1" applyFill="1" applyBorder="1"/>
    <xf numFmtId="2" fontId="0" fillId="5" borderId="53" xfId="0" applyNumberFormat="1" applyFill="1" applyBorder="1"/>
    <xf numFmtId="2" fontId="0" fillId="5" borderId="51" xfId="0" applyNumberFormat="1" applyFill="1" applyBorder="1"/>
    <xf numFmtId="2" fontId="0" fillId="5" borderId="3" xfId="0" applyNumberFormat="1" applyFill="1" applyBorder="1"/>
    <xf numFmtId="2" fontId="0" fillId="5" borderId="9" xfId="0" applyNumberFormat="1" applyFill="1" applyBorder="1"/>
    <xf numFmtId="0" fontId="0" fillId="0" borderId="33" xfId="0" applyBorder="1" applyAlignment="1">
      <alignment horizontal="left" indent="15"/>
    </xf>
    <xf numFmtId="0" fontId="2" fillId="0" borderId="5" xfId="0" applyFont="1" applyBorder="1" applyAlignment="1"/>
    <xf numFmtId="17" fontId="2" fillId="0" borderId="0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Continuous"/>
    </xf>
    <xf numFmtId="1" fontId="2" fillId="0" borderId="15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2" xfId="0" applyNumberFormat="1" applyFont="1" applyFill="1" applyBorder="1" applyAlignment="1">
      <alignment horizontal="left"/>
    </xf>
    <xf numFmtId="1" fontId="2" fillId="0" borderId="9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1" fontId="0" fillId="0" borderId="15" xfId="0" applyNumberFormat="1" applyBorder="1" applyAlignment="1"/>
    <xf numFmtId="41" fontId="0" fillId="0" borderId="30" xfId="0" applyNumberFormat="1" applyBorder="1" applyAlignment="1"/>
    <xf numFmtId="41" fontId="0" fillId="0" borderId="105" xfId="0" applyNumberFormat="1" applyBorder="1"/>
    <xf numFmtId="41" fontId="0" fillId="0" borderId="29" xfId="0" applyNumberFormat="1" applyBorder="1"/>
    <xf numFmtId="41" fontId="0" fillId="0" borderId="33" xfId="0" applyNumberFormat="1" applyBorder="1" applyAlignment="1">
      <alignment horizontal="left" indent="15"/>
    </xf>
    <xf numFmtId="41" fontId="0" fillId="0" borderId="9" xfId="0" applyNumberFormat="1" applyBorder="1" applyAlignment="1"/>
    <xf numFmtId="14" fontId="71" fillId="0" borderId="0" xfId="0" applyNumberFormat="1" applyFont="1"/>
    <xf numFmtId="0" fontId="12" fillId="5" borderId="4" xfId="0" applyFont="1" applyFill="1" applyBorder="1" applyAlignment="1">
      <alignment horizontal="left"/>
    </xf>
    <xf numFmtId="37" fontId="11" fillId="5" borderId="3" xfId="0" applyNumberFormat="1" applyFont="1" applyFill="1" applyBorder="1"/>
    <xf numFmtId="37" fontId="40" fillId="5" borderId="9" xfId="0" applyNumberFormat="1" applyFont="1" applyFill="1" applyBorder="1"/>
    <xf numFmtId="37" fontId="11" fillId="5" borderId="9" xfId="0" applyNumberFormat="1" applyFont="1" applyFill="1" applyBorder="1"/>
    <xf numFmtId="37" fontId="76" fillId="5" borderId="9" xfId="0" applyNumberFormat="1" applyFont="1" applyFill="1" applyBorder="1"/>
    <xf numFmtId="37" fontId="11" fillId="5" borderId="24" xfId="0" applyNumberFormat="1" applyFont="1" applyFill="1" applyBorder="1"/>
    <xf numFmtId="37" fontId="77" fillId="5" borderId="0" xfId="0" applyNumberFormat="1" applyFont="1" applyFill="1"/>
    <xf numFmtId="37" fontId="78" fillId="5" borderId="0" xfId="0" applyNumberFormat="1" applyFont="1" applyFill="1" applyAlignment="1">
      <alignment horizontal="right"/>
    </xf>
    <xf numFmtId="0" fontId="79" fillId="0" borderId="0" xfId="0" applyFont="1"/>
    <xf numFmtId="0" fontId="36" fillId="5" borderId="0" xfId="0" applyFont="1" applyFill="1" applyBorder="1"/>
    <xf numFmtId="10" fontId="0" fillId="0" borderId="4" xfId="15" applyNumberFormat="1" applyFont="1" applyBorder="1"/>
    <xf numFmtId="10" fontId="0" fillId="0" borderId="12" xfId="15" applyNumberFormat="1" applyFont="1" applyBorder="1"/>
    <xf numFmtId="10" fontId="0" fillId="0" borderId="2" xfId="15" applyNumberFormat="1" applyFont="1" applyBorder="1"/>
    <xf numFmtId="9" fontId="71" fillId="0" borderId="0" xfId="15" applyFont="1" applyBorder="1" applyAlignment="1">
      <alignment horizontal="center"/>
    </xf>
    <xf numFmtId="0" fontId="15" fillId="0" borderId="8" xfId="0" applyFont="1" applyBorder="1" applyAlignment="1">
      <alignment horizontal="left" indent="15"/>
    </xf>
    <xf numFmtId="3" fontId="5" fillId="0" borderId="16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3" fontId="2" fillId="0" borderId="2" xfId="0" applyNumberFormat="1" applyFont="1" applyBorder="1" applyAlignment="1"/>
    <xf numFmtId="3" fontId="2" fillId="0" borderId="24" xfId="0" applyNumberFormat="1" applyFont="1" applyBorder="1" applyAlignment="1"/>
    <xf numFmtId="9" fontId="0" fillId="0" borderId="0" xfId="15" quotePrefix="1" applyFont="1" applyBorder="1"/>
    <xf numFmtId="3" fontId="0" fillId="0" borderId="4" xfId="0" applyNumberFormat="1" applyBorder="1"/>
    <xf numFmtId="37" fontId="0" fillId="0" borderId="51" xfId="0" applyNumberFormat="1" applyBorder="1"/>
    <xf numFmtId="37" fontId="5" fillId="0" borderId="53" xfId="0" applyNumberFormat="1" applyFont="1" applyBorder="1"/>
    <xf numFmtId="182" fontId="0" fillId="0" borderId="12" xfId="0" quotePrefix="1" applyNumberFormat="1" applyBorder="1"/>
    <xf numFmtId="182" fontId="0" fillId="0" borderId="2" xfId="0" quotePrefix="1" applyNumberFormat="1" applyBorder="1"/>
    <xf numFmtId="9" fontId="0" fillId="0" borderId="6" xfId="15" quotePrefix="1" applyFont="1" applyBorder="1"/>
    <xf numFmtId="37" fontId="0" fillId="0" borderId="22" xfId="0" applyNumberFormat="1" applyBorder="1"/>
    <xf numFmtId="37" fontId="0" fillId="0" borderId="6" xfId="0" applyNumberFormat="1" applyFill="1" applyBorder="1"/>
    <xf numFmtId="0" fontId="63" fillId="0" borderId="106" xfId="0" applyFont="1" applyBorder="1" applyAlignment="1">
      <alignment horizontal="center"/>
    </xf>
    <xf numFmtId="0" fontId="71" fillId="0" borderId="107" xfId="0" applyFont="1" applyBorder="1"/>
    <xf numFmtId="0" fontId="74" fillId="0" borderId="107" xfId="0" applyFont="1" applyBorder="1"/>
    <xf numFmtId="0" fontId="71" fillId="0" borderId="107" xfId="0" applyFont="1" applyBorder="1" applyAlignment="1">
      <alignment horizontal="center"/>
    </xf>
    <xf numFmtId="183" fontId="71" fillId="0" borderId="107" xfId="15" applyNumberFormat="1" applyFont="1" applyBorder="1" applyAlignment="1">
      <alignment horizontal="center"/>
    </xf>
    <xf numFmtId="7" fontId="71" fillId="0" borderId="107" xfId="0" applyNumberFormat="1" applyFont="1" applyBorder="1" applyAlignment="1">
      <alignment horizontal="center"/>
    </xf>
    <xf numFmtId="14" fontId="71" fillId="0" borderId="107" xfId="0" applyNumberFormat="1" applyFont="1" applyBorder="1" applyAlignment="1">
      <alignment horizontal="center"/>
    </xf>
    <xf numFmtId="183" fontId="71" fillId="0" borderId="107" xfId="0" applyNumberFormat="1" applyFont="1" applyBorder="1" applyAlignment="1">
      <alignment horizontal="center"/>
    </xf>
    <xf numFmtId="9" fontId="71" fillId="0" borderId="107" xfId="0" applyNumberFormat="1" applyFont="1" applyBorder="1" applyAlignment="1">
      <alignment horizontal="center"/>
    </xf>
    <xf numFmtId="0" fontId="63" fillId="0" borderId="5" xfId="0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63" fillId="0" borderId="105" xfId="0" applyFont="1" applyBorder="1" applyAlignment="1">
      <alignment horizontal="center"/>
    </xf>
    <xf numFmtId="0" fontId="63" fillId="0" borderId="50" xfId="0" applyFont="1" applyBorder="1" applyAlignment="1">
      <alignment horizontal="center"/>
    </xf>
    <xf numFmtId="0" fontId="71" fillId="0" borderId="29" xfId="0" applyFont="1" applyBorder="1"/>
    <xf numFmtId="0" fontId="71" fillId="0" borderId="29" xfId="0" applyFont="1" applyBorder="1" applyAlignment="1">
      <alignment horizontal="center"/>
    </xf>
    <xf numFmtId="0" fontId="71" fillId="0" borderId="29" xfId="0" applyFont="1" applyBorder="1" applyAlignment="1">
      <alignment horizontal="left"/>
    </xf>
    <xf numFmtId="261" fontId="72" fillId="0" borderId="29" xfId="0" applyNumberFormat="1" applyFont="1" applyBorder="1" applyAlignment="1">
      <alignment horizontal="center"/>
    </xf>
    <xf numFmtId="7" fontId="71" fillId="0" borderId="29" xfId="0" applyNumberFormat="1" applyFont="1" applyBorder="1" applyAlignment="1">
      <alignment horizontal="center"/>
    </xf>
    <xf numFmtId="8" fontId="71" fillId="0" borderId="29" xfId="0" applyNumberFormat="1" applyFont="1" applyBorder="1" applyAlignment="1">
      <alignment horizontal="center"/>
    </xf>
    <xf numFmtId="14" fontId="71" fillId="0" borderId="29" xfId="0" applyNumberFormat="1" applyFont="1" applyBorder="1" applyAlignment="1">
      <alignment horizontal="center"/>
    </xf>
    <xf numFmtId="183" fontId="71" fillId="0" borderId="29" xfId="0" applyNumberFormat="1" applyFont="1" applyBorder="1" applyAlignment="1">
      <alignment horizontal="center"/>
    </xf>
    <xf numFmtId="9" fontId="71" fillId="0" borderId="29" xfId="0" applyNumberFormat="1" applyFont="1" applyBorder="1" applyAlignment="1">
      <alignment horizontal="center"/>
    </xf>
    <xf numFmtId="261" fontId="71" fillId="0" borderId="29" xfId="0" applyNumberFormat="1" applyFont="1" applyBorder="1" applyAlignment="1">
      <alignment horizontal="center"/>
    </xf>
    <xf numFmtId="183" fontId="71" fillId="0" borderId="29" xfId="15" applyNumberFormat="1" applyFont="1" applyBorder="1" applyAlignment="1">
      <alignment horizontal="center"/>
    </xf>
    <xf numFmtId="9" fontId="71" fillId="0" borderId="29" xfId="0" quotePrefix="1" applyNumberFormat="1" applyFont="1" applyBorder="1" applyAlignment="1">
      <alignment horizontal="center"/>
    </xf>
    <xf numFmtId="0" fontId="63" fillId="0" borderId="53" xfId="0" applyFont="1" applyBorder="1" applyAlignment="1">
      <alignment horizontal="center"/>
    </xf>
    <xf numFmtId="0" fontId="63" fillId="0" borderId="62" xfId="0" applyFont="1" applyBorder="1" applyAlignment="1">
      <alignment horizontal="center"/>
    </xf>
    <xf numFmtId="0" fontId="71" fillId="0" borderId="10" xfId="0" applyFont="1" applyBorder="1" applyAlignment="1">
      <alignment horizontal="left"/>
    </xf>
    <xf numFmtId="183" fontId="71" fillId="0" borderId="10" xfId="15" applyNumberFormat="1" applyFont="1" applyBorder="1" applyAlignment="1">
      <alignment horizontal="center"/>
    </xf>
    <xf numFmtId="9" fontId="71" fillId="0" borderId="10" xfId="15" applyFont="1" applyBorder="1" applyAlignment="1">
      <alignment horizontal="center"/>
    </xf>
    <xf numFmtId="7" fontId="71" fillId="0" borderId="10" xfId="0" applyNumberFormat="1" applyFont="1" applyBorder="1" applyAlignment="1">
      <alignment horizontal="center"/>
    </xf>
    <xf numFmtId="261" fontId="71" fillId="0" borderId="10" xfId="0" applyNumberFormat="1" applyFont="1" applyBorder="1" applyAlignment="1">
      <alignment horizontal="center"/>
    </xf>
    <xf numFmtId="14" fontId="71" fillId="0" borderId="10" xfId="0" applyNumberFormat="1" applyFont="1" applyBorder="1" applyAlignment="1">
      <alignment horizontal="center"/>
    </xf>
    <xf numFmtId="183" fontId="71" fillId="0" borderId="10" xfId="0" applyNumberFormat="1" applyFont="1" applyBorder="1" applyAlignment="1">
      <alignment horizontal="center"/>
    </xf>
    <xf numFmtId="9" fontId="71" fillId="0" borderId="10" xfId="0" applyNumberFormat="1" applyFont="1" applyBorder="1" applyAlignment="1">
      <alignment horizontal="center"/>
    </xf>
    <xf numFmtId="0" fontId="63" fillId="0" borderId="29" xfId="0" applyFont="1" applyBorder="1" applyAlignment="1">
      <alignment horizontal="left" indent="1"/>
    </xf>
    <xf numFmtId="9" fontId="71" fillId="0" borderId="29" xfId="15" applyFont="1" applyBorder="1" applyAlignment="1">
      <alignment horizontal="center"/>
    </xf>
    <xf numFmtId="7" fontId="72" fillId="0" borderId="29" xfId="0" applyNumberFormat="1" applyFont="1" applyBorder="1" applyAlignment="1">
      <alignment horizontal="center"/>
    </xf>
    <xf numFmtId="0" fontId="72" fillId="0" borderId="29" xfId="0" applyFont="1" applyBorder="1" applyAlignment="1">
      <alignment horizontal="center"/>
    </xf>
    <xf numFmtId="0" fontId="71" fillId="0" borderId="104" xfId="0" applyFont="1" applyBorder="1"/>
    <xf numFmtId="0" fontId="71" fillId="0" borderId="31" xfId="0" applyFont="1" applyBorder="1"/>
    <xf numFmtId="0" fontId="71" fillId="0" borderId="31" xfId="0" applyFont="1" applyBorder="1" applyAlignment="1">
      <alignment horizontal="center"/>
    </xf>
    <xf numFmtId="183" fontId="71" fillId="0" borderId="31" xfId="15" applyNumberFormat="1" applyFont="1" applyBorder="1" applyAlignment="1">
      <alignment horizontal="center"/>
    </xf>
    <xf numFmtId="0" fontId="75" fillId="0" borderId="31" xfId="0" applyFont="1" applyBorder="1"/>
    <xf numFmtId="9" fontId="71" fillId="0" borderId="31" xfId="15" applyFont="1" applyBorder="1" applyAlignment="1">
      <alignment horizontal="center"/>
    </xf>
    <xf numFmtId="7" fontId="71" fillId="0" borderId="31" xfId="0" applyNumberFormat="1" applyFont="1" applyBorder="1" applyAlignment="1">
      <alignment horizontal="center"/>
    </xf>
    <xf numFmtId="7" fontId="72" fillId="0" borderId="31" xfId="0" applyNumberFormat="1" applyFont="1" applyBorder="1" applyAlignment="1">
      <alignment horizontal="center"/>
    </xf>
    <xf numFmtId="8" fontId="71" fillId="0" borderId="31" xfId="0" applyNumberFormat="1" applyFont="1" applyBorder="1" applyAlignment="1">
      <alignment horizontal="center"/>
    </xf>
    <xf numFmtId="14" fontId="71" fillId="0" borderId="31" xfId="0" applyNumberFormat="1" applyFont="1" applyBorder="1" applyAlignment="1">
      <alignment horizontal="center"/>
    </xf>
    <xf numFmtId="183" fontId="71" fillId="0" borderId="31" xfId="0" applyNumberFormat="1" applyFont="1" applyBorder="1" applyAlignment="1">
      <alignment horizontal="center"/>
    </xf>
    <xf numFmtId="9" fontId="71" fillId="0" borderId="31" xfId="0" applyNumberFormat="1" applyFont="1" applyBorder="1" applyAlignment="1">
      <alignment horizontal="center"/>
    </xf>
    <xf numFmtId="9" fontId="71" fillId="0" borderId="31" xfId="0" quotePrefix="1" applyNumberFormat="1" applyFont="1" applyBorder="1" applyAlignment="1">
      <alignment horizontal="center"/>
    </xf>
    <xf numFmtId="261" fontId="71" fillId="0" borderId="31" xfId="0" applyNumberFormat="1" applyFont="1" applyBorder="1" applyAlignment="1">
      <alignment horizontal="center"/>
    </xf>
    <xf numFmtId="0" fontId="72" fillId="0" borderId="10" xfId="0" applyFont="1" applyBorder="1" applyAlignment="1">
      <alignment horizontal="center"/>
    </xf>
    <xf numFmtId="7" fontId="72" fillId="0" borderId="10" xfId="0" applyNumberFormat="1" applyFont="1" applyBorder="1" applyAlignment="1">
      <alignment horizontal="center"/>
    </xf>
    <xf numFmtId="261" fontId="72" fillId="0" borderId="31" xfId="0" applyNumberFormat="1" applyFont="1" applyBorder="1" applyAlignment="1">
      <alignment horizontal="center"/>
    </xf>
    <xf numFmtId="261" fontId="72" fillId="0" borderId="10" xfId="0" applyNumberFormat="1" applyFont="1" applyBorder="1" applyAlignment="1">
      <alignment horizontal="center"/>
    </xf>
    <xf numFmtId="0" fontId="63" fillId="0" borderId="48" xfId="0" applyFont="1" applyBorder="1" applyAlignment="1">
      <alignment horizontal="center"/>
    </xf>
    <xf numFmtId="0" fontId="63" fillId="0" borderId="108" xfId="0" applyFont="1" applyBorder="1" applyAlignment="1">
      <alignment horizontal="center"/>
    </xf>
    <xf numFmtId="0" fontId="80" fillId="0" borderId="0" xfId="0" applyFont="1"/>
    <xf numFmtId="0" fontId="71" fillId="0" borderId="0" xfId="0" applyFont="1" applyAlignment="1">
      <alignment horizontal="right"/>
    </xf>
    <xf numFmtId="183" fontId="71" fillId="0" borderId="0" xfId="15" applyNumberFormat="1" applyFont="1"/>
    <xf numFmtId="42" fontId="71" fillId="0" borderId="0" xfId="0" applyNumberFormat="1" applyFont="1"/>
    <xf numFmtId="42" fontId="81" fillId="0" borderId="0" xfId="0" applyNumberFormat="1" applyFont="1"/>
    <xf numFmtId="37" fontId="12" fillId="0" borderId="0" xfId="12" applyFont="1" applyProtection="1">
      <protection locked="0"/>
    </xf>
    <xf numFmtId="168" fontId="12" fillId="0" borderId="0" xfId="12" applyNumberFormat="1" applyFont="1" applyProtection="1"/>
    <xf numFmtId="0" fontId="63" fillId="0" borderId="51" xfId="0" applyFont="1" applyBorder="1" applyAlignment="1">
      <alignment horizontal="center"/>
    </xf>
    <xf numFmtId="0" fontId="63" fillId="0" borderId="54" xfId="0" applyFont="1" applyBorder="1" applyAlignment="1">
      <alignment horizontal="center"/>
    </xf>
    <xf numFmtId="0" fontId="71" fillId="0" borderId="17" xfId="0" applyFont="1" applyBorder="1"/>
    <xf numFmtId="0" fontId="71" fillId="0" borderId="21" xfId="0" applyFont="1" applyBorder="1"/>
    <xf numFmtId="0" fontId="72" fillId="0" borderId="21" xfId="0" applyFont="1" applyBorder="1" applyAlignment="1">
      <alignment horizontal="center"/>
    </xf>
    <xf numFmtId="0" fontId="71" fillId="0" borderId="21" xfId="0" applyFont="1" applyBorder="1" applyAlignment="1">
      <alignment horizontal="center"/>
    </xf>
    <xf numFmtId="183" fontId="71" fillId="0" borderId="21" xfId="15" applyNumberFormat="1" applyFont="1" applyBorder="1" applyAlignment="1">
      <alignment horizontal="center"/>
    </xf>
    <xf numFmtId="0" fontId="75" fillId="0" borderId="21" xfId="0" applyFont="1" applyBorder="1"/>
    <xf numFmtId="9" fontId="71" fillId="0" borderId="21" xfId="15" applyFont="1" applyBorder="1" applyAlignment="1">
      <alignment horizontal="center"/>
    </xf>
    <xf numFmtId="7" fontId="71" fillId="0" borderId="21" xfId="0" applyNumberFormat="1" applyFont="1" applyBorder="1" applyAlignment="1">
      <alignment horizontal="center"/>
    </xf>
    <xf numFmtId="7" fontId="72" fillId="0" borderId="21" xfId="0" applyNumberFormat="1" applyFont="1" applyBorder="1" applyAlignment="1">
      <alignment horizontal="center"/>
    </xf>
    <xf numFmtId="8" fontId="71" fillId="0" borderId="21" xfId="0" applyNumberFormat="1" applyFont="1" applyBorder="1" applyAlignment="1">
      <alignment horizontal="center"/>
    </xf>
    <xf numFmtId="14" fontId="71" fillId="0" borderId="21" xfId="0" applyNumberFormat="1" applyFont="1" applyBorder="1" applyAlignment="1">
      <alignment horizontal="center"/>
    </xf>
    <xf numFmtId="183" fontId="71" fillId="0" borderId="21" xfId="0" applyNumberFormat="1" applyFont="1" applyBorder="1" applyAlignment="1">
      <alignment horizontal="center"/>
    </xf>
    <xf numFmtId="9" fontId="71" fillId="0" borderId="21" xfId="0" applyNumberFormat="1" applyFont="1" applyBorder="1" applyAlignment="1">
      <alignment horizontal="center"/>
    </xf>
    <xf numFmtId="261" fontId="72" fillId="0" borderId="21" xfId="0" applyNumberFormat="1" applyFont="1" applyBorder="1" applyAlignment="1">
      <alignment horizontal="center"/>
    </xf>
    <xf numFmtId="8" fontId="71" fillId="0" borderId="10" xfId="0" applyNumberFormat="1" applyFont="1" applyBorder="1" applyAlignment="1">
      <alignment horizontal="center"/>
    </xf>
    <xf numFmtId="9" fontId="71" fillId="0" borderId="10" xfId="0" quotePrefix="1" applyNumberFormat="1" applyFont="1" applyBorder="1" applyAlignment="1">
      <alignment horizontal="center"/>
    </xf>
    <xf numFmtId="0" fontId="72" fillId="0" borderId="29" xfId="0" applyFont="1" applyBorder="1" applyAlignment="1">
      <alignment horizontal="left"/>
    </xf>
    <xf numFmtId="7" fontId="72" fillId="0" borderId="0" xfId="0" applyNumberFormat="1" applyFont="1" applyBorder="1" applyAlignment="1">
      <alignment horizontal="center"/>
    </xf>
    <xf numFmtId="261" fontId="72" fillId="0" borderId="107" xfId="0" applyNumberFormat="1" applyFont="1" applyBorder="1" applyAlignment="1">
      <alignment horizontal="center"/>
    </xf>
    <xf numFmtId="261" fontId="72" fillId="0" borderId="0" xfId="0" applyNumberFormat="1" applyFont="1" applyBorder="1" applyAlignment="1">
      <alignment horizontal="center"/>
    </xf>
    <xf numFmtId="183" fontId="72" fillId="0" borderId="107" xfId="0" applyNumberFormat="1" applyFont="1" applyBorder="1" applyAlignment="1">
      <alignment horizontal="center"/>
    </xf>
    <xf numFmtId="183" fontId="72" fillId="0" borderId="29" xfId="0" applyNumberFormat="1" applyFont="1" applyBorder="1" applyAlignment="1">
      <alignment horizontal="center"/>
    </xf>
    <xf numFmtId="183" fontId="72" fillId="0" borderId="10" xfId="0" applyNumberFormat="1" applyFont="1" applyBorder="1" applyAlignment="1">
      <alignment horizontal="center"/>
    </xf>
    <xf numFmtId="183" fontId="72" fillId="0" borderId="0" xfId="0" applyNumberFormat="1" applyFont="1" applyBorder="1" applyAlignment="1">
      <alignment horizontal="center"/>
    </xf>
    <xf numFmtId="183" fontId="72" fillId="0" borderId="21" xfId="0" applyNumberFormat="1" applyFont="1" applyBorder="1" applyAlignment="1">
      <alignment horizontal="center"/>
    </xf>
    <xf numFmtId="183" fontId="72" fillId="0" borderId="31" xfId="0" applyNumberFormat="1" applyFont="1" applyBorder="1" applyAlignment="1">
      <alignment horizontal="center"/>
    </xf>
    <xf numFmtId="0" fontId="72" fillId="0" borderId="109" xfId="0" applyFont="1" applyBorder="1" applyAlignment="1">
      <alignment horizontal="center"/>
    </xf>
    <xf numFmtId="0" fontId="72" fillId="0" borderId="52" xfId="0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2" fillId="0" borderId="6" xfId="0" applyFont="1" applyBorder="1" applyAlignment="1">
      <alignment horizontal="center"/>
    </xf>
    <xf numFmtId="0" fontId="72" fillId="0" borderId="22" xfId="0" applyFont="1" applyBorder="1" applyAlignment="1">
      <alignment horizontal="center"/>
    </xf>
    <xf numFmtId="0" fontId="72" fillId="0" borderId="46" xfId="0" applyFont="1" applyBorder="1" applyAlignment="1">
      <alignment horizontal="center"/>
    </xf>
    <xf numFmtId="0" fontId="63" fillId="0" borderId="4" xfId="0" applyFont="1" applyBorder="1" applyAlignment="1">
      <alignment horizontal="center"/>
    </xf>
    <xf numFmtId="0" fontId="63" fillId="0" borderId="20" xfId="0" applyFont="1" applyFill="1" applyBorder="1" applyAlignment="1">
      <alignment horizontal="center"/>
    </xf>
    <xf numFmtId="0" fontId="71" fillId="0" borderId="12" xfId="0" applyFont="1" applyBorder="1"/>
    <xf numFmtId="0" fontId="74" fillId="0" borderId="12" xfId="0" applyFont="1" applyBorder="1"/>
    <xf numFmtId="183" fontId="71" fillId="0" borderId="12" xfId="15" applyNumberFormat="1" applyFont="1" applyBorder="1" applyAlignment="1">
      <alignment horizontal="center"/>
    </xf>
    <xf numFmtId="9" fontId="71" fillId="0" borderId="12" xfId="15" applyFont="1" applyBorder="1" applyAlignment="1">
      <alignment horizontal="center"/>
    </xf>
    <xf numFmtId="261" fontId="71" fillId="0" borderId="12" xfId="0" applyNumberFormat="1" applyFont="1" applyBorder="1" applyAlignment="1">
      <alignment horizontal="center"/>
    </xf>
    <xf numFmtId="7" fontId="71" fillId="0" borderId="12" xfId="0" applyNumberFormat="1" applyFont="1" applyBorder="1" applyAlignment="1">
      <alignment horizontal="center"/>
    </xf>
    <xf numFmtId="14" fontId="71" fillId="0" borderId="12" xfId="0" applyNumberFormat="1" applyFont="1" applyBorder="1" applyAlignment="1">
      <alignment horizontal="center"/>
    </xf>
    <xf numFmtId="183" fontId="71" fillId="0" borderId="12" xfId="0" applyNumberFormat="1" applyFont="1" applyBorder="1" applyAlignment="1">
      <alignment horizontal="center"/>
    </xf>
    <xf numFmtId="9" fontId="71" fillId="0" borderId="12" xfId="0" applyNumberFormat="1" applyFont="1" applyBorder="1" applyAlignment="1">
      <alignment horizontal="center"/>
    </xf>
    <xf numFmtId="9" fontId="71" fillId="0" borderId="12" xfId="0" quotePrefix="1" applyNumberFormat="1" applyFont="1" applyBorder="1" applyAlignment="1">
      <alignment horizontal="center"/>
    </xf>
    <xf numFmtId="261" fontId="72" fillId="0" borderId="12" xfId="0" applyNumberFormat="1" applyFont="1" applyBorder="1" applyAlignment="1">
      <alignment horizontal="center"/>
    </xf>
    <xf numFmtId="183" fontId="72" fillId="0" borderId="12" xfId="0" applyNumberFormat="1" applyFont="1" applyBorder="1" applyAlignment="1">
      <alignment horizontal="center"/>
    </xf>
    <xf numFmtId="0" fontId="72" fillId="0" borderId="2" xfId="0" applyFont="1" applyBorder="1" applyAlignment="1">
      <alignment horizontal="center"/>
    </xf>
    <xf numFmtId="0" fontId="63" fillId="0" borderId="110" xfId="0" applyFont="1" applyBorder="1" applyAlignment="1">
      <alignment horizontal="center"/>
    </xf>
    <xf numFmtId="0" fontId="71" fillId="0" borderId="107" xfId="0" applyFont="1" applyBorder="1" applyAlignment="1">
      <alignment horizontal="left"/>
    </xf>
    <xf numFmtId="7" fontId="72" fillId="0" borderId="107" xfId="0" applyNumberFormat="1" applyFont="1" applyBorder="1" applyAlignment="1">
      <alignment horizontal="center"/>
    </xf>
    <xf numFmtId="8" fontId="71" fillId="0" borderId="107" xfId="0" applyNumberFormat="1" applyFont="1" applyBorder="1" applyAlignment="1">
      <alignment horizontal="center"/>
    </xf>
    <xf numFmtId="9" fontId="72" fillId="0" borderId="107" xfId="0" quotePrefix="1" applyNumberFormat="1" applyFont="1" applyBorder="1" applyAlignment="1">
      <alignment horizontal="center"/>
    </xf>
    <xf numFmtId="0" fontId="72" fillId="0" borderId="107" xfId="0" applyFont="1" applyBorder="1" applyAlignment="1">
      <alignment horizontal="center"/>
    </xf>
    <xf numFmtId="41" fontId="0" fillId="0" borderId="20" xfId="0" applyNumberFormat="1" applyBorder="1"/>
    <xf numFmtId="2" fontId="0" fillId="0" borderId="18" xfId="0" applyNumberFormat="1" applyBorder="1"/>
    <xf numFmtId="41" fontId="0" fillId="0" borderId="62" xfId="0" applyNumberFormat="1" applyBorder="1"/>
    <xf numFmtId="41" fontId="0" fillId="0" borderId="54" xfId="0" applyNumberFormat="1" applyBorder="1"/>
    <xf numFmtId="212" fontId="0" fillId="0" borderId="18" xfId="0" applyNumberFormat="1" applyBorder="1"/>
    <xf numFmtId="41" fontId="0" fillId="0" borderId="18" xfId="0" applyNumberFormat="1" applyBorder="1"/>
    <xf numFmtId="41" fontId="0" fillId="0" borderId="19" xfId="0" applyNumberFormat="1" applyBorder="1"/>
    <xf numFmtId="3" fontId="0" fillId="0" borderId="31" xfId="0" applyNumberFormat="1" applyBorder="1" applyAlignment="1"/>
    <xf numFmtId="3" fontId="0" fillId="0" borderId="108" xfId="0" applyNumberFormat="1" applyBorder="1" applyAlignment="1"/>
    <xf numFmtId="3" fontId="0" fillId="0" borderId="46" xfId="0" applyNumberFormat="1" applyBorder="1" applyAlignment="1"/>
    <xf numFmtId="4" fontId="0" fillId="0" borderId="40" xfId="0" applyNumberFormat="1" applyBorder="1" applyAlignment="1"/>
    <xf numFmtId="3" fontId="0" fillId="0" borderId="41" xfId="0" applyNumberFormat="1" applyBorder="1" applyAlignment="1"/>
    <xf numFmtId="0" fontId="5" fillId="0" borderId="0" xfId="0" applyFont="1" applyAlignment="1">
      <alignment horizontal="right"/>
    </xf>
    <xf numFmtId="41" fontId="0" fillId="0" borderId="24" xfId="0" applyNumberFormat="1" applyBorder="1" applyAlignment="1"/>
    <xf numFmtId="41" fontId="0" fillId="0" borderId="18" xfId="0" applyNumberFormat="1" applyBorder="1" applyAlignment="1">
      <alignment horizontal="center"/>
    </xf>
    <xf numFmtId="41" fontId="15" fillId="0" borderId="20" xfId="0" applyNumberFormat="1" applyFont="1" applyBorder="1" applyAlignment="1">
      <alignment horizontal="left" indent="15"/>
    </xf>
    <xf numFmtId="41" fontId="0" fillId="0" borderId="19" xfId="0" applyNumberFormat="1" applyBorder="1" applyAlignment="1">
      <alignment horizontal="center"/>
    </xf>
    <xf numFmtId="41" fontId="15" fillId="0" borderId="0" xfId="0" applyNumberFormat="1" applyFont="1" applyBorder="1" applyAlignment="1">
      <alignment horizontal="left" indent="15"/>
    </xf>
    <xf numFmtId="4" fontId="15" fillId="0" borderId="40" xfId="0" applyNumberFormat="1" applyFont="1" applyBorder="1" applyAlignment="1"/>
    <xf numFmtId="41" fontId="0" fillId="0" borderId="25" xfId="0" applyNumberFormat="1" applyBorder="1" applyAlignment="1"/>
    <xf numFmtId="41" fontId="15" fillId="0" borderId="41" xfId="0" applyNumberFormat="1" applyFont="1" applyBorder="1" applyAlignment="1">
      <alignment horizontal="center"/>
    </xf>
    <xf numFmtId="1" fontId="0" fillId="0" borderId="0" xfId="0" applyNumberFormat="1" applyAlignment="1">
      <alignment horizontal="right"/>
    </xf>
    <xf numFmtId="17" fontId="2" fillId="0" borderId="0" xfId="0" applyNumberFormat="1" applyFont="1" applyBorder="1" applyAlignment="1">
      <alignment horizontal="right"/>
    </xf>
    <xf numFmtId="193" fontId="0" fillId="0" borderId="12" xfId="0" quotePrefix="1" applyNumberFormat="1" applyBorder="1"/>
    <xf numFmtId="193" fontId="0" fillId="0" borderId="21" xfId="0" quotePrefix="1" applyNumberFormat="1" applyBorder="1"/>
    <xf numFmtId="193" fontId="0" fillId="0" borderId="51" xfId="0" quotePrefix="1" applyNumberFormat="1" applyBorder="1"/>
    <xf numFmtId="0" fontId="0" fillId="0" borderId="4" xfId="0" applyBorder="1"/>
    <xf numFmtId="3" fontId="0" fillId="0" borderId="111" xfId="0" applyNumberFormat="1" applyBorder="1"/>
    <xf numFmtId="0" fontId="0" fillId="0" borderId="35" xfId="0" applyBorder="1"/>
    <xf numFmtId="0" fontId="0" fillId="0" borderId="45" xfId="0" applyBorder="1"/>
    <xf numFmtId="3" fontId="0" fillId="0" borderId="43" xfId="0" applyNumberFormat="1" applyBorder="1"/>
    <xf numFmtId="0" fontId="0" fillId="0" borderId="20" xfId="0" applyBorder="1"/>
    <xf numFmtId="3" fontId="0" fillId="0" borderId="39" xfId="0" applyNumberFormat="1" applyBorder="1"/>
    <xf numFmtId="0" fontId="15" fillId="0" borderId="0" xfId="0" applyFont="1" applyBorder="1"/>
    <xf numFmtId="0" fontId="1" fillId="0" borderId="26" xfId="0" applyFont="1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3" fontId="2" fillId="0" borderId="46" xfId="0" applyNumberFormat="1" applyFont="1" applyBorder="1" applyAlignment="1"/>
    <xf numFmtId="0" fontId="1" fillId="0" borderId="11" xfId="0" applyFont="1" applyBorder="1" applyAlignment="1">
      <alignment horizontal="center"/>
    </xf>
    <xf numFmtId="2" fontId="0" fillId="0" borderId="112" xfId="0" applyNumberFormat="1" applyBorder="1"/>
    <xf numFmtId="2" fontId="0" fillId="0" borderId="34" xfId="0" applyNumberFormat="1" applyBorder="1"/>
    <xf numFmtId="2" fontId="0" fillId="0" borderId="55" xfId="0" applyNumberFormat="1" applyBorder="1"/>
    <xf numFmtId="3" fontId="0" fillId="0" borderId="48" xfId="0" applyNumberFormat="1" applyBorder="1"/>
    <xf numFmtId="4" fontId="0" fillId="0" borderId="46" xfId="0" applyNumberFormat="1" applyBorder="1"/>
    <xf numFmtId="0" fontId="12" fillId="0" borderId="0" xfId="14" applyNumberFormat="1" applyFont="1" applyAlignment="1">
      <alignment horizontal="left"/>
    </xf>
    <xf numFmtId="37" fontId="60" fillId="0" borderId="0" xfId="12" applyNumberFormat="1" applyFont="1" applyFill="1" applyProtection="1"/>
    <xf numFmtId="37" fontId="50" fillId="0" borderId="0" xfId="12" applyNumberFormat="1" applyFont="1" applyFill="1" applyProtection="1">
      <protection locked="0"/>
    </xf>
    <xf numFmtId="182" fontId="66" fillId="0" borderId="0" xfId="1" applyNumberFormat="1" applyFont="1" applyFill="1" applyBorder="1" applyAlignment="1">
      <alignment horizontal="left" indent="1"/>
    </xf>
    <xf numFmtId="0" fontId="77" fillId="0" borderId="0" xfId="12" applyNumberFormat="1" applyFont="1" applyFill="1" applyBorder="1" applyAlignment="1" applyProtection="1">
      <alignment horizontal="center"/>
    </xf>
    <xf numFmtId="1" fontId="77" fillId="0" borderId="0" xfId="12" applyNumberFormat="1" applyFont="1" applyFill="1" applyBorder="1" applyAlignment="1" applyProtection="1">
      <alignment horizontal="center"/>
    </xf>
    <xf numFmtId="182" fontId="12" fillId="0" borderId="0" xfId="1" applyNumberFormat="1" applyFont="1" applyFill="1" applyBorder="1" applyAlignment="1">
      <alignment horizontal="left" indent="1"/>
    </xf>
    <xf numFmtId="10" fontId="24" fillId="11" borderId="0" xfId="15" applyNumberFormat="1" applyFont="1" applyFill="1"/>
    <xf numFmtId="37" fontId="5" fillId="0" borderId="10" xfId="0" applyNumberFormat="1" applyFont="1" applyBorder="1"/>
    <xf numFmtId="0" fontId="0" fillId="0" borderId="35" xfId="0" applyBorder="1" applyAlignment="1">
      <alignment horizontal="center"/>
    </xf>
    <xf numFmtId="37" fontId="47" fillId="0" borderId="0" xfId="14" applyNumberFormat="1" applyFont="1" applyAlignment="1"/>
    <xf numFmtId="0" fontId="11" fillId="0" borderId="0" xfId="14" applyNumberFormat="1" applyFont="1" applyAlignment="1">
      <alignment horizontal="center"/>
    </xf>
    <xf numFmtId="212" fontId="0" fillId="0" borderId="28" xfId="0" applyNumberFormat="1" applyBorder="1" applyAlignment="1">
      <alignment horizontal="right"/>
    </xf>
    <xf numFmtId="0" fontId="2" fillId="0" borderId="18" xfId="0" applyFont="1" applyBorder="1" applyAlignment="1">
      <alignment horizontal="left" indent="15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0" xfId="0" applyFont="1" applyBorder="1" applyAlignment="1"/>
    <xf numFmtId="43" fontId="0" fillId="0" borderId="21" xfId="0" applyNumberFormat="1" applyFill="1" applyBorder="1"/>
    <xf numFmtId="10" fontId="42" fillId="11" borderId="0" xfId="12" applyNumberFormat="1" applyFont="1" applyFill="1" applyProtection="1"/>
    <xf numFmtId="3" fontId="38" fillId="0" borderId="0" xfId="14" applyNumberFormat="1" applyFont="1" applyAlignment="1">
      <alignment horizontal="right"/>
    </xf>
    <xf numFmtId="40" fontId="24" fillId="0" borderId="0" xfId="10" applyNumberFormat="1" applyBorder="1" applyAlignment="1">
      <alignment horizontal="right"/>
    </xf>
    <xf numFmtId="43" fontId="24" fillId="0" borderId="0" xfId="14" applyNumberFormat="1" applyAlignment="1">
      <alignment horizontal="right"/>
    </xf>
    <xf numFmtId="11" fontId="12" fillId="0" borderId="0" xfId="0" applyNumberFormat="1" applyFont="1" applyFill="1" applyBorder="1"/>
    <xf numFmtId="10" fontId="11" fillId="0" borderId="0" xfId="0" applyNumberFormat="1" applyFont="1" applyFill="1" applyBorder="1"/>
    <xf numFmtId="37" fontId="12" fillId="0" borderId="15" xfId="12" applyFont="1" applyBorder="1" applyProtection="1">
      <protection locked="0"/>
    </xf>
    <xf numFmtId="37" fontId="12" fillId="0" borderId="16" xfId="12" applyFont="1" applyBorder="1" applyProtection="1">
      <protection locked="0"/>
    </xf>
    <xf numFmtId="37" fontId="12" fillId="0" borderId="10" xfId="12" applyFont="1" applyFill="1" applyBorder="1" applyProtection="1">
      <protection locked="0"/>
    </xf>
    <xf numFmtId="0" fontId="15" fillId="0" borderId="0" xfId="0" applyFont="1"/>
    <xf numFmtId="17" fontId="12" fillId="0" borderId="0" xfId="14" applyNumberFormat="1" applyFont="1" applyBorder="1" applyAlignment="1"/>
    <xf numFmtId="9" fontId="12" fillId="0" borderId="10" xfId="14" applyNumberFormat="1" applyFont="1" applyBorder="1" applyAlignment="1"/>
    <xf numFmtId="0" fontId="12" fillId="0" borderId="0" xfId="14" applyNumberFormat="1" applyFont="1" applyBorder="1" applyAlignment="1">
      <alignment horizontal="right"/>
    </xf>
    <xf numFmtId="37" fontId="37" fillId="0" borderId="0" xfId="12" applyFont="1"/>
    <xf numFmtId="183" fontId="36" fillId="0" borderId="0" xfId="15" applyNumberFormat="1" applyFont="1"/>
    <xf numFmtId="37" fontId="24" fillId="0" borderId="113" xfId="12" applyFont="1" applyFill="1" applyBorder="1"/>
    <xf numFmtId="37" fontId="24" fillId="0" borderId="10" xfId="12" applyFont="1" applyFill="1" applyBorder="1"/>
    <xf numFmtId="183" fontId="11" fillId="0" borderId="0" xfId="15" applyNumberFormat="1" applyFont="1"/>
    <xf numFmtId="37" fontId="12" fillId="0" borderId="21" xfId="12" applyFont="1" applyBorder="1" applyAlignment="1">
      <alignment horizontal="left"/>
    </xf>
    <xf numFmtId="37" fontId="12" fillId="0" borderId="0" xfId="12" applyFont="1" applyBorder="1"/>
    <xf numFmtId="37" fontId="12" fillId="4" borderId="18" xfId="12" applyFont="1" applyFill="1" applyBorder="1" applyProtection="1">
      <protection locked="0"/>
    </xf>
    <xf numFmtId="37" fontId="24" fillId="0" borderId="54" xfId="12" applyFont="1" applyBorder="1"/>
    <xf numFmtId="37" fontId="37" fillId="0" borderId="0" xfId="12" applyFont="1" applyAlignment="1">
      <alignment horizontal="left" indent="2"/>
    </xf>
    <xf numFmtId="43" fontId="0" fillId="4" borderId="21" xfId="0" quotePrefix="1" applyNumberFormat="1" applyFill="1" applyBorder="1"/>
    <xf numFmtId="43" fontId="0" fillId="0" borderId="17" xfId="0" quotePrefix="1" applyNumberFormat="1" applyBorder="1"/>
    <xf numFmtId="43" fontId="0" fillId="0" borderId="15" xfId="0" quotePrefix="1" applyNumberFormat="1" applyBorder="1"/>
    <xf numFmtId="196" fontId="24" fillId="0" borderId="0" xfId="14" applyNumberFormat="1" applyAlignment="1"/>
    <xf numFmtId="182" fontId="0" fillId="12" borderId="0" xfId="1" applyNumberFormat="1" applyFont="1" applyFill="1" applyBorder="1"/>
    <xf numFmtId="10" fontId="24" fillId="0" borderId="0" xfId="15" applyNumberFormat="1" applyFont="1" applyBorder="1"/>
    <xf numFmtId="38" fontId="24" fillId="12" borderId="0" xfId="12" applyNumberFormat="1" applyFont="1" applyFill="1" applyBorder="1"/>
    <xf numFmtId="37" fontId="24" fillId="12" borderId="0" xfId="12" applyFont="1" applyFill="1" applyAlignment="1"/>
    <xf numFmtId="37" fontId="24" fillId="12" borderId="0" xfId="12" applyFont="1" applyFill="1"/>
    <xf numFmtId="37" fontId="85" fillId="0" borderId="0" xfId="12" applyFont="1" applyFill="1"/>
    <xf numFmtId="39" fontId="24" fillId="0" borderId="0" xfId="12" applyNumberFormat="1" applyFont="1"/>
    <xf numFmtId="0" fontId="0" fillId="0" borderId="3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0" borderId="36" xfId="0" applyBorder="1" applyAlignment="1">
      <alignment horizontal="centerContinuous"/>
    </xf>
    <xf numFmtId="0" fontId="15" fillId="0" borderId="7" xfId="0" applyFont="1" applyBorder="1" applyAlignment="1">
      <alignment horizontal="centerContinuous"/>
    </xf>
    <xf numFmtId="0" fontId="15" fillId="0" borderId="8" xfId="0" applyFont="1" applyBorder="1" applyAlignment="1">
      <alignment horizontal="centerContinuous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0" fillId="0" borderId="33" xfId="0" applyBorder="1" applyAlignment="1">
      <alignment horizontal="left" indent="7"/>
    </xf>
    <xf numFmtId="0" fontId="15" fillId="0" borderId="4" xfId="0" applyFont="1" applyBorder="1" applyAlignment="1">
      <alignment horizontal="centerContinuous"/>
    </xf>
    <xf numFmtId="0" fontId="0" fillId="0" borderId="13" xfId="0" applyBorder="1" applyAlignment="1">
      <alignment horizontal="center"/>
    </xf>
    <xf numFmtId="183" fontId="0" fillId="0" borderId="0" xfId="15" quotePrefix="1" applyNumberFormat="1" applyFont="1" applyBorder="1" applyProtection="1"/>
    <xf numFmtId="0" fontId="14" fillId="0" borderId="4" xfId="0" applyFont="1" applyBorder="1" applyAlignment="1" applyProtection="1">
      <alignment horizontal="center"/>
    </xf>
    <xf numFmtId="0" fontId="14" fillId="0" borderId="12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193" fontId="0" fillId="0" borderId="12" xfId="0" applyNumberFormat="1" applyBorder="1" applyProtection="1"/>
    <xf numFmtId="0" fontId="0" fillId="0" borderId="45" xfId="0" applyBorder="1" applyAlignment="1">
      <alignment horizontal="centerContinuous"/>
    </xf>
    <xf numFmtId="0" fontId="24" fillId="0" borderId="0" xfId="14" applyNumberFormat="1" applyFont="1" applyBorder="1" applyAlignment="1"/>
    <xf numFmtId="3" fontId="24" fillId="0" borderId="0" xfId="14" applyNumberFormat="1" applyBorder="1" applyAlignment="1">
      <alignment horizontal="right"/>
    </xf>
    <xf numFmtId="38" fontId="12" fillId="0" borderId="0" xfId="1" applyNumberFormat="1" applyFont="1" applyBorder="1"/>
    <xf numFmtId="43" fontId="9" fillId="0" borderId="0" xfId="1" applyFont="1" applyFill="1" applyBorder="1" applyAlignment="1">
      <alignment horizontal="center"/>
    </xf>
    <xf numFmtId="182" fontId="0" fillId="0" borderId="12" xfId="1" applyNumberFormat="1" applyFont="1" applyBorder="1"/>
    <xf numFmtId="182" fontId="0" fillId="0" borderId="12" xfId="1" applyNumberFormat="1" applyFont="1" applyFill="1" applyBorder="1"/>
    <xf numFmtId="182" fontId="0" fillId="0" borderId="2" xfId="1" applyNumberFormat="1" applyFont="1" applyFill="1" applyBorder="1"/>
    <xf numFmtId="182" fontId="24" fillId="0" borderId="0" xfId="1" applyNumberFormat="1" applyFont="1" applyFill="1" applyBorder="1"/>
    <xf numFmtId="37" fontId="24" fillId="0" borderId="0" xfId="12" quotePrefix="1" applyFont="1" applyBorder="1"/>
    <xf numFmtId="171" fontId="0" fillId="0" borderId="0" xfId="0" applyNumberFormat="1"/>
    <xf numFmtId="0" fontId="0" fillId="0" borderId="0" xfId="0" applyAlignment="1">
      <alignment horizontal="center"/>
    </xf>
    <xf numFmtId="41" fontId="0" fillId="0" borderId="3" xfId="0" quotePrefix="1" applyNumberFormat="1" applyBorder="1"/>
    <xf numFmtId="41" fontId="0" fillId="0" borderId="24" xfId="0" quotePrefix="1" applyNumberFormat="1" applyBorder="1"/>
    <xf numFmtId="182" fontId="12" fillId="11" borderId="0" xfId="1" applyNumberFormat="1" applyFont="1" applyFill="1" applyBorder="1" applyAlignment="1">
      <alignment horizontal="left" indent="1"/>
    </xf>
    <xf numFmtId="182" fontId="15" fillId="0" borderId="2" xfId="1" applyNumberFormat="1" applyFont="1" applyBorder="1" applyAlignment="1">
      <alignment horizontal="left" indent="15"/>
    </xf>
    <xf numFmtId="0" fontId="2" fillId="11" borderId="34" xfId="0" applyFont="1" applyFill="1" applyBorder="1" applyAlignment="1">
      <alignment horizontal="centerContinuous"/>
    </xf>
    <xf numFmtId="0" fontId="2" fillId="11" borderId="33" xfId="0" applyFont="1" applyFill="1" applyBorder="1" applyAlignment="1">
      <alignment horizontal="centerContinuous"/>
    </xf>
    <xf numFmtId="0" fontId="2" fillId="11" borderId="16" xfId="0" applyFont="1" applyFill="1" applyBorder="1" applyAlignment="1">
      <alignment horizontal="centerContinuous"/>
    </xf>
    <xf numFmtId="3" fontId="0" fillId="0" borderId="0" xfId="0" applyNumberFormat="1"/>
    <xf numFmtId="0" fontId="15" fillId="0" borderId="32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3" fontId="15" fillId="0" borderId="41" xfId="0" applyNumberFormat="1" applyFont="1" applyBorder="1" applyAlignment="1">
      <alignment horizontal="center"/>
    </xf>
    <xf numFmtId="0" fontId="24" fillId="0" borderId="0" xfId="14" applyNumberFormat="1" applyFill="1" applyAlignment="1"/>
    <xf numFmtId="37" fontId="12" fillId="0" borderId="0" xfId="12" applyNumberFormat="1" applyFont="1" applyFill="1" applyProtection="1">
      <protection locked="0"/>
    </xf>
    <xf numFmtId="262" fontId="24" fillId="0" borderId="0" xfId="12" applyNumberFormat="1" applyFont="1" applyBorder="1" applyAlignment="1" applyProtection="1">
      <alignment horizontal="center"/>
    </xf>
    <xf numFmtId="14" fontId="24" fillId="0" borderId="0" xfId="12" applyNumberFormat="1" applyFont="1" applyBorder="1" applyAlignment="1" applyProtection="1">
      <alignment horizontal="center"/>
    </xf>
    <xf numFmtId="262" fontId="24" fillId="0" borderId="0" xfId="12" applyNumberFormat="1" applyFont="1" applyBorder="1" applyAlignment="1" applyProtection="1">
      <alignment horizontal="right"/>
    </xf>
    <xf numFmtId="10" fontId="12" fillId="0" borderId="0" xfId="12" applyNumberFormat="1" applyFont="1" applyFill="1" applyProtection="1"/>
    <xf numFmtId="37" fontId="12" fillId="4" borderId="0" xfId="12" applyNumberFormat="1" applyFont="1" applyFill="1" applyProtection="1">
      <protection locked="0"/>
    </xf>
    <xf numFmtId="242" fontId="12" fillId="4" borderId="0" xfId="12" applyNumberFormat="1" applyFont="1" applyFill="1" applyAlignment="1">
      <alignment horizontal="left"/>
    </xf>
    <xf numFmtId="242" fontId="12" fillId="0" borderId="0" xfId="12" applyNumberFormat="1" applyFont="1" applyFill="1" applyAlignment="1">
      <alignment horizontal="left"/>
    </xf>
    <xf numFmtId="0" fontId="11" fillId="0" borderId="0" xfId="14" applyNumberFormat="1" applyFont="1" applyBorder="1" applyAlignment="1"/>
    <xf numFmtId="37" fontId="12" fillId="11" borderId="0" xfId="12" applyFont="1" applyFill="1" applyBorder="1" applyProtection="1">
      <protection locked="0"/>
    </xf>
    <xf numFmtId="0" fontId="0" fillId="13" borderId="0" xfId="0" applyFill="1" applyBorder="1"/>
    <xf numFmtId="43" fontId="0" fillId="0" borderId="0" xfId="0" applyNumberFormat="1"/>
    <xf numFmtId="43" fontId="12" fillId="0" borderId="0" xfId="1" applyNumberFormat="1" applyFont="1" applyFill="1" applyBorder="1"/>
    <xf numFmtId="37" fontId="11" fillId="11" borderId="0" xfId="12" applyFont="1" applyFill="1" applyProtection="1">
      <protection locked="0"/>
    </xf>
    <xf numFmtId="37" fontId="12" fillId="11" borderId="0" xfId="12" applyFont="1" applyFill="1" applyProtection="1">
      <protection locked="0"/>
    </xf>
    <xf numFmtId="37" fontId="12" fillId="11" borderId="15" xfId="12" applyFont="1" applyFill="1" applyBorder="1"/>
    <xf numFmtId="37" fontId="11" fillId="11" borderId="15" xfId="12" applyFont="1" applyFill="1" applyBorder="1"/>
    <xf numFmtId="37" fontId="12" fillId="11" borderId="0" xfId="12" applyFont="1" applyFill="1"/>
    <xf numFmtId="0" fontId="12" fillId="0" borderId="21" xfId="14" applyNumberFormat="1" applyFont="1" applyBorder="1" applyAlignment="1">
      <alignment horizontal="left"/>
    </xf>
    <xf numFmtId="2" fontId="28" fillId="0" borderId="0" xfId="14" applyNumberFormat="1" applyFont="1" applyBorder="1" applyAlignment="1"/>
    <xf numFmtId="0" fontId="24" fillId="11" borderId="0" xfId="14" applyNumberFormat="1" applyFill="1" applyAlignment="1"/>
    <xf numFmtId="3" fontId="38" fillId="11" borderId="0" xfId="14" quotePrefix="1" applyNumberFormat="1" applyFont="1" applyFill="1" applyAlignment="1">
      <alignment horizontal="right"/>
    </xf>
    <xf numFmtId="173" fontId="28" fillId="0" borderId="42" xfId="22" applyNumberFormat="1" applyBorder="1"/>
    <xf numFmtId="0" fontId="47" fillId="0" borderId="0" xfId="14" applyNumberFormat="1" applyFont="1" applyAlignment="1"/>
    <xf numFmtId="0" fontId="24" fillId="0" borderId="0" xfId="0" applyFont="1"/>
    <xf numFmtId="220" fontId="24" fillId="7" borderId="56" xfId="12" applyNumberFormat="1" applyFont="1" applyFill="1" applyBorder="1" applyAlignment="1" applyProtection="1">
      <alignment horizontal="center"/>
    </xf>
    <xf numFmtId="9" fontId="28" fillId="0" borderId="0" xfId="14" applyNumberFormat="1" applyFont="1" applyAlignment="1"/>
    <xf numFmtId="14" fontId="24" fillId="0" borderId="0" xfId="14" applyNumberFormat="1" applyAlignment="1"/>
    <xf numFmtId="192" fontId="24" fillId="0" borderId="0" xfId="14" applyNumberFormat="1" applyAlignment="1"/>
    <xf numFmtId="182" fontId="24" fillId="0" borderId="0" xfId="1" applyNumberFormat="1" applyFont="1"/>
    <xf numFmtId="183" fontId="24" fillId="0" borderId="0" xfId="15" applyNumberFormat="1" applyFont="1"/>
    <xf numFmtId="0" fontId="85" fillId="14" borderId="0" xfId="14" applyNumberFormat="1" applyFont="1" applyFill="1" applyAlignment="1"/>
    <xf numFmtId="182" fontId="24" fillId="15" borderId="0" xfId="1" applyNumberFormat="1" applyFont="1" applyFill="1"/>
    <xf numFmtId="182" fontId="28" fillId="0" borderId="0" xfId="1" applyNumberFormat="1" applyFont="1" applyFill="1" applyBorder="1"/>
    <xf numFmtId="182" fontId="11" fillId="0" borderId="0" xfId="1" applyNumberFormat="1" applyFont="1" applyFill="1" applyBorder="1" applyAlignment="1">
      <alignment horizontal="left"/>
    </xf>
    <xf numFmtId="0" fontId="15" fillId="0" borderId="18" xfId="0" applyFont="1" applyBorder="1" applyAlignment="1">
      <alignment horizontal="centerContinuous"/>
    </xf>
    <xf numFmtId="0" fontId="0" fillId="0" borderId="4" xfId="0" applyBorder="1" applyAlignment="1"/>
    <xf numFmtId="0" fontId="0" fillId="0" borderId="3" xfId="0" applyBorder="1" applyAlignment="1"/>
    <xf numFmtId="0" fontId="15" fillId="0" borderId="20" xfId="0" applyFont="1" applyBorder="1" applyAlignment="1">
      <alignment horizontal="centerContinuous"/>
    </xf>
    <xf numFmtId="0" fontId="15" fillId="0" borderId="19" xfId="0" applyFont="1" applyBorder="1" applyAlignment="1">
      <alignment horizontal="centerContinuous"/>
    </xf>
    <xf numFmtId="0" fontId="0" fillId="0" borderId="20" xfId="0" applyBorder="1" applyAlignment="1">
      <alignment horizontal="left" indent="5"/>
    </xf>
    <xf numFmtId="0" fontId="15" fillId="0" borderId="0" xfId="0" applyFont="1" applyBorder="1" applyAlignment="1">
      <alignment horizontal="center"/>
    </xf>
    <xf numFmtId="1" fontId="0" fillId="0" borderId="0" xfId="0" quotePrefix="1" applyNumberFormat="1" applyBorder="1"/>
    <xf numFmtId="1" fontId="0" fillId="0" borderId="0" xfId="0" applyNumberFormat="1" applyBorder="1"/>
    <xf numFmtId="0" fontId="0" fillId="0" borderId="24" xfId="0" applyBorder="1"/>
    <xf numFmtId="0" fontId="15" fillId="12" borderId="8" xfId="0" applyFont="1" applyFill="1" applyBorder="1" applyAlignment="1">
      <alignment horizontal="center"/>
    </xf>
    <xf numFmtId="0" fontId="0" fillId="4" borderId="34" xfId="0" applyFill="1" applyBorder="1" applyAlignment="1">
      <alignment horizontal="centerContinuous"/>
    </xf>
    <xf numFmtId="0" fontId="0" fillId="4" borderId="33" xfId="0" applyFill="1" applyBorder="1" applyAlignment="1">
      <alignment horizontal="centerContinuous"/>
    </xf>
    <xf numFmtId="0" fontId="0" fillId="4" borderId="45" xfId="0" applyFill="1" applyBorder="1" applyAlignment="1">
      <alignment horizontal="centerContinuous"/>
    </xf>
    <xf numFmtId="182" fontId="0" fillId="12" borderId="6" xfId="1" applyNumberFormat="1" applyFont="1" applyFill="1" applyBorder="1"/>
    <xf numFmtId="22" fontId="0" fillId="0" borderId="0" xfId="0" applyNumberFormat="1"/>
    <xf numFmtId="193" fontId="0" fillId="0" borderId="0" xfId="0" applyNumberFormat="1" applyFill="1" applyAlignment="1">
      <alignment horizontal="center"/>
    </xf>
    <xf numFmtId="38" fontId="0" fillId="0" borderId="0" xfId="0" applyNumberFormat="1" applyAlignment="1"/>
    <xf numFmtId="0" fontId="15" fillId="0" borderId="9" xfId="0" applyFont="1" applyBorder="1" applyAlignment="1">
      <alignment horizontal="center"/>
    </xf>
    <xf numFmtId="41" fontId="15" fillId="0" borderId="19" xfId="0" applyNumberFormat="1" applyFont="1" applyBorder="1" applyAlignment="1">
      <alignment horizontal="center"/>
    </xf>
    <xf numFmtId="41" fontId="0" fillId="0" borderId="33" xfId="0" applyNumberFormat="1" applyBorder="1" applyAlignment="1">
      <alignment horizontal="left" indent="7"/>
    </xf>
    <xf numFmtId="0" fontId="2" fillId="0" borderId="34" xfId="0" applyFont="1" applyBorder="1" applyAlignment="1">
      <alignment horizontal="center"/>
    </xf>
    <xf numFmtId="40" fontId="15" fillId="0" borderId="12" xfId="0" applyNumberFormat="1" applyFont="1" applyFill="1" applyBorder="1"/>
    <xf numFmtId="38" fontId="0" fillId="0" borderId="0" xfId="0" applyNumberFormat="1" applyFill="1" applyBorder="1"/>
    <xf numFmtId="41" fontId="5" fillId="0" borderId="0" xfId="0" applyNumberFormat="1" applyFont="1" applyFill="1" applyBorder="1"/>
    <xf numFmtId="182" fontId="5" fillId="0" borderId="0" xfId="0" applyNumberFormat="1" applyFont="1" applyFill="1" applyBorder="1"/>
    <xf numFmtId="38" fontId="15" fillId="0" borderId="0" xfId="0" applyNumberFormat="1" applyFont="1" applyFill="1" applyBorder="1"/>
    <xf numFmtId="38" fontId="0" fillId="0" borderId="9" xfId="0" applyNumberFormat="1" applyFill="1" applyBorder="1"/>
    <xf numFmtId="40" fontId="15" fillId="0" borderId="2" xfId="0" applyNumberFormat="1" applyFont="1" applyFill="1" applyBorder="1"/>
    <xf numFmtId="38" fontId="0" fillId="0" borderId="6" xfId="0" applyNumberFormat="1" applyFill="1" applyBorder="1"/>
    <xf numFmtId="193" fontId="5" fillId="0" borderId="9" xfId="0" applyNumberFormat="1" applyFont="1" applyFill="1" applyBorder="1"/>
    <xf numFmtId="245" fontId="5" fillId="0" borderId="0" xfId="0" applyNumberFormat="1" applyFont="1" applyBorder="1" applyAlignment="1">
      <alignment horizontal="center"/>
    </xf>
    <xf numFmtId="245" fontId="5" fillId="0" borderId="0" xfId="0" applyNumberFormat="1" applyFont="1" applyBorder="1" applyAlignment="1" applyProtection="1">
      <alignment horizontal="center"/>
    </xf>
    <xf numFmtId="0" fontId="69" fillId="11" borderId="4" xfId="0" applyFont="1" applyFill="1" applyBorder="1"/>
    <xf numFmtId="0" fontId="69" fillId="11" borderId="5" xfId="0" applyFont="1" applyFill="1" applyBorder="1"/>
    <xf numFmtId="0" fontId="69" fillId="11" borderId="5" xfId="0" applyFont="1" applyFill="1" applyBorder="1" applyAlignment="1">
      <alignment horizontal="centerContinuous"/>
    </xf>
    <xf numFmtId="0" fontId="69" fillId="11" borderId="3" xfId="0" applyFont="1" applyFill="1" applyBorder="1" applyAlignment="1">
      <alignment horizontal="centerContinuous"/>
    </xf>
    <xf numFmtId="247" fontId="8" fillId="0" borderId="0" xfId="0" applyNumberFormat="1" applyFont="1" applyAlignment="1">
      <alignment horizontal="right"/>
    </xf>
    <xf numFmtId="0" fontId="69" fillId="11" borderId="12" xfId="0" applyFont="1" applyFill="1" applyBorder="1"/>
    <xf numFmtId="0" fontId="69" fillId="11" borderId="0" xfId="0" applyFont="1" applyFill="1" applyBorder="1" applyAlignment="1">
      <alignment horizontal="center"/>
    </xf>
    <xf numFmtId="0" fontId="69" fillId="11" borderId="9" xfId="0" applyFont="1" applyFill="1" applyBorder="1" applyAlignment="1">
      <alignment horizontal="center"/>
    </xf>
    <xf numFmtId="247" fontId="29" fillId="0" borderId="0" xfId="0" applyNumberFormat="1" applyFont="1" applyAlignment="1">
      <alignment horizontal="right"/>
    </xf>
    <xf numFmtId="14" fontId="69" fillId="11" borderId="12" xfId="0" applyNumberFormat="1" applyFont="1" applyFill="1" applyBorder="1" applyAlignment="1">
      <alignment horizontal="center"/>
    </xf>
    <xf numFmtId="8" fontId="69" fillId="11" borderId="0" xfId="0" applyNumberFormat="1" applyFont="1" applyFill="1" applyBorder="1" applyAlignment="1">
      <alignment horizontal="center"/>
    </xf>
    <xf numFmtId="8" fontId="69" fillId="11" borderId="9" xfId="0" applyNumberFormat="1" applyFont="1" applyFill="1" applyBorder="1" applyAlignment="1">
      <alignment horizontal="center"/>
    </xf>
    <xf numFmtId="247" fontId="15" fillId="0" borderId="0" xfId="0" applyNumberFormat="1" applyFont="1" applyAlignment="1">
      <alignment horizontal="right"/>
    </xf>
    <xf numFmtId="183" fontId="0" fillId="0" borderId="0" xfId="15" quotePrefix="1" applyNumberFormat="1" applyFont="1" applyFill="1" applyBorder="1" applyProtection="1"/>
    <xf numFmtId="245" fontId="5" fillId="0" borderId="0" xfId="15" applyNumberFormat="1" applyFont="1" applyBorder="1" applyAlignment="1">
      <alignment horizontal="center"/>
    </xf>
    <xf numFmtId="14" fontId="69" fillId="11" borderId="2" xfId="0" applyNumberFormat="1" applyFont="1" applyFill="1" applyBorder="1" applyAlignment="1">
      <alignment horizontal="center"/>
    </xf>
    <xf numFmtId="8" fontId="69" fillId="11" borderId="6" xfId="0" applyNumberFormat="1" applyFont="1" applyFill="1" applyBorder="1" applyAlignment="1">
      <alignment horizontal="center"/>
    </xf>
    <xf numFmtId="8" fontId="69" fillId="11" borderId="24" xfId="0" applyNumberFormat="1" applyFont="1" applyFill="1" applyBorder="1" applyAlignment="1">
      <alignment horizontal="center"/>
    </xf>
    <xf numFmtId="4" fontId="5" fillId="0" borderId="0" xfId="0" applyNumberFormat="1" applyFont="1"/>
    <xf numFmtId="41" fontId="5" fillId="0" borderId="0" xfId="0" applyNumberFormat="1" applyFont="1" applyAlignment="1">
      <alignment horizontal="center"/>
    </xf>
    <xf numFmtId="41" fontId="0" fillId="0" borderId="4" xfId="0" applyNumberFormat="1" applyBorder="1" applyAlignment="1">
      <alignment horizontal="centerContinuous"/>
    </xf>
    <xf numFmtId="41" fontId="0" fillId="0" borderId="5" xfId="0" applyNumberFormat="1" applyBorder="1" applyAlignment="1">
      <alignment horizontal="centerContinuous"/>
    </xf>
    <xf numFmtId="41" fontId="0" fillId="0" borderId="3" xfId="0" applyNumberFormat="1" applyBorder="1" applyAlignment="1">
      <alignment horizontal="centerContinuous"/>
    </xf>
    <xf numFmtId="41" fontId="5" fillId="11" borderId="0" xfId="0" applyNumberFormat="1" applyFont="1" applyFill="1"/>
    <xf numFmtId="41" fontId="0" fillId="0" borderId="12" xfId="0" applyNumberFormat="1" applyBorder="1" applyAlignment="1">
      <alignment horizontal="center"/>
    </xf>
    <xf numFmtId="41" fontId="0" fillId="0" borderId="16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193" fontId="0" fillId="0" borderId="5" xfId="0" applyNumberFormat="1" applyBorder="1"/>
    <xf numFmtId="193" fontId="0" fillId="0" borderId="0" xfId="0" applyNumberFormat="1" applyBorder="1"/>
    <xf numFmtId="8" fontId="2" fillId="0" borderId="52" xfId="0" applyNumberFormat="1" applyFont="1" applyBorder="1" applyAlignment="1">
      <alignment horizontal="center"/>
    </xf>
    <xf numFmtId="39" fontId="0" fillId="0" borderId="21" xfId="0" quotePrefix="1" applyNumberFormat="1" applyFill="1" applyBorder="1" applyAlignment="1">
      <alignment horizontal="center"/>
    </xf>
    <xf numFmtId="39" fontId="0" fillId="0" borderId="0" xfId="0" applyNumberFormat="1" applyFill="1" applyBorder="1" applyAlignment="1">
      <alignment horizontal="center"/>
    </xf>
    <xf numFmtId="39" fontId="0" fillId="0" borderId="21" xfId="0" applyNumberFormat="1" applyFill="1" applyBorder="1" applyAlignment="1">
      <alignment horizontal="center"/>
    </xf>
    <xf numFmtId="39" fontId="0" fillId="0" borderId="22" xfId="0" applyNumberFormat="1" applyFill="1" applyBorder="1" applyAlignment="1">
      <alignment horizontal="center"/>
    </xf>
    <xf numFmtId="39" fontId="0" fillId="0" borderId="6" xfId="0" applyNumberFormat="1" applyFill="1" applyBorder="1" applyAlignment="1">
      <alignment horizontal="center"/>
    </xf>
    <xf numFmtId="37" fontId="49" fillId="0" borderId="0" xfId="12" applyNumberFormat="1" applyFont="1" applyProtection="1"/>
    <xf numFmtId="3" fontId="32" fillId="13" borderId="0" xfId="14" applyNumberFormat="1" applyFont="1" applyFill="1" applyAlignment="1">
      <alignment horizontal="right"/>
    </xf>
    <xf numFmtId="37" fontId="32" fillId="13" borderId="114" xfId="12" applyFont="1" applyFill="1" applyBorder="1"/>
    <xf numFmtId="262" fontId="24" fillId="0" borderId="88" xfId="12" applyNumberFormat="1" applyFont="1" applyBorder="1" applyAlignment="1" applyProtection="1">
      <alignment horizontal="center"/>
    </xf>
    <xf numFmtId="14" fontId="24" fillId="0" borderId="88" xfId="12" applyNumberFormat="1" applyFont="1" applyBorder="1" applyAlignment="1" applyProtection="1">
      <alignment horizontal="center"/>
    </xf>
    <xf numFmtId="14" fontId="24" fillId="9" borderId="115" xfId="12" applyNumberFormat="1" applyFont="1" applyFill="1" applyBorder="1" applyAlignment="1" applyProtection="1">
      <alignment horizontal="center"/>
    </xf>
    <xf numFmtId="262" fontId="24" fillId="9" borderId="115" xfId="12" applyNumberFormat="1" applyFont="1" applyFill="1" applyBorder="1" applyAlignment="1" applyProtection="1">
      <alignment horizontal="center"/>
    </xf>
    <xf numFmtId="262" fontId="24" fillId="12" borderId="115" xfId="12" applyNumberFormat="1" applyFont="1" applyFill="1" applyBorder="1" applyAlignment="1" applyProtection="1">
      <alignment horizontal="center"/>
    </xf>
    <xf numFmtId="37" fontId="24" fillId="14" borderId="25" xfId="12" applyFont="1" applyFill="1" applyBorder="1"/>
    <xf numFmtId="37" fontId="11" fillId="14" borderId="26" xfId="12" applyFont="1" applyFill="1" applyBorder="1" applyAlignment="1">
      <alignment horizontal="right"/>
    </xf>
    <xf numFmtId="37" fontId="11" fillId="14" borderId="26" xfId="12" applyFont="1" applyFill="1" applyBorder="1"/>
    <xf numFmtId="37" fontId="11" fillId="14" borderId="27" xfId="12" applyFont="1" applyFill="1" applyBorder="1"/>
    <xf numFmtId="0" fontId="0" fillId="0" borderId="18" xfId="0" applyBorder="1" applyAlignment="1">
      <alignment horizontal="centerContinuous"/>
    </xf>
    <xf numFmtId="41" fontId="0" fillId="0" borderId="34" xfId="0" applyNumberFormat="1" applyBorder="1" applyAlignment="1">
      <alignment horizontal="centerContinuous"/>
    </xf>
    <xf numFmtId="41" fontId="0" fillId="0" borderId="33" xfId="0" applyNumberFormat="1" applyBorder="1" applyAlignment="1">
      <alignment horizontal="centerContinuous"/>
    </xf>
    <xf numFmtId="41" fontId="0" fillId="0" borderId="45" xfId="0" applyNumberFormat="1" applyBorder="1" applyAlignment="1">
      <alignment horizontal="centerContinuous"/>
    </xf>
    <xf numFmtId="181" fontId="12" fillId="0" borderId="0" xfId="1" applyNumberFormat="1" applyFont="1" applyFill="1" applyBorder="1"/>
    <xf numFmtId="0" fontId="42" fillId="0" borderId="0" xfId="0" applyFont="1" applyFill="1" applyBorder="1" applyAlignment="1">
      <alignment horizontal="left" indent="1"/>
    </xf>
    <xf numFmtId="182" fontId="42" fillId="4" borderId="0" xfId="1" applyNumberFormat="1" applyFont="1" applyFill="1" applyBorder="1"/>
    <xf numFmtId="0" fontId="5" fillId="4" borderId="0" xfId="0" applyFont="1" applyFill="1"/>
    <xf numFmtId="1" fontId="51" fillId="0" borderId="0" xfId="14" applyNumberFormat="1" applyFont="1" applyBorder="1" applyAlignment="1"/>
    <xf numFmtId="43" fontId="0" fillId="0" borderId="0" xfId="0" applyNumberFormat="1" applyFill="1"/>
    <xf numFmtId="182" fontId="24" fillId="0" borderId="0" xfId="1" applyNumberFormat="1" applyFont="1" applyFill="1"/>
    <xf numFmtId="222" fontId="24" fillId="0" borderId="0" xfId="12" applyNumberFormat="1" applyFont="1" applyFill="1" applyAlignment="1"/>
    <xf numFmtId="43" fontId="24" fillId="0" borderId="0" xfId="14" applyNumberFormat="1" applyAlignment="1"/>
    <xf numFmtId="182" fontId="24" fillId="0" borderId="0" xfId="14" applyNumberFormat="1" applyAlignment="1"/>
    <xf numFmtId="0" fontId="24" fillId="0" borderId="0" xfId="14" applyNumberFormat="1" applyFont="1" applyAlignment="1">
      <alignment horizontal="right"/>
    </xf>
    <xf numFmtId="259" fontId="77" fillId="16" borderId="0" xfId="15" applyNumberFormat="1" applyFont="1" applyFill="1" applyBorder="1"/>
    <xf numFmtId="247" fontId="0" fillId="0" borderId="0" xfId="0" quotePrefix="1" applyNumberFormat="1" applyAlignment="1">
      <alignment horizontal="center"/>
    </xf>
    <xf numFmtId="247" fontId="15" fillId="0" borderId="12" xfId="0" applyNumberFormat="1" applyFont="1" applyFill="1" applyBorder="1"/>
    <xf numFmtId="191" fontId="24" fillId="0" borderId="0" xfId="14" applyNumberFormat="1" applyAlignment="1"/>
    <xf numFmtId="38" fontId="24" fillId="11" borderId="0" xfId="2" applyNumberFormat="1" applyFont="1" applyFill="1"/>
    <xf numFmtId="3" fontId="42" fillId="13" borderId="0" xfId="13" applyNumberFormat="1" applyFont="1" applyFill="1" applyBorder="1" applyAlignment="1">
      <alignment horizontal="right"/>
    </xf>
    <xf numFmtId="38" fontId="24" fillId="13" borderId="0" xfId="2" applyNumberFormat="1" applyFont="1" applyFill="1"/>
    <xf numFmtId="3" fontId="42" fillId="13" borderId="0" xfId="13" applyNumberFormat="1" applyFont="1" applyFill="1" applyBorder="1"/>
    <xf numFmtId="0" fontId="15" fillId="0" borderId="0" xfId="0" applyFont="1" applyFill="1"/>
    <xf numFmtId="198" fontId="24" fillId="15" borderId="0" xfId="14" applyNumberFormat="1" applyFill="1" applyAlignment="1"/>
    <xf numFmtId="41" fontId="0" fillId="15" borderId="6" xfId="0" applyNumberFormat="1" applyFill="1" applyBorder="1"/>
    <xf numFmtId="14" fontId="0" fillId="13" borderId="0" xfId="0" applyNumberFormat="1" applyFill="1" applyBorder="1"/>
    <xf numFmtId="2" fontId="0" fillId="13" borderId="0" xfId="0" applyNumberFormat="1" applyFill="1" applyBorder="1"/>
    <xf numFmtId="9" fontId="0" fillId="0" borderId="0" xfId="15" applyFont="1" applyFill="1" applyBorder="1"/>
    <xf numFmtId="0" fontId="24" fillId="0" borderId="18" xfId="14" applyNumberFormat="1" applyFont="1" applyBorder="1" applyAlignment="1"/>
    <xf numFmtId="38" fontId="12" fillId="0" borderId="18" xfId="1" applyNumberFormat="1" applyFont="1" applyBorder="1"/>
    <xf numFmtId="0" fontId="24" fillId="0" borderId="0" xfId="14" applyNumberFormat="1" applyFont="1" applyBorder="1" applyAlignment="1">
      <alignment horizontal="left"/>
    </xf>
    <xf numFmtId="193" fontId="3" fillId="0" borderId="0" xfId="0" applyNumberFormat="1" applyFont="1" applyBorder="1" applyProtection="1"/>
    <xf numFmtId="193" fontId="14" fillId="0" borderId="32" xfId="0" applyNumberFormat="1" applyFont="1" applyBorder="1" applyAlignment="1" applyProtection="1">
      <alignment horizontal="center"/>
    </xf>
    <xf numFmtId="193" fontId="14" fillId="0" borderId="40" xfId="0" applyNumberFormat="1" applyFont="1" applyBorder="1" applyAlignment="1" applyProtection="1">
      <alignment horizontal="center"/>
    </xf>
    <xf numFmtId="193" fontId="6" fillId="0" borderId="41" xfId="0" applyNumberFormat="1" applyFont="1" applyBorder="1" applyAlignment="1" applyProtection="1">
      <alignment horizontal="center"/>
    </xf>
    <xf numFmtId="15" fontId="0" fillId="5" borderId="12" xfId="0" applyNumberFormat="1" applyFill="1" applyBorder="1"/>
    <xf numFmtId="41" fontId="15" fillId="0" borderId="32" xfId="0" applyNumberFormat="1" applyFont="1" applyBorder="1" applyAlignment="1">
      <alignment horizontal="center"/>
    </xf>
    <xf numFmtId="41" fontId="15" fillId="0" borderId="40" xfId="0" applyNumberFormat="1" applyFont="1" applyBorder="1" applyAlignment="1">
      <alignment horizontal="center"/>
    </xf>
    <xf numFmtId="41" fontId="0" fillId="0" borderId="40" xfId="0" applyNumberFormat="1" applyBorder="1"/>
    <xf numFmtId="42" fontId="0" fillId="0" borderId="0" xfId="0" applyNumberFormat="1"/>
    <xf numFmtId="0" fontId="54" fillId="0" borderId="0" xfId="13" applyFont="1" applyBorder="1" applyAlignment="1">
      <alignment horizontal="left"/>
    </xf>
    <xf numFmtId="0" fontId="54" fillId="0" borderId="0" xfId="13" quotePrefix="1" applyFont="1" applyBorder="1" applyAlignment="1">
      <alignment horizontal="left"/>
    </xf>
    <xf numFmtId="0" fontId="88" fillId="0" borderId="0" xfId="14" applyNumberFormat="1" applyFont="1" applyAlignment="1"/>
    <xf numFmtId="0" fontId="12" fillId="0" borderId="0" xfId="13" applyFont="1" applyBorder="1"/>
    <xf numFmtId="3" fontId="49" fillId="0" borderId="0" xfId="14" applyNumberFormat="1" applyFont="1" applyAlignment="1"/>
    <xf numFmtId="14" fontId="28" fillId="0" borderId="0" xfId="14" applyNumberFormat="1" applyFont="1" applyBorder="1" applyAlignment="1"/>
    <xf numFmtId="37" fontId="12" fillId="14" borderId="0" xfId="12" applyFont="1" applyFill="1" applyBorder="1" applyProtection="1">
      <protection locked="0"/>
    </xf>
    <xf numFmtId="37" fontId="12" fillId="14" borderId="10" xfId="12" applyFont="1" applyFill="1" applyBorder="1" applyProtection="1">
      <protection locked="0"/>
    </xf>
    <xf numFmtId="43" fontId="11" fillId="0" borderId="0" xfId="1" applyNumberFormat="1" applyFont="1" applyFill="1" applyBorder="1"/>
    <xf numFmtId="0" fontId="0" fillId="0" borderId="40" xfId="0" applyBorder="1"/>
    <xf numFmtId="0" fontId="0" fillId="0" borderId="41" xfId="0" applyBorder="1"/>
    <xf numFmtId="0" fontId="72" fillId="4" borderId="25" xfId="0" applyFont="1" applyFill="1" applyBorder="1"/>
    <xf numFmtId="0" fontId="0" fillId="4" borderId="26" xfId="0" applyFill="1" applyBorder="1"/>
    <xf numFmtId="44" fontId="0" fillId="0" borderId="0" xfId="0" applyNumberFormat="1"/>
    <xf numFmtId="2" fontId="0" fillId="4" borderId="26" xfId="0" applyNumberFormat="1" applyFill="1" applyBorder="1"/>
    <xf numFmtId="44" fontId="0" fillId="0" borderId="0" xfId="3" applyFont="1"/>
    <xf numFmtId="44" fontId="0" fillId="4" borderId="26" xfId="3" applyFont="1" applyFill="1" applyBorder="1"/>
    <xf numFmtId="0" fontId="0" fillId="4" borderId="3" xfId="0" applyFill="1" applyBorder="1"/>
    <xf numFmtId="0" fontId="0" fillId="0" borderId="32" xfId="0" applyBorder="1"/>
    <xf numFmtId="229" fontId="0" fillId="0" borderId="0" xfId="0" applyNumberFormat="1"/>
    <xf numFmtId="44" fontId="0" fillId="17" borderId="25" xfId="3" applyFont="1" applyFill="1" applyBorder="1"/>
    <xf numFmtId="0" fontId="0" fillId="17" borderId="26" xfId="0" applyFill="1" applyBorder="1"/>
    <xf numFmtId="0" fontId="15" fillId="17" borderId="26" xfId="0" applyFont="1" applyFill="1" applyBorder="1"/>
    <xf numFmtId="0" fontId="0" fillId="11" borderId="25" xfId="0" applyFill="1" applyBorder="1"/>
    <xf numFmtId="0" fontId="15" fillId="11" borderId="26" xfId="0" applyFont="1" applyFill="1" applyBorder="1"/>
    <xf numFmtId="0" fontId="0" fillId="11" borderId="26" xfId="0" applyFill="1" applyBorder="1"/>
    <xf numFmtId="10" fontId="0" fillId="11" borderId="26" xfId="0" applyNumberFormat="1" applyFill="1" applyBorder="1"/>
    <xf numFmtId="0" fontId="0" fillId="11" borderId="27" xfId="0" applyFill="1" applyBorder="1"/>
    <xf numFmtId="0" fontId="17" fillId="4" borderId="26" xfId="0" applyFont="1" applyFill="1" applyBorder="1"/>
    <xf numFmtId="0" fontId="0" fillId="14" borderId="25" xfId="0" applyFill="1" applyBorder="1"/>
    <xf numFmtId="44" fontId="17" fillId="14" borderId="26" xfId="3" applyFont="1" applyFill="1" applyBorder="1"/>
    <xf numFmtId="0" fontId="0" fillId="14" borderId="26" xfId="0" applyFill="1" applyBorder="1"/>
    <xf numFmtId="0" fontId="0" fillId="14" borderId="27" xfId="0" applyFill="1" applyBorder="1"/>
    <xf numFmtId="0" fontId="0" fillId="14" borderId="40" xfId="0" applyFill="1" applyBorder="1" applyAlignment="1">
      <alignment horizontal="center"/>
    </xf>
    <xf numFmtId="44" fontId="0" fillId="14" borderId="12" xfId="3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4" borderId="107" xfId="0" applyFill="1" applyBorder="1" applyAlignment="1">
      <alignment horizontal="center"/>
    </xf>
    <xf numFmtId="44" fontId="0" fillId="4" borderId="0" xfId="3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44" fontId="0" fillId="4" borderId="29" xfId="3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17" borderId="40" xfId="3" applyFont="1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10" fontId="0" fillId="11" borderId="32" xfId="0" applyNumberFormat="1" applyFill="1" applyBorder="1" applyAlignment="1">
      <alignment horizontal="center"/>
    </xf>
    <xf numFmtId="0" fontId="0" fillId="14" borderId="41" xfId="0" applyFill="1" applyBorder="1" applyAlignment="1">
      <alignment horizontal="center"/>
    </xf>
    <xf numFmtId="44" fontId="0" fillId="14" borderId="2" xfId="3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4" borderId="109" xfId="0" applyFill="1" applyBorder="1" applyAlignment="1">
      <alignment horizontal="center"/>
    </xf>
    <xf numFmtId="44" fontId="0" fillId="4" borderId="6" xfId="3" applyFont="1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44" fontId="0" fillId="17" borderId="41" xfId="3" applyFont="1" applyFill="1" applyBorder="1" applyAlignment="1">
      <alignment horizontal="center"/>
    </xf>
    <xf numFmtId="0" fontId="0" fillId="17" borderId="41" xfId="0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10" fontId="0" fillId="11" borderId="41" xfId="0" applyNumberFormat="1" applyFill="1" applyBorder="1" applyAlignment="1">
      <alignment horizontal="center"/>
    </xf>
    <xf numFmtId="42" fontId="0" fillId="0" borderId="28" xfId="0" applyNumberFormat="1" applyBorder="1"/>
    <xf numFmtId="42" fontId="0" fillId="0" borderId="32" xfId="0" applyNumberFormat="1" applyBorder="1"/>
    <xf numFmtId="42" fontId="0" fillId="0" borderId="40" xfId="0" applyNumberFormat="1" applyBorder="1"/>
    <xf numFmtId="42" fontId="0" fillId="0" borderId="41" xfId="0" applyNumberFormat="1" applyBorder="1"/>
    <xf numFmtId="44" fontId="0" fillId="4" borderId="52" xfId="3" applyFont="1" applyFill="1" applyBorder="1" applyAlignment="1">
      <alignment horizontal="center"/>
    </xf>
    <xf numFmtId="193" fontId="5" fillId="13" borderId="0" xfId="0" applyNumberFormat="1" applyFont="1" applyFill="1"/>
    <xf numFmtId="182" fontId="0" fillId="0" borderId="0" xfId="1" applyNumberFormat="1" applyFont="1"/>
    <xf numFmtId="0" fontId="15" fillId="0" borderId="0" xfId="0" applyFont="1" applyAlignment="1">
      <alignment horizontal="right"/>
    </xf>
    <xf numFmtId="0" fontId="8" fillId="0" borderId="0" xfId="0" applyFont="1"/>
    <xf numFmtId="182" fontId="15" fillId="0" borderId="0" xfId="1" applyNumberFormat="1" applyFont="1"/>
    <xf numFmtId="9" fontId="8" fillId="17" borderId="27" xfId="3" applyNumberFormat="1" applyFont="1" applyFill="1" applyBorder="1" applyAlignment="1">
      <alignment horizontal="right"/>
    </xf>
    <xf numFmtId="193" fontId="0" fillId="0" borderId="0" xfId="0" applyNumberFormat="1" applyAlignment="1">
      <alignment horizontal="center"/>
    </xf>
    <xf numFmtId="0" fontId="15" fillId="0" borderId="34" xfId="0" applyFont="1" applyBorder="1"/>
    <xf numFmtId="220" fontId="8" fillId="0" borderId="45" xfId="0" applyNumberFormat="1" applyFont="1" applyFill="1" applyBorder="1" applyAlignment="1" applyProtection="1">
      <alignment horizontal="right"/>
      <protection locked="0"/>
    </xf>
    <xf numFmtId="2" fontId="0" fillId="0" borderId="32" xfId="15" quotePrefix="1" applyNumberFormat="1" applyFont="1" applyBorder="1"/>
    <xf numFmtId="2" fontId="0" fillId="0" borderId="40" xfId="15" quotePrefix="1" applyNumberFormat="1" applyFont="1" applyBorder="1"/>
    <xf numFmtId="2" fontId="0" fillId="0" borderId="41" xfId="15" quotePrefix="1" applyNumberFormat="1" applyFont="1" applyBorder="1"/>
    <xf numFmtId="37" fontId="77" fillId="0" borderId="0" xfId="0" applyNumberFormat="1" applyFont="1" applyFill="1" applyBorder="1"/>
    <xf numFmtId="0" fontId="5" fillId="0" borderId="0" xfId="0" applyFont="1" applyFill="1"/>
    <xf numFmtId="0" fontId="12" fillId="0" borderId="0" xfId="0" applyFont="1" applyFill="1" applyBorder="1" applyAlignment="1">
      <alignment horizontal="left"/>
    </xf>
    <xf numFmtId="37" fontId="11" fillId="0" borderId="0" xfId="0" applyNumberFormat="1" applyFont="1" applyFill="1" applyBorder="1"/>
    <xf numFmtId="10" fontId="11" fillId="0" borderId="0" xfId="15" applyNumberFormat="1" applyFont="1" applyFill="1" applyBorder="1"/>
    <xf numFmtId="37" fontId="40" fillId="0" borderId="0" xfId="0" applyNumberFormat="1" applyFont="1" applyFill="1" applyBorder="1"/>
    <xf numFmtId="0" fontId="11" fillId="0" borderId="0" xfId="0" applyFont="1" applyFill="1" applyBorder="1" applyAlignment="1">
      <alignment horizontal="left" indent="3"/>
    </xf>
    <xf numFmtId="5" fontId="11" fillId="0" borderId="0" xfId="0" applyNumberFormat="1" applyFont="1" applyFill="1" applyBorder="1" applyAlignment="1">
      <alignment horizontal="center"/>
    </xf>
    <xf numFmtId="229" fontId="11" fillId="0" borderId="0" xfId="0" applyNumberFormat="1" applyFont="1" applyFill="1" applyBorder="1"/>
    <xf numFmtId="43" fontId="0" fillId="0" borderId="16" xfId="0" applyNumberFormat="1" applyBorder="1"/>
    <xf numFmtId="0" fontId="40" fillId="4" borderId="4" xfId="0" applyFont="1" applyFill="1" applyBorder="1"/>
    <xf numFmtId="0" fontId="12" fillId="4" borderId="5" xfId="0" applyFont="1" applyFill="1" applyBorder="1"/>
    <xf numFmtId="0" fontId="12" fillId="4" borderId="3" xfId="0" applyFont="1" applyFill="1" applyBorder="1"/>
    <xf numFmtId="0" fontId="12" fillId="4" borderId="12" xfId="0" applyFont="1" applyFill="1" applyBorder="1"/>
    <xf numFmtId="0" fontId="12" fillId="4" borderId="0" xfId="0" applyFont="1" applyFill="1" applyBorder="1"/>
    <xf numFmtId="190" fontId="11" fillId="4" borderId="9" xfId="0" applyNumberFormat="1" applyFont="1" applyFill="1" applyBorder="1"/>
    <xf numFmtId="190" fontId="36" fillId="4" borderId="9" xfId="0" applyNumberFormat="1" applyFont="1" applyFill="1" applyBorder="1"/>
    <xf numFmtId="0" fontId="42" fillId="4" borderId="9" xfId="0" applyFont="1" applyFill="1" applyBorder="1"/>
    <xf numFmtId="0" fontId="40" fillId="4" borderId="12" xfId="0" applyFont="1" applyFill="1" applyBorder="1"/>
    <xf numFmtId="182" fontId="36" fillId="4" borderId="9" xfId="1" applyNumberFormat="1" applyFont="1" applyFill="1" applyBorder="1"/>
    <xf numFmtId="10" fontId="36" fillId="4" borderId="9" xfId="15" applyNumberFormat="1" applyFont="1" applyFill="1" applyBorder="1"/>
    <xf numFmtId="9" fontId="36" fillId="4" borderId="9" xfId="15" applyFont="1" applyFill="1" applyBorder="1"/>
    <xf numFmtId="183" fontId="36" fillId="4" borderId="9" xfId="15" applyNumberFormat="1" applyFont="1" applyFill="1" applyBorder="1"/>
    <xf numFmtId="183" fontId="11" fillId="4" borderId="9" xfId="0" applyNumberFormat="1" applyFont="1" applyFill="1" applyBorder="1"/>
    <xf numFmtId="0" fontId="12" fillId="4" borderId="9" xfId="0" applyFont="1" applyFill="1" applyBorder="1"/>
    <xf numFmtId="14" fontId="36" fillId="4" borderId="9" xfId="0" applyNumberFormat="1" applyFont="1" applyFill="1" applyBorder="1"/>
    <xf numFmtId="0" fontId="12" fillId="4" borderId="2" xfId="0" applyFont="1" applyFill="1" applyBorder="1"/>
    <xf numFmtId="0" fontId="12" fillId="4" borderId="6" xfId="0" applyFont="1" applyFill="1" applyBorder="1"/>
    <xf numFmtId="14" fontId="36" fillId="4" borderId="24" xfId="0" applyNumberFormat="1" applyFont="1" applyFill="1" applyBorder="1"/>
    <xf numFmtId="0" fontId="12" fillId="4" borderId="4" xfId="0" applyFont="1" applyFill="1" applyBorder="1"/>
    <xf numFmtId="0" fontId="53" fillId="4" borderId="5" xfId="0" applyFont="1" applyFill="1" applyBorder="1" applyAlignment="1">
      <alignment horizontal="right"/>
    </xf>
    <xf numFmtId="0" fontId="53" fillId="4" borderId="3" xfId="0" applyFont="1" applyFill="1" applyBorder="1" applyAlignment="1">
      <alignment horizontal="right"/>
    </xf>
    <xf numFmtId="5" fontId="11" fillId="4" borderId="0" xfId="0" applyNumberFormat="1" applyFont="1" applyFill="1" applyBorder="1"/>
    <xf numFmtId="0" fontId="36" fillId="4" borderId="9" xfId="0" applyFont="1" applyFill="1" applyBorder="1"/>
    <xf numFmtId="0" fontId="11" fillId="4" borderId="12" xfId="0" applyFont="1" applyFill="1" applyBorder="1"/>
    <xf numFmtId="0" fontId="0" fillId="4" borderId="0" xfId="0" applyFill="1" applyBorder="1"/>
    <xf numFmtId="182" fontId="11" fillId="4" borderId="9" xfId="1" applyNumberFormat="1" applyFont="1" applyFill="1" applyBorder="1"/>
    <xf numFmtId="0" fontId="12" fillId="4" borderId="12" xfId="0" applyFont="1" applyFill="1" applyBorder="1" applyAlignment="1">
      <alignment horizontal="left" indent="1"/>
    </xf>
    <xf numFmtId="10" fontId="36" fillId="4" borderId="0" xfId="15" applyNumberFormat="1" applyFont="1" applyFill="1" applyBorder="1"/>
    <xf numFmtId="182" fontId="32" fillId="4" borderId="9" xfId="1" applyNumberFormat="1" applyFont="1" applyFill="1" applyBorder="1"/>
    <xf numFmtId="0" fontId="42" fillId="4" borderId="0" xfId="0" applyFont="1" applyFill="1" applyBorder="1"/>
    <xf numFmtId="0" fontId="11" fillId="4" borderId="2" xfId="0" applyFont="1" applyFill="1" applyBorder="1"/>
    <xf numFmtId="5" fontId="11" fillId="4" borderId="6" xfId="0" applyNumberFormat="1" applyFont="1" applyFill="1" applyBorder="1"/>
    <xf numFmtId="182" fontId="11" fillId="4" borderId="24" xfId="0" applyNumberFormat="1" applyFont="1" applyFill="1" applyBorder="1"/>
    <xf numFmtId="0" fontId="53" fillId="4" borderId="0" xfId="0" applyFont="1" applyFill="1" applyBorder="1" applyAlignment="1">
      <alignment horizontal="right"/>
    </xf>
    <xf numFmtId="0" fontId="53" fillId="4" borderId="9" xfId="0" applyFont="1" applyFill="1" applyBorder="1" applyAlignment="1">
      <alignment horizontal="right"/>
    </xf>
    <xf numFmtId="0" fontId="0" fillId="4" borderId="9" xfId="0" applyFill="1" applyBorder="1"/>
    <xf numFmtId="0" fontId="12" fillId="4" borderId="12" xfId="0" applyFont="1" applyFill="1" applyBorder="1" applyAlignment="1">
      <alignment horizontal="left" indent="2"/>
    </xf>
    <xf numFmtId="238" fontId="36" fillId="4" borderId="0" xfId="0" applyNumberFormat="1" applyFont="1" applyFill="1" applyBorder="1"/>
    <xf numFmtId="238" fontId="36" fillId="4" borderId="9" xfId="0" applyNumberFormat="1" applyFont="1" applyFill="1" applyBorder="1"/>
    <xf numFmtId="190" fontId="36" fillId="4" borderId="9" xfId="0" applyNumberFormat="1" applyFont="1" applyFill="1" applyBorder="1" applyAlignment="1">
      <alignment horizontal="right"/>
    </xf>
    <xf numFmtId="190" fontId="32" fillId="4" borderId="9" xfId="0" applyNumberFormat="1" applyFont="1" applyFill="1" applyBorder="1" applyAlignment="1">
      <alignment horizontal="right"/>
    </xf>
    <xf numFmtId="0" fontId="36" fillId="4" borderId="9" xfId="0" applyFont="1" applyFill="1" applyBorder="1" applyAlignment="1">
      <alignment horizontal="right"/>
    </xf>
    <xf numFmtId="1" fontId="11" fillId="4" borderId="9" xfId="0" applyNumberFormat="1" applyFont="1" applyFill="1" applyBorder="1" applyAlignment="1">
      <alignment horizontal="right"/>
    </xf>
    <xf numFmtId="238" fontId="11" fillId="4" borderId="9" xfId="0" applyNumberFormat="1" applyFont="1" applyFill="1" applyBorder="1"/>
    <xf numFmtId="183" fontId="32" fillId="4" borderId="9" xfId="15" applyNumberFormat="1" applyFont="1" applyFill="1" applyBorder="1"/>
    <xf numFmtId="238" fontId="32" fillId="4" borderId="9" xfId="0" applyNumberFormat="1" applyFont="1" applyFill="1" applyBorder="1"/>
    <xf numFmtId="14" fontId="11" fillId="4" borderId="9" xfId="0" applyNumberFormat="1" applyFont="1" applyFill="1" applyBorder="1"/>
    <xf numFmtId="0" fontId="11" fillId="4" borderId="9" xfId="0" applyFont="1" applyFill="1" applyBorder="1" applyAlignment="1">
      <alignment horizontal="right"/>
    </xf>
    <xf numFmtId="0" fontId="32" fillId="4" borderId="9" xfId="0" applyFont="1" applyFill="1" applyBorder="1" applyAlignment="1">
      <alignment horizontal="right"/>
    </xf>
    <xf numFmtId="183" fontId="12" fillId="4" borderId="0" xfId="15" applyNumberFormat="1" applyFont="1" applyFill="1" applyBorder="1"/>
    <xf numFmtId="182" fontId="11" fillId="4" borderId="9" xfId="0" applyNumberFormat="1" applyFont="1" applyFill="1" applyBorder="1"/>
    <xf numFmtId="182" fontId="64" fillId="4" borderId="9" xfId="0" applyNumberFormat="1" applyFont="1" applyFill="1" applyBorder="1"/>
    <xf numFmtId="0" fontId="36" fillId="4" borderId="9" xfId="0" applyFont="1" applyFill="1" applyBorder="1" applyAlignment="1">
      <alignment horizontal="center"/>
    </xf>
    <xf numFmtId="0" fontId="35" fillId="4" borderId="12" xfId="0" applyFont="1" applyFill="1" applyBorder="1"/>
    <xf numFmtId="10" fontId="12" fillId="4" borderId="0" xfId="0" applyNumberFormat="1" applyFont="1" applyFill="1" applyBorder="1"/>
    <xf numFmtId="0" fontId="69" fillId="4" borderId="12" xfId="0" applyFont="1" applyFill="1" applyBorder="1" applyAlignment="1">
      <alignment horizontal="left" indent="2"/>
    </xf>
    <xf numFmtId="0" fontId="84" fillId="4" borderId="0" xfId="0" applyFont="1" applyFill="1" applyBorder="1"/>
    <xf numFmtId="0" fontId="0" fillId="4" borderId="12" xfId="0" applyFill="1" applyBorder="1"/>
    <xf numFmtId="0" fontId="84" fillId="4" borderId="6" xfId="0" applyFont="1" applyFill="1" applyBorder="1"/>
    <xf numFmtId="10" fontId="36" fillId="4" borderId="6" xfId="15" applyNumberFormat="1" applyFont="1" applyFill="1" applyBorder="1"/>
    <xf numFmtId="182" fontId="11" fillId="4" borderId="24" xfId="1" applyNumberFormat="1" applyFont="1" applyFill="1" applyBorder="1"/>
    <xf numFmtId="10" fontId="11" fillId="4" borderId="9" xfId="15" applyNumberFormat="1" applyFont="1" applyFill="1" applyBorder="1"/>
    <xf numFmtId="182" fontId="11" fillId="4" borderId="0" xfId="1" applyNumberFormat="1" applyFont="1" applyFill="1" applyBorder="1" applyAlignment="1">
      <alignment horizontal="right"/>
    </xf>
    <xf numFmtId="182" fontId="11" fillId="4" borderId="9" xfId="1" applyNumberFormat="1" applyFont="1" applyFill="1" applyBorder="1" applyAlignment="1">
      <alignment horizontal="right"/>
    </xf>
    <xf numFmtId="0" fontId="36" fillId="4" borderId="0" xfId="0" applyFont="1" applyFill="1" applyBorder="1" applyAlignment="1">
      <alignment horizontal="right"/>
    </xf>
    <xf numFmtId="9" fontId="36" fillId="4" borderId="0" xfId="15" applyFont="1" applyFill="1" applyBorder="1" applyAlignment="1">
      <alignment horizontal="right"/>
    </xf>
    <xf numFmtId="9" fontId="36" fillId="4" borderId="9" xfId="15" applyFont="1" applyFill="1" applyBorder="1" applyAlignment="1">
      <alignment horizontal="right"/>
    </xf>
    <xf numFmtId="14" fontId="36" fillId="4" borderId="0" xfId="0" applyNumberFormat="1" applyFont="1" applyFill="1" applyBorder="1" applyAlignment="1">
      <alignment horizontal="right"/>
    </xf>
    <xf numFmtId="14" fontId="11" fillId="4" borderId="9" xfId="0" applyNumberFormat="1" applyFont="1" applyFill="1" applyBorder="1" applyAlignment="1">
      <alignment horizontal="right"/>
    </xf>
    <xf numFmtId="14" fontId="36" fillId="4" borderId="9" xfId="0" applyNumberFormat="1" applyFont="1" applyFill="1" applyBorder="1" applyAlignment="1">
      <alignment horizontal="right"/>
    </xf>
    <xf numFmtId="182" fontId="36" fillId="4" borderId="0" xfId="1" applyNumberFormat="1" applyFont="1" applyFill="1" applyBorder="1" applyAlignment="1">
      <alignment horizontal="right"/>
    </xf>
    <xf numFmtId="10" fontId="36" fillId="4" borderId="24" xfId="15" applyNumberFormat="1" applyFont="1" applyFill="1" applyBorder="1"/>
    <xf numFmtId="182" fontId="64" fillId="4" borderId="9" xfId="1" applyNumberFormat="1" applyFont="1" applyFill="1" applyBorder="1"/>
    <xf numFmtId="0" fontId="47" fillId="4" borderId="12" xfId="0" applyFont="1" applyFill="1" applyBorder="1"/>
    <xf numFmtId="0" fontId="29" fillId="4" borderId="4" xfId="0" applyFont="1" applyFill="1" applyBorder="1"/>
    <xf numFmtId="0" fontId="0" fillId="4" borderId="5" xfId="0" applyFill="1" applyBorder="1"/>
    <xf numFmtId="229" fontId="15" fillId="4" borderId="9" xfId="3" applyNumberFormat="1" applyFont="1" applyFill="1" applyBorder="1"/>
    <xf numFmtId="14" fontId="0" fillId="4" borderId="9" xfId="0" applyNumberForma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24" xfId="0" applyFill="1" applyBorder="1"/>
    <xf numFmtId="7" fontId="11" fillId="4" borderId="0" xfId="0" applyNumberFormat="1" applyFont="1" applyFill="1" applyBorder="1"/>
    <xf numFmtId="0" fontId="12" fillId="4" borderId="12" xfId="0" applyFont="1" applyFill="1" applyBorder="1" applyAlignment="1">
      <alignment horizontal="left"/>
    </xf>
    <xf numFmtId="37" fontId="36" fillId="4" borderId="9" xfId="0" applyNumberFormat="1" applyFont="1" applyFill="1" applyBorder="1" applyAlignment="1">
      <alignment horizontal="right"/>
    </xf>
    <xf numFmtId="37" fontId="36" fillId="4" borderId="9" xfId="0" applyNumberFormat="1" applyFont="1" applyFill="1" applyBorder="1"/>
    <xf numFmtId="0" fontId="24" fillId="4" borderId="12" xfId="0" applyFont="1" applyFill="1" applyBorder="1" applyAlignment="1">
      <alignment horizontal="left"/>
    </xf>
    <xf numFmtId="171" fontId="36" fillId="4" borderId="9" xfId="0" applyNumberFormat="1" applyFont="1" applyFill="1" applyBorder="1"/>
    <xf numFmtId="171" fontId="36" fillId="4" borderId="9" xfId="0" applyNumberFormat="1" applyFont="1" applyFill="1" applyBorder="1" applyAlignment="1">
      <alignment horizontal="center"/>
    </xf>
    <xf numFmtId="220" fontId="36" fillId="4" borderId="0" xfId="0" applyNumberFormat="1" applyFont="1" applyFill="1" applyBorder="1" applyAlignment="1">
      <alignment horizontal="left"/>
    </xf>
    <xf numFmtId="220" fontId="36" fillId="4" borderId="0" xfId="0" applyNumberFormat="1" applyFont="1" applyFill="1" applyBorder="1"/>
    <xf numFmtId="220" fontId="11" fillId="4" borderId="0" xfId="0" applyNumberFormat="1" applyFont="1" applyFill="1" applyBorder="1" applyAlignment="1">
      <alignment horizontal="left"/>
    </xf>
    <xf numFmtId="172" fontId="36" fillId="4" borderId="9" xfId="0" applyNumberFormat="1" applyFont="1" applyFill="1" applyBorder="1"/>
    <xf numFmtId="7" fontId="36" fillId="4" borderId="9" xfId="0" applyNumberFormat="1" applyFont="1" applyFill="1" applyBorder="1"/>
    <xf numFmtId="7" fontId="11" fillId="4" borderId="9" xfId="0" applyNumberFormat="1" applyFont="1" applyFill="1" applyBorder="1"/>
    <xf numFmtId="183" fontId="36" fillId="4" borderId="24" xfId="15" applyNumberFormat="1" applyFont="1" applyFill="1" applyBorder="1"/>
    <xf numFmtId="0" fontId="11" fillId="4" borderId="9" xfId="0" applyFont="1" applyFill="1" applyBorder="1"/>
    <xf numFmtId="0" fontId="11" fillId="4" borderId="0" xfId="0" applyFont="1" applyFill="1" applyBorder="1"/>
    <xf numFmtId="183" fontId="36" fillId="4" borderId="0" xfId="15" applyNumberFormat="1" applyFont="1" applyFill="1" applyBorder="1"/>
    <xf numFmtId="182" fontId="82" fillId="4" borderId="9" xfId="0" applyNumberFormat="1" applyFont="1" applyFill="1" applyBorder="1"/>
    <xf numFmtId="183" fontId="11" fillId="4" borderId="0" xfId="15" applyNumberFormat="1" applyFont="1" applyFill="1" applyBorder="1"/>
    <xf numFmtId="182" fontId="11" fillId="4" borderId="0" xfId="1" applyNumberFormat="1" applyFont="1" applyFill="1" applyBorder="1"/>
    <xf numFmtId="0" fontId="49" fillId="4" borderId="12" xfId="0" applyFont="1" applyFill="1" applyBorder="1"/>
    <xf numFmtId="6" fontId="32" fillId="4" borderId="9" xfId="1" applyNumberFormat="1" applyFont="1" applyFill="1" applyBorder="1"/>
    <xf numFmtId="0" fontId="47" fillId="4" borderId="0" xfId="0" applyFont="1" applyFill="1" applyBorder="1" applyAlignment="1">
      <alignment horizontal="right"/>
    </xf>
    <xf numFmtId="0" fontId="47" fillId="4" borderId="9" xfId="0" applyFont="1" applyFill="1" applyBorder="1" applyAlignment="1">
      <alignment horizontal="right"/>
    </xf>
    <xf numFmtId="0" fontId="12" fillId="4" borderId="12" xfId="0" applyFont="1" applyFill="1" applyBorder="1" applyAlignment="1">
      <alignment horizontal="left" indent="6"/>
    </xf>
    <xf numFmtId="190" fontId="36" fillId="4" borderId="0" xfId="0" applyNumberFormat="1" applyFont="1" applyFill="1" applyBorder="1"/>
    <xf numFmtId="0" fontId="11" fillId="4" borderId="12" xfId="0" applyFont="1" applyFill="1" applyBorder="1" applyAlignment="1"/>
    <xf numFmtId="182" fontId="87" fillId="4" borderId="9" xfId="1" applyNumberFormat="1" applyFont="1" applyFill="1" applyBorder="1"/>
    <xf numFmtId="0" fontId="12" fillId="4" borderId="2" xfId="0" applyFont="1" applyFill="1" applyBorder="1" applyAlignment="1">
      <alignment horizontal="left" indent="2"/>
    </xf>
    <xf numFmtId="44" fontId="11" fillId="4" borderId="9" xfId="3" applyFont="1" applyFill="1" applyBorder="1"/>
    <xf numFmtId="181" fontId="11" fillId="4" borderId="9" xfId="1" applyNumberFormat="1" applyFont="1" applyFill="1" applyBorder="1"/>
    <xf numFmtId="183" fontId="32" fillId="4" borderId="9" xfId="3" applyNumberFormat="1" applyFont="1" applyFill="1" applyBorder="1"/>
    <xf numFmtId="0" fontId="11" fillId="4" borderId="2" xfId="0" applyFont="1" applyFill="1" applyBorder="1" applyAlignment="1">
      <alignment horizontal="left"/>
    </xf>
    <xf numFmtId="14" fontId="32" fillId="4" borderId="24" xfId="0" applyNumberFormat="1" applyFont="1" applyFill="1" applyBorder="1"/>
    <xf numFmtId="43" fontId="11" fillId="4" borderId="9" xfId="0" applyNumberFormat="1" applyFont="1" applyFill="1" applyBorder="1"/>
    <xf numFmtId="43" fontId="11" fillId="4" borderId="9" xfId="0" applyNumberFormat="1" applyFont="1" applyFill="1" applyBorder="1" applyAlignment="1">
      <alignment horizontal="right"/>
    </xf>
    <xf numFmtId="229" fontId="11" fillId="4" borderId="9" xfId="3" applyNumberFormat="1" applyFont="1" applyFill="1" applyBorder="1"/>
    <xf numFmtId="38" fontId="11" fillId="4" borderId="9" xfId="0" applyNumberFormat="1" applyFont="1" applyFill="1" applyBorder="1"/>
    <xf numFmtId="14" fontId="32" fillId="4" borderId="9" xfId="0" applyNumberFormat="1" applyFont="1" applyFill="1" applyBorder="1" applyAlignment="1">
      <alignment horizontal="right"/>
    </xf>
    <xf numFmtId="5" fontId="11" fillId="4" borderId="9" xfId="0" applyNumberFormat="1" applyFont="1" applyFill="1" applyBorder="1"/>
    <xf numFmtId="11" fontId="12" fillId="4" borderId="0" xfId="0" applyNumberFormat="1" applyFont="1" applyFill="1" applyBorder="1"/>
    <xf numFmtId="10" fontId="11" fillId="4" borderId="9" xfId="0" applyNumberFormat="1" applyFont="1" applyFill="1" applyBorder="1" applyAlignment="1"/>
    <xf numFmtId="5" fontId="11" fillId="4" borderId="24" xfId="0" applyNumberFormat="1" applyFont="1" applyFill="1" applyBorder="1"/>
    <xf numFmtId="183" fontId="15" fillId="0" borderId="0" xfId="15" applyNumberFormat="1" applyFont="1" applyFill="1" applyBorder="1"/>
    <xf numFmtId="14" fontId="5" fillId="0" borderId="0" xfId="0" applyNumberFormat="1" applyFont="1" applyFill="1" applyBorder="1"/>
    <xf numFmtId="41" fontId="0" fillId="0" borderId="32" xfId="0" applyNumberFormat="1" applyBorder="1" applyAlignment="1">
      <alignment horizontal="center"/>
    </xf>
    <xf numFmtId="37" fontId="15" fillId="0" borderId="0" xfId="12" applyFont="1" applyAlignment="1">
      <alignment horizontal="left"/>
    </xf>
    <xf numFmtId="37" fontId="72" fillId="0" borderId="0" xfId="12" applyFont="1" applyAlignment="1">
      <alignment horizontal="left"/>
    </xf>
    <xf numFmtId="37" fontId="72" fillId="0" borderId="0" xfId="12" applyFont="1" applyAlignment="1"/>
    <xf numFmtId="37" fontId="72" fillId="0" borderId="0" xfId="12" quotePrefix="1" applyFont="1" applyAlignment="1">
      <alignment horizontal="left"/>
    </xf>
    <xf numFmtId="0" fontId="35" fillId="4" borderId="5" xfId="0" applyFont="1" applyFill="1" applyBorder="1" applyAlignment="1">
      <alignment horizontal="center"/>
    </xf>
    <xf numFmtId="0" fontId="35" fillId="4" borderId="3" xfId="0" applyFont="1" applyFill="1" applyBorder="1" applyAlignment="1">
      <alignment horizontal="center"/>
    </xf>
  </cellXfs>
  <cellStyles count="25">
    <cellStyle name="Comma" xfId="1" builtinId="3"/>
    <cellStyle name="Comma_CENTCF1G" xfId="2"/>
    <cellStyle name="Currency" xfId="3" builtinId="4"/>
    <cellStyle name="Currency_CENTCF1G" xfId="4"/>
    <cellStyle name="Dezimal [0]_Compiling Utility Macros" xfId="5"/>
    <cellStyle name="Dezimal_Compiling Utility Macros" xfId="6"/>
    <cellStyle name="general" xfId="7"/>
    <cellStyle name="HEADER" xfId="8"/>
    <cellStyle name="HIGHLIGHT" xfId="9"/>
    <cellStyle name="Normal" xfId="0" builtinId="0"/>
    <cellStyle name="Normal_CENTCF1G" xfId="10"/>
    <cellStyle name="Normal_CFMACROS.XLM" xfId="11"/>
    <cellStyle name="Normal_CFMODEL.XLS" xfId="12"/>
    <cellStyle name="Normal_IPP" xfId="13"/>
    <cellStyle name="Normal_Template" xfId="14"/>
    <cellStyle name="Percent" xfId="15" builtinId="5"/>
    <cellStyle name="Standard_Anpassen der Amortisation" xfId="16"/>
    <cellStyle name="uk" xfId="17"/>
    <cellStyle name="Un" xfId="18"/>
    <cellStyle name="Unprot" xfId="19"/>
    <cellStyle name="Unprot$" xfId="20"/>
    <cellStyle name="Unprot_1 3 6 LIBOR" xfId="21"/>
    <cellStyle name="Unprotect" xfId="22"/>
    <cellStyle name="Währung [0]_Compiling Utility Macros" xfId="23"/>
    <cellStyle name="Währung_Compiling Utility Macros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dialogsheet" Target="dialogsheets/sheet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dialogsheet" Target="dialogsheets/sheet3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2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dialog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dialog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4" customHeight="1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workbookViewId="0"/>
  </sheetViews>
  <sheetFormatPr defaultColWidth="1" defaultRowHeight="5.4" customHeight="1"/>
  <sheetProtection sheet="1"/>
  <printOptions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legacyDrawing r:id="rId2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4" customHeight="1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workbookViewId="0"/>
  </sheetViews>
  <sheetFormatPr defaultColWidth="1" defaultRowHeight="5.4" customHeight="1"/>
  <sheetProtection sheet="1"/>
  <printOptions gridLinesSet="0"/>
  <pageMargins left="0.75" right="0.75" top="1" bottom="1" header="0.5" footer="0.5"/>
  <pageSetup orientation="landscape" horizontalDpi="4294967293" r:id="rId1"/>
  <headerFooter alignWithMargins="0">
    <oddHeader>&amp;A</oddHeader>
    <oddFooter>Page &amp;P</oddFooter>
  </headerFooter>
  <legacyDrawing r:id="rId2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251460</xdr:colOff>
          <xdr:row>119</xdr:row>
          <xdr:rowOff>167640</xdr:rowOff>
        </xdr:from>
        <xdr:to>
          <xdr:col>2</xdr:col>
          <xdr:colOff>571500</xdr:colOff>
          <xdr:row>121</xdr:row>
          <xdr:rowOff>160020</xdr:rowOff>
        </xdr:to>
        <xdr:sp macro="" textlink="">
          <xdr:nvSpPr>
            <xdr:cNvPr id="42018" name="Button 34" hidden="1">
              <a:extLst>
                <a:ext uri="{63B3BB69-23CF-44E3-9099-C40C66FF867C}">
                  <a14:compatExt spid="_x0000_s42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Optimize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661</xdr:row>
      <xdr:rowOff>0</xdr:rowOff>
    </xdr:from>
    <xdr:to>
      <xdr:col>4</xdr:col>
      <xdr:colOff>480060</xdr:colOff>
      <xdr:row>661</xdr:row>
      <xdr:rowOff>0</xdr:rowOff>
    </xdr:to>
    <xdr:sp macro="" textlink="">
      <xdr:nvSpPr>
        <xdr:cNvPr id="30721" name="Text 40"/>
        <xdr:cNvSpPr txBox="1">
          <a:spLocks noChangeArrowheads="1"/>
        </xdr:cNvSpPr>
      </xdr:nvSpPr>
      <xdr:spPr bwMode="auto">
        <a:xfrm>
          <a:off x="1287780" y="87546180"/>
          <a:ext cx="24688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750" b="0" i="0" u="none" strike="noStrike" baseline="0">
              <a:solidFill>
                <a:srgbClr val="000000"/>
              </a:solidFill>
              <a:latin typeface="Arial"/>
              <a:cs typeface="Arial"/>
            </a:rPr>
            <a:t>[used in IDC Calc {see TAX ITEMS}]</a:t>
          </a:r>
        </a:p>
        <a:p>
          <a:pPr algn="ctr" rtl="0">
            <a:defRPr sz="1000"/>
          </a:pPr>
          <a:endParaRPr lang="en-US" sz="7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75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213360</xdr:colOff>
      <xdr:row>516</xdr:row>
      <xdr:rowOff>68580</xdr:rowOff>
    </xdr:from>
    <xdr:to>
      <xdr:col>16</xdr:col>
      <xdr:colOff>419100</xdr:colOff>
      <xdr:row>521</xdr:row>
      <xdr:rowOff>0</xdr:rowOff>
    </xdr:to>
    <xdr:sp macro="" textlink="">
      <xdr:nvSpPr>
        <xdr:cNvPr id="30722" name="Text 48"/>
        <xdr:cNvSpPr txBox="1">
          <a:spLocks noChangeArrowheads="1"/>
        </xdr:cNvSpPr>
      </xdr:nvSpPr>
      <xdr:spPr bwMode="auto">
        <a:xfrm>
          <a:off x="12161520" y="68473320"/>
          <a:ext cx="9982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*Not to exceed total cash balances.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Default value equal to $0.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868680</xdr:colOff>
          <xdr:row>0</xdr:row>
          <xdr:rowOff>0</xdr:rowOff>
        </xdr:from>
        <xdr:to>
          <xdr:col>2</xdr:col>
          <xdr:colOff>861060</xdr:colOff>
          <xdr:row>2</xdr:row>
          <xdr:rowOff>7620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Optimize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7620</xdr:rowOff>
        </xdr:from>
        <xdr:to>
          <xdr:col>1</xdr:col>
          <xdr:colOff>0</xdr:colOff>
          <xdr:row>1</xdr:row>
          <xdr:rowOff>7620</xdr:rowOff>
        </xdr:to>
        <xdr:sp macro="" textlink="">
          <xdr:nvSpPr>
            <xdr:cNvPr id="30725" name="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Inputs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7620</xdr:rowOff>
        </xdr:from>
        <xdr:to>
          <xdr:col>1</xdr:col>
          <xdr:colOff>868680</xdr:colOff>
          <xdr:row>1</xdr:row>
          <xdr:rowOff>7620</xdr:rowOff>
        </xdr:to>
        <xdr:sp macro="" textlink="">
          <xdr:nvSpPr>
            <xdr:cNvPr id="30726" name="Button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 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7620</xdr:rowOff>
        </xdr:from>
        <xdr:to>
          <xdr:col>1</xdr:col>
          <xdr:colOff>0</xdr:colOff>
          <xdr:row>2</xdr:row>
          <xdr:rowOff>15240</xdr:rowOff>
        </xdr:to>
        <xdr:sp macro="" textlink="">
          <xdr:nvSpPr>
            <xdr:cNvPr id="30727" name="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7620</xdr:rowOff>
        </xdr:from>
        <xdr:to>
          <xdr:col>1</xdr:col>
          <xdr:colOff>868680</xdr:colOff>
          <xdr:row>2</xdr:row>
          <xdr:rowOff>15240</xdr:rowOff>
        </xdr:to>
        <xdr:sp macro="" textlink="">
          <xdr:nvSpPr>
            <xdr:cNvPr id="30728" name="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15240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30729" name="Button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#REF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</xdr:rowOff>
        </xdr:from>
        <xdr:to>
          <xdr:col>4</xdr:col>
          <xdr:colOff>297180</xdr:colOff>
          <xdr:row>1</xdr:row>
          <xdr:rowOff>22860</xdr:rowOff>
        </xdr:to>
        <xdr:sp macro="" textlink="">
          <xdr:nvSpPr>
            <xdr:cNvPr id="30885" name="Button 165" hidden="1">
              <a:extLst>
                <a:ext uri="{63B3BB69-23CF-44E3-9099-C40C66FF867C}">
                  <a14:compatExt spid="_x0000_s30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Rev/Exp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68580</xdr:colOff>
      <xdr:row>10</xdr:row>
      <xdr:rowOff>91440</xdr:rowOff>
    </xdr:from>
    <xdr:to>
      <xdr:col>225</xdr:col>
      <xdr:colOff>388620</xdr:colOff>
      <xdr:row>11</xdr:row>
      <xdr:rowOff>106680</xdr:rowOff>
    </xdr:to>
    <xdr:sp macro="" textlink="">
      <xdr:nvSpPr>
        <xdr:cNvPr id="36915" name="Text Box 13363"/>
        <xdr:cNvSpPr txBox="1">
          <a:spLocks noChangeArrowheads="1"/>
        </xdr:cNvSpPr>
      </xdr:nvSpPr>
      <xdr:spPr bwMode="auto">
        <a:xfrm>
          <a:off x="144048480" y="1805940"/>
          <a:ext cx="14630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Template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164</xdr:col>
          <xdr:colOff>281940</xdr:colOff>
          <xdr:row>7</xdr:row>
          <xdr:rowOff>7620</xdr:rowOff>
        </xdr:from>
        <xdr:to>
          <xdr:col>165</xdr:col>
          <xdr:colOff>419100</xdr:colOff>
          <xdr:row>8</xdr:row>
          <xdr:rowOff>106680</xdr:rowOff>
        </xdr:to>
        <xdr:sp macro="" textlink="">
          <xdr:nvSpPr>
            <xdr:cNvPr id="40217" name="Button 14617" hidden="1">
              <a:extLst>
                <a:ext uri="{63B3BB69-23CF-44E3-9099-C40C66FF867C}">
                  <a14:compatExt spid="_x0000_s40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164</xdr:col>
          <xdr:colOff>281940</xdr:colOff>
          <xdr:row>7</xdr:row>
          <xdr:rowOff>7620</xdr:rowOff>
        </xdr:from>
        <xdr:to>
          <xdr:col>165</xdr:col>
          <xdr:colOff>419100</xdr:colOff>
          <xdr:row>8</xdr:row>
          <xdr:rowOff>106680</xdr:rowOff>
        </xdr:to>
        <xdr:sp macro="" textlink="">
          <xdr:nvSpPr>
            <xdr:cNvPr id="55429" name="Button 18565" hidden="1">
              <a:extLst>
                <a:ext uri="{63B3BB69-23CF-44E3-9099-C40C66FF867C}">
                  <a14:compatExt spid="_x0000_s55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164</xdr:col>
          <xdr:colOff>281940</xdr:colOff>
          <xdr:row>7</xdr:row>
          <xdr:rowOff>7620</xdr:rowOff>
        </xdr:from>
        <xdr:to>
          <xdr:col>165</xdr:col>
          <xdr:colOff>419100</xdr:colOff>
          <xdr:row>8</xdr:row>
          <xdr:rowOff>106680</xdr:rowOff>
        </xdr:to>
        <xdr:sp macro="" textlink="">
          <xdr:nvSpPr>
            <xdr:cNvPr id="55439" name="Button 18575" hidden="1">
              <a:extLst>
                <a:ext uri="{63B3BB69-23CF-44E3-9099-C40C66FF867C}">
                  <a14:compatExt spid="_x0000_s55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164</xdr:col>
          <xdr:colOff>281940</xdr:colOff>
          <xdr:row>7</xdr:row>
          <xdr:rowOff>7620</xdr:rowOff>
        </xdr:from>
        <xdr:to>
          <xdr:col>165</xdr:col>
          <xdr:colOff>419100</xdr:colOff>
          <xdr:row>8</xdr:row>
          <xdr:rowOff>106680</xdr:rowOff>
        </xdr:to>
        <xdr:sp macro="" textlink="">
          <xdr:nvSpPr>
            <xdr:cNvPr id="55444" name="Button 18580" hidden="1">
              <a:extLst>
                <a:ext uri="{63B3BB69-23CF-44E3-9099-C40C66FF867C}">
                  <a14:compatExt spid="_x0000_s55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Op</a:t>
              </a:r>
            </a:p>
          </xdr:txBody>
        </xdr:sp>
        <xdr:clientData fPrintsWithSheet="0"/>
      </xdr:twoCellAnchor>
    </mc:Choice>
    <mc:Fallback/>
  </mc:AlternateContent>
  <xdr:twoCellAnchor>
    <xdr:from>
      <xdr:col>224</xdr:col>
      <xdr:colOff>68580</xdr:colOff>
      <xdr:row>10</xdr:row>
      <xdr:rowOff>91440</xdr:rowOff>
    </xdr:from>
    <xdr:to>
      <xdr:col>225</xdr:col>
      <xdr:colOff>388620</xdr:colOff>
      <xdr:row>11</xdr:row>
      <xdr:rowOff>106680</xdr:rowOff>
    </xdr:to>
    <xdr:sp macro="" textlink="">
      <xdr:nvSpPr>
        <xdr:cNvPr id="55449" name="Text Box 18585"/>
        <xdr:cNvSpPr txBox="1">
          <a:spLocks noChangeArrowheads="1"/>
        </xdr:cNvSpPr>
      </xdr:nvSpPr>
      <xdr:spPr bwMode="auto">
        <a:xfrm>
          <a:off x="144048480" y="1805940"/>
          <a:ext cx="14630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Template</a:t>
          </a:r>
        </a:p>
      </xdr:txBody>
    </xdr:sp>
    <xdr:clientData/>
  </xdr:twoCellAnchor>
  <xdr:twoCellAnchor>
    <xdr:from>
      <xdr:col>224</xdr:col>
      <xdr:colOff>68580</xdr:colOff>
      <xdr:row>76</xdr:row>
      <xdr:rowOff>91440</xdr:rowOff>
    </xdr:from>
    <xdr:to>
      <xdr:col>225</xdr:col>
      <xdr:colOff>388620</xdr:colOff>
      <xdr:row>77</xdr:row>
      <xdr:rowOff>106680</xdr:rowOff>
    </xdr:to>
    <xdr:sp macro="" textlink="">
      <xdr:nvSpPr>
        <xdr:cNvPr id="55450" name="Text Box 18586"/>
        <xdr:cNvSpPr txBox="1">
          <a:spLocks noChangeArrowheads="1"/>
        </xdr:cNvSpPr>
      </xdr:nvSpPr>
      <xdr:spPr bwMode="auto">
        <a:xfrm>
          <a:off x="144048480" y="13357860"/>
          <a:ext cx="14630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281940</xdr:colOff>
          <xdr:row>0</xdr:row>
          <xdr:rowOff>266700</xdr:rowOff>
        </xdr:from>
        <xdr:to>
          <xdr:col>15</xdr:col>
          <xdr:colOff>220980</xdr:colOff>
          <xdr:row>1</xdr:row>
          <xdr:rowOff>266700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endParaRPr lang="en-US" sz="1200" b="1" i="0" u="none" strike="noStrike" baseline="0">
                <a:solidFill>
                  <a:srgbClr val="FF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endParaRPr lang="en-US" sz="1200" b="1" i="0" u="none" strike="noStrike" baseline="0">
                <a:solidFill>
                  <a:srgbClr val="FF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Z132"/>
  <sheetViews>
    <sheetView showGridLines="0" workbookViewId="0"/>
  </sheetViews>
  <sheetFormatPr defaultRowHeight="13.2"/>
  <cols>
    <col min="1" max="1" width="3.88671875" customWidth="1"/>
    <col min="3" max="3" width="12.88671875" customWidth="1"/>
    <col min="4" max="4" width="10" bestFit="1" customWidth="1"/>
    <col min="5" max="5" width="11.5546875" customWidth="1"/>
    <col min="6" max="6" width="9.109375" style="921" customWidth="1"/>
    <col min="9" max="9" width="16.5546875" customWidth="1"/>
    <col min="10" max="10" width="11.33203125" bestFit="1" customWidth="1"/>
    <col min="11" max="11" width="9.109375" style="921" customWidth="1"/>
    <col min="12" max="12" width="15.88671875" customWidth="1"/>
    <col min="13" max="13" width="9.6640625" customWidth="1"/>
    <col min="14" max="14" width="11.6640625" customWidth="1"/>
    <col min="15" max="15" width="11.44140625" customWidth="1"/>
    <col min="16" max="16" width="9.5546875" customWidth="1"/>
  </cols>
  <sheetData>
    <row r="1" spans="2:21" ht="15.6">
      <c r="B1" s="870" t="s">
        <v>787</v>
      </c>
      <c r="P1" s="24"/>
    </row>
    <row r="2" spans="2:21">
      <c r="L2" s="1450" t="s">
        <v>787</v>
      </c>
      <c r="M2" s="1"/>
      <c r="N2" s="1"/>
      <c r="P2" s="1682" t="s">
        <v>787</v>
      </c>
    </row>
    <row r="3" spans="2:21">
      <c r="B3" t="s">
        <v>843</v>
      </c>
      <c r="D3" s="869" t="s">
        <v>298</v>
      </c>
      <c r="L3" s="1450" t="s">
        <v>787</v>
      </c>
      <c r="P3" s="1682" t="s">
        <v>787</v>
      </c>
    </row>
    <row r="4" spans="2:21">
      <c r="B4" t="s">
        <v>259</v>
      </c>
      <c r="D4" s="869" t="s">
        <v>1037</v>
      </c>
      <c r="L4" t="s">
        <v>787</v>
      </c>
      <c r="P4" s="1683">
        <v>36526</v>
      </c>
      <c r="U4" t="s">
        <v>787</v>
      </c>
    </row>
    <row r="6" spans="2:21" ht="13.8" thickBot="1">
      <c r="B6" s="868" t="s">
        <v>260</v>
      </c>
      <c r="G6" s="868" t="s">
        <v>307</v>
      </c>
      <c r="L6" s="868" t="s">
        <v>335</v>
      </c>
    </row>
    <row r="7" spans="2:21">
      <c r="B7" s="1557" t="s">
        <v>262</v>
      </c>
      <c r="C7" s="1558"/>
      <c r="D7" s="1558"/>
      <c r="E7" s="1559"/>
      <c r="G7" s="1576"/>
      <c r="H7" s="1558"/>
      <c r="I7" s="1577" t="s">
        <v>261</v>
      </c>
      <c r="J7" s="1578" t="s">
        <v>308</v>
      </c>
      <c r="L7" s="1557" t="s">
        <v>336</v>
      </c>
      <c r="M7" s="1558"/>
      <c r="N7" s="1689" t="s">
        <v>411</v>
      </c>
      <c r="O7" s="1690"/>
    </row>
    <row r="8" spans="2:21">
      <c r="B8" s="1560" t="s">
        <v>364</v>
      </c>
      <c r="C8" s="1561"/>
      <c r="D8" s="1561"/>
      <c r="E8" s="1562">
        <f>E9</f>
        <v>54</v>
      </c>
      <c r="G8" s="1565" t="s">
        <v>309</v>
      </c>
      <c r="H8" s="1561"/>
      <c r="I8" s="1579">
        <v>0</v>
      </c>
      <c r="J8" s="1566">
        <v>0</v>
      </c>
      <c r="L8" s="1560" t="s">
        <v>787</v>
      </c>
      <c r="M8" s="1561"/>
      <c r="N8" s="1591" t="s">
        <v>242</v>
      </c>
      <c r="O8" s="1592" t="s">
        <v>243</v>
      </c>
    </row>
    <row r="9" spans="2:21">
      <c r="B9" s="1560" t="s">
        <v>363</v>
      </c>
      <c r="C9" s="1561"/>
      <c r="D9" s="1561"/>
      <c r="E9" s="1563">
        <v>54</v>
      </c>
      <c r="G9" s="1560"/>
      <c r="H9" s="1561"/>
      <c r="I9" s="1561"/>
      <c r="J9" s="1580"/>
      <c r="L9" s="1560" t="s">
        <v>367</v>
      </c>
      <c r="M9" s="1561"/>
      <c r="N9" s="1582"/>
      <c r="O9" s="1593"/>
    </row>
    <row r="10" spans="2:21">
      <c r="B10" s="1560"/>
      <c r="C10" s="1561"/>
      <c r="D10" s="1561"/>
      <c r="E10" s="1564"/>
      <c r="G10" s="1565" t="s">
        <v>265</v>
      </c>
      <c r="H10" s="1561"/>
      <c r="I10" s="1561"/>
      <c r="J10" s="1580"/>
      <c r="L10" s="1594" t="s">
        <v>851</v>
      </c>
      <c r="M10" s="1561"/>
      <c r="N10" s="1595">
        <v>26.67</v>
      </c>
      <c r="O10" s="1596">
        <v>26.67</v>
      </c>
    </row>
    <row r="11" spans="2:21">
      <c r="B11" s="1565" t="s">
        <v>591</v>
      </c>
      <c r="C11" s="1561"/>
      <c r="D11" s="1561"/>
      <c r="E11" s="1564"/>
      <c r="G11" s="1560" t="s">
        <v>266</v>
      </c>
      <c r="H11" s="1561"/>
      <c r="I11" s="1561"/>
      <c r="J11" s="1566">
        <v>0</v>
      </c>
      <c r="L11" s="1594" t="s">
        <v>849</v>
      </c>
      <c r="M11" s="1582"/>
      <c r="N11" s="1595">
        <v>23.31</v>
      </c>
      <c r="O11" s="1596">
        <v>23.31</v>
      </c>
    </row>
    <row r="12" spans="2:21">
      <c r="B12" s="1560" t="s">
        <v>585</v>
      </c>
      <c r="C12" s="1561"/>
      <c r="D12" s="1561"/>
      <c r="E12" s="1566">
        <v>8473</v>
      </c>
      <c r="G12" s="1560" t="s">
        <v>267</v>
      </c>
      <c r="H12" s="1561"/>
      <c r="I12" s="1561"/>
      <c r="J12" s="1566">
        <v>0</v>
      </c>
      <c r="L12" s="1560" t="s">
        <v>368</v>
      </c>
      <c r="M12" s="1561"/>
      <c r="N12" s="1595">
        <v>56.09</v>
      </c>
      <c r="O12" s="1596">
        <v>26.77</v>
      </c>
    </row>
    <row r="13" spans="2:21">
      <c r="B13" s="1560" t="s">
        <v>299</v>
      </c>
      <c r="C13" s="1561"/>
      <c r="D13" s="1561"/>
      <c r="E13" s="1566">
        <v>7664</v>
      </c>
      <c r="G13" s="1560" t="s">
        <v>268</v>
      </c>
      <c r="H13" s="1561"/>
      <c r="I13" s="1561"/>
      <c r="J13" s="1566">
        <v>0</v>
      </c>
      <c r="L13" s="1560"/>
      <c r="M13" s="1561"/>
      <c r="N13" s="1561"/>
      <c r="O13" s="1571"/>
    </row>
    <row r="14" spans="2:21">
      <c r="B14" s="1560" t="s">
        <v>676</v>
      </c>
      <c r="C14" s="1561"/>
      <c r="D14" s="1561"/>
      <c r="E14" s="1567">
        <v>1E-3</v>
      </c>
      <c r="G14" s="1560" t="s">
        <v>269</v>
      </c>
      <c r="H14" s="1561"/>
      <c r="I14" s="1561"/>
      <c r="J14" s="1566">
        <v>0</v>
      </c>
      <c r="L14" s="1560" t="s">
        <v>493</v>
      </c>
      <c r="M14" s="1561"/>
      <c r="N14" s="1561"/>
      <c r="O14" s="1563">
        <v>45</v>
      </c>
      <c r="P14" s="913" t="s">
        <v>787</v>
      </c>
    </row>
    <row r="15" spans="2:21">
      <c r="B15" s="1560"/>
      <c r="C15" s="1561"/>
      <c r="D15" s="1561"/>
      <c r="E15" s="1564"/>
      <c r="G15" s="1560" t="s">
        <v>270</v>
      </c>
      <c r="H15" s="1561"/>
      <c r="I15" s="1561"/>
      <c r="J15" s="1566">
        <v>0</v>
      </c>
      <c r="L15" s="1560" t="s">
        <v>677</v>
      </c>
      <c r="M15" s="1561"/>
      <c r="N15" s="1561"/>
      <c r="O15" s="1597">
        <v>0</v>
      </c>
    </row>
    <row r="16" spans="2:21">
      <c r="B16" s="1565" t="s">
        <v>272</v>
      </c>
      <c r="C16" s="1561"/>
      <c r="D16" s="1561"/>
      <c r="E16" s="1564"/>
      <c r="G16" s="1560" t="s">
        <v>271</v>
      </c>
      <c r="H16" s="1561"/>
      <c r="I16" s="1561"/>
      <c r="J16" s="1566">
        <v>0</v>
      </c>
      <c r="L16" s="1560" t="s">
        <v>506</v>
      </c>
      <c r="M16" s="1561"/>
      <c r="N16" s="1561"/>
      <c r="O16" s="1598" t="s">
        <v>525</v>
      </c>
    </row>
    <row r="17" spans="2:15">
      <c r="B17" s="1560" t="s">
        <v>275</v>
      </c>
      <c r="C17" s="1561"/>
      <c r="D17" s="1561"/>
      <c r="E17" s="1568">
        <v>1</v>
      </c>
      <c r="G17" s="1560" t="s">
        <v>273</v>
      </c>
      <c r="H17" s="1561"/>
      <c r="I17" s="1561"/>
      <c r="J17" s="1566">
        <v>0</v>
      </c>
      <c r="L17" s="1560" t="s">
        <v>171</v>
      </c>
      <c r="M17" s="1561"/>
      <c r="N17" s="1561"/>
      <c r="O17" s="1598" t="s">
        <v>525</v>
      </c>
    </row>
    <row r="18" spans="2:15">
      <c r="B18" s="1560" t="s">
        <v>791</v>
      </c>
      <c r="C18" s="1561"/>
      <c r="D18" s="1561"/>
      <c r="E18" s="1569">
        <v>0</v>
      </c>
      <c r="G18" s="1560" t="s">
        <v>274</v>
      </c>
      <c r="H18" s="1561"/>
      <c r="I18" s="1579"/>
      <c r="J18" s="1566">
        <v>0</v>
      </c>
      <c r="L18" s="1560" t="s">
        <v>172</v>
      </c>
      <c r="M18" s="1561"/>
      <c r="N18" s="1561"/>
      <c r="O18" s="1598" t="s">
        <v>525</v>
      </c>
    </row>
    <row r="19" spans="2:15">
      <c r="B19" s="1560" t="s">
        <v>857</v>
      </c>
      <c r="C19" s="1561"/>
      <c r="D19" s="1561"/>
      <c r="E19" s="1567">
        <v>1.4999999999999999E-2</v>
      </c>
      <c r="G19" s="1560" t="s">
        <v>276</v>
      </c>
      <c r="H19" s="1561"/>
      <c r="I19" s="1561"/>
      <c r="J19" s="1566">
        <v>0</v>
      </c>
      <c r="L19" s="1560"/>
      <c r="M19" s="1561"/>
      <c r="N19" s="1561"/>
      <c r="O19" s="1571"/>
    </row>
    <row r="20" spans="2:15">
      <c r="B20" s="1560" t="s">
        <v>281</v>
      </c>
      <c r="C20" s="1561"/>
      <c r="D20" s="1561"/>
      <c r="E20" s="1570">
        <f>E17*(1-E18)*(1-E19)</f>
        <v>0.98499999999999999</v>
      </c>
      <c r="G20" s="1560" t="s">
        <v>277</v>
      </c>
      <c r="H20" s="1561"/>
      <c r="I20" s="1561"/>
      <c r="J20" s="1566">
        <v>0</v>
      </c>
      <c r="L20" s="1565" t="s">
        <v>337</v>
      </c>
      <c r="M20" s="1561"/>
      <c r="N20" s="1561"/>
      <c r="O20" s="1571"/>
    </row>
    <row r="21" spans="2:15">
      <c r="B21" s="1565" t="s">
        <v>300</v>
      </c>
      <c r="C21" s="1561"/>
      <c r="D21" s="1561"/>
      <c r="E21" s="1571"/>
      <c r="G21" s="1560" t="s">
        <v>278</v>
      </c>
      <c r="H21" s="1561"/>
      <c r="I21" s="1561"/>
      <c r="J21" s="1566">
        <v>0</v>
      </c>
      <c r="L21" s="1560" t="s">
        <v>340</v>
      </c>
      <c r="M21" s="1561"/>
      <c r="N21" s="1561"/>
      <c r="O21" s="1599" t="s">
        <v>673</v>
      </c>
    </row>
    <row r="22" spans="2:15">
      <c r="B22" s="1560" t="s">
        <v>283</v>
      </c>
      <c r="C22" s="1561"/>
      <c r="D22" s="1561"/>
      <c r="E22" s="1572">
        <v>36373</v>
      </c>
      <c r="G22" s="1560" t="s">
        <v>279</v>
      </c>
      <c r="H22" s="1561"/>
      <c r="I22" s="1561"/>
      <c r="J22" s="1566">
        <v>0</v>
      </c>
      <c r="L22" s="1560" t="s">
        <v>524</v>
      </c>
      <c r="M22" s="1561"/>
      <c r="N22" s="1561"/>
      <c r="O22" s="1600">
        <f>IF(O21="no",0,E9-O14-O15)</f>
        <v>9</v>
      </c>
    </row>
    <row r="23" spans="2:15">
      <c r="B23" s="1560" t="s">
        <v>301</v>
      </c>
      <c r="C23" s="1561"/>
      <c r="D23" s="1561"/>
      <c r="E23" s="1572">
        <v>36526</v>
      </c>
      <c r="G23" s="1560" t="s">
        <v>280</v>
      </c>
      <c r="H23" s="1561"/>
      <c r="I23" s="1561"/>
      <c r="J23" s="1566">
        <v>0</v>
      </c>
      <c r="L23" s="1560" t="s">
        <v>1141</v>
      </c>
      <c r="M23" s="1561"/>
      <c r="N23" s="1561"/>
      <c r="O23" s="1601">
        <v>3.75</v>
      </c>
    </row>
    <row r="24" spans="2:15">
      <c r="B24" s="1560" t="s">
        <v>586</v>
      </c>
      <c r="C24" s="1561"/>
      <c r="D24" s="1561"/>
      <c r="E24" s="1572">
        <v>36465</v>
      </c>
      <c r="G24" s="1581" t="s">
        <v>310</v>
      </c>
      <c r="H24" s="1561"/>
      <c r="I24" s="1582"/>
      <c r="J24" s="1583">
        <f>SUM(J11:J23)</f>
        <v>0</v>
      </c>
      <c r="L24" s="1560" t="s">
        <v>1142</v>
      </c>
      <c r="M24" s="1561"/>
      <c r="N24" s="1561"/>
      <c r="O24" s="1601">
        <v>0</v>
      </c>
    </row>
    <row r="25" spans="2:15">
      <c r="B25" s="1560" t="s">
        <v>648</v>
      </c>
      <c r="C25" s="1561"/>
      <c r="D25" s="1561"/>
      <c r="E25" s="1569">
        <v>0.25</v>
      </c>
      <c r="G25" s="1560"/>
      <c r="H25" s="1561"/>
      <c r="I25" s="1561"/>
      <c r="J25" s="1571"/>
      <c r="L25" s="1560" t="s">
        <v>482</v>
      </c>
      <c r="M25" s="1561"/>
      <c r="N25" s="1561"/>
      <c r="O25" s="1602">
        <v>3.5000000000000003E-2</v>
      </c>
    </row>
    <row r="26" spans="2:15">
      <c r="B26" s="1560" t="s">
        <v>1139</v>
      </c>
      <c r="C26" s="1561"/>
      <c r="D26" s="1561"/>
      <c r="E26" s="1572">
        <v>36647</v>
      </c>
      <c r="G26" s="1565" t="s">
        <v>282</v>
      </c>
      <c r="H26" s="1561"/>
      <c r="I26" s="1561"/>
      <c r="J26" s="1571"/>
      <c r="L26" s="1560" t="s">
        <v>173</v>
      </c>
      <c r="M26" s="1561"/>
      <c r="N26" s="1561"/>
      <c r="O26" s="1603">
        <v>0</v>
      </c>
    </row>
    <row r="27" spans="2:15">
      <c r="B27" s="1560" t="s">
        <v>1140</v>
      </c>
      <c r="C27" s="1561"/>
      <c r="D27" s="1561"/>
      <c r="E27" s="1572">
        <v>37622</v>
      </c>
      <c r="G27" s="1584" t="s">
        <v>657</v>
      </c>
      <c r="H27" s="1561"/>
      <c r="I27" s="1561"/>
      <c r="J27" s="1566">
        <v>72189</v>
      </c>
      <c r="L27" s="1560" t="s">
        <v>174</v>
      </c>
      <c r="M27" s="1561"/>
      <c r="N27" s="1561"/>
      <c r="O27" s="1603">
        <v>0</v>
      </c>
    </row>
    <row r="28" spans="2:15" ht="13.8" thickBot="1">
      <c r="B28" s="1573" t="s">
        <v>302</v>
      </c>
      <c r="C28" s="1574"/>
      <c r="D28" s="1574"/>
      <c r="E28" s="1575">
        <v>44926</v>
      </c>
      <c r="G28" s="1584" t="s">
        <v>658</v>
      </c>
      <c r="H28" s="1561"/>
      <c r="I28" s="1561"/>
      <c r="J28" s="1566">
        <v>4370</v>
      </c>
      <c r="L28" s="1560" t="s">
        <v>341</v>
      </c>
      <c r="M28" s="1561"/>
      <c r="N28" s="1561"/>
      <c r="O28" s="1604">
        <f>CURVES!E3</f>
        <v>36508</v>
      </c>
    </row>
    <row r="29" spans="2:15">
      <c r="G29" s="1584" t="s">
        <v>204</v>
      </c>
      <c r="H29" s="1561"/>
      <c r="I29" s="1561"/>
      <c r="J29" s="1566">
        <v>300</v>
      </c>
      <c r="L29" s="1560" t="s">
        <v>789</v>
      </c>
      <c r="M29" s="1561"/>
      <c r="N29" s="1561"/>
      <c r="O29" s="1605" t="s">
        <v>787</v>
      </c>
    </row>
    <row r="30" spans="2:15" ht="13.8" thickBot="1">
      <c r="B30" s="868" t="s">
        <v>303</v>
      </c>
      <c r="G30" s="1584" t="s">
        <v>840</v>
      </c>
      <c r="H30" s="1561"/>
      <c r="I30" s="1561"/>
      <c r="J30" s="1566">
        <v>160</v>
      </c>
      <c r="L30" s="1560" t="s">
        <v>288</v>
      </c>
      <c r="M30" s="1561"/>
      <c r="N30" s="1561"/>
      <c r="O30" s="1605" t="s">
        <v>787</v>
      </c>
    </row>
    <row r="31" spans="2:15">
      <c r="B31" s="1557" t="s">
        <v>304</v>
      </c>
      <c r="C31" s="1558"/>
      <c r="D31" s="1558"/>
      <c r="E31" s="1559"/>
      <c r="G31" s="1584" t="s">
        <v>94</v>
      </c>
      <c r="H31" s="1561"/>
      <c r="I31" s="1561"/>
      <c r="J31" s="1566">
        <v>134</v>
      </c>
      <c r="L31" s="1560" t="s">
        <v>893</v>
      </c>
      <c r="M31" s="1561"/>
      <c r="N31" s="1561"/>
      <c r="O31" s="1606" t="s">
        <v>724</v>
      </c>
    </row>
    <row r="32" spans="2:15">
      <c r="B32" s="1560" t="s">
        <v>115</v>
      </c>
      <c r="C32" s="1561"/>
      <c r="D32" s="1561"/>
      <c r="E32" s="1567">
        <v>0</v>
      </c>
      <c r="G32" s="1584" t="s">
        <v>659</v>
      </c>
      <c r="H32" s="1561"/>
      <c r="I32" s="1561"/>
      <c r="J32" s="1566">
        <v>0</v>
      </c>
      <c r="L32" s="1560"/>
      <c r="M32" s="1561" t="s">
        <v>613</v>
      </c>
      <c r="N32" s="1607" t="e">
        <f>O32/O34</f>
        <v>#DIV/0!</v>
      </c>
      <c r="O32" s="1608">
        <f>CALC!EP9/1000</f>
        <v>0</v>
      </c>
    </row>
    <row r="33" spans="2:21" ht="14.4">
      <c r="B33" s="1560" t="s">
        <v>116</v>
      </c>
      <c r="C33" s="1561"/>
      <c r="D33" s="1561"/>
      <c r="E33" s="1567">
        <v>0</v>
      </c>
      <c r="G33" s="1584" t="s">
        <v>660</v>
      </c>
      <c r="H33" s="1561"/>
      <c r="I33" s="1561"/>
      <c r="J33" s="1566">
        <v>0</v>
      </c>
      <c r="L33" s="1560"/>
      <c r="M33" s="1561" t="s">
        <v>531</v>
      </c>
      <c r="N33" s="1607" t="e">
        <f>O33/O34</f>
        <v>#DIV/0!</v>
      </c>
      <c r="O33" s="1609">
        <v>0</v>
      </c>
    </row>
    <row r="34" spans="2:21">
      <c r="B34" s="1560" t="s">
        <v>284</v>
      </c>
      <c r="C34" s="1561"/>
      <c r="D34" s="1561"/>
      <c r="E34" s="1619">
        <f>1-((1-E32)*(1-E33))</f>
        <v>0</v>
      </c>
      <c r="G34" s="1584" t="s">
        <v>205</v>
      </c>
      <c r="H34" s="1561"/>
      <c r="I34" s="1561"/>
      <c r="J34" s="1566">
        <v>200</v>
      </c>
      <c r="L34" s="1560"/>
      <c r="M34" s="1561" t="s">
        <v>616</v>
      </c>
      <c r="N34" s="1607" t="e">
        <f>SUM(N32:N33)</f>
        <v>#DIV/0!</v>
      </c>
      <c r="O34" s="1583">
        <f>SUM(O32:O33)</f>
        <v>0</v>
      </c>
    </row>
    <row r="35" spans="2:21">
      <c r="B35" s="1560"/>
      <c r="C35" s="1561"/>
      <c r="D35" s="1561"/>
      <c r="E35" s="1571"/>
      <c r="G35" s="1584" t="s">
        <v>206</v>
      </c>
      <c r="H35" s="1561"/>
      <c r="I35" s="1561"/>
      <c r="J35" s="1566">
        <v>60</v>
      </c>
      <c r="L35" s="1584" t="s">
        <v>614</v>
      </c>
      <c r="M35" s="1582"/>
      <c r="N35" s="1582"/>
      <c r="O35" s="1601" t="s">
        <v>787</v>
      </c>
    </row>
    <row r="36" spans="2:21">
      <c r="B36" s="1565" t="s">
        <v>305</v>
      </c>
      <c r="C36" s="1561"/>
      <c r="D36" s="1561"/>
      <c r="E36" s="1571"/>
      <c r="G36" s="1584" t="s">
        <v>661</v>
      </c>
      <c r="H36" s="1561"/>
      <c r="I36" s="1561"/>
      <c r="J36" s="1566">
        <v>400</v>
      </c>
      <c r="L36" s="1584" t="s">
        <v>615</v>
      </c>
      <c r="M36" s="1582"/>
      <c r="N36" s="1582"/>
      <c r="O36" s="1601" t="s">
        <v>787</v>
      </c>
    </row>
    <row r="37" spans="2:21">
      <c r="B37" s="1560"/>
      <c r="C37" s="1561"/>
      <c r="D37" s="1591" t="s">
        <v>285</v>
      </c>
      <c r="E37" s="1592" t="s">
        <v>286</v>
      </c>
      <c r="G37" s="1584" t="s">
        <v>662</v>
      </c>
      <c r="H37" s="1561"/>
      <c r="I37" s="1561"/>
      <c r="J37" s="1566">
        <v>50</v>
      </c>
      <c r="L37" s="1560"/>
      <c r="M37" s="1561"/>
      <c r="N37" s="1561"/>
      <c r="O37" s="1571"/>
    </row>
    <row r="38" spans="2:21">
      <c r="B38" s="1560" t="s">
        <v>685</v>
      </c>
      <c r="C38" s="1561"/>
      <c r="D38" s="1620">
        <f ca="1">J49</f>
        <v>78714.555519999994</v>
      </c>
      <c r="E38" s="1621">
        <f ca="1">J49</f>
        <v>78714.555519999994</v>
      </c>
      <c r="G38" s="1584" t="s">
        <v>663</v>
      </c>
      <c r="H38" s="1561"/>
      <c r="I38" s="1561"/>
      <c r="J38" s="1566">
        <v>200</v>
      </c>
      <c r="L38" s="1565" t="s">
        <v>338</v>
      </c>
      <c r="M38" s="1561"/>
      <c r="N38" s="1561"/>
      <c r="O38" s="1571"/>
    </row>
    <row r="39" spans="2:21">
      <c r="B39" s="1560" t="s">
        <v>287</v>
      </c>
      <c r="C39" s="1561"/>
      <c r="D39" s="1622">
        <v>15</v>
      </c>
      <c r="E39" s="1599">
        <v>15</v>
      </c>
      <c r="G39" s="1584" t="s">
        <v>664</v>
      </c>
      <c r="H39" s="1561"/>
      <c r="I39" s="1561"/>
      <c r="J39" s="1566">
        <f>69265/1000</f>
        <v>69.265000000000001</v>
      </c>
      <c r="L39" s="1560" t="s">
        <v>787</v>
      </c>
      <c r="M39" s="1561"/>
      <c r="N39" s="1561"/>
      <c r="O39" s="1610" t="s">
        <v>787</v>
      </c>
    </row>
    <row r="40" spans="2:21">
      <c r="B40" s="1560" t="s">
        <v>698</v>
      </c>
      <c r="C40" s="1561"/>
      <c r="D40" s="1622" t="s">
        <v>768</v>
      </c>
      <c r="E40" s="1599" t="s">
        <v>960</v>
      </c>
      <c r="G40" s="1584" t="s">
        <v>665</v>
      </c>
      <c r="H40" s="1561"/>
      <c r="I40" s="1561"/>
      <c r="J40" s="1566">
        <f ca="1">80500-E95-E96-SUM(J27:J39)</f>
        <v>582.29051999999501</v>
      </c>
      <c r="L40" s="1560"/>
      <c r="M40" s="1561"/>
      <c r="N40" s="1591" t="s">
        <v>415</v>
      </c>
      <c r="O40" s="1592" t="s">
        <v>308</v>
      </c>
    </row>
    <row r="41" spans="2:21">
      <c r="B41" s="1560" t="s">
        <v>699</v>
      </c>
      <c r="C41" s="1561"/>
      <c r="D41" s="1623">
        <v>0</v>
      </c>
      <c r="E41" s="1624">
        <v>1.5</v>
      </c>
      <c r="G41" s="1584" t="s">
        <v>666</v>
      </c>
      <c r="H41" s="1561"/>
      <c r="I41" s="1585"/>
      <c r="J41" s="1586">
        <v>0</v>
      </c>
      <c r="L41" s="1611" t="s">
        <v>412</v>
      </c>
      <c r="M41" s="1561"/>
      <c r="N41" s="1612"/>
      <c r="O41" s="1593"/>
      <c r="U41" t="s">
        <v>787</v>
      </c>
    </row>
    <row r="42" spans="2:21">
      <c r="B42" s="1560" t="s">
        <v>369</v>
      </c>
      <c r="C42" s="1561"/>
      <c r="D42" s="1625">
        <v>36373</v>
      </c>
      <c r="E42" s="1626">
        <f>D42</f>
        <v>36373</v>
      </c>
      <c r="G42" s="1584" t="s">
        <v>667</v>
      </c>
      <c r="H42" s="1561"/>
      <c r="I42" s="1561"/>
      <c r="J42" s="1566">
        <v>0</v>
      </c>
      <c r="L42" s="1560" t="s">
        <v>787</v>
      </c>
      <c r="M42" s="1561" t="s">
        <v>787</v>
      </c>
      <c r="N42" s="1585" t="s">
        <v>787</v>
      </c>
      <c r="O42" s="1566" t="s">
        <v>787</v>
      </c>
    </row>
    <row r="43" spans="2:21">
      <c r="B43" s="1560"/>
      <c r="C43" s="1561"/>
      <c r="D43" s="1625"/>
      <c r="E43" s="1627"/>
      <c r="G43" s="1584" t="s">
        <v>668</v>
      </c>
      <c r="H43" s="1561"/>
      <c r="I43" s="1561"/>
      <c r="J43" s="1566">
        <v>0</v>
      </c>
      <c r="L43" s="1560" t="s">
        <v>628</v>
      </c>
      <c r="M43" s="1561"/>
      <c r="N43" s="1612"/>
      <c r="O43" s="1566"/>
    </row>
    <row r="44" spans="2:21">
      <c r="B44" s="1560" t="s">
        <v>686</v>
      </c>
      <c r="C44" s="1561"/>
      <c r="D44" s="1628">
        <f>1183.38*((CCFMODEL!M125))</f>
        <v>1331.9046155778003</v>
      </c>
      <c r="E44" s="1621">
        <f>D44</f>
        <v>1331.9046155778003</v>
      </c>
      <c r="G44" s="1584" t="s">
        <v>669</v>
      </c>
      <c r="H44" s="1561"/>
      <c r="I44" s="1585">
        <v>7.2499999999999995E-2</v>
      </c>
      <c r="J44" s="1583">
        <v>0</v>
      </c>
      <c r="L44" s="1594" t="s">
        <v>424</v>
      </c>
      <c r="M44" s="1582"/>
      <c r="N44" s="1585">
        <v>0</v>
      </c>
      <c r="O44" s="1566">
        <v>65000</v>
      </c>
    </row>
    <row r="45" spans="2:21">
      <c r="B45" s="1560" t="s">
        <v>287</v>
      </c>
      <c r="C45" s="1561"/>
      <c r="D45" s="1622">
        <v>8</v>
      </c>
      <c r="E45" s="1605">
        <f>D45</f>
        <v>8</v>
      </c>
      <c r="G45" s="1584" t="s">
        <v>670</v>
      </c>
      <c r="H45" s="1561"/>
      <c r="I45" s="1587"/>
      <c r="J45" s="1566">
        <v>0</v>
      </c>
      <c r="L45" s="1613" t="s">
        <v>787</v>
      </c>
      <c r="M45" s="1582"/>
      <c r="N45" s="1585"/>
      <c r="O45" s="1610" t="s">
        <v>787</v>
      </c>
    </row>
    <row r="46" spans="2:21">
      <c r="B46" s="1560" t="s">
        <v>698</v>
      </c>
      <c r="C46" s="1561"/>
      <c r="D46" s="1622" t="s">
        <v>768</v>
      </c>
      <c r="E46" s="1599" t="s">
        <v>960</v>
      </c>
      <c r="G46" s="1584" t="s">
        <v>671</v>
      </c>
      <c r="H46" s="1561"/>
      <c r="I46" s="1585">
        <v>0.05</v>
      </c>
      <c r="J46" s="1583">
        <v>0</v>
      </c>
      <c r="L46" s="1594" t="s">
        <v>787</v>
      </c>
      <c r="M46" s="1614" t="s">
        <v>787</v>
      </c>
      <c r="N46" s="1585">
        <v>0.02</v>
      </c>
      <c r="O46" s="1566" t="s">
        <v>787</v>
      </c>
    </row>
    <row r="47" spans="2:21">
      <c r="B47" s="1560" t="s">
        <v>699</v>
      </c>
      <c r="C47" s="1561"/>
      <c r="D47" s="1623">
        <v>0</v>
      </c>
      <c r="E47" s="1624">
        <v>1.5</v>
      </c>
      <c r="G47" s="1581" t="s">
        <v>310</v>
      </c>
      <c r="H47" s="1561"/>
      <c r="I47" s="1582"/>
      <c r="J47" s="1583">
        <f ca="1">SUM(J27:J46)</f>
        <v>78714.555519999994</v>
      </c>
      <c r="L47" s="1615"/>
      <c r="M47" s="1614" t="s">
        <v>787</v>
      </c>
      <c r="N47" s="1561"/>
      <c r="O47" s="1568" t="s">
        <v>787</v>
      </c>
    </row>
    <row r="48" spans="2:21" ht="13.8" thickBot="1">
      <c r="B48" s="1560" t="s">
        <v>369</v>
      </c>
      <c r="C48" s="1561"/>
      <c r="D48" s="1625">
        <v>37834</v>
      </c>
      <c r="E48" s="1626">
        <f>D48</f>
        <v>37834</v>
      </c>
      <c r="G48" s="1560"/>
      <c r="H48" s="1561"/>
      <c r="I48" s="1561"/>
      <c r="J48" s="1571"/>
      <c r="L48" s="1573" t="s">
        <v>787</v>
      </c>
      <c r="M48" s="1616"/>
      <c r="N48" s="1617" t="s">
        <v>787</v>
      </c>
      <c r="O48" s="1618" t="s">
        <v>787</v>
      </c>
    </row>
    <row r="49" spans="2:26" ht="13.8" thickBot="1">
      <c r="B49" s="1560" t="s">
        <v>787</v>
      </c>
      <c r="C49" s="1561"/>
      <c r="D49" s="1587"/>
      <c r="E49" s="1564"/>
      <c r="G49" s="1588" t="s">
        <v>375</v>
      </c>
      <c r="H49" s="1574"/>
      <c r="I49" s="1589">
        <f ca="1">J49/E9</f>
        <v>1457.676954074074</v>
      </c>
      <c r="J49" s="1590">
        <f ca="1">J8+J24+J47</f>
        <v>78714.555519999994</v>
      </c>
      <c r="U49" t="s">
        <v>787</v>
      </c>
    </row>
    <row r="50" spans="2:26">
      <c r="B50" s="1560" t="s">
        <v>687</v>
      </c>
      <c r="C50" s="1561"/>
      <c r="D50" s="1628">
        <f>3640.55*((CCFMODEL!Q125))</f>
        <v>4611.7398197956873</v>
      </c>
      <c r="E50" s="1621">
        <f>D50</f>
        <v>4611.7398197956873</v>
      </c>
      <c r="U50" t="s">
        <v>787</v>
      </c>
    </row>
    <row r="51" spans="2:26" ht="13.8" thickBot="1">
      <c r="B51" s="1560" t="s">
        <v>287</v>
      </c>
      <c r="C51" s="1561"/>
      <c r="D51" s="1622">
        <v>8</v>
      </c>
      <c r="E51" s="1605">
        <f>D51</f>
        <v>8</v>
      </c>
      <c r="G51" s="889"/>
      <c r="H51" s="887"/>
      <c r="I51" s="887"/>
      <c r="J51" s="888"/>
      <c r="L51" s="892" t="s">
        <v>928</v>
      </c>
    </row>
    <row r="52" spans="2:26" ht="13.8" thickBot="1">
      <c r="B52" s="1560" t="s">
        <v>698</v>
      </c>
      <c r="C52" s="1561"/>
      <c r="D52" s="1622" t="s">
        <v>768</v>
      </c>
      <c r="E52" s="1599" t="s">
        <v>960</v>
      </c>
      <c r="G52" s="868" t="s">
        <v>711</v>
      </c>
      <c r="L52" s="1632" t="s">
        <v>929</v>
      </c>
      <c r="M52" s="1633"/>
      <c r="N52" s="1633"/>
      <c r="O52" s="1485"/>
      <c r="U52" t="s">
        <v>787</v>
      </c>
    </row>
    <row r="53" spans="2:26">
      <c r="B53" s="1560" t="s">
        <v>699</v>
      </c>
      <c r="C53" s="1561"/>
      <c r="D53" s="1623">
        <v>0</v>
      </c>
      <c r="E53" s="1624">
        <v>1.5</v>
      </c>
      <c r="G53" s="1557"/>
      <c r="H53" s="1558"/>
      <c r="I53" s="1558"/>
      <c r="J53" s="1559"/>
      <c r="L53" s="1615" t="s">
        <v>930</v>
      </c>
      <c r="M53" s="1582"/>
      <c r="N53" s="1582"/>
      <c r="O53" s="1634">
        <f>IF($Z$56=1,150000,0)</f>
        <v>0</v>
      </c>
      <c r="U53" t="s">
        <v>787</v>
      </c>
    </row>
    <row r="54" spans="2:26">
      <c r="B54" s="1560" t="s">
        <v>369</v>
      </c>
      <c r="C54" s="1561"/>
      <c r="D54" s="1625">
        <v>39295</v>
      </c>
      <c r="E54" s="1626">
        <f>D54</f>
        <v>39295</v>
      </c>
      <c r="G54" s="1665" t="s">
        <v>714</v>
      </c>
      <c r="H54" s="1561"/>
      <c r="I54" s="1561"/>
      <c r="J54" s="1668">
        <v>0.15</v>
      </c>
      <c r="L54" s="1615" t="s">
        <v>931</v>
      </c>
      <c r="M54" s="1582"/>
      <c r="N54" s="1582"/>
      <c r="O54" s="1634">
        <f>IF($Z$56=1,150000,0)</f>
        <v>0</v>
      </c>
    </row>
    <row r="55" spans="2:26">
      <c r="B55" s="1560"/>
      <c r="C55" s="1561"/>
      <c r="D55" s="1587"/>
      <c r="E55" s="1564"/>
      <c r="G55" s="1665" t="s">
        <v>713</v>
      </c>
      <c r="H55" s="1561"/>
      <c r="I55" s="1561"/>
      <c r="J55" s="1669">
        <v>8.5</v>
      </c>
      <c r="L55" s="1615" t="s">
        <v>932</v>
      </c>
      <c r="M55" s="1582"/>
      <c r="N55" s="1582"/>
      <c r="O55" s="1635">
        <v>36892</v>
      </c>
    </row>
    <row r="56" spans="2:26">
      <c r="B56" s="1560" t="s">
        <v>688</v>
      </c>
      <c r="C56" s="1561"/>
      <c r="D56" s="1628">
        <f>1312.04*(CCFMODEL!U125)</f>
        <v>1870.6553139776611</v>
      </c>
      <c r="E56" s="1621">
        <f>D56</f>
        <v>1870.6553139776611</v>
      </c>
      <c r="G56" s="1665" t="s">
        <v>712</v>
      </c>
      <c r="H56" s="1561"/>
      <c r="I56" s="1561"/>
      <c r="J56" s="1668">
        <v>3.75</v>
      </c>
      <c r="L56" s="1615" t="s">
        <v>933</v>
      </c>
      <c r="M56" s="1582"/>
      <c r="N56" s="1582"/>
      <c r="O56" s="1635">
        <v>36892</v>
      </c>
      <c r="Z56">
        <v>0</v>
      </c>
    </row>
    <row r="57" spans="2:26" ht="13.8" thickBot="1">
      <c r="B57" s="1560" t="s">
        <v>287</v>
      </c>
      <c r="C57" s="1561"/>
      <c r="D57" s="1622">
        <v>8</v>
      </c>
      <c r="E57" s="1605">
        <f>D57</f>
        <v>8</v>
      </c>
      <c r="G57" s="1665" t="s">
        <v>438</v>
      </c>
      <c r="H57" s="1561"/>
      <c r="I57" s="1561"/>
      <c r="J57" s="1668">
        <v>1.75</v>
      </c>
      <c r="L57" s="1636"/>
      <c r="M57" s="1637"/>
      <c r="N57" s="1637"/>
      <c r="O57" s="1638"/>
      <c r="U57" t="s">
        <v>787</v>
      </c>
    </row>
    <row r="58" spans="2:26">
      <c r="B58" s="1560" t="s">
        <v>698</v>
      </c>
      <c r="C58" s="1561"/>
      <c r="D58" s="1622" t="s">
        <v>768</v>
      </c>
      <c r="E58" s="1599" t="s">
        <v>960</v>
      </c>
      <c r="G58" s="1665" t="s">
        <v>439</v>
      </c>
      <c r="H58" s="1561"/>
      <c r="I58" s="1561"/>
      <c r="J58" s="1668">
        <v>0.5</v>
      </c>
    </row>
    <row r="59" spans="2:26">
      <c r="B59" s="1560" t="s">
        <v>699</v>
      </c>
      <c r="C59" s="1561"/>
      <c r="D59" s="1623">
        <v>0</v>
      </c>
      <c r="E59" s="1624">
        <v>1.5</v>
      </c>
      <c r="G59" s="1665" t="s">
        <v>443</v>
      </c>
      <c r="H59" s="1561"/>
      <c r="I59" s="1561"/>
      <c r="J59" s="1670">
        <v>0.12104878144800001</v>
      </c>
    </row>
    <row r="60" spans="2:26">
      <c r="B60" s="1560" t="s">
        <v>369</v>
      </c>
      <c r="C60" s="1561"/>
      <c r="D60" s="1625">
        <v>40756</v>
      </c>
      <c r="E60" s="1626">
        <f>D60</f>
        <v>40756</v>
      </c>
      <c r="G60" s="1665" t="s">
        <v>715</v>
      </c>
      <c r="H60" s="1561"/>
      <c r="I60" s="1561"/>
      <c r="J60" s="1668">
        <v>0.04</v>
      </c>
    </row>
    <row r="61" spans="2:26" ht="15.75" customHeight="1" thickBot="1">
      <c r="B61" s="1560"/>
      <c r="C61" s="1561"/>
      <c r="D61" s="1587"/>
      <c r="E61" s="1564"/>
      <c r="G61" s="1671" t="s">
        <v>719</v>
      </c>
      <c r="H61" s="1574"/>
      <c r="I61" s="1574"/>
      <c r="J61" s="1672">
        <v>37011</v>
      </c>
    </row>
    <row r="62" spans="2:26" ht="16.5" customHeight="1" thickBot="1">
      <c r="B62" s="1560" t="s">
        <v>689</v>
      </c>
      <c r="C62" s="1561"/>
      <c r="D62" s="1628">
        <f>4028*(CCFMODEL!Y125)</f>
        <v>6463.75753668992</v>
      </c>
      <c r="E62" s="1621">
        <f>D62</f>
        <v>6463.75753668992</v>
      </c>
      <c r="F62" s="1346"/>
      <c r="G62" s="1549"/>
      <c r="H62" s="887"/>
      <c r="I62" s="1547"/>
      <c r="J62" s="1550"/>
      <c r="L62" s="892" t="s">
        <v>342</v>
      </c>
      <c r="M62" s="887"/>
    </row>
    <row r="63" spans="2:26">
      <c r="B63" s="1560" t="s">
        <v>287</v>
      </c>
      <c r="C63" s="1561"/>
      <c r="D63" s="1622">
        <v>8</v>
      </c>
      <c r="E63" s="1605">
        <f>D63</f>
        <v>8</v>
      </c>
      <c r="F63" s="12"/>
      <c r="G63" s="1549"/>
      <c r="H63" s="887"/>
      <c r="I63" s="1547"/>
      <c r="J63" s="1550"/>
      <c r="L63" s="1557" t="s">
        <v>339</v>
      </c>
      <c r="M63" s="1558"/>
      <c r="N63" s="1577" t="s">
        <v>261</v>
      </c>
      <c r="O63" s="1578" t="s">
        <v>308</v>
      </c>
    </row>
    <row r="64" spans="2:26" ht="13.5" customHeight="1">
      <c r="B64" s="1560" t="s">
        <v>698</v>
      </c>
      <c r="C64" s="1561"/>
      <c r="D64" s="1622" t="s">
        <v>768</v>
      </c>
      <c r="E64" s="1599" t="s">
        <v>960</v>
      </c>
      <c r="F64" s="1346"/>
      <c r="G64" s="1549"/>
      <c r="H64" s="887"/>
      <c r="I64" s="1547"/>
      <c r="J64" s="1550"/>
      <c r="L64" s="1560" t="s">
        <v>343</v>
      </c>
      <c r="M64" s="1561"/>
      <c r="N64" s="1639">
        <f t="shared" ref="N64:N71" si="0">O64/$E$9</f>
        <v>17.564639144828156</v>
      </c>
      <c r="O64" s="1583">
        <f>'O&amp;M'!E9</f>
        <v>948.49051382072037</v>
      </c>
    </row>
    <row r="65" spans="1:21" ht="13.5" customHeight="1">
      <c r="A65" t="s">
        <v>787</v>
      </c>
      <c r="B65" s="1560" t="s">
        <v>699</v>
      </c>
      <c r="C65" s="1561"/>
      <c r="D65" s="1623">
        <v>0</v>
      </c>
      <c r="E65" s="1624">
        <v>1.5</v>
      </c>
      <c r="G65" s="1549"/>
      <c r="H65" s="887"/>
      <c r="I65" s="1547"/>
      <c r="J65" s="1550"/>
      <c r="L65" s="1560" t="s">
        <v>344</v>
      </c>
      <c r="M65" s="1582"/>
      <c r="N65" s="1639">
        <f t="shared" si="0"/>
        <v>5.9106996737751736</v>
      </c>
      <c r="O65" s="1583">
        <f>'O&amp;M'!E25</f>
        <v>319.17778238385938</v>
      </c>
      <c r="U65" t="s">
        <v>787</v>
      </c>
    </row>
    <row r="66" spans="1:21" ht="13.5" customHeight="1">
      <c r="B66" s="1560" t="s">
        <v>369</v>
      </c>
      <c r="C66" s="1561"/>
      <c r="D66" s="1625">
        <v>42217</v>
      </c>
      <c r="E66" s="1626">
        <f>D66</f>
        <v>42217</v>
      </c>
      <c r="F66"/>
      <c r="G66" s="1549"/>
      <c r="H66" s="887"/>
      <c r="I66" s="887"/>
      <c r="J66" s="1552"/>
      <c r="L66" s="1560" t="s">
        <v>345</v>
      </c>
      <c r="M66" s="1561"/>
      <c r="N66" s="1639">
        <f t="shared" si="0"/>
        <v>3.6500311755227806</v>
      </c>
      <c r="O66" s="1583">
        <f>'O&amp;M'!E34</f>
        <v>197.10168347823014</v>
      </c>
    </row>
    <row r="67" spans="1:21">
      <c r="B67" s="1560"/>
      <c r="C67" s="1561"/>
      <c r="D67" s="1587"/>
      <c r="E67" s="1564"/>
      <c r="F67"/>
      <c r="G67" s="1549"/>
      <c r="H67" s="887"/>
      <c r="I67" s="887"/>
      <c r="J67" s="1550"/>
      <c r="L67" s="1640" t="s">
        <v>409</v>
      </c>
      <c r="M67" s="1561"/>
      <c r="N67" s="1639">
        <f t="shared" si="0"/>
        <v>0.75580513751557798</v>
      </c>
      <c r="O67" s="1583">
        <f>'O&amp;M'!E46</f>
        <v>40.813477425841214</v>
      </c>
    </row>
    <row r="68" spans="1:21">
      <c r="B68" s="1560"/>
      <c r="C68" s="1561"/>
      <c r="D68" s="1587"/>
      <c r="E68" s="1564"/>
      <c r="F68"/>
      <c r="G68" s="1549"/>
      <c r="H68" s="887"/>
      <c r="I68" s="24"/>
      <c r="J68" s="1552"/>
      <c r="L68" s="1640" t="s">
        <v>410</v>
      </c>
      <c r="M68" s="1561"/>
      <c r="N68" s="1639">
        <f t="shared" si="0"/>
        <v>8.7930895195333001</v>
      </c>
      <c r="O68" s="1583">
        <f>'O&amp;M'!E56</f>
        <v>474.82683405479821</v>
      </c>
    </row>
    <row r="69" spans="1:21">
      <c r="B69" s="1565" t="s">
        <v>306</v>
      </c>
      <c r="C69" s="1561"/>
      <c r="D69" s="1587"/>
      <c r="E69" s="1564"/>
      <c r="F69"/>
      <c r="G69" s="906"/>
      <c r="H69" s="887"/>
      <c r="I69" s="887"/>
      <c r="J69" s="1550"/>
      <c r="L69" s="1640" t="s">
        <v>625</v>
      </c>
      <c r="M69" s="1561"/>
      <c r="N69" s="1639">
        <f t="shared" si="0"/>
        <v>25.144326281048929</v>
      </c>
      <c r="O69" s="1583">
        <f>'O&amp;M'!E40</f>
        <v>1357.7936191766421</v>
      </c>
    </row>
    <row r="70" spans="1:21">
      <c r="B70" s="1560" t="s">
        <v>722</v>
      </c>
      <c r="C70" s="1561"/>
      <c r="D70" s="1587"/>
      <c r="E70" s="1599" t="s">
        <v>673</v>
      </c>
      <c r="F70"/>
      <c r="G70" s="1553"/>
      <c r="H70" s="906"/>
      <c r="I70" s="906"/>
      <c r="J70" s="906"/>
      <c r="L70" s="1640" t="s">
        <v>477</v>
      </c>
      <c r="M70" s="1582"/>
      <c r="N70" s="1639">
        <f t="shared" si="0"/>
        <v>0</v>
      </c>
      <c r="O70" s="1566">
        <v>0</v>
      </c>
    </row>
    <row r="71" spans="1:21">
      <c r="B71" s="1560" t="s">
        <v>626</v>
      </c>
      <c r="C71" s="1561"/>
      <c r="D71" s="1587"/>
      <c r="E71" s="1567">
        <v>0.03</v>
      </c>
      <c r="G71" s="906"/>
      <c r="H71" s="906"/>
      <c r="I71" s="906"/>
      <c r="J71" s="888"/>
      <c r="L71" s="1581" t="s">
        <v>315</v>
      </c>
      <c r="M71" s="1561"/>
      <c r="N71" s="1639">
        <f t="shared" si="0"/>
        <v>61.818590932223913</v>
      </c>
      <c r="O71" s="1583">
        <f>SUM(O64:O70)</f>
        <v>3338.2039103400912</v>
      </c>
    </row>
    <row r="72" spans="1:21">
      <c r="B72" s="1560"/>
      <c r="C72" s="1561"/>
      <c r="D72" s="1587"/>
      <c r="E72" s="1567"/>
      <c r="G72" s="906"/>
      <c r="H72" s="906"/>
      <c r="I72" s="906"/>
      <c r="J72" s="888"/>
      <c r="L72" s="1560"/>
      <c r="M72" s="1561"/>
      <c r="N72" s="1561"/>
      <c r="O72" s="1571"/>
    </row>
    <row r="73" spans="1:21">
      <c r="B73" s="1560"/>
      <c r="C73" s="1561"/>
      <c r="D73" s="1587"/>
      <c r="E73" s="1567"/>
      <c r="G73" s="24"/>
      <c r="H73" s="24"/>
      <c r="I73" s="24"/>
      <c r="J73" s="24"/>
      <c r="L73" s="1565" t="s">
        <v>346</v>
      </c>
      <c r="M73" s="1561"/>
      <c r="N73" s="1561"/>
      <c r="O73" s="1593"/>
      <c r="P73" s="136" t="s">
        <v>787</v>
      </c>
    </row>
    <row r="74" spans="1:21">
      <c r="B74" s="1565" t="s">
        <v>328</v>
      </c>
      <c r="C74" s="1561"/>
      <c r="D74" s="1561"/>
      <c r="E74" s="1571"/>
      <c r="G74" s="887"/>
      <c r="H74" s="887"/>
      <c r="I74" s="887"/>
      <c r="J74" s="888"/>
      <c r="L74" s="1560" t="s">
        <v>1147</v>
      </c>
      <c r="M74" s="1561"/>
      <c r="N74" s="1561"/>
      <c r="O74" s="1641">
        <v>1</v>
      </c>
    </row>
    <row r="75" spans="1:21">
      <c r="B75" s="1560" t="s">
        <v>294</v>
      </c>
      <c r="C75" s="1561"/>
      <c r="D75" s="1561"/>
      <c r="E75" s="1599" t="s">
        <v>673</v>
      </c>
      <c r="G75" s="887"/>
      <c r="H75" s="887"/>
      <c r="I75" s="887"/>
      <c r="J75" s="1554"/>
      <c r="L75" s="1560" t="s">
        <v>634</v>
      </c>
      <c r="M75" s="1561"/>
      <c r="N75" s="1561"/>
      <c r="O75" s="1642">
        <v>5000</v>
      </c>
    </row>
    <row r="76" spans="1:21" ht="13.8" thickBot="1">
      <c r="B76" s="1573" t="s">
        <v>329</v>
      </c>
      <c r="C76" s="1574"/>
      <c r="D76" s="1574"/>
      <c r="E76" s="1629">
        <v>0.05</v>
      </c>
      <c r="G76" s="887"/>
      <c r="H76" s="887"/>
      <c r="I76" s="1242"/>
      <c r="J76" s="1243"/>
      <c r="L76" s="1643" t="s">
        <v>829</v>
      </c>
      <c r="M76" s="1561"/>
      <c r="N76" s="1561"/>
      <c r="O76" s="1644">
        <v>-0.03</v>
      </c>
    </row>
    <row r="77" spans="1:21">
      <c r="B77" t="s">
        <v>787</v>
      </c>
      <c r="G77" s="906"/>
      <c r="H77" s="1551"/>
      <c r="I77" s="887"/>
      <c r="J77" s="1555"/>
      <c r="L77" s="1643" t="s">
        <v>16</v>
      </c>
      <c r="M77" s="1561"/>
      <c r="N77" s="1561"/>
      <c r="O77" s="1645" t="s">
        <v>828</v>
      </c>
    </row>
    <row r="78" spans="1:21" ht="13.8" thickBot="1">
      <c r="B78" s="868" t="s">
        <v>292</v>
      </c>
      <c r="G78" s="1548"/>
      <c r="H78" s="1548"/>
      <c r="I78" s="1548"/>
      <c r="J78" s="1548"/>
      <c r="L78" s="1643" t="s">
        <v>176</v>
      </c>
      <c r="M78" s="1561"/>
      <c r="N78" s="1646">
        <v>40298</v>
      </c>
      <c r="O78" s="1644">
        <v>-0.25</v>
      </c>
    </row>
    <row r="79" spans="1:21">
      <c r="B79" s="1557" t="s">
        <v>311</v>
      </c>
      <c r="C79" s="1558"/>
      <c r="D79" s="1558"/>
      <c r="E79" s="1559"/>
      <c r="L79" s="1560" t="s">
        <v>598</v>
      </c>
      <c r="M79" s="1582"/>
      <c r="N79" s="1582"/>
      <c r="O79" s="1569">
        <v>0.04</v>
      </c>
    </row>
    <row r="80" spans="1:21">
      <c r="B80" s="1560" t="s">
        <v>370</v>
      </c>
      <c r="C80" s="1561"/>
      <c r="D80" s="1561"/>
      <c r="E80" s="1567">
        <v>0</v>
      </c>
      <c r="L80" s="1560" t="s">
        <v>600</v>
      </c>
      <c r="M80" s="1582"/>
      <c r="N80" s="1582"/>
      <c r="O80" s="1569">
        <v>0.2</v>
      </c>
    </row>
    <row r="81" spans="2:17">
      <c r="B81" s="1560" t="s">
        <v>371</v>
      </c>
      <c r="C81" s="1561"/>
      <c r="D81" s="1561"/>
      <c r="E81" s="1580">
        <v>0</v>
      </c>
      <c r="L81" s="1560" t="s">
        <v>177</v>
      </c>
      <c r="M81" s="1647">
        <v>36646</v>
      </c>
      <c r="N81" s="1582"/>
      <c r="O81" s="1644">
        <v>2.0449999999999999</v>
      </c>
      <c r="Q81" s="209" t="s">
        <v>787</v>
      </c>
    </row>
    <row r="82" spans="2:17">
      <c r="B82" s="1560" t="s">
        <v>372</v>
      </c>
      <c r="C82" s="1561"/>
      <c r="D82" s="1561"/>
      <c r="E82" s="1599" t="s">
        <v>768</v>
      </c>
      <c r="L82" s="1560" t="s">
        <v>1146</v>
      </c>
      <c r="M82" s="1561"/>
      <c r="N82" s="1646">
        <f>N78</f>
        <v>40298</v>
      </c>
      <c r="O82" s="1644">
        <v>-0.28000000000000003</v>
      </c>
    </row>
    <row r="83" spans="2:17">
      <c r="B83" s="1560" t="s">
        <v>373</v>
      </c>
      <c r="C83" s="1561"/>
      <c r="D83" s="1561"/>
      <c r="E83" s="1580">
        <v>0</v>
      </c>
      <c r="L83" s="1560" t="s">
        <v>787</v>
      </c>
      <c r="M83" s="1561"/>
      <c r="N83" s="1648">
        <f>N78</f>
        <v>40298</v>
      </c>
      <c r="O83" s="1644" t="s">
        <v>787</v>
      </c>
    </row>
    <row r="84" spans="2:17">
      <c r="B84" s="1560" t="s">
        <v>374</v>
      </c>
      <c r="C84" s="1561"/>
      <c r="D84" s="1561"/>
      <c r="E84" s="1653">
        <v>0</v>
      </c>
      <c r="L84" s="1560" t="s">
        <v>1143</v>
      </c>
      <c r="M84" s="1561"/>
      <c r="N84" s="1648">
        <v>40298</v>
      </c>
      <c r="O84" s="1644"/>
    </row>
    <row r="85" spans="2:17">
      <c r="B85" s="1560"/>
      <c r="C85" s="1561"/>
      <c r="D85" s="1591" t="s">
        <v>261</v>
      </c>
      <c r="E85" s="1592" t="s">
        <v>308</v>
      </c>
      <c r="L85" s="1560"/>
      <c r="M85" s="1561"/>
      <c r="N85" s="1648"/>
      <c r="O85" s="1642"/>
    </row>
    <row r="86" spans="2:17">
      <c r="B86" s="1560" t="s">
        <v>289</v>
      </c>
      <c r="C86" s="1561"/>
      <c r="D86" s="1579">
        <v>0</v>
      </c>
      <c r="E86" s="1653">
        <v>0</v>
      </c>
      <c r="L86" s="1560" t="s">
        <v>679</v>
      </c>
      <c r="M86" s="1561"/>
      <c r="N86" s="1561"/>
      <c r="O86" s="1567">
        <v>0.01</v>
      </c>
    </row>
    <row r="87" spans="2:17">
      <c r="B87" s="1560"/>
      <c r="C87" s="1561"/>
      <c r="D87" s="1579"/>
      <c r="E87" s="1653"/>
      <c r="L87" s="1631" t="s">
        <v>635</v>
      </c>
      <c r="M87" s="1561"/>
      <c r="N87" s="1561"/>
      <c r="O87" s="1642"/>
    </row>
    <row r="88" spans="2:17">
      <c r="B88" s="1560"/>
      <c r="C88" s="1561"/>
      <c r="D88" s="1654"/>
      <c r="E88" s="1653"/>
      <c r="L88" s="1560" t="s">
        <v>12</v>
      </c>
      <c r="M88" s="1561"/>
      <c r="N88" s="1561"/>
      <c r="O88" s="1649">
        <v>0.59019999999999995</v>
      </c>
    </row>
    <row r="89" spans="2:17">
      <c r="B89" s="1565" t="s">
        <v>312</v>
      </c>
      <c r="C89" s="1561"/>
      <c r="D89" s="1561"/>
      <c r="E89" s="1571"/>
      <c r="L89" s="1560" t="s">
        <v>13</v>
      </c>
      <c r="M89" s="1561"/>
      <c r="N89" s="1561"/>
      <c r="O89" s="1649">
        <v>0.42</v>
      </c>
    </row>
    <row r="90" spans="2:17">
      <c r="B90" s="1560" t="s">
        <v>313</v>
      </c>
      <c r="C90" s="1561"/>
      <c r="D90" s="1655">
        <v>0.3</v>
      </c>
      <c r="E90" s="1586">
        <v>24000</v>
      </c>
      <c r="L90" s="1560"/>
      <c r="M90" s="1561" t="s">
        <v>637</v>
      </c>
      <c r="N90" s="1561"/>
      <c r="O90" s="1644">
        <v>6.7000000000000004E-2</v>
      </c>
    </row>
    <row r="91" spans="2:17" ht="14.4">
      <c r="B91" s="1584" t="s">
        <v>570</v>
      </c>
      <c r="C91" s="1561"/>
      <c r="D91" s="1655"/>
      <c r="E91" s="1656">
        <v>0</v>
      </c>
      <c r="L91" s="1560" t="s">
        <v>787</v>
      </c>
      <c r="M91" s="1561" t="s">
        <v>105</v>
      </c>
      <c r="N91" s="1561"/>
      <c r="O91" s="1569">
        <v>1.2999999999999999E-2</v>
      </c>
    </row>
    <row r="92" spans="2:17">
      <c r="B92" s="1584" t="s">
        <v>571</v>
      </c>
      <c r="C92" s="1561"/>
      <c r="D92" s="1655"/>
      <c r="E92" s="1583">
        <f>SUM(E90:E91)</f>
        <v>24000</v>
      </c>
      <c r="L92" s="1560" t="s">
        <v>638</v>
      </c>
      <c r="M92" s="1561" t="s">
        <v>636</v>
      </c>
      <c r="N92" s="1561"/>
      <c r="O92" s="1644">
        <v>0.14510000000000001</v>
      </c>
    </row>
    <row r="93" spans="2:17">
      <c r="B93" s="1584"/>
      <c r="C93" s="1561"/>
      <c r="D93" s="1655"/>
      <c r="E93" s="1583"/>
      <c r="L93" s="1560" t="s">
        <v>108</v>
      </c>
      <c r="M93" s="1561"/>
      <c r="N93" s="1561"/>
      <c r="O93" s="1644">
        <v>-9.2999999999999999E-2</v>
      </c>
    </row>
    <row r="94" spans="2:17">
      <c r="B94" s="1560" t="s">
        <v>314</v>
      </c>
      <c r="C94" s="1561"/>
      <c r="D94" s="1657">
        <f>1-D90</f>
        <v>0.7</v>
      </c>
      <c r="E94" s="1583">
        <f ca="1">+J49-E90</f>
        <v>54714.555519999994</v>
      </c>
      <c r="L94" s="1560"/>
      <c r="M94" s="1561" t="s">
        <v>637</v>
      </c>
      <c r="N94" s="1561"/>
      <c r="O94" s="1644">
        <v>0</v>
      </c>
    </row>
    <row r="95" spans="2:17">
      <c r="B95" s="1560" t="s">
        <v>332</v>
      </c>
      <c r="C95" s="1561"/>
      <c r="D95" s="1658" t="s">
        <v>787</v>
      </c>
      <c r="E95" s="1583">
        <f ca="1">CCFMODEL!E506</f>
        <v>774.44448</v>
      </c>
      <c r="F95" s="921" t="s">
        <v>787</v>
      </c>
      <c r="L95" s="1560" t="s">
        <v>73</v>
      </c>
      <c r="M95" s="1582"/>
      <c r="N95" s="1582"/>
      <c r="O95" s="1650">
        <v>1.5</v>
      </c>
    </row>
    <row r="96" spans="2:17">
      <c r="B96" s="1640" t="s">
        <v>316</v>
      </c>
      <c r="C96" s="1561"/>
      <c r="D96" s="1582"/>
      <c r="E96" s="1583">
        <f ca="1">CCFMODEL!H577</f>
        <v>1011</v>
      </c>
      <c r="L96" s="1560"/>
      <c r="M96" s="1582"/>
      <c r="N96" s="1582"/>
      <c r="O96" s="1651"/>
      <c r="P96" s="1298"/>
    </row>
    <row r="97" spans="2:16" ht="14.4">
      <c r="B97" s="1560" t="s">
        <v>327</v>
      </c>
      <c r="C97" s="1561"/>
      <c r="D97" s="1582"/>
      <c r="E97" s="1630">
        <f>CCFMODEL!J588</f>
        <v>0</v>
      </c>
      <c r="L97" s="1565" t="s">
        <v>463</v>
      </c>
      <c r="M97" s="1582"/>
      <c r="N97" s="1582"/>
      <c r="O97" s="1651"/>
    </row>
    <row r="98" spans="2:16">
      <c r="B98" s="1560" t="s">
        <v>330</v>
      </c>
      <c r="C98" s="1561"/>
      <c r="D98" s="1582"/>
      <c r="E98" s="1583">
        <f ca="1">SUM(E94:E97)</f>
        <v>56499.999999999993</v>
      </c>
      <c r="L98" s="1560" t="s">
        <v>362</v>
      </c>
      <c r="M98" s="1561"/>
      <c r="N98" s="1639">
        <f>O98/$E$9</f>
        <v>11.85096489311575</v>
      </c>
      <c r="O98" s="1583">
        <f>'O&amp;M'!E95</f>
        <v>639.95210422825051</v>
      </c>
    </row>
    <row r="99" spans="2:16" ht="13.8" thickBot="1">
      <c r="B99" s="1659" t="s">
        <v>530</v>
      </c>
      <c r="C99" s="1561"/>
      <c r="D99" s="1655"/>
      <c r="E99" s="1586">
        <v>55500</v>
      </c>
      <c r="L99" s="1573" t="s">
        <v>787</v>
      </c>
      <c r="M99" s="1637"/>
      <c r="N99" s="1637"/>
      <c r="O99" s="1652" t="s">
        <v>787</v>
      </c>
    </row>
    <row r="100" spans="2:16">
      <c r="B100" s="1584" t="s">
        <v>348</v>
      </c>
      <c r="C100" s="1561"/>
      <c r="D100" s="1561"/>
      <c r="E100" s="1571"/>
      <c r="L100" s="887"/>
      <c r="N100" t="s">
        <v>787</v>
      </c>
    </row>
    <row r="101" spans="2:16" ht="13.8" thickBot="1">
      <c r="B101" s="1584" t="s">
        <v>349</v>
      </c>
      <c r="C101" s="1561"/>
      <c r="D101" s="1561"/>
      <c r="E101" s="1567">
        <v>6.5000000000000002E-2</v>
      </c>
      <c r="L101" s="868" t="s">
        <v>295</v>
      </c>
    </row>
    <row r="102" spans="2:16">
      <c r="B102" s="1584" t="s">
        <v>1110</v>
      </c>
      <c r="C102" s="1561"/>
      <c r="D102" s="1561"/>
      <c r="E102" s="1566">
        <v>1</v>
      </c>
      <c r="L102" s="1557" t="s">
        <v>360</v>
      </c>
      <c r="M102" s="1558"/>
      <c r="N102" s="1558"/>
      <c r="O102" s="1559"/>
      <c r="P102" t="s">
        <v>787</v>
      </c>
    </row>
    <row r="103" spans="2:16">
      <c r="B103" s="1584" t="s">
        <v>649</v>
      </c>
      <c r="C103" s="1561"/>
      <c r="D103" s="1561"/>
      <c r="E103" s="1660">
        <v>888.89599999999996</v>
      </c>
      <c r="L103" s="1584" t="s">
        <v>797</v>
      </c>
      <c r="M103" s="1561"/>
      <c r="N103" s="1561"/>
      <c r="O103" s="1673">
        <f ca="1">MIN(CCFMODEL!$I$751:$Z$751)</f>
        <v>0.89635605590128131</v>
      </c>
    </row>
    <row r="104" spans="2:16">
      <c r="B104" s="1584" t="s">
        <v>650</v>
      </c>
      <c r="C104" s="1561"/>
      <c r="D104" s="1561"/>
      <c r="E104" s="1660">
        <v>3000</v>
      </c>
      <c r="L104" s="1584" t="s">
        <v>296</v>
      </c>
      <c r="M104" s="1561"/>
      <c r="N104" s="1561"/>
      <c r="O104" s="1673">
        <f ca="1">MAX(CCFMODEL!$I$751:$Z$751)</f>
        <v>2.4067353097647364</v>
      </c>
    </row>
    <row r="105" spans="2:16">
      <c r="B105" s="1584" t="s">
        <v>651</v>
      </c>
      <c r="C105" s="1561"/>
      <c r="D105" s="1561"/>
      <c r="E105" s="1567">
        <v>5.0000000000000001E-3</v>
      </c>
      <c r="L105" s="1584" t="s">
        <v>297</v>
      </c>
      <c r="M105" s="1561" t="str">
        <f>"(over "&amp;E112&amp;" years)"</f>
        <v>(over 17 years)</v>
      </c>
      <c r="N105" s="1561"/>
      <c r="O105" s="1674">
        <f ca="1">IF(ISERROR(AVERAGE(CCFMODEL!$I$751:$Z$751)),"NA",AVERAGE(CCFMODEL!$I$751:$Z$751))</f>
        <v>1.5496807512122026</v>
      </c>
    </row>
    <row r="106" spans="2:16">
      <c r="B106" s="1615"/>
      <c r="C106" s="1561"/>
      <c r="D106" s="1661" t="s">
        <v>623</v>
      </c>
      <c r="E106" s="1662" t="s">
        <v>618</v>
      </c>
      <c r="L106" s="1560" t="s">
        <v>366</v>
      </c>
      <c r="M106" s="1561"/>
      <c r="N106" s="1561"/>
      <c r="O106" s="1674">
        <f>CCFMODEL!J760</f>
        <v>9.3864213270961976</v>
      </c>
    </row>
    <row r="107" spans="2:16">
      <c r="B107" s="1663" t="s">
        <v>619</v>
      </c>
      <c r="C107" s="1561"/>
      <c r="D107" s="1664">
        <v>125</v>
      </c>
      <c r="E107" s="1619">
        <f>$E$101+(D107/10000)</f>
        <v>7.7499999999999999E-2</v>
      </c>
      <c r="L107" s="1560"/>
      <c r="M107" s="1561"/>
      <c r="N107" s="1561"/>
      <c r="O107" s="1674"/>
    </row>
    <row r="108" spans="2:16">
      <c r="B108" s="1663" t="s">
        <v>620</v>
      </c>
      <c r="C108" s="1561"/>
      <c r="D108" s="1664">
        <v>137.5</v>
      </c>
      <c r="E108" s="1619">
        <f>$E$101+(D108/10000)</f>
        <v>7.8750000000000001E-2</v>
      </c>
      <c r="L108" s="1581" t="s">
        <v>1127</v>
      </c>
      <c r="M108" s="1561"/>
      <c r="N108" s="1561"/>
      <c r="O108" s="1675">
        <v>0</v>
      </c>
    </row>
    <row r="109" spans="2:16">
      <c r="B109" s="1663" t="s">
        <v>621</v>
      </c>
      <c r="C109" s="1561"/>
      <c r="D109" s="1664">
        <v>162.5</v>
      </c>
      <c r="E109" s="1619">
        <f>$E$101+(D109/10000)</f>
        <v>8.1250000000000003E-2</v>
      </c>
      <c r="L109" s="1581" t="s">
        <v>787</v>
      </c>
      <c r="M109" s="1561"/>
      <c r="N109" s="1561"/>
      <c r="O109" s="1676">
        <v>0</v>
      </c>
    </row>
    <row r="110" spans="2:16">
      <c r="B110" s="1663" t="s">
        <v>624</v>
      </c>
      <c r="C110" s="1561"/>
      <c r="D110" s="1664">
        <v>175</v>
      </c>
      <c r="E110" s="1619">
        <f>$E$101+(D110/10000)</f>
        <v>8.2500000000000004E-2</v>
      </c>
      <c r="L110" s="1581" t="s">
        <v>291</v>
      </c>
      <c r="M110" s="1561"/>
      <c r="N110" s="1561"/>
      <c r="O110" s="1677">
        <v>36891</v>
      </c>
    </row>
    <row r="111" spans="2:16">
      <c r="B111" s="1663" t="s">
        <v>622</v>
      </c>
      <c r="C111" s="1561"/>
      <c r="D111" s="1664">
        <v>187.5</v>
      </c>
      <c r="E111" s="1619">
        <f>$E$101+(D111/10000)</f>
        <v>8.3750000000000005E-2</v>
      </c>
      <c r="L111" s="1581" t="s">
        <v>290</v>
      </c>
      <c r="M111" s="1561"/>
      <c r="N111" s="1561"/>
      <c r="O111" s="1626">
        <f>IF(AND(YEAR(O110)=2000,MONTH(O110)=1),+O110,EOMONTH(O110,0))</f>
        <v>36891</v>
      </c>
    </row>
    <row r="112" spans="2:16">
      <c r="B112" s="1584" t="s">
        <v>293</v>
      </c>
      <c r="C112" s="1561"/>
      <c r="D112" s="1561"/>
      <c r="E112" s="1653">
        <v>17</v>
      </c>
      <c r="L112" s="1565" t="s">
        <v>361</v>
      </c>
      <c r="M112" s="1582"/>
      <c r="N112" s="1582"/>
      <c r="O112" s="1593"/>
      <c r="P112" s="141" t="s">
        <v>787</v>
      </c>
    </row>
    <row r="113" spans="2:16">
      <c r="B113" s="1584" t="s">
        <v>331</v>
      </c>
      <c r="C113" s="1561"/>
      <c r="D113" s="1561"/>
      <c r="E113" s="1567">
        <f>1.5%</f>
        <v>1.4999999999999999E-2</v>
      </c>
      <c r="L113" s="1560" t="s">
        <v>357</v>
      </c>
      <c r="M113" s="1561"/>
      <c r="N113" s="1561"/>
      <c r="O113" s="1678">
        <f ca="1">-CCFMODEL!H736</f>
        <v>24000</v>
      </c>
      <c r="P113" s="141" t="s">
        <v>787</v>
      </c>
    </row>
    <row r="114" spans="2:16">
      <c r="B114" s="1594" t="s">
        <v>690</v>
      </c>
      <c r="C114" s="1582"/>
      <c r="D114" s="1582"/>
      <c r="E114" s="1580">
        <v>15</v>
      </c>
      <c r="L114" s="1560" t="s">
        <v>787</v>
      </c>
      <c r="M114" s="1561"/>
      <c r="N114" s="1679" t="s">
        <v>596</v>
      </c>
      <c r="O114" s="1680" t="s">
        <v>787</v>
      </c>
    </row>
    <row r="115" spans="2:16" ht="13.8" thickBot="1">
      <c r="B115" s="1665" t="s">
        <v>652</v>
      </c>
      <c r="C115" s="1582"/>
      <c r="D115" s="1582"/>
      <c r="E115" s="1580"/>
      <c r="L115" s="1573" t="s">
        <v>494</v>
      </c>
      <c r="M115" s="1617">
        <v>0.09</v>
      </c>
      <c r="N115" s="1574" t="s">
        <v>627</v>
      </c>
      <c r="O115" s="1681" t="s">
        <v>787</v>
      </c>
    </row>
    <row r="116" spans="2:16">
      <c r="B116" s="1594" t="s">
        <v>653</v>
      </c>
      <c r="C116" s="1582"/>
      <c r="D116" s="1582"/>
      <c r="E116" s="1580">
        <v>2</v>
      </c>
    </row>
    <row r="117" spans="2:16">
      <c r="B117" s="1594" t="s">
        <v>654</v>
      </c>
      <c r="C117" s="1582"/>
      <c r="D117" s="1582"/>
      <c r="E117" s="1666">
        <f>3500+300</f>
        <v>3800</v>
      </c>
    </row>
    <row r="118" spans="2:16">
      <c r="B118" s="1594" t="s">
        <v>655</v>
      </c>
      <c r="C118" s="1561"/>
      <c r="D118" s="1561"/>
      <c r="E118" s="1569">
        <v>0.5</v>
      </c>
    </row>
    <row r="119" spans="2:16" ht="13.8" thickBot="1">
      <c r="B119" s="1667" t="s">
        <v>656</v>
      </c>
      <c r="C119" s="1574"/>
      <c r="D119" s="1574"/>
      <c r="E119" s="1629">
        <v>1.2500000000000001E-2</v>
      </c>
    </row>
    <row r="121" spans="2:16">
      <c r="D121" s="890" t="s">
        <v>897</v>
      </c>
      <c r="M121" s="209"/>
    </row>
    <row r="122" spans="2:16">
      <c r="D122" s="294">
        <f ca="1">CCFMODEL!$C$3</f>
        <v>9.2859409051015973E-10</v>
      </c>
      <c r="M122" s="1307"/>
    </row>
    <row r="123" spans="2:16">
      <c r="M123" s="137"/>
    </row>
    <row r="124" spans="2:16">
      <c r="M124" s="137"/>
    </row>
    <row r="132" spans="2:2">
      <c r="B132" s="913" t="s">
        <v>787</v>
      </c>
    </row>
  </sheetData>
  <mergeCells count="1">
    <mergeCell ref="N7:O7"/>
  </mergeCells>
  <pageMargins left="0.5" right="0.5" top="0.5" bottom="0.5" header="0.5" footer="0.5"/>
  <pageSetup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2018" r:id="rId4" name="Button 34">
              <controlPr defaultSize="0" print="0" autoFill="0" autoLine="0" autoPict="0" macro="[0]!Module1.Optimize">
                <anchor moveWithCells="1" sizeWithCells="1">
                  <from>
                    <xdr:col>1</xdr:col>
                    <xdr:colOff>251460</xdr:colOff>
                    <xdr:row>119</xdr:row>
                    <xdr:rowOff>167640</xdr:rowOff>
                  </from>
                  <to>
                    <xdr:col>2</xdr:col>
                    <xdr:colOff>571500</xdr:colOff>
                    <xdr:row>121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B1468"/>
  <sheetViews>
    <sheetView topLeftCell="A272" workbookViewId="0">
      <selection activeCell="A272" sqref="A272"/>
    </sheetView>
  </sheetViews>
  <sheetFormatPr defaultRowHeight="13.2"/>
  <cols>
    <col min="1" max="1" width="11.5546875" customWidth="1"/>
    <col min="2" max="2" width="11.6640625" hidden="1" customWidth="1"/>
    <col min="3" max="3" width="11" style="1483" customWidth="1"/>
    <col min="4" max="4" width="10.5546875" customWidth="1"/>
    <col min="5" max="5" width="10" customWidth="1"/>
    <col min="7" max="7" width="11.33203125" style="1483" customWidth="1"/>
    <col min="9" max="9" width="9.109375" style="17" customWidth="1"/>
    <col min="10" max="10" width="15.44140625" style="1483" customWidth="1"/>
    <col min="12" max="12" width="11.109375" customWidth="1"/>
    <col min="13" max="13" width="15" customWidth="1"/>
    <col min="14" max="14" width="12.6640625" style="1483" customWidth="1"/>
    <col min="15" max="15" width="14" customWidth="1"/>
    <col min="16" max="16" width="14.44140625" customWidth="1"/>
    <col min="17" max="17" width="13.44140625" style="1483" customWidth="1"/>
    <col min="18" max="18" width="11.6640625" customWidth="1"/>
    <col min="19" max="19" width="15.44140625" customWidth="1"/>
    <col min="20" max="20" width="13.5546875" customWidth="1"/>
    <col min="21" max="21" width="10.88671875" style="137" customWidth="1"/>
    <col min="22" max="22" width="13.6640625" customWidth="1"/>
    <col min="23" max="23" width="11.5546875" customWidth="1"/>
    <col min="26" max="26" width="13" style="1467" customWidth="1"/>
    <col min="27" max="27" width="14.5546875" style="1467" customWidth="1"/>
    <col min="28" max="28" width="28" customWidth="1"/>
  </cols>
  <sheetData>
    <row r="1" spans="1:28" ht="13.8" thickBot="1">
      <c r="N1" s="1537" t="s">
        <v>164</v>
      </c>
      <c r="O1" s="1538">
        <v>0.09</v>
      </c>
      <c r="P1" s="1537" t="s">
        <v>584</v>
      </c>
      <c r="Q1" s="1539">
        <f>XNPV(O1,Q12:Q20,A12:A20)</f>
        <v>1633950.738930807</v>
      </c>
      <c r="V1" t="s">
        <v>787</v>
      </c>
    </row>
    <row r="2" spans="1:28" ht="16.2" thickBot="1">
      <c r="A2" s="1497"/>
      <c r="B2" s="1499"/>
      <c r="C2" s="1498" t="s">
        <v>450</v>
      </c>
      <c r="D2" s="1499"/>
      <c r="E2" s="1500"/>
      <c r="F2" s="1479"/>
      <c r="G2" s="1484"/>
      <c r="H2" s="1480"/>
      <c r="I2" s="1482"/>
      <c r="J2" s="1496" t="s">
        <v>451</v>
      </c>
      <c r="K2" s="1480"/>
      <c r="L2" s="1480"/>
      <c r="M2" s="1485"/>
      <c r="N2" s="1488"/>
      <c r="O2" s="1490" t="s">
        <v>448</v>
      </c>
      <c r="P2" s="1489"/>
      <c r="Q2" s="1540">
        <v>0</v>
      </c>
      <c r="R2" s="1491"/>
      <c r="S2" s="1492" t="s">
        <v>449</v>
      </c>
      <c r="T2" s="1493"/>
      <c r="U2" s="1494"/>
      <c r="V2" s="1495"/>
    </row>
    <row r="3" spans="1:28">
      <c r="A3" s="1501"/>
      <c r="B3" s="1503"/>
      <c r="C3" s="1502" t="s">
        <v>513</v>
      </c>
      <c r="D3" s="1503" t="s">
        <v>457</v>
      </c>
      <c r="E3" s="1503" t="s">
        <v>710</v>
      </c>
      <c r="F3" s="1504" t="s">
        <v>231</v>
      </c>
      <c r="G3" s="1505" t="s">
        <v>702</v>
      </c>
      <c r="H3" s="1506" t="s">
        <v>231</v>
      </c>
      <c r="I3" s="1507" t="s">
        <v>647</v>
      </c>
      <c r="J3" s="1508" t="s">
        <v>705</v>
      </c>
      <c r="K3" s="1509"/>
      <c r="L3" s="1510" t="s">
        <v>706</v>
      </c>
      <c r="M3" s="1511" t="s">
        <v>708</v>
      </c>
      <c r="N3" s="1512" t="s">
        <v>784</v>
      </c>
      <c r="O3" s="1513" t="s">
        <v>718</v>
      </c>
      <c r="P3" s="1513" t="s">
        <v>435</v>
      </c>
      <c r="Q3" s="1512" t="s">
        <v>716</v>
      </c>
      <c r="R3" s="1514" t="s">
        <v>437</v>
      </c>
      <c r="S3" s="1514" t="s">
        <v>440</v>
      </c>
      <c r="T3" s="1514" t="s">
        <v>441</v>
      </c>
      <c r="U3" s="1515" t="s">
        <v>444</v>
      </c>
      <c r="V3" s="1514" t="s">
        <v>446</v>
      </c>
      <c r="W3" s="1299" t="s">
        <v>358</v>
      </c>
    </row>
    <row r="4" spans="1:28" ht="13.8" thickBot="1">
      <c r="A4" s="1516" t="s">
        <v>776</v>
      </c>
      <c r="B4" s="1518" t="s">
        <v>721</v>
      </c>
      <c r="C4" s="1517" t="s">
        <v>784</v>
      </c>
      <c r="D4" s="1518" t="s">
        <v>458</v>
      </c>
      <c r="E4" s="1518" t="s">
        <v>783</v>
      </c>
      <c r="F4" s="1519" t="s">
        <v>560</v>
      </c>
      <c r="G4" s="1520" t="s">
        <v>703</v>
      </c>
      <c r="H4" s="1521" t="s">
        <v>1145</v>
      </c>
      <c r="I4" s="1522" t="s">
        <v>745</v>
      </c>
      <c r="J4" s="1534" t="s">
        <v>152</v>
      </c>
      <c r="K4" s="1523" t="s">
        <v>704</v>
      </c>
      <c r="L4" s="1524" t="s">
        <v>707</v>
      </c>
      <c r="M4" s="1525" t="s">
        <v>709</v>
      </c>
      <c r="N4" s="1526" t="s">
        <v>151</v>
      </c>
      <c r="O4" s="1527" t="s">
        <v>150</v>
      </c>
      <c r="P4" s="1527" t="s">
        <v>436</v>
      </c>
      <c r="Q4" s="1526" t="s">
        <v>717</v>
      </c>
      <c r="R4" s="1528" t="s">
        <v>149</v>
      </c>
      <c r="S4" s="1528" t="s">
        <v>148</v>
      </c>
      <c r="T4" s="1528" t="s">
        <v>442</v>
      </c>
      <c r="U4" s="1529" t="s">
        <v>445</v>
      </c>
      <c r="V4" s="1528" t="s">
        <v>447</v>
      </c>
      <c r="W4" s="1299" t="s">
        <v>359</v>
      </c>
      <c r="Y4" s="1247" t="s">
        <v>453</v>
      </c>
    </row>
    <row r="5" spans="1:28" ht="13.8" thickBot="1">
      <c r="A5" s="18">
        <v>36526</v>
      </c>
      <c r="B5" s="20">
        <f>YEAR(A5)</f>
        <v>2000</v>
      </c>
      <c r="C5" s="1483">
        <f>CALC!HH17</f>
        <v>0</v>
      </c>
      <c r="D5" s="820">
        <f>IF(Summary!$O$109=0,CALC!HE17,0)</f>
        <v>0</v>
      </c>
      <c r="E5" s="820">
        <f>SUM(CALC!GU17:HB17)*CALC!CY17/1000</f>
        <v>0</v>
      </c>
      <c r="F5" s="1481">
        <f>Summary!$J$54</f>
        <v>0.15</v>
      </c>
      <c r="G5" s="1483">
        <f>VLOOKUP(A5,CURVES!AW6:$BS$283,16)</f>
        <v>0</v>
      </c>
      <c r="H5" s="1481">
        <f>Summary!$J$60</f>
        <v>0.04</v>
      </c>
      <c r="I5" s="17">
        <f>Summary!$J$55</f>
        <v>8.5</v>
      </c>
      <c r="J5" s="1483">
        <f>I5*SUM(F5:H5)</f>
        <v>1.615</v>
      </c>
      <c r="K5" s="1481">
        <f>Summary!$J$56</f>
        <v>3.75</v>
      </c>
      <c r="L5">
        <f>Summary!$O$23</f>
        <v>3.75</v>
      </c>
      <c r="M5" s="1481">
        <f>Summary!$J$57</f>
        <v>1.75</v>
      </c>
      <c r="N5" s="1483">
        <f>IF(C5&gt;0,C5-J5,0)</f>
        <v>0</v>
      </c>
      <c r="O5" s="1481">
        <f>IF(N5&gt;0,IF(N5-SUM(K5:M5)&gt;0,N5-SUM(K5:M5),0),0)</f>
        <v>0</v>
      </c>
      <c r="P5" s="1481">
        <f>O5*D5</f>
        <v>0</v>
      </c>
      <c r="Q5" s="1483">
        <f>IF(A5&lt;=Summary!$J$61,0.5*(P5),$Q$2*(P5))</f>
        <v>0</v>
      </c>
      <c r="R5" s="1481">
        <f>Summary!$J$58</f>
        <v>0.5</v>
      </c>
      <c r="S5" s="1481">
        <f>J5+(K5+L5+R5)</f>
        <v>9.6150000000000002</v>
      </c>
      <c r="T5" s="1487">
        <f>IF(D5*(C5-S5)-Q5&gt;0,D5*(C5-S5)-Q5,0)</f>
        <v>0</v>
      </c>
      <c r="U5" s="45">
        <f>Summary!$J$59</f>
        <v>0.12104878144800001</v>
      </c>
      <c r="V5" s="1487">
        <f>IF(A5&lt;=Summary!$J$61,(0.2*T5)+(R5*D5),(U5*T5)+(R5*D5))</f>
        <v>0</v>
      </c>
      <c r="W5" s="1536">
        <f>C5*D5</f>
        <v>0</v>
      </c>
      <c r="Y5" s="114" t="s">
        <v>721</v>
      </c>
      <c r="Z5" s="1530" t="s">
        <v>454</v>
      </c>
      <c r="AA5" s="1530" t="s">
        <v>455</v>
      </c>
      <c r="AB5" s="114" t="s">
        <v>456</v>
      </c>
    </row>
    <row r="6" spans="1:28">
      <c r="A6" s="18">
        <v>36557</v>
      </c>
      <c r="B6" s="20">
        <f t="shared" ref="B6:B69" si="0">YEAR(A6)</f>
        <v>2000</v>
      </c>
      <c r="C6" s="1483">
        <f>CALC!HH18</f>
        <v>0</v>
      </c>
      <c r="D6" s="820">
        <f>IF(Summary!$O$109=0,CALC!HE18,0)</f>
        <v>0</v>
      </c>
      <c r="E6" s="820">
        <f>SUM(CALC!GU18:HB18)*CALC!CY18/1000</f>
        <v>0</v>
      </c>
      <c r="F6" s="1481">
        <f>Summary!$J$54</f>
        <v>0.15</v>
      </c>
      <c r="G6" s="1483">
        <f>VLOOKUP(A6,CURVES!AW7:$BS$283,16)</f>
        <v>0</v>
      </c>
      <c r="H6" s="1481">
        <f>Summary!$J$60</f>
        <v>0.04</v>
      </c>
      <c r="I6" s="17">
        <f>Summary!$J$55</f>
        <v>8.5</v>
      </c>
      <c r="J6" s="1483">
        <f t="shared" ref="J6:J69" si="1">I6*SUM(F6:H6)</f>
        <v>1.615</v>
      </c>
      <c r="K6" s="1481">
        <f>Summary!$J$56</f>
        <v>3.75</v>
      </c>
      <c r="L6">
        <f>Summary!$O$23</f>
        <v>3.75</v>
      </c>
      <c r="M6" s="1481">
        <f>Summary!$J$57</f>
        <v>1.75</v>
      </c>
      <c r="N6" s="1483">
        <f t="shared" ref="N6:N69" si="2">IF(C6&gt;0,C6-J6,0)</f>
        <v>0</v>
      </c>
      <c r="O6" s="1481">
        <f t="shared" ref="O6:O69" si="3">IF(N6&gt;0,IF(N6-SUM(K6:M6)&gt;0,N6-SUM(K6:M6),0),0)</f>
        <v>0</v>
      </c>
      <c r="P6" s="1481">
        <f t="shared" ref="P6:P69" si="4">O6*D6</f>
        <v>0</v>
      </c>
      <c r="Q6" s="1483">
        <f>IF(A6&lt;=Summary!$J$61,0.5*(P6),$Q$2*(P6))</f>
        <v>0</v>
      </c>
      <c r="R6" s="1481">
        <f>Summary!$J$58</f>
        <v>0.5</v>
      </c>
      <c r="S6" s="1481">
        <f t="shared" ref="S6:S69" si="5">J6+(K6+L6+R6)</f>
        <v>9.6150000000000002</v>
      </c>
      <c r="T6" s="1487">
        <f t="shared" ref="T6:T69" si="6">IF(D6*(C6-S6)-Q6&gt;0,D6*(C6-S6)-Q6,0)</f>
        <v>0</v>
      </c>
      <c r="U6" s="45">
        <f>Summary!$J$59</f>
        <v>0.12104878144800001</v>
      </c>
      <c r="V6" s="1487">
        <f>IF(A6&lt;=Summary!$J$61,(0.2*T6)+(R6*D6),(U6*T6)+(R6*D6))</f>
        <v>0</v>
      </c>
      <c r="W6" s="1536">
        <f t="shared" ref="W6:W69" si="7">C6*D6</f>
        <v>0</v>
      </c>
      <c r="Y6" s="1486">
        <v>2000</v>
      </c>
      <c r="Z6" s="1531">
        <f>SUMIF($B$5:$B$281,Y6,$Q$5:$Q$281)</f>
        <v>2149776.6647725129</v>
      </c>
      <c r="AA6" s="1531">
        <f>SUMIF($B$5:$B$281,Y6,$V$5:$V$281)</f>
        <v>482040.77611700259</v>
      </c>
      <c r="AB6" s="1531">
        <f>AA6+Z6</f>
        <v>2631817.4408895154</v>
      </c>
    </row>
    <row r="7" spans="1:28">
      <c r="A7" s="18">
        <v>36586</v>
      </c>
      <c r="B7" s="20">
        <f t="shared" si="0"/>
        <v>2000</v>
      </c>
      <c r="C7" s="1483">
        <f>CALC!HH19</f>
        <v>0</v>
      </c>
      <c r="D7" s="820">
        <f>IF(Summary!$O$109=0,CALC!HE19,0)</f>
        <v>0</v>
      </c>
      <c r="E7" s="820">
        <f>SUM(CALC!GU19:HB19)*CALC!CY19/1000</f>
        <v>0</v>
      </c>
      <c r="F7" s="1481">
        <f>Summary!$J$54</f>
        <v>0.15</v>
      </c>
      <c r="G7" s="1483">
        <f>VLOOKUP(A7,CURVES!AW8:$BS$283,16)</f>
        <v>0</v>
      </c>
      <c r="H7" s="1481">
        <f>Summary!$J$60</f>
        <v>0.04</v>
      </c>
      <c r="I7" s="17">
        <f>Summary!$J$55</f>
        <v>8.5</v>
      </c>
      <c r="J7" s="1483">
        <f t="shared" si="1"/>
        <v>1.615</v>
      </c>
      <c r="K7" s="1481">
        <f>Summary!$J$56</f>
        <v>3.75</v>
      </c>
      <c r="L7">
        <f>Summary!$O$23</f>
        <v>3.75</v>
      </c>
      <c r="M7" s="1481">
        <f>Summary!$J$57</f>
        <v>1.75</v>
      </c>
      <c r="N7" s="1483">
        <f t="shared" si="2"/>
        <v>0</v>
      </c>
      <c r="O7" s="1481">
        <f t="shared" si="3"/>
        <v>0</v>
      </c>
      <c r="P7" s="1481">
        <f t="shared" si="4"/>
        <v>0</v>
      </c>
      <c r="Q7" s="1483">
        <f>IF(A7&lt;=Summary!$J$61,0.5*(P7),$Q$2*(P7))</f>
        <v>0</v>
      </c>
      <c r="R7" s="1481">
        <f>Summary!$J$58</f>
        <v>0.5</v>
      </c>
      <c r="S7" s="1481">
        <f t="shared" si="5"/>
        <v>9.6150000000000002</v>
      </c>
      <c r="T7" s="1487">
        <f t="shared" si="6"/>
        <v>0</v>
      </c>
      <c r="U7" s="45">
        <f>Summary!$J$59</f>
        <v>0.12104878144800001</v>
      </c>
      <c r="V7" s="1487">
        <f>IF(A7&lt;=Summary!$J$61,(0.2*T7)+(R7*D7),(U7*T7)+(R7*D7))</f>
        <v>0</v>
      </c>
      <c r="W7" s="1536">
        <f t="shared" si="7"/>
        <v>0</v>
      </c>
      <c r="Y7" s="1477">
        <v>2001</v>
      </c>
      <c r="Z7" s="1532">
        <f t="shared" ref="Z7:Z30" si="8">SUMIF($B$5:$B$281,Y7,$Q$5:$Q$281)</f>
        <v>73251.463226949825</v>
      </c>
      <c r="AA7" s="1532">
        <f t="shared" ref="AA7:AA30" si="9">SUMIF($B$5:$B$281,Y7,$V$5:$V$281)</f>
        <v>453582.93272338563</v>
      </c>
      <c r="AB7" s="1532">
        <f t="shared" ref="AB7:AB30" si="10">AA7+Z7</f>
        <v>526834.39595033543</v>
      </c>
    </row>
    <row r="8" spans="1:28">
      <c r="A8" s="18">
        <v>36617</v>
      </c>
      <c r="B8" s="20">
        <f t="shared" si="0"/>
        <v>2000</v>
      </c>
      <c r="C8" s="1483">
        <f>CALC!HH20</f>
        <v>0</v>
      </c>
      <c r="D8" s="820">
        <f>IF(Summary!$O$109=0,CALC!HE20,0)</f>
        <v>0</v>
      </c>
      <c r="E8" s="820">
        <f>SUM(CALC!GU20:HB20)*CALC!CY20/1000</f>
        <v>0</v>
      </c>
      <c r="F8" s="1481">
        <f>Summary!$J$54</f>
        <v>0.15</v>
      </c>
      <c r="G8" s="1483">
        <f>VLOOKUP(A8,CURVES!AW9:$BS$283,16)</f>
        <v>0</v>
      </c>
      <c r="H8" s="1481">
        <f>Summary!$J$60</f>
        <v>0.04</v>
      </c>
      <c r="I8" s="17">
        <f>Summary!$J$55</f>
        <v>8.5</v>
      </c>
      <c r="J8" s="1483">
        <f t="shared" si="1"/>
        <v>1.615</v>
      </c>
      <c r="K8" s="1481">
        <f>Summary!$J$56</f>
        <v>3.75</v>
      </c>
      <c r="L8">
        <f>Summary!$O$23</f>
        <v>3.75</v>
      </c>
      <c r="M8" s="1481">
        <f>Summary!$J$57</f>
        <v>1.75</v>
      </c>
      <c r="N8" s="1483">
        <f t="shared" si="2"/>
        <v>0</v>
      </c>
      <c r="O8" s="1481">
        <f t="shared" si="3"/>
        <v>0</v>
      </c>
      <c r="P8" s="1481">
        <f t="shared" si="4"/>
        <v>0</v>
      </c>
      <c r="Q8" s="1483">
        <f>IF(A8&lt;=Summary!$J$61,0.5*(P8),$Q$2*(P8))</f>
        <v>0</v>
      </c>
      <c r="R8" s="1481">
        <f>Summary!$J$58</f>
        <v>0.5</v>
      </c>
      <c r="S8" s="1481">
        <f t="shared" si="5"/>
        <v>9.6150000000000002</v>
      </c>
      <c r="T8" s="1487">
        <f t="shared" si="6"/>
        <v>0</v>
      </c>
      <c r="U8" s="45">
        <f>Summary!$J$59</f>
        <v>0.12104878144800001</v>
      </c>
      <c r="V8" s="1487">
        <f>IF(A8&lt;=Summary!$J$61,(0.2*T8)+(R8*D8),(U8*T8)+(R8*D8))</f>
        <v>0</v>
      </c>
      <c r="W8" s="1536">
        <f t="shared" si="7"/>
        <v>0</v>
      </c>
      <c r="Y8" s="1477">
        <v>2002</v>
      </c>
      <c r="Z8" s="1532">
        <f t="shared" si="8"/>
        <v>0</v>
      </c>
      <c r="AA8" s="1532">
        <f t="shared" si="9"/>
        <v>308578.50632914354</v>
      </c>
      <c r="AB8" s="1532">
        <f t="shared" si="10"/>
        <v>308578.50632914354</v>
      </c>
    </row>
    <row r="9" spans="1:28">
      <c r="A9" s="18">
        <v>36647</v>
      </c>
      <c r="B9" s="20">
        <f t="shared" si="0"/>
        <v>2000</v>
      </c>
      <c r="C9" s="1483">
        <f>CALC!HH21</f>
        <v>0</v>
      </c>
      <c r="D9" s="820">
        <f>IF(Summary!$O$109=0,CALC!HE21,0)</f>
        <v>0</v>
      </c>
      <c r="E9" s="820">
        <f>SUM(CALC!GU21:HB21)*CALC!CY21/1000</f>
        <v>0</v>
      </c>
      <c r="F9" s="1481">
        <f>Summary!$J$54</f>
        <v>0.15</v>
      </c>
      <c r="G9" s="1483">
        <f>VLOOKUP(A9,CURVES!AW10:$BS$283,16)</f>
        <v>0</v>
      </c>
      <c r="H9" s="1481">
        <f>Summary!$J$60</f>
        <v>0.04</v>
      </c>
      <c r="I9" s="17">
        <f>Summary!$J$55</f>
        <v>8.5</v>
      </c>
      <c r="J9" s="1483">
        <f t="shared" si="1"/>
        <v>1.615</v>
      </c>
      <c r="K9" s="1481">
        <f>Summary!$J$56</f>
        <v>3.75</v>
      </c>
      <c r="L9">
        <f>Summary!$O$23</f>
        <v>3.75</v>
      </c>
      <c r="M9" s="1481">
        <f>Summary!$J$57</f>
        <v>1.75</v>
      </c>
      <c r="N9" s="1483">
        <f t="shared" si="2"/>
        <v>0</v>
      </c>
      <c r="O9" s="1481">
        <f t="shared" si="3"/>
        <v>0</v>
      </c>
      <c r="P9" s="1481">
        <f t="shared" si="4"/>
        <v>0</v>
      </c>
      <c r="Q9" s="1483">
        <f>IF(A9&lt;=Summary!$J$61,0.5*(P9),$Q$2*(P9))</f>
        <v>0</v>
      </c>
      <c r="R9" s="1481">
        <f>Summary!$J$58</f>
        <v>0.5</v>
      </c>
      <c r="S9" s="1481">
        <f t="shared" si="5"/>
        <v>9.6150000000000002</v>
      </c>
      <c r="T9" s="1487">
        <f t="shared" si="6"/>
        <v>0</v>
      </c>
      <c r="U9" s="45">
        <f>Summary!$J$59</f>
        <v>0.12104878144800001</v>
      </c>
      <c r="V9" s="1487">
        <f>IF(A9&lt;=Summary!$J$61,(0.2*T9)+(R9*D9),(U9*T9)+(R9*D9))</f>
        <v>0</v>
      </c>
      <c r="W9" s="1536">
        <f t="shared" si="7"/>
        <v>0</v>
      </c>
      <c r="Y9" s="1477">
        <v>2003</v>
      </c>
      <c r="Z9" s="1532">
        <f t="shared" si="8"/>
        <v>0</v>
      </c>
      <c r="AA9" s="1532">
        <f t="shared" si="9"/>
        <v>264309.69483519427</v>
      </c>
      <c r="AB9" s="1532">
        <f t="shared" si="10"/>
        <v>264309.69483519427</v>
      </c>
    </row>
    <row r="10" spans="1:28">
      <c r="A10" s="18">
        <v>36678</v>
      </c>
      <c r="B10" s="20">
        <f t="shared" si="0"/>
        <v>2000</v>
      </c>
      <c r="C10" s="1483">
        <f>CALC!HH22</f>
        <v>61.855235843203623</v>
      </c>
      <c r="D10" s="820">
        <f>IF(Summary!$O$109=0,CALC!HE22,0)</f>
        <v>9239.1029999999992</v>
      </c>
      <c r="E10" s="820">
        <f>SUM(CALC!GU22:HB22)*CALC!CY22/1000</f>
        <v>70952.93470219968</v>
      </c>
      <c r="F10" s="1481">
        <f>Summary!$J$54</f>
        <v>0.15</v>
      </c>
      <c r="G10" s="1483">
        <f>VLOOKUP(A10,CURVES!AW11:$BS$283,16)</f>
        <v>0</v>
      </c>
      <c r="H10" s="1481">
        <f>Summary!$J$60</f>
        <v>0.04</v>
      </c>
      <c r="I10" s="17">
        <f>Summary!$J$55</f>
        <v>8.5</v>
      </c>
      <c r="J10" s="1483">
        <f t="shared" si="1"/>
        <v>1.615</v>
      </c>
      <c r="K10" s="1481">
        <f>Summary!$J$56</f>
        <v>3.75</v>
      </c>
      <c r="L10">
        <f>Summary!$O$23</f>
        <v>3.75</v>
      </c>
      <c r="M10" s="1481">
        <f>Summary!$J$57</f>
        <v>1.75</v>
      </c>
      <c r="N10" s="1483">
        <f t="shared" si="2"/>
        <v>60.240235843203621</v>
      </c>
      <c r="O10" s="1481">
        <f t="shared" si="3"/>
        <v>50.990235843203621</v>
      </c>
      <c r="P10" s="1481">
        <f t="shared" si="4"/>
        <v>471104.04094965005</v>
      </c>
      <c r="Q10" s="1483">
        <f>IF(A10&lt;=Summary!$J$61,0.5*(P10),$Q$2*(P10))</f>
        <v>235552.02047482503</v>
      </c>
      <c r="R10" s="1481">
        <f>Summary!$J$58</f>
        <v>0.5</v>
      </c>
      <c r="S10" s="1481">
        <f t="shared" si="5"/>
        <v>9.6150000000000002</v>
      </c>
      <c r="T10" s="1487">
        <f t="shared" si="6"/>
        <v>247100.89922482506</v>
      </c>
      <c r="U10" s="45">
        <f>Summary!$J$59</f>
        <v>0.12104878144800001</v>
      </c>
      <c r="V10" s="1487">
        <f>IF(A10&lt;=Summary!$J$61,(0.2*T10)+(R10*D10),(U10*T10)+(R10*D10))</f>
        <v>54039.731344965017</v>
      </c>
      <c r="W10" s="1536">
        <f t="shared" si="7"/>
        <v>571486.89504465007</v>
      </c>
      <c r="Y10" s="1477">
        <v>2004</v>
      </c>
      <c r="Z10" s="1532">
        <f t="shared" si="8"/>
        <v>0</v>
      </c>
      <c r="AA10" s="1532">
        <f t="shared" si="9"/>
        <v>166536.15676466125</v>
      </c>
      <c r="AB10" s="1532">
        <f t="shared" si="10"/>
        <v>166536.15676466125</v>
      </c>
    </row>
    <row r="11" spans="1:28">
      <c r="A11" s="18">
        <v>36708</v>
      </c>
      <c r="B11" s="20">
        <f t="shared" si="0"/>
        <v>2000</v>
      </c>
      <c r="C11" s="1483">
        <f>CALC!HH23</f>
        <v>80.358191760820915</v>
      </c>
      <c r="D11" s="820">
        <f>IF(Summary!$O$109=0,CALC!HE23,0)</f>
        <v>9547.0731000000014</v>
      </c>
      <c r="E11" s="820">
        <f>SUM(CALC!GU23:HB23)*CALC!CY23/1000</f>
        <v>73336.69056150713</v>
      </c>
      <c r="F11" s="1481">
        <f>Summary!$J$54</f>
        <v>0.15</v>
      </c>
      <c r="G11" s="1483">
        <f>VLOOKUP(A11,CURVES!AW12:$BS$283,16)</f>
        <v>0</v>
      </c>
      <c r="H11" s="1481">
        <f>Summary!$J$60</f>
        <v>0.04</v>
      </c>
      <c r="I11" s="17">
        <f>Summary!$J$55</f>
        <v>8.5</v>
      </c>
      <c r="J11" s="1483">
        <f t="shared" si="1"/>
        <v>1.615</v>
      </c>
      <c r="K11" s="1481">
        <f>Summary!$J$56</f>
        <v>3.75</v>
      </c>
      <c r="L11">
        <f>Summary!$O$23</f>
        <v>3.75</v>
      </c>
      <c r="M11" s="1481">
        <f>Summary!$J$57</f>
        <v>1.75</v>
      </c>
      <c r="N11" s="1483">
        <f t="shared" si="2"/>
        <v>78.74319176082092</v>
      </c>
      <c r="O11" s="1481">
        <f t="shared" si="3"/>
        <v>69.49319176082092</v>
      </c>
      <c r="P11" s="1481">
        <f t="shared" si="4"/>
        <v>663456.58169287513</v>
      </c>
      <c r="Q11" s="1483">
        <f>IF(A11&lt;=Summary!$J$61,0.5*(P11),$Q$2*(P11))</f>
        <v>331728.29084643757</v>
      </c>
      <c r="R11" s="1481">
        <f>Summary!$J$58</f>
        <v>0.5</v>
      </c>
      <c r="S11" s="1481">
        <f t="shared" si="5"/>
        <v>9.6150000000000002</v>
      </c>
      <c r="T11" s="1487">
        <f t="shared" si="6"/>
        <v>343662.13222143753</v>
      </c>
      <c r="U11" s="45">
        <f>Summary!$J$59</f>
        <v>0.12104878144800001</v>
      </c>
      <c r="V11" s="1487">
        <f>IF(A11&lt;=Summary!$J$61,(0.2*T11)+(R11*D11),(U11*T11)+(R11*D11))</f>
        <v>73505.962994287518</v>
      </c>
      <c r="W11" s="1536">
        <f t="shared" si="7"/>
        <v>767185.53092437505</v>
      </c>
      <c r="Y11" s="1477">
        <v>2005</v>
      </c>
      <c r="Z11" s="1532">
        <f t="shared" si="8"/>
        <v>0</v>
      </c>
      <c r="AA11" s="1532">
        <f t="shared" si="9"/>
        <v>274023.77962433739</v>
      </c>
      <c r="AB11" s="1532">
        <f t="shared" si="10"/>
        <v>274023.77962433739</v>
      </c>
    </row>
    <row r="12" spans="1:28">
      <c r="A12" s="18">
        <v>36739</v>
      </c>
      <c r="B12" s="20">
        <f t="shared" si="0"/>
        <v>2000</v>
      </c>
      <c r="C12" s="1483">
        <f>CALC!HH24</f>
        <v>86.285390330767996</v>
      </c>
      <c r="D12" s="820">
        <f>IF(Summary!$O$109=0,CALC!HE24,0)</f>
        <v>9547.0730999999996</v>
      </c>
      <c r="E12" s="820">
        <f>SUM(CALC!GU24:HB24)*CALC!CY24/1000</f>
        <v>73355.348597407923</v>
      </c>
      <c r="F12" s="1481">
        <f>Summary!$J$54</f>
        <v>0.15</v>
      </c>
      <c r="G12" s="1483">
        <f>VLOOKUP(A12,CURVES!AW13:$BS$283,16)</f>
        <v>0</v>
      </c>
      <c r="H12" s="1481">
        <f>Summary!$J$60</f>
        <v>0.04</v>
      </c>
      <c r="I12" s="17">
        <f>Summary!$J$55</f>
        <v>8.5</v>
      </c>
      <c r="J12" s="1483">
        <f t="shared" si="1"/>
        <v>1.615</v>
      </c>
      <c r="K12" s="1481">
        <f>Summary!$J$56</f>
        <v>3.75</v>
      </c>
      <c r="L12">
        <f>Summary!$O$23</f>
        <v>3.75</v>
      </c>
      <c r="M12" s="1481">
        <f>Summary!$J$57</f>
        <v>1.75</v>
      </c>
      <c r="N12" s="1483">
        <f t="shared" si="2"/>
        <v>84.670390330768001</v>
      </c>
      <c r="O12" s="1481">
        <f t="shared" si="3"/>
        <v>75.420390330768001</v>
      </c>
      <c r="P12" s="1481">
        <f t="shared" si="4"/>
        <v>720043.97971837525</v>
      </c>
      <c r="Q12" s="1483">
        <f>IF(A12&lt;=Summary!$J$61,0.5*(P12),$Q$2*(P12))</f>
        <v>360021.98985918763</v>
      </c>
      <c r="R12" s="1481">
        <f>Summary!$J$58</f>
        <v>0.5</v>
      </c>
      <c r="S12" s="1481">
        <f t="shared" si="5"/>
        <v>9.6150000000000002</v>
      </c>
      <c r="T12" s="1487">
        <f t="shared" si="6"/>
        <v>371955.83123418759</v>
      </c>
      <c r="U12" s="45">
        <f>Summary!$J$59</f>
        <v>0.12104878144800001</v>
      </c>
      <c r="V12" s="1487">
        <f>IF(A12&lt;=Summary!$J$61,(0.2*T12)+(R12*D12),(U12*T12)+(R12*D12))</f>
        <v>79164.702796837519</v>
      </c>
      <c r="W12" s="1536">
        <f t="shared" si="7"/>
        <v>823772.92894987518</v>
      </c>
      <c r="Y12" s="1477">
        <v>2006</v>
      </c>
      <c r="Z12" s="1532">
        <f t="shared" si="8"/>
        <v>0</v>
      </c>
      <c r="AA12" s="1532">
        <f t="shared" si="9"/>
        <v>305334.53924510319</v>
      </c>
      <c r="AB12" s="1532">
        <f t="shared" si="10"/>
        <v>305334.53924510319</v>
      </c>
    </row>
    <row r="13" spans="1:28">
      <c r="A13" s="18">
        <v>36770</v>
      </c>
      <c r="B13" s="20">
        <f t="shared" si="0"/>
        <v>2000</v>
      </c>
      <c r="C13" s="1483">
        <f>CALC!HH25</f>
        <v>93.829145398571143</v>
      </c>
      <c r="D13" s="820">
        <f>IF(Summary!$O$109=0,CALC!HE25,0)</f>
        <v>9239.103000000001</v>
      </c>
      <c r="E13" s="820">
        <f>SUM(CALC!GU25:HB25)*CALC!CY25/1000</f>
        <v>71007.10319352457</v>
      </c>
      <c r="F13" s="1481">
        <f>Summary!$J$54</f>
        <v>0.15</v>
      </c>
      <c r="G13" s="1483">
        <f>VLOOKUP(A13,CURVES!AW14:$BS$283,16)</f>
        <v>0</v>
      </c>
      <c r="H13" s="1481">
        <f>Summary!$J$60</f>
        <v>0.04</v>
      </c>
      <c r="I13" s="17">
        <f>Summary!$J$55</f>
        <v>8.5</v>
      </c>
      <c r="J13" s="1483">
        <f t="shared" si="1"/>
        <v>1.615</v>
      </c>
      <c r="K13" s="1481">
        <f>Summary!$J$56</f>
        <v>3.75</v>
      </c>
      <c r="L13">
        <f>Summary!$O$23</f>
        <v>3.75</v>
      </c>
      <c r="M13" s="1481">
        <f>Summary!$J$57</f>
        <v>1.75</v>
      </c>
      <c r="N13" s="1483">
        <f t="shared" si="2"/>
        <v>92.214145398571148</v>
      </c>
      <c r="O13" s="1481">
        <f t="shared" si="3"/>
        <v>82.964145398571148</v>
      </c>
      <c r="P13" s="1481">
        <f t="shared" si="4"/>
        <v>766514.28464437497</v>
      </c>
      <c r="Q13" s="1483">
        <f>IF(A13&lt;=Summary!$J$61,0.5*(P13),$Q$2*(P13))</f>
        <v>383257.14232218749</v>
      </c>
      <c r="R13" s="1481">
        <f>Summary!$J$58</f>
        <v>0.5</v>
      </c>
      <c r="S13" s="1481">
        <f t="shared" si="5"/>
        <v>9.6150000000000002</v>
      </c>
      <c r="T13" s="1487">
        <f t="shared" si="6"/>
        <v>394806.02107218752</v>
      </c>
      <c r="U13" s="45">
        <f>Summary!$J$59</f>
        <v>0.12104878144800001</v>
      </c>
      <c r="V13" s="1487">
        <f>IF(A13&lt;=Summary!$J$61,(0.2*T13)+(R13*D13),(U13*T13)+(R13*D13))</f>
        <v>83580.755714437517</v>
      </c>
      <c r="W13" s="1536">
        <f t="shared" si="7"/>
        <v>866897.13873937493</v>
      </c>
      <c r="Y13" s="1477">
        <v>2007</v>
      </c>
      <c r="Z13" s="1532">
        <f t="shared" si="8"/>
        <v>0</v>
      </c>
      <c r="AA13" s="1532">
        <f t="shared" si="9"/>
        <v>338257.62318801729</v>
      </c>
      <c r="AB13" s="1532">
        <f t="shared" si="10"/>
        <v>338257.62318801729</v>
      </c>
    </row>
    <row r="14" spans="1:28">
      <c r="A14" s="18">
        <v>36800</v>
      </c>
      <c r="B14" s="20">
        <f t="shared" si="0"/>
        <v>2000</v>
      </c>
      <c r="C14" s="1483">
        <f>CALC!HH26</f>
        <v>80.306205993122646</v>
      </c>
      <c r="D14" s="820">
        <f>IF(Summary!$O$109=0,CALC!HE26,0)</f>
        <v>12199.037849999999</v>
      </c>
      <c r="E14" s="820">
        <f>SUM(CALC!GU26:HB26)*CALC!CY26/1000</f>
        <v>93779.515966212144</v>
      </c>
      <c r="F14" s="1481">
        <f>Summary!$J$54</f>
        <v>0.15</v>
      </c>
      <c r="G14" s="1483">
        <f>VLOOKUP(A14,CURVES!AW15:$BS$283,16)</f>
        <v>0</v>
      </c>
      <c r="H14" s="1481">
        <f>Summary!$J$60</f>
        <v>0.04</v>
      </c>
      <c r="I14" s="17">
        <f>Summary!$J$55</f>
        <v>8.5</v>
      </c>
      <c r="J14" s="1483">
        <f t="shared" si="1"/>
        <v>1.615</v>
      </c>
      <c r="K14" s="1481">
        <f>Summary!$J$56</f>
        <v>3.75</v>
      </c>
      <c r="L14">
        <f>Summary!$O$23</f>
        <v>3.75</v>
      </c>
      <c r="M14" s="1481">
        <f>Summary!$J$57</f>
        <v>1.75</v>
      </c>
      <c r="N14" s="1483">
        <f t="shared" si="2"/>
        <v>78.691205993122651</v>
      </c>
      <c r="O14" s="1481">
        <f t="shared" si="3"/>
        <v>69.441205993122651</v>
      </c>
      <c r="P14" s="1481">
        <f t="shared" si="4"/>
        <v>847115.90025974996</v>
      </c>
      <c r="Q14" s="1483">
        <f>IF(A14&lt;=Summary!$J$61,0.5*(P14),$Q$2*(P14))</f>
        <v>423557.95012987498</v>
      </c>
      <c r="R14" s="1481">
        <f>Summary!$J$58</f>
        <v>0.5</v>
      </c>
      <c r="S14" s="1481">
        <f t="shared" si="5"/>
        <v>9.6150000000000002</v>
      </c>
      <c r="T14" s="1487">
        <f t="shared" si="6"/>
        <v>438806.74744237494</v>
      </c>
      <c r="U14" s="45">
        <f>Summary!$J$59</f>
        <v>0.12104878144800001</v>
      </c>
      <c r="V14" s="1487">
        <f>IF(A14&lt;=Summary!$J$61,(0.2*T14)+(R14*D14),(U14*T14)+(R14*D14))</f>
        <v>93860.868413474993</v>
      </c>
      <c r="W14" s="1536">
        <f t="shared" si="7"/>
        <v>979658.44649999985</v>
      </c>
      <c r="Y14" s="1477">
        <v>2008</v>
      </c>
      <c r="Z14" s="1532">
        <f t="shared" si="8"/>
        <v>0</v>
      </c>
      <c r="AA14" s="1532">
        <f t="shared" si="9"/>
        <v>382005.91026785289</v>
      </c>
      <c r="AB14" s="1532">
        <f t="shared" si="10"/>
        <v>382005.91026785289</v>
      </c>
    </row>
    <row r="15" spans="1:28">
      <c r="A15" s="18">
        <v>36831</v>
      </c>
      <c r="B15" s="20">
        <f t="shared" si="0"/>
        <v>2000</v>
      </c>
      <c r="C15" s="1483">
        <f>CALC!HH27</f>
        <v>58.998834583977057</v>
      </c>
      <c r="D15" s="820">
        <f>IF(Summary!$O$109=0,CALC!HE27,0)</f>
        <v>9837.9337500000001</v>
      </c>
      <c r="E15" s="820">
        <f>SUM(CALC!GU27:HB27)*CALC!CY27/1000</f>
        <v>75647.868378921892</v>
      </c>
      <c r="F15" s="1481">
        <f>Summary!$J$54</f>
        <v>0.15</v>
      </c>
      <c r="G15" s="1483">
        <f>VLOOKUP(A15,CURVES!AW16:$BS$283,16)</f>
        <v>0</v>
      </c>
      <c r="H15" s="1481">
        <f>Summary!$J$60</f>
        <v>0.04</v>
      </c>
      <c r="I15" s="17">
        <f>Summary!$J$55</f>
        <v>8.5</v>
      </c>
      <c r="J15" s="1483">
        <f t="shared" si="1"/>
        <v>1.615</v>
      </c>
      <c r="K15" s="1481">
        <f>Summary!$J$56</f>
        <v>3.75</v>
      </c>
      <c r="L15">
        <f>Summary!$O$23</f>
        <v>3.75</v>
      </c>
      <c r="M15" s="1481">
        <f>Summary!$J$57</f>
        <v>1.75</v>
      </c>
      <c r="N15" s="1483">
        <f t="shared" si="2"/>
        <v>57.383834583977055</v>
      </c>
      <c r="O15" s="1481">
        <f t="shared" si="3"/>
        <v>48.133834583977055</v>
      </c>
      <c r="P15" s="1481">
        <f t="shared" si="4"/>
        <v>473537.47577062511</v>
      </c>
      <c r="Q15" s="1483">
        <f>IF(A15&lt;=Summary!$J$61,0.5*(P15),$Q$2*(P15))</f>
        <v>236768.73788531256</v>
      </c>
      <c r="R15" s="1481">
        <f>Summary!$J$58</f>
        <v>0.5</v>
      </c>
      <c r="S15" s="1481">
        <f t="shared" si="5"/>
        <v>9.6150000000000002</v>
      </c>
      <c r="T15" s="1487">
        <f t="shared" si="6"/>
        <v>249066.15507281254</v>
      </c>
      <c r="U15" s="45">
        <f>Summary!$J$59</f>
        <v>0.12104878144800001</v>
      </c>
      <c r="V15" s="1487">
        <f>IF(A15&lt;=Summary!$J$61,(0.2*T15)+(R15*D15),(U15*T15)+(R15*D15))</f>
        <v>54732.197889562507</v>
      </c>
      <c r="W15" s="1536">
        <f t="shared" si="7"/>
        <v>580426.6259643751</v>
      </c>
      <c r="Y15" s="1477">
        <v>2009</v>
      </c>
      <c r="Z15" s="1532">
        <f t="shared" si="8"/>
        <v>0</v>
      </c>
      <c r="AA15" s="1532">
        <f t="shared" si="9"/>
        <v>392216.10769517394</v>
      </c>
      <c r="AB15" s="1532">
        <f t="shared" si="10"/>
        <v>392216.10769517394</v>
      </c>
    </row>
    <row r="16" spans="1:28">
      <c r="A16" s="18">
        <v>36861</v>
      </c>
      <c r="B16" s="20">
        <f t="shared" si="0"/>
        <v>2000</v>
      </c>
      <c r="C16" s="1483">
        <f>CALC!HH28</f>
        <v>47.232501103509165</v>
      </c>
      <c r="D16" s="820">
        <f>IF(Summary!$O$109=0,CALC!HE28,0)</f>
        <v>9837.9337500000001</v>
      </c>
      <c r="E16" s="820">
        <f>SUM(CALC!GU28:HB28)*CALC!CY28/1000</f>
        <v>75667.094849608198</v>
      </c>
      <c r="F16" s="1481">
        <f>Summary!$J$54</f>
        <v>0.15</v>
      </c>
      <c r="G16" s="1483">
        <f>VLOOKUP(A16,CURVES!AW17:$BS$283,16)</f>
        <v>0</v>
      </c>
      <c r="H16" s="1481">
        <f>Summary!$J$60</f>
        <v>0.04</v>
      </c>
      <c r="I16" s="17">
        <f>Summary!$J$55</f>
        <v>8.5</v>
      </c>
      <c r="J16" s="1483">
        <f t="shared" si="1"/>
        <v>1.615</v>
      </c>
      <c r="K16" s="1481">
        <f>Summary!$J$56</f>
        <v>3.75</v>
      </c>
      <c r="L16">
        <f>Summary!$O$23</f>
        <v>3.75</v>
      </c>
      <c r="M16" s="1481">
        <f>Summary!$J$57</f>
        <v>1.75</v>
      </c>
      <c r="N16" s="1483">
        <f t="shared" si="2"/>
        <v>45.617501103509163</v>
      </c>
      <c r="O16" s="1481">
        <f t="shared" si="3"/>
        <v>36.367501103509163</v>
      </c>
      <c r="P16" s="1481">
        <f t="shared" si="4"/>
        <v>357781.06650937506</v>
      </c>
      <c r="Q16" s="1483">
        <f>IF(A16&lt;=Summary!$J$61,0.5*(P16),$Q$2*(P16))</f>
        <v>178890.53325468753</v>
      </c>
      <c r="R16" s="1481">
        <f>Summary!$J$58</f>
        <v>0.5</v>
      </c>
      <c r="S16" s="1481">
        <f t="shared" si="5"/>
        <v>9.6150000000000002</v>
      </c>
      <c r="T16" s="1487">
        <f t="shared" si="6"/>
        <v>191187.95044218752</v>
      </c>
      <c r="U16" s="45">
        <f>Summary!$J$59</f>
        <v>0.12104878144800001</v>
      </c>
      <c r="V16" s="1487">
        <f>IF(A16&lt;=Summary!$J$61,(0.2*T16)+(R16*D16),(U16*T16)+(R16*D16))</f>
        <v>43156.556963437506</v>
      </c>
      <c r="W16" s="1536">
        <f t="shared" si="7"/>
        <v>464670.21670312504</v>
      </c>
      <c r="Y16" s="1477">
        <v>2010</v>
      </c>
      <c r="Z16" s="1532">
        <f t="shared" si="8"/>
        <v>0</v>
      </c>
      <c r="AA16" s="1532">
        <f t="shared" si="9"/>
        <v>392536.3921368813</v>
      </c>
      <c r="AB16" s="1532">
        <f t="shared" si="10"/>
        <v>392536.3921368813</v>
      </c>
    </row>
    <row r="17" spans="1:28">
      <c r="A17" s="18">
        <v>36892</v>
      </c>
      <c r="B17" s="20">
        <f t="shared" si="0"/>
        <v>2001</v>
      </c>
      <c r="C17" s="1483">
        <f>CALC!HH29</f>
        <v>42.988429605925447</v>
      </c>
      <c r="D17" s="820">
        <f>IF(Summary!$O$109=0,CALC!HE29,0)</f>
        <v>20950.521524999996</v>
      </c>
      <c r="E17" s="820">
        <f>SUM(CALC!GU29:HB29)*CALC!CY29/1000</f>
        <v>93851.038437165174</v>
      </c>
      <c r="F17" s="1481">
        <f>Summary!$J$54</f>
        <v>0.15</v>
      </c>
      <c r="G17" s="1483">
        <f>VLOOKUP(A17,CURVES!AW18:$BS$283,16)</f>
        <v>3.2058133937898456</v>
      </c>
      <c r="H17" s="1481">
        <f>Summary!$J$60</f>
        <v>0.04</v>
      </c>
      <c r="I17" s="17">
        <f>Summary!$J$55</f>
        <v>8.5</v>
      </c>
      <c r="J17" s="1483">
        <f t="shared" si="1"/>
        <v>28.864413847213687</v>
      </c>
      <c r="K17" s="1481">
        <f>Summary!$J$56</f>
        <v>3.75</v>
      </c>
      <c r="L17">
        <f>Summary!$O$23</f>
        <v>3.75</v>
      </c>
      <c r="M17" s="1481">
        <f>Summary!$J$57</f>
        <v>1.75</v>
      </c>
      <c r="N17" s="1483">
        <f t="shared" si="2"/>
        <v>14.12401575871176</v>
      </c>
      <c r="O17" s="1481">
        <f t="shared" si="3"/>
        <v>4.8740157587117601</v>
      </c>
      <c r="P17" s="1481">
        <f t="shared" si="4"/>
        <v>102113.17206607992</v>
      </c>
      <c r="Q17" s="1483">
        <f>IF(A17&lt;=Summary!$J$61,0.5*(P17),$Q$2*(P17))</f>
        <v>51056.586033039959</v>
      </c>
      <c r="R17" s="1481">
        <f>Summary!$J$58</f>
        <v>0.5</v>
      </c>
      <c r="S17" s="1481">
        <f t="shared" si="5"/>
        <v>36.864413847213683</v>
      </c>
      <c r="T17" s="1487">
        <f t="shared" si="6"/>
        <v>77244.737939290033</v>
      </c>
      <c r="U17" s="45">
        <f>Summary!$J$59</f>
        <v>0.12104878144800001</v>
      </c>
      <c r="V17" s="1487">
        <f>IF(A17&lt;=Summary!$J$61,(0.2*T17)+(R17*D17),(U17*T17)+(R17*D17))</f>
        <v>25924.208350358007</v>
      </c>
      <c r="W17" s="1536">
        <f t="shared" si="7"/>
        <v>900630.01978488814</v>
      </c>
      <c r="Y17" s="1477">
        <v>2011</v>
      </c>
      <c r="Z17" s="1532">
        <f t="shared" si="8"/>
        <v>0</v>
      </c>
      <c r="AA17" s="1532">
        <f t="shared" si="9"/>
        <v>400863.8633970716</v>
      </c>
      <c r="AB17" s="1532">
        <f t="shared" si="10"/>
        <v>400863.8633970716</v>
      </c>
    </row>
    <row r="18" spans="1:28">
      <c r="A18" s="18">
        <v>36923</v>
      </c>
      <c r="B18" s="20">
        <f t="shared" si="0"/>
        <v>2001</v>
      </c>
      <c r="C18" s="1483">
        <f>CALC!HH30</f>
        <v>38.660277609341001</v>
      </c>
      <c r="D18" s="820">
        <f>IF(Summary!$O$109=0,CALC!HE30,0)</f>
        <v>18923.051699999996</v>
      </c>
      <c r="E18" s="820">
        <f>SUM(CALC!GU30:HB30)*CALC!CY30/1000</f>
        <v>84790.213525898507</v>
      </c>
      <c r="F18" s="1481">
        <f>Summary!$J$54</f>
        <v>0.15</v>
      </c>
      <c r="G18" s="1483">
        <f>VLOOKUP(A18,CURVES!AW19:$BS$283,16)</f>
        <v>3.0409595417907727</v>
      </c>
      <c r="H18" s="1481">
        <f>Summary!$J$60</f>
        <v>0.04</v>
      </c>
      <c r="I18" s="17">
        <f>Summary!$J$55</f>
        <v>8.5</v>
      </c>
      <c r="J18" s="1483">
        <f t="shared" si="1"/>
        <v>27.463156105221568</v>
      </c>
      <c r="K18" s="1481">
        <f>Summary!$J$56</f>
        <v>3.75</v>
      </c>
      <c r="L18">
        <f>Summary!$O$23</f>
        <v>3.75</v>
      </c>
      <c r="M18" s="1481">
        <f>Summary!$J$57</f>
        <v>1.75</v>
      </c>
      <c r="N18" s="1483">
        <f t="shared" si="2"/>
        <v>11.197121504119433</v>
      </c>
      <c r="O18" s="1481">
        <f t="shared" si="3"/>
        <v>1.9471215041194334</v>
      </c>
      <c r="P18" s="1481">
        <f t="shared" si="4"/>
        <v>36845.480888633792</v>
      </c>
      <c r="Q18" s="1483">
        <f>IF(A18&lt;=Summary!$J$61,0.5*(P18),$Q$2*(P18))</f>
        <v>18422.740444316896</v>
      </c>
      <c r="R18" s="1481">
        <f>Summary!$J$58</f>
        <v>0.5</v>
      </c>
      <c r="S18" s="1481">
        <f t="shared" si="5"/>
        <v>35.463156105221572</v>
      </c>
      <c r="T18" s="1487">
        <f t="shared" si="6"/>
        <v>42076.555069316833</v>
      </c>
      <c r="U18" s="45">
        <f>Summary!$J$59</f>
        <v>0.12104878144800001</v>
      </c>
      <c r="V18" s="1487">
        <f>IF(A18&lt;=Summary!$J$61,(0.2*T18)+(R18*D18),(U18*T18)+(R18*D18))</f>
        <v>17876.836863863366</v>
      </c>
      <c r="W18" s="1536">
        <f t="shared" si="7"/>
        <v>731570.43193791201</v>
      </c>
      <c r="Y18" s="1477">
        <v>2012</v>
      </c>
      <c r="Z18" s="1532">
        <f t="shared" si="8"/>
        <v>0</v>
      </c>
      <c r="AA18" s="1532">
        <f t="shared" si="9"/>
        <v>413017.64854181482</v>
      </c>
      <c r="AB18" s="1532">
        <f t="shared" si="10"/>
        <v>413017.64854181482</v>
      </c>
    </row>
    <row r="19" spans="1:28">
      <c r="A19" s="18">
        <v>36951</v>
      </c>
      <c r="B19" s="20">
        <f t="shared" si="0"/>
        <v>2001</v>
      </c>
      <c r="C19" s="1483">
        <f>CALC!HH31</f>
        <v>35.861646583350961</v>
      </c>
      <c r="D19" s="820">
        <f>IF(Summary!$O$109=0,CALC!HE31,0)</f>
        <v>20950.521524999996</v>
      </c>
      <c r="E19" s="820">
        <f>SUM(CALC!GU31:HB31)*CALC!CY31/1000</f>
        <v>93898.72008446719</v>
      </c>
      <c r="F19" s="1481">
        <f>Summary!$J$54</f>
        <v>0.15</v>
      </c>
      <c r="G19" s="1483">
        <f>VLOOKUP(A19,CURVES!AW20:$BS$283,16)</f>
        <v>2.8984172973350422</v>
      </c>
      <c r="H19" s="1481">
        <f>Summary!$J$60</f>
        <v>0.04</v>
      </c>
      <c r="I19" s="17">
        <f>Summary!$J$55</f>
        <v>8.5</v>
      </c>
      <c r="J19" s="1483">
        <f t="shared" si="1"/>
        <v>26.251547027347858</v>
      </c>
      <c r="K19" s="1481">
        <f>Summary!$J$56</f>
        <v>3.75</v>
      </c>
      <c r="L19">
        <f>Summary!$O$23</f>
        <v>3.75</v>
      </c>
      <c r="M19" s="1481">
        <f>Summary!$J$57</f>
        <v>1.75</v>
      </c>
      <c r="N19" s="1483">
        <f t="shared" si="2"/>
        <v>9.6100995560031031</v>
      </c>
      <c r="O19" s="1481">
        <f t="shared" si="3"/>
        <v>0.36009955600310306</v>
      </c>
      <c r="P19" s="1481">
        <f t="shared" si="4"/>
        <v>7544.2734991859525</v>
      </c>
      <c r="Q19" s="1483">
        <f>IF(A19&lt;=Summary!$J$61,0.5*(P19),$Q$2*(P19))</f>
        <v>3772.1367495929762</v>
      </c>
      <c r="R19" s="1481">
        <f>Summary!$J$58</f>
        <v>0.5</v>
      </c>
      <c r="S19" s="1481">
        <f t="shared" si="5"/>
        <v>34.251547027347854</v>
      </c>
      <c r="T19" s="1487">
        <f t="shared" si="6"/>
        <v>29960.288655843044</v>
      </c>
      <c r="U19" s="45">
        <f>Summary!$J$59</f>
        <v>0.12104878144800001</v>
      </c>
      <c r="V19" s="1487">
        <f>IF(A19&lt;=Summary!$J$61,(0.2*T19)+(R19*D19),(U19*T19)+(R19*D19))</f>
        <v>16467.318493668608</v>
      </c>
      <c r="W19" s="1536">
        <f t="shared" si="7"/>
        <v>751320.19866643683</v>
      </c>
      <c r="Y19" s="1477">
        <v>2013</v>
      </c>
      <c r="Z19" s="1532">
        <f t="shared" si="8"/>
        <v>0</v>
      </c>
      <c r="AA19" s="1532">
        <f t="shared" si="9"/>
        <v>426289.64771916502</v>
      </c>
      <c r="AB19" s="1532">
        <f t="shared" si="10"/>
        <v>426289.64771916502</v>
      </c>
    </row>
    <row r="20" spans="1:28">
      <c r="A20" s="18">
        <v>36982</v>
      </c>
      <c r="B20" s="20">
        <f t="shared" si="0"/>
        <v>2001</v>
      </c>
      <c r="C20" s="1483">
        <f>CALC!HH32</f>
        <v>34.435722976319681</v>
      </c>
      <c r="D20" s="820">
        <f>IF(Summary!$O$109=0,CALC!HE32,0)</f>
        <v>20274.698250000001</v>
      </c>
      <c r="E20" s="820">
        <f>SUM(CALC!GU32:HB32)*CALC!CY32/1000</f>
        <v>90892.800878824084</v>
      </c>
      <c r="F20" s="1481">
        <f>Summary!$J$54</f>
        <v>0.15</v>
      </c>
      <c r="G20" s="1483">
        <f>VLOOKUP(A20,CURVES!AW21:$BS$283,16)</f>
        <v>2.7762155049476465</v>
      </c>
      <c r="H20" s="1481">
        <f>Summary!$J$60</f>
        <v>0.04</v>
      </c>
      <c r="I20" s="17">
        <f>Summary!$J$55</f>
        <v>8.5</v>
      </c>
      <c r="J20" s="1483">
        <f t="shared" si="1"/>
        <v>25.212831792054995</v>
      </c>
      <c r="K20" s="1481">
        <f>Summary!$J$56</f>
        <v>3.75</v>
      </c>
      <c r="L20">
        <f>Summary!$O$23</f>
        <v>3.75</v>
      </c>
      <c r="M20" s="1481">
        <f>Summary!$J$57</f>
        <v>1.75</v>
      </c>
      <c r="N20" s="1483">
        <f t="shared" si="2"/>
        <v>9.2228911842646859</v>
      </c>
      <c r="O20" s="1481">
        <f t="shared" si="3"/>
        <v>0</v>
      </c>
      <c r="P20" s="1481">
        <f t="shared" si="4"/>
        <v>0</v>
      </c>
      <c r="Q20" s="1483">
        <f>IF(A20&lt;=Summary!$J$61,0.5*(P20),$Q$2*(P20))</f>
        <v>0</v>
      </c>
      <c r="R20" s="1481">
        <f>Summary!$J$58</f>
        <v>0.5</v>
      </c>
      <c r="S20" s="1481">
        <f t="shared" si="5"/>
        <v>33.212831792054999</v>
      </c>
      <c r="T20" s="1487">
        <f t="shared" si="6"/>
        <v>24793.749753551583</v>
      </c>
      <c r="U20" s="45">
        <f>Summary!$J$59</f>
        <v>0.12104878144800001</v>
      </c>
      <c r="V20" s="1487">
        <f>IF(A20&lt;=Summary!$J$61,(0.2*T20)+(R20*D20),(U20*T20)+(R20*D20))</f>
        <v>15096.099075710317</v>
      </c>
      <c r="W20" s="1536">
        <f t="shared" si="7"/>
        <v>698173.89236547344</v>
      </c>
      <c r="Y20" s="1477">
        <v>2014</v>
      </c>
      <c r="Z20" s="1532">
        <f t="shared" si="8"/>
        <v>0</v>
      </c>
      <c r="AA20" s="1532">
        <f t="shared" si="9"/>
        <v>426393.18315410416</v>
      </c>
      <c r="AB20" s="1532">
        <f t="shared" si="10"/>
        <v>426393.18315410416</v>
      </c>
    </row>
    <row r="21" spans="1:28">
      <c r="A21" s="18">
        <v>37012</v>
      </c>
      <c r="B21" s="20">
        <f t="shared" si="0"/>
        <v>2001</v>
      </c>
      <c r="C21" s="1483">
        <f>CALC!HH33</f>
        <v>36.24439438083656</v>
      </c>
      <c r="D21" s="820">
        <f>IF(Summary!$O$109=0,CALC!HE33,0)</f>
        <v>22276.5039</v>
      </c>
      <c r="E21" s="820">
        <f>SUM(CALC!GU33:HB33)*CALC!CY33/1000</f>
        <v>73523.270920515046</v>
      </c>
      <c r="F21" s="1481">
        <f>Summary!$J$54</f>
        <v>0.15</v>
      </c>
      <c r="G21" s="1483">
        <f>VLOOKUP(A21,CURVES!AW22:$BS$283,16)</f>
        <v>2.7349123925191101</v>
      </c>
      <c r="H21" s="1481">
        <f>Summary!$J$60</f>
        <v>0.04</v>
      </c>
      <c r="I21" s="17">
        <f>Summary!$J$55</f>
        <v>8.5</v>
      </c>
      <c r="J21" s="1483">
        <f t="shared" si="1"/>
        <v>24.861755336412436</v>
      </c>
      <c r="K21" s="1481">
        <f>Summary!$J$56</f>
        <v>3.75</v>
      </c>
      <c r="L21">
        <f>Summary!$O$23</f>
        <v>3.75</v>
      </c>
      <c r="M21" s="1481">
        <f>Summary!$J$57</f>
        <v>1.75</v>
      </c>
      <c r="N21" s="1483">
        <f t="shared" si="2"/>
        <v>11.382639044424124</v>
      </c>
      <c r="O21" s="1481">
        <f t="shared" si="3"/>
        <v>2.1326390444241241</v>
      </c>
      <c r="P21" s="1481">
        <f t="shared" si="4"/>
        <v>47507.74199040627</v>
      </c>
      <c r="Q21" s="1483">
        <f>IF(A21&lt;=Summary!$J$61,0.5*(P21),$Q$2*(P21))</f>
        <v>0</v>
      </c>
      <c r="R21" s="1481">
        <f>Summary!$J$58</f>
        <v>0.5</v>
      </c>
      <c r="S21" s="1481">
        <f t="shared" si="5"/>
        <v>32.861755336412436</v>
      </c>
      <c r="T21" s="1487">
        <f t="shared" si="6"/>
        <v>75353.371865406269</v>
      </c>
      <c r="U21" s="45">
        <f>Summary!$J$59</f>
        <v>0.12104878144800001</v>
      </c>
      <c r="V21" s="1487">
        <f>IF(A21&lt;=Summary!$J$61,(0.2*T21)+(R21*D21),(U21*T21)+(R21*D21))</f>
        <v>20259.685792305434</v>
      </c>
      <c r="W21" s="1536">
        <f t="shared" si="7"/>
        <v>807398.39277784375</v>
      </c>
      <c r="Y21" s="1477">
        <v>2015</v>
      </c>
      <c r="Z21" s="1532">
        <f t="shared" si="8"/>
        <v>0</v>
      </c>
      <c r="AA21" s="1532">
        <f t="shared" si="9"/>
        <v>467982.00352532405</v>
      </c>
      <c r="AB21" s="1532">
        <f t="shared" si="10"/>
        <v>467982.00352532405</v>
      </c>
    </row>
    <row r="22" spans="1:28">
      <c r="A22" s="18">
        <v>37043</v>
      </c>
      <c r="B22" s="20">
        <f t="shared" si="0"/>
        <v>2001</v>
      </c>
      <c r="C22" s="1483">
        <f>CALC!HH34</f>
        <v>31.421026978610517</v>
      </c>
      <c r="D22" s="820">
        <f>IF(Summary!$O$109=0,CALC!HE34,0)</f>
        <v>21557.906999999999</v>
      </c>
      <c r="E22" s="820">
        <f>SUM(CALC!GU34:HB34)*CALC!CY34/1000</f>
        <v>71169.608667499211</v>
      </c>
      <c r="F22" s="1481">
        <f>Summary!$J$54</f>
        <v>0.15</v>
      </c>
      <c r="G22" s="1483">
        <f>VLOOKUP(A22,CURVES!AW23:$BS$283,16)</f>
        <v>2.7415528403031906</v>
      </c>
      <c r="H22" s="1481">
        <f>Summary!$J$60</f>
        <v>0.04</v>
      </c>
      <c r="I22" s="17">
        <f>Summary!$J$55</f>
        <v>8.5</v>
      </c>
      <c r="J22" s="1483">
        <f t="shared" si="1"/>
        <v>24.918199142577119</v>
      </c>
      <c r="K22" s="1481">
        <f>Summary!$J$56</f>
        <v>3.75</v>
      </c>
      <c r="L22">
        <f>Summary!$O$23</f>
        <v>3.75</v>
      </c>
      <c r="M22" s="1481">
        <f>Summary!$J$57</f>
        <v>1.75</v>
      </c>
      <c r="N22" s="1483">
        <f t="shared" si="2"/>
        <v>6.5028278360333971</v>
      </c>
      <c r="O22" s="1481">
        <f t="shared" si="3"/>
        <v>0</v>
      </c>
      <c r="P22" s="1481">
        <f t="shared" si="4"/>
        <v>0</v>
      </c>
      <c r="Q22" s="1483">
        <f>IF(A22&lt;=Summary!$J$61,0.5*(P22),$Q$2*(P22))</f>
        <v>0</v>
      </c>
      <c r="R22" s="1481">
        <f>Summary!$J$58</f>
        <v>0.5</v>
      </c>
      <c r="S22" s="1481">
        <f t="shared" si="5"/>
        <v>32.918199142577123</v>
      </c>
      <c r="T22" s="1487">
        <f t="shared" si="6"/>
        <v>0</v>
      </c>
      <c r="U22" s="45">
        <f>Summary!$J$59</f>
        <v>0.12104878144800001</v>
      </c>
      <c r="V22" s="1487">
        <f>IF(A22&lt;=Summary!$J$61,(0.2*T22)+(R22*D22),(U22*T22)+(R22*D22))</f>
        <v>10778.9535</v>
      </c>
      <c r="W22" s="1536">
        <f t="shared" si="7"/>
        <v>677371.57744937646</v>
      </c>
      <c r="Y22" s="1477">
        <v>2016</v>
      </c>
      <c r="Z22" s="1532">
        <f t="shared" si="8"/>
        <v>0</v>
      </c>
      <c r="AA22" s="1532">
        <f t="shared" si="9"/>
        <v>492197.65817409696</v>
      </c>
      <c r="AB22" s="1532">
        <f t="shared" si="10"/>
        <v>492197.65817409696</v>
      </c>
    </row>
    <row r="23" spans="1:28">
      <c r="A23" s="18">
        <v>37073</v>
      </c>
      <c r="B23" s="20">
        <f t="shared" si="0"/>
        <v>2001</v>
      </c>
      <c r="C23" s="1483">
        <f>CALC!HH35</f>
        <v>44.4317801119591</v>
      </c>
      <c r="D23" s="820">
        <f>IF(Summary!$O$109=0,CALC!HE35,0)</f>
        <v>22276.5039</v>
      </c>
      <c r="E23" s="820">
        <f>SUM(CALC!GU35:HB35)*CALC!CY35/1000</f>
        <v>73560.586992316632</v>
      </c>
      <c r="F23" s="1481">
        <f>Summary!$J$54</f>
        <v>0.15</v>
      </c>
      <c r="G23" s="1483">
        <f>VLOOKUP(A23,CURVES!AW24:$BS$283,16)</f>
        <v>2.7582753604326626</v>
      </c>
      <c r="H23" s="1481">
        <f>Summary!$J$60</f>
        <v>0.04</v>
      </c>
      <c r="I23" s="17">
        <f>Summary!$J$55</f>
        <v>8.5</v>
      </c>
      <c r="J23" s="1483">
        <f t="shared" si="1"/>
        <v>25.060340563677631</v>
      </c>
      <c r="K23" s="1481">
        <f>Summary!$J$56</f>
        <v>3.75</v>
      </c>
      <c r="L23">
        <f>Summary!$O$23</f>
        <v>3.75</v>
      </c>
      <c r="M23" s="1481">
        <f>Summary!$J$57</f>
        <v>1.75</v>
      </c>
      <c r="N23" s="1483">
        <f t="shared" si="2"/>
        <v>19.371439548281469</v>
      </c>
      <c r="O23" s="1481">
        <f t="shared" si="3"/>
        <v>10.121439548281469</v>
      </c>
      <c r="P23" s="1481">
        <f t="shared" si="4"/>
        <v>225470.28757090637</v>
      </c>
      <c r="Q23" s="1483">
        <f>IF(A23&lt;=Summary!$J$61,0.5*(P23),$Q$2*(P23))</f>
        <v>0</v>
      </c>
      <c r="R23" s="1481">
        <f>Summary!$J$58</f>
        <v>0.5</v>
      </c>
      <c r="S23" s="1481">
        <f t="shared" si="5"/>
        <v>33.060340563677627</v>
      </c>
      <c r="T23" s="1487">
        <f t="shared" si="6"/>
        <v>253315.91744590647</v>
      </c>
      <c r="U23" s="45">
        <f>Summary!$J$59</f>
        <v>0.12104878144800001</v>
      </c>
      <c r="V23" s="1487">
        <f>IF(A23&lt;=Summary!$J$61,(0.2*T23)+(R23*D23),(U23*T23)+(R23*D23))</f>
        <v>41801.835078209144</v>
      </c>
      <c r="W23" s="1536">
        <f t="shared" si="7"/>
        <v>989784.72294799925</v>
      </c>
      <c r="Y23" s="1477">
        <v>2017</v>
      </c>
      <c r="Z23" s="1532">
        <f t="shared" si="8"/>
        <v>0</v>
      </c>
      <c r="AA23" s="1532">
        <f t="shared" si="9"/>
        <v>487526.19414714538</v>
      </c>
      <c r="AB23" s="1532">
        <f t="shared" si="10"/>
        <v>487526.19414714538</v>
      </c>
    </row>
    <row r="24" spans="1:28">
      <c r="A24" s="18">
        <v>37104</v>
      </c>
      <c r="B24" s="20">
        <f t="shared" si="0"/>
        <v>2001</v>
      </c>
      <c r="C24" s="1483">
        <f>CALC!HH36</f>
        <v>75.901539596225106</v>
      </c>
      <c r="D24" s="820">
        <f>IF(Summary!$O$109=0,CALC!HE36,0)</f>
        <v>22276.5039</v>
      </c>
      <c r="E24" s="820">
        <f>SUM(CALC!GU36:HB36)*CALC!CY36/1000</f>
        <v>73579.24502821741</v>
      </c>
      <c r="F24" s="1481">
        <f>Summary!$J$54</f>
        <v>0.15</v>
      </c>
      <c r="G24" s="1483">
        <f>VLOOKUP(A24,CURVES!AW25:$BS$283,16)</f>
        <v>2.7711020559742261</v>
      </c>
      <c r="H24" s="1481">
        <f>Summary!$J$60</f>
        <v>0.04</v>
      </c>
      <c r="I24" s="17">
        <f>Summary!$J$55</f>
        <v>8.5</v>
      </c>
      <c r="J24" s="1483">
        <f t="shared" si="1"/>
        <v>25.16936747578092</v>
      </c>
      <c r="K24" s="1481">
        <f>Summary!$J$56</f>
        <v>3.75</v>
      </c>
      <c r="L24">
        <f>Summary!$O$23</f>
        <v>3.75</v>
      </c>
      <c r="M24" s="1481">
        <f>Summary!$J$57</f>
        <v>1.75</v>
      </c>
      <c r="N24" s="1483">
        <f t="shared" si="2"/>
        <v>50.73217212044419</v>
      </c>
      <c r="O24" s="1481">
        <f t="shared" si="3"/>
        <v>41.48217212044419</v>
      </c>
      <c r="P24" s="1481">
        <f t="shared" si="4"/>
        <v>924077.76902154624</v>
      </c>
      <c r="Q24" s="1483">
        <f>IF(A24&lt;=Summary!$J$61,0.5*(P24),$Q$2*(P24))</f>
        <v>0</v>
      </c>
      <c r="R24" s="1481">
        <f>Summary!$J$58</f>
        <v>0.5</v>
      </c>
      <c r="S24" s="1481">
        <f t="shared" si="5"/>
        <v>33.169367475780916</v>
      </c>
      <c r="T24" s="1487">
        <f t="shared" si="6"/>
        <v>951923.39889654622</v>
      </c>
      <c r="U24" s="45">
        <f>Summary!$J$59</f>
        <v>0.12104878144800001</v>
      </c>
      <c r="V24" s="1487">
        <f>IF(A24&lt;=Summary!$J$61,(0.2*T24)+(R24*D24),(U24*T24)+(R24*D24))</f>
        <v>126367.41941826536</v>
      </c>
      <c r="W24" s="1536">
        <f t="shared" si="7"/>
        <v>1690820.942831313</v>
      </c>
      <c r="Y24" s="1477">
        <v>2018</v>
      </c>
      <c r="Z24" s="1532">
        <f t="shared" si="8"/>
        <v>0</v>
      </c>
      <c r="AA24" s="1532">
        <f t="shared" si="9"/>
        <v>469970.62445045792</v>
      </c>
      <c r="AB24" s="1532">
        <f t="shared" si="10"/>
        <v>469970.62445045792</v>
      </c>
    </row>
    <row r="25" spans="1:28">
      <c r="A25" s="18">
        <v>37135</v>
      </c>
      <c r="B25" s="20">
        <f t="shared" si="0"/>
        <v>2001</v>
      </c>
      <c r="C25" s="1483">
        <f>CALC!HH37</f>
        <v>60.679561952618165</v>
      </c>
      <c r="D25" s="820">
        <f>IF(Summary!$O$109=0,CALC!HE37,0)</f>
        <v>21557.906999999999</v>
      </c>
      <c r="E25" s="820">
        <f>SUM(CALC!GU37:HB37)*CALC!CY37/1000</f>
        <v>71223.777158824072</v>
      </c>
      <c r="F25" s="1481">
        <f>Summary!$J$54</f>
        <v>0.15</v>
      </c>
      <c r="G25" s="1483">
        <f>VLOOKUP(A25,CURVES!AW26:$BS$283,16)</f>
        <v>2.7839640991287613</v>
      </c>
      <c r="H25" s="1481">
        <f>Summary!$J$60</f>
        <v>0.04</v>
      </c>
      <c r="I25" s="17">
        <f>Summary!$J$55</f>
        <v>8.5</v>
      </c>
      <c r="J25" s="1483">
        <f t="shared" si="1"/>
        <v>25.278694842594472</v>
      </c>
      <c r="K25" s="1481">
        <f>Summary!$J$56</f>
        <v>3.75</v>
      </c>
      <c r="L25">
        <f>Summary!$O$23</f>
        <v>3.75</v>
      </c>
      <c r="M25" s="1481">
        <f>Summary!$J$57</f>
        <v>1.75</v>
      </c>
      <c r="N25" s="1483">
        <f t="shared" si="2"/>
        <v>35.400867110023697</v>
      </c>
      <c r="O25" s="1481">
        <f t="shared" si="3"/>
        <v>26.150867110023697</v>
      </c>
      <c r="P25" s="1481">
        <f t="shared" si="4"/>
        <v>563757.96112724964</v>
      </c>
      <c r="Q25" s="1483">
        <f>IF(A25&lt;=Summary!$J$61,0.5*(P25),$Q$2*(P25))</f>
        <v>0</v>
      </c>
      <c r="R25" s="1481">
        <f>Summary!$J$58</f>
        <v>0.5</v>
      </c>
      <c r="S25" s="1481">
        <f t="shared" si="5"/>
        <v>33.278694842594476</v>
      </c>
      <c r="T25" s="1487">
        <f t="shared" si="6"/>
        <v>590705.34487724944</v>
      </c>
      <c r="U25" s="45">
        <f>Summary!$J$59</f>
        <v>0.12104878144800001</v>
      </c>
      <c r="V25" s="1487">
        <f>IF(A25&lt;=Summary!$J$61,(0.2*T25)+(R25*D25),(U25*T25)+(R25*D25))</f>
        <v>82283.115692211635</v>
      </c>
      <c r="W25" s="1536">
        <f t="shared" si="7"/>
        <v>1308124.3533752807</v>
      </c>
      <c r="Y25" s="1477">
        <v>2019</v>
      </c>
      <c r="Z25" s="1532">
        <f t="shared" si="8"/>
        <v>0</v>
      </c>
      <c r="AA25" s="1532">
        <f t="shared" si="9"/>
        <v>513820.19954318274</v>
      </c>
      <c r="AB25" s="1532">
        <f t="shared" si="10"/>
        <v>513820.19954318274</v>
      </c>
    </row>
    <row r="26" spans="1:28">
      <c r="A26" s="18">
        <v>37165</v>
      </c>
      <c r="B26" s="20">
        <f t="shared" si="0"/>
        <v>2001</v>
      </c>
      <c r="C26" s="1483">
        <f>CALC!HH38</f>
        <v>48.358041451298725</v>
      </c>
      <c r="D26" s="820">
        <f>IF(Summary!$O$109=0,CALC!HE38,0)</f>
        <v>20950.521524999996</v>
      </c>
      <c r="E26" s="820">
        <f>SUM(CALC!GU38:HB38)*CALC!CY38/1000</f>
        <v>94065.605850024265</v>
      </c>
      <c r="F26" s="1481">
        <f>Summary!$J$54</f>
        <v>0.15</v>
      </c>
      <c r="G26" s="1483">
        <f>VLOOKUP(A26,CURVES!AW27:$BS$283,16)</f>
        <v>2.8850872367569425</v>
      </c>
      <c r="H26" s="1481">
        <f>Summary!$J$60</f>
        <v>0.04</v>
      </c>
      <c r="I26" s="17">
        <f>Summary!$J$55</f>
        <v>8.5</v>
      </c>
      <c r="J26" s="1483">
        <f t="shared" si="1"/>
        <v>26.138241512434011</v>
      </c>
      <c r="K26" s="1481">
        <f>Summary!$J$56</f>
        <v>3.75</v>
      </c>
      <c r="L26">
        <f>Summary!$O$23</f>
        <v>3.75</v>
      </c>
      <c r="M26" s="1481">
        <f>Summary!$J$57</f>
        <v>1.75</v>
      </c>
      <c r="N26" s="1483">
        <f t="shared" si="2"/>
        <v>22.219799938864714</v>
      </c>
      <c r="O26" s="1481">
        <f t="shared" si="3"/>
        <v>12.969799938864714</v>
      </c>
      <c r="P26" s="1481">
        <f t="shared" si="4"/>
        <v>271724.07279412885</v>
      </c>
      <c r="Q26" s="1483">
        <f>IF(A26&lt;=Summary!$J$61,0.5*(P26),$Q$2*(P26))</f>
        <v>0</v>
      </c>
      <c r="R26" s="1481">
        <f>Summary!$J$58</f>
        <v>0.5</v>
      </c>
      <c r="S26" s="1481">
        <f t="shared" si="5"/>
        <v>34.138241512434007</v>
      </c>
      <c r="T26" s="1487">
        <f t="shared" si="6"/>
        <v>297912.22470037889</v>
      </c>
      <c r="U26" s="45">
        <f>Summary!$J$59</f>
        <v>0.12104878144800001</v>
      </c>
      <c r="V26" s="1487">
        <f>IF(A26&lt;=Summary!$J$61,(0.2*T26)+(R26*D26),(U26*T26)+(R26*D26))</f>
        <v>46537.172540943633</v>
      </c>
      <c r="W26" s="1536">
        <f t="shared" si="7"/>
        <v>1013126.188332276</v>
      </c>
      <c r="Y26" s="1477">
        <v>2020</v>
      </c>
      <c r="Z26" s="1532">
        <f t="shared" si="8"/>
        <v>0</v>
      </c>
      <c r="AA26" s="1532">
        <f t="shared" si="9"/>
        <v>490194.30018616025</v>
      </c>
      <c r="AB26" s="1532">
        <f t="shared" si="10"/>
        <v>490194.30018616025</v>
      </c>
    </row>
    <row r="27" spans="1:28">
      <c r="A27" s="18">
        <v>37196</v>
      </c>
      <c r="B27" s="20">
        <f t="shared" si="0"/>
        <v>2001</v>
      </c>
      <c r="C27" s="1483">
        <f>CALC!HH39</f>
        <v>41.571501612631359</v>
      </c>
      <c r="D27" s="820">
        <f>IF(Summary!$O$109=0,CALC!HE39,0)</f>
        <v>20274.698250000001</v>
      </c>
      <c r="E27" s="820">
        <f>SUM(CALC!GU39:HB39)*CALC!CY39/1000</f>
        <v>91054.303232589009</v>
      </c>
      <c r="F27" s="1481">
        <f>Summary!$J$54</f>
        <v>0.15</v>
      </c>
      <c r="G27" s="1483">
        <f>VLOOKUP(A27,CURVES!AW28:$BS$283,16)</f>
        <v>2.984613842176699</v>
      </c>
      <c r="H27" s="1481">
        <f>Summary!$J$60</f>
        <v>0.04</v>
      </c>
      <c r="I27" s="17">
        <f>Summary!$J$55</f>
        <v>8.5</v>
      </c>
      <c r="J27" s="1483">
        <f t="shared" si="1"/>
        <v>26.98421765850194</v>
      </c>
      <c r="K27" s="1481">
        <f>Summary!$J$56</f>
        <v>3.75</v>
      </c>
      <c r="L27">
        <f>Summary!$O$23</f>
        <v>3.75</v>
      </c>
      <c r="M27" s="1481">
        <f>Summary!$J$57</f>
        <v>1.75</v>
      </c>
      <c r="N27" s="1483">
        <f t="shared" si="2"/>
        <v>14.587283954129418</v>
      </c>
      <c r="O27" s="1481">
        <f t="shared" si="3"/>
        <v>5.3372839541294184</v>
      </c>
      <c r="P27" s="1481">
        <f t="shared" si="4"/>
        <v>108211.8216445408</v>
      </c>
      <c r="Q27" s="1483">
        <f>IF(A27&lt;=Summary!$J$61,0.5*(P27),$Q$2*(P27))</f>
        <v>0</v>
      </c>
      <c r="R27" s="1481">
        <f>Summary!$J$58</f>
        <v>0.5</v>
      </c>
      <c r="S27" s="1481">
        <f t="shared" si="5"/>
        <v>34.98421765850194</v>
      </c>
      <c r="T27" s="1487">
        <f t="shared" si="6"/>
        <v>133555.19445704081</v>
      </c>
      <c r="U27" s="45">
        <f>Summary!$J$59</f>
        <v>0.12104878144800001</v>
      </c>
      <c r="V27" s="1487">
        <f>IF(A27&lt;=Summary!$J$61,(0.2*T27)+(R27*D27),(U27*T27)+(R27*D27))</f>
        <v>26304.042670075476</v>
      </c>
      <c r="W27" s="1536">
        <f t="shared" si="7"/>
        <v>842849.65099548921</v>
      </c>
      <c r="Y27" s="1477">
        <v>2021</v>
      </c>
      <c r="Z27" s="1532">
        <f t="shared" si="8"/>
        <v>0</v>
      </c>
      <c r="AA27" s="1532">
        <f t="shared" si="9"/>
        <v>515311.75485355407</v>
      </c>
      <c r="AB27" s="1532">
        <f t="shared" si="10"/>
        <v>515311.75485355407</v>
      </c>
    </row>
    <row r="28" spans="1:28">
      <c r="A28" s="18">
        <v>37226</v>
      </c>
      <c r="B28" s="20">
        <f t="shared" si="0"/>
        <v>2001</v>
      </c>
      <c r="C28" s="1483">
        <f>CALC!HH40</f>
        <v>41.171215130915776</v>
      </c>
      <c r="D28" s="820">
        <f>IF(Summary!$O$109=0,CALC!HE40,0)</f>
        <v>20950.521525</v>
      </c>
      <c r="E28" s="820">
        <f>SUM(CALC!GU40:HB40)*CALC!CY40/1000</f>
        <v>94113.287497326295</v>
      </c>
      <c r="F28" s="1481">
        <f>Summary!$J$54</f>
        <v>0.15</v>
      </c>
      <c r="G28" s="1483">
        <f>VLOOKUP(A28,CURVES!AW29:$BS$283,16)</f>
        <v>3.0903582625892034</v>
      </c>
      <c r="H28" s="1481">
        <f>Summary!$J$60</f>
        <v>0.04</v>
      </c>
      <c r="I28" s="17">
        <f>Summary!$J$55</f>
        <v>8.5</v>
      </c>
      <c r="J28" s="1483">
        <f t="shared" si="1"/>
        <v>27.883045232008229</v>
      </c>
      <c r="K28" s="1481">
        <f>Summary!$J$56</f>
        <v>3.75</v>
      </c>
      <c r="L28">
        <f>Summary!$O$23</f>
        <v>3.75</v>
      </c>
      <c r="M28" s="1481">
        <f>Summary!$J$57</f>
        <v>1.75</v>
      </c>
      <c r="N28" s="1483">
        <f t="shared" si="2"/>
        <v>13.288169898907547</v>
      </c>
      <c r="O28" s="1481">
        <f t="shared" si="3"/>
        <v>4.0381698989075474</v>
      </c>
      <c r="P28" s="1481">
        <f t="shared" si="4"/>
        <v>84601.76538866965</v>
      </c>
      <c r="Q28" s="1483">
        <f>IF(A28&lt;=Summary!$J$61,0.5*(P28),$Q$2*(P28))</f>
        <v>0</v>
      </c>
      <c r="R28" s="1481">
        <f>Summary!$J$58</f>
        <v>0.5</v>
      </c>
      <c r="S28" s="1481">
        <f t="shared" si="5"/>
        <v>35.883045232008229</v>
      </c>
      <c r="T28" s="1487">
        <f t="shared" si="6"/>
        <v>110789.91729491965</v>
      </c>
      <c r="U28" s="45">
        <f>Summary!$J$59</f>
        <v>0.12104878144800001</v>
      </c>
      <c r="V28" s="1487">
        <f>IF(A28&lt;=Summary!$J$61,(0.2*T28)+(R28*D28),(U28*T28)+(R28*D28))</f>
        <v>23886.245247774725</v>
      </c>
      <c r="W28" s="1536">
        <f t="shared" si="7"/>
        <v>862558.42881065665</v>
      </c>
      <c r="Y28" s="1477">
        <v>2022</v>
      </c>
      <c r="Z28" s="1532">
        <f t="shared" si="8"/>
        <v>0</v>
      </c>
      <c r="AA28" s="1532">
        <f t="shared" si="9"/>
        <v>91803.067325020413</v>
      </c>
      <c r="AB28" s="1532">
        <f t="shared" si="10"/>
        <v>91803.067325020413</v>
      </c>
    </row>
    <row r="29" spans="1:28">
      <c r="A29" s="18">
        <v>37257</v>
      </c>
      <c r="B29" s="20">
        <f t="shared" si="0"/>
        <v>2002</v>
      </c>
      <c r="C29" s="1483">
        <f>CALC!HH41</f>
        <v>39.529562437169339</v>
      </c>
      <c r="D29" s="820">
        <f>IF(Summary!$O$109=0,CALC!HE41,0)</f>
        <v>20950.521524999996</v>
      </c>
      <c r="E29" s="820">
        <f>SUM(CALC!GU41:HB41)*CALC!CY41/1000</f>
        <v>94137.12832097731</v>
      </c>
      <c r="F29" s="1481">
        <f>Summary!$J$54</f>
        <v>0.15</v>
      </c>
      <c r="G29" s="1483">
        <f>VLOOKUP(A29,CURVES!AW30:$BS$283,16)</f>
        <v>2.9650511733074278</v>
      </c>
      <c r="H29" s="1481">
        <f>Summary!$J$60</f>
        <v>0.04</v>
      </c>
      <c r="I29" s="17">
        <f>Summary!$J$55</f>
        <v>8.5</v>
      </c>
      <c r="J29" s="1483">
        <f t="shared" si="1"/>
        <v>26.817934973113136</v>
      </c>
      <c r="K29" s="1481">
        <f>Summary!$J$56</f>
        <v>3.75</v>
      </c>
      <c r="L29">
        <f>Summary!$O$23</f>
        <v>3.75</v>
      </c>
      <c r="M29" s="1481">
        <f>Summary!$J$57</f>
        <v>1.75</v>
      </c>
      <c r="N29" s="1483">
        <f t="shared" si="2"/>
        <v>12.711627464056203</v>
      </c>
      <c r="O29" s="1481">
        <f t="shared" si="3"/>
        <v>3.4616274640562033</v>
      </c>
      <c r="P29" s="1481">
        <f t="shared" si="4"/>
        <v>72522.900697240635</v>
      </c>
      <c r="Q29" s="1483">
        <f>IF(A29&lt;=Summary!$J$61,0.5*(P29),$Q$2*(P29))</f>
        <v>0</v>
      </c>
      <c r="R29" s="1481">
        <f>Summary!$J$58</f>
        <v>0.5</v>
      </c>
      <c r="S29" s="1481">
        <f t="shared" si="5"/>
        <v>34.81793497311314</v>
      </c>
      <c r="T29" s="1487">
        <f t="shared" si="6"/>
        <v>98711.052603490563</v>
      </c>
      <c r="U29" s="45">
        <f>Summary!$J$59</f>
        <v>0.12104878144800001</v>
      </c>
      <c r="V29" s="1487">
        <f>IF(A29&lt;=Summary!$J$61,(0.2*T29)+(R29*D29),(U29*T29)+(R29*D29))</f>
        <v>22424.113395601962</v>
      </c>
      <c r="W29" s="1536">
        <f t="shared" si="7"/>
        <v>828164.94871374755</v>
      </c>
      <c r="Y29" s="1477">
        <v>2023</v>
      </c>
      <c r="Z29" s="1532">
        <f t="shared" si="8"/>
        <v>0</v>
      </c>
      <c r="AA29" s="1532">
        <f t="shared" si="9"/>
        <v>0</v>
      </c>
      <c r="AB29" s="1532">
        <f t="shared" si="10"/>
        <v>0</v>
      </c>
    </row>
    <row r="30" spans="1:28" ht="13.8" thickBot="1">
      <c r="A30" s="18">
        <v>37288</v>
      </c>
      <c r="B30" s="20">
        <f t="shared" si="0"/>
        <v>2002</v>
      </c>
      <c r="C30" s="1483">
        <f>CALC!HH42</f>
        <v>32.953281299261086</v>
      </c>
      <c r="D30" s="820">
        <f>IF(Summary!$O$109=0,CALC!HE42,0)</f>
        <v>18923.051699999996</v>
      </c>
      <c r="E30" s="820">
        <f>SUM(CALC!GU42:HB42)*CALC!CY42/1000</f>
        <v>85048.617291922346</v>
      </c>
      <c r="F30" s="1481">
        <f>Summary!$J$54</f>
        <v>0.15</v>
      </c>
      <c r="G30" s="1483">
        <f>VLOOKUP(A30,CURVES!AW31:$BS$283,16)</f>
        <v>2.741600580355517</v>
      </c>
      <c r="H30" s="1481">
        <f>Summary!$J$60</f>
        <v>0.04</v>
      </c>
      <c r="I30" s="17">
        <f>Summary!$J$55</f>
        <v>8.5</v>
      </c>
      <c r="J30" s="1483">
        <f t="shared" si="1"/>
        <v>24.918604933021893</v>
      </c>
      <c r="K30" s="1481">
        <f>Summary!$J$56</f>
        <v>3.75</v>
      </c>
      <c r="L30">
        <f>Summary!$O$23</f>
        <v>3.75</v>
      </c>
      <c r="M30" s="1481">
        <f>Summary!$J$57</f>
        <v>1.75</v>
      </c>
      <c r="N30" s="1483">
        <f t="shared" si="2"/>
        <v>8.0346763662391929</v>
      </c>
      <c r="O30" s="1481">
        <f t="shared" si="3"/>
        <v>0</v>
      </c>
      <c r="P30" s="1481">
        <f t="shared" si="4"/>
        <v>0</v>
      </c>
      <c r="Q30" s="1483">
        <f>IF(A30&lt;=Summary!$J$61,0.5*(P30),$Q$2*(P30))</f>
        <v>0</v>
      </c>
      <c r="R30" s="1481">
        <f>Summary!$J$58</f>
        <v>0.5</v>
      </c>
      <c r="S30" s="1481">
        <f t="shared" si="5"/>
        <v>32.918604933021896</v>
      </c>
      <c r="T30" s="1487">
        <f t="shared" si="6"/>
        <v>656.18267111231444</v>
      </c>
      <c r="U30" s="45">
        <f>Summary!$J$59</f>
        <v>0.12104878144800001</v>
      </c>
      <c r="V30" s="1487">
        <f>IF(A30&lt;=Summary!$J$61,(0.2*T30)+(R30*D30),(U30*T30)+(R30*D30))</f>
        <v>9540.9559627454382</v>
      </c>
      <c r="W30" s="1536">
        <f t="shared" si="7"/>
        <v>623576.64571056061</v>
      </c>
      <c r="Y30" s="1478">
        <v>2024</v>
      </c>
      <c r="Z30" s="1533">
        <f t="shared" si="8"/>
        <v>0</v>
      </c>
      <c r="AA30" s="1533">
        <f t="shared" si="9"/>
        <v>0</v>
      </c>
      <c r="AB30" s="1533">
        <f t="shared" si="10"/>
        <v>0</v>
      </c>
    </row>
    <row r="31" spans="1:28">
      <c r="A31" s="18">
        <v>37316</v>
      </c>
      <c r="B31" s="20">
        <f t="shared" si="0"/>
        <v>2002</v>
      </c>
      <c r="C31" s="1483">
        <f>CALC!HH43</f>
        <v>29.384822349855277</v>
      </c>
      <c r="D31" s="820">
        <f>IF(Summary!$O$109=0,CALC!HE43,0)</f>
        <v>20950.521525</v>
      </c>
      <c r="E31" s="820">
        <f>SUM(CALC!GU43:HB43)*CALC!CY43/1000</f>
        <v>94184.809968279355</v>
      </c>
      <c r="F31" s="1481">
        <f>Summary!$J$54</f>
        <v>0.15</v>
      </c>
      <c r="G31" s="1483">
        <f>VLOOKUP(A31,CURVES!AW32:$BS$283,16)</f>
        <v>2.5922946557626991</v>
      </c>
      <c r="H31" s="1481">
        <f>Summary!$J$60</f>
        <v>0.04</v>
      </c>
      <c r="I31" s="17">
        <f>Summary!$J$55</f>
        <v>8.5</v>
      </c>
      <c r="J31" s="1483">
        <f t="shared" si="1"/>
        <v>23.649504573982941</v>
      </c>
      <c r="K31" s="1481">
        <f>Summary!$J$56</f>
        <v>3.75</v>
      </c>
      <c r="L31">
        <f>Summary!$O$23</f>
        <v>3.75</v>
      </c>
      <c r="M31" s="1481">
        <f>Summary!$J$57</f>
        <v>1.75</v>
      </c>
      <c r="N31" s="1483">
        <f t="shared" si="2"/>
        <v>5.7353177758723355</v>
      </c>
      <c r="O31" s="1481">
        <f t="shared" si="3"/>
        <v>0</v>
      </c>
      <c r="P31" s="1481">
        <f t="shared" si="4"/>
        <v>0</v>
      </c>
      <c r="Q31" s="1483">
        <f>IF(A31&lt;=Summary!$J$61,0.5*(P31),$Q$2*(P31))</f>
        <v>0</v>
      </c>
      <c r="R31" s="1481">
        <f>Summary!$J$58</f>
        <v>0.5</v>
      </c>
      <c r="S31" s="1481">
        <f t="shared" si="5"/>
        <v>31.649504573982941</v>
      </c>
      <c r="T31" s="1487">
        <f t="shared" si="6"/>
        <v>0</v>
      </c>
      <c r="U31" s="45">
        <f>Summary!$J$59</f>
        <v>0.12104878144800001</v>
      </c>
      <c r="V31" s="1487">
        <f>IF(A31&lt;=Summary!$J$61,(0.2*T31)+(R31*D31),(U31*T31)+(R31*D31))</f>
        <v>10475.2607625</v>
      </c>
      <c r="W31" s="1536">
        <f t="shared" si="7"/>
        <v>615627.35314894409</v>
      </c>
    </row>
    <row r="32" spans="1:28">
      <c r="A32" s="18">
        <v>37347</v>
      </c>
      <c r="B32" s="20">
        <f t="shared" si="0"/>
        <v>2002</v>
      </c>
      <c r="C32" s="1483">
        <f>CALC!HH44</f>
        <v>28.410355720829706</v>
      </c>
      <c r="D32" s="820">
        <f>IF(Summary!$O$109=0,CALC!HE44,0)</f>
        <v>20274.698249999998</v>
      </c>
      <c r="E32" s="820">
        <f>SUM(CALC!GU44:HB44)*CALC!CY44/1000</f>
        <v>91169.662056706788</v>
      </c>
      <c r="F32" s="1481">
        <f>Summary!$J$54</f>
        <v>0.15</v>
      </c>
      <c r="G32" s="1483">
        <f>VLOOKUP(A32,CURVES!AW33:$BS$283,16)</f>
        <v>2.5076693511524488</v>
      </c>
      <c r="H32" s="1481">
        <f>Summary!$J$60</f>
        <v>0.04</v>
      </c>
      <c r="I32" s="17">
        <f>Summary!$J$55</f>
        <v>8.5</v>
      </c>
      <c r="J32" s="1483">
        <f t="shared" si="1"/>
        <v>22.930189484795815</v>
      </c>
      <c r="K32" s="1481">
        <f>Summary!$J$56</f>
        <v>3.75</v>
      </c>
      <c r="L32">
        <f>Summary!$O$23</f>
        <v>3.75</v>
      </c>
      <c r="M32" s="1481">
        <f>Summary!$J$57</f>
        <v>1.75</v>
      </c>
      <c r="N32" s="1483">
        <f t="shared" si="2"/>
        <v>5.4801662360338916</v>
      </c>
      <c r="O32" s="1481">
        <f t="shared" si="3"/>
        <v>0</v>
      </c>
      <c r="P32" s="1481">
        <f t="shared" si="4"/>
        <v>0</v>
      </c>
      <c r="Q32" s="1483">
        <f>IF(A32&lt;=Summary!$J$61,0.5*(P32),$Q$2*(P32))</f>
        <v>0</v>
      </c>
      <c r="R32" s="1481">
        <f>Summary!$J$58</f>
        <v>0.5</v>
      </c>
      <c r="S32" s="1481">
        <f t="shared" si="5"/>
        <v>30.930189484795815</v>
      </c>
      <c r="T32" s="1487">
        <f t="shared" si="6"/>
        <v>0</v>
      </c>
      <c r="U32" s="45">
        <f>Summary!$J$59</f>
        <v>0.12104878144800001</v>
      </c>
      <c r="V32" s="1487">
        <f>IF(A32&lt;=Summary!$J$61,(0.2*T32)+(R32*D32),(U32*T32)+(R32*D32))</f>
        <v>10137.349124999999</v>
      </c>
      <c r="W32" s="1536">
        <f t="shared" si="7"/>
        <v>576011.38941498345</v>
      </c>
    </row>
    <row r="33" spans="1:23">
      <c r="A33" s="18">
        <v>37377</v>
      </c>
      <c r="B33" s="20">
        <f t="shared" si="0"/>
        <v>2002</v>
      </c>
      <c r="C33" s="1483">
        <f>CALC!HH45</f>
        <v>29.687803094964412</v>
      </c>
      <c r="D33" s="820">
        <f>IF(Summary!$O$109=0,CALC!HE45,0)</f>
        <v>22276.5039</v>
      </c>
      <c r="E33" s="820">
        <f>SUM(CALC!GU45:HB45)*CALC!CY45/1000</f>
        <v>73747.167351324548</v>
      </c>
      <c r="F33" s="1481">
        <f>Summary!$J$54</f>
        <v>0.15</v>
      </c>
      <c r="G33" s="1483">
        <f>VLOOKUP(A33,CURVES!AW34:$BS$283,16)</f>
        <v>2.477901506947247</v>
      </c>
      <c r="H33" s="1481">
        <f>Summary!$J$60</f>
        <v>0.04</v>
      </c>
      <c r="I33" s="17">
        <f>Summary!$J$55</f>
        <v>8.5</v>
      </c>
      <c r="J33" s="1483">
        <f t="shared" si="1"/>
        <v>22.677162809051598</v>
      </c>
      <c r="K33" s="1481">
        <f>Summary!$J$56</f>
        <v>3.75</v>
      </c>
      <c r="L33">
        <f>Summary!$O$23</f>
        <v>3.75</v>
      </c>
      <c r="M33" s="1481">
        <f>Summary!$J$57</f>
        <v>1.75</v>
      </c>
      <c r="N33" s="1483">
        <f t="shared" si="2"/>
        <v>7.0106402859128139</v>
      </c>
      <c r="O33" s="1481">
        <f t="shared" si="3"/>
        <v>0</v>
      </c>
      <c r="P33" s="1481">
        <f t="shared" si="4"/>
        <v>0</v>
      </c>
      <c r="Q33" s="1483">
        <f>IF(A33&lt;=Summary!$J$61,0.5*(P33),$Q$2*(P33))</f>
        <v>0</v>
      </c>
      <c r="R33" s="1481">
        <f>Summary!$J$58</f>
        <v>0.5</v>
      </c>
      <c r="S33" s="1481">
        <f t="shared" si="5"/>
        <v>30.677162809051598</v>
      </c>
      <c r="T33" s="1487">
        <f t="shared" si="6"/>
        <v>0</v>
      </c>
      <c r="U33" s="45">
        <f>Summary!$J$59</f>
        <v>0.12104878144800001</v>
      </c>
      <c r="V33" s="1487">
        <f>IF(A33&lt;=Summary!$J$61,(0.2*T33)+(R33*D33),(U33*T33)+(R33*D33))</f>
        <v>11138.25195</v>
      </c>
      <c r="W33" s="1536">
        <f t="shared" si="7"/>
        <v>661340.46142740676</v>
      </c>
    </row>
    <row r="34" spans="1:23">
      <c r="A34" s="18">
        <v>37408</v>
      </c>
      <c r="B34" s="20">
        <f t="shared" si="0"/>
        <v>2002</v>
      </c>
      <c r="C34" s="1483">
        <f>CALC!HH46</f>
        <v>27.258269185945377</v>
      </c>
      <c r="D34" s="820">
        <f>IF(Summary!$O$109=0,CALC!HE46,0)</f>
        <v>16425.072</v>
      </c>
      <c r="E34" s="820">
        <f>SUM(CALC!GU46:HB46)*CALC!CY46/1000</f>
        <v>31727.236725688319</v>
      </c>
      <c r="F34" s="1481">
        <f>Summary!$J$54</f>
        <v>0.15</v>
      </c>
      <c r="G34" s="1483">
        <f>VLOOKUP(A34,CURVES!AW35:$BS$283,16)</f>
        <v>2.4939527349649646</v>
      </c>
      <c r="H34" s="1481">
        <f>Summary!$J$60</f>
        <v>0.04</v>
      </c>
      <c r="I34" s="17">
        <f>Summary!$J$55</f>
        <v>8.5</v>
      </c>
      <c r="J34" s="1483">
        <f t="shared" si="1"/>
        <v>22.813598247202197</v>
      </c>
      <c r="K34" s="1481">
        <f>Summary!$J$56</f>
        <v>3.75</v>
      </c>
      <c r="L34">
        <f>Summary!$O$23</f>
        <v>3.75</v>
      </c>
      <c r="M34" s="1481">
        <f>Summary!$J$57</f>
        <v>1.75</v>
      </c>
      <c r="N34" s="1483">
        <f t="shared" si="2"/>
        <v>4.4446709387431795</v>
      </c>
      <c r="O34" s="1481">
        <f t="shared" si="3"/>
        <v>0</v>
      </c>
      <c r="P34" s="1481">
        <f t="shared" si="4"/>
        <v>0</v>
      </c>
      <c r="Q34" s="1483">
        <f>IF(A34&lt;=Summary!$J$61,0.5*(P34),$Q$2*(P34))</f>
        <v>0</v>
      </c>
      <c r="R34" s="1481">
        <f>Summary!$J$58</f>
        <v>0.5</v>
      </c>
      <c r="S34" s="1481">
        <f t="shared" si="5"/>
        <v>30.813598247202197</v>
      </c>
      <c r="T34" s="1487">
        <f t="shared" si="6"/>
        <v>0</v>
      </c>
      <c r="U34" s="45">
        <f>Summary!$J$59</f>
        <v>0.12104878144800001</v>
      </c>
      <c r="V34" s="1487">
        <f>IF(A34&lt;=Summary!$J$61,(0.2*T34)+(R34*D34),(U34*T34)+(R34*D34))</f>
        <v>8212.5360000000001</v>
      </c>
      <c r="W34" s="1536">
        <f t="shared" si="7"/>
        <v>447719.03397453419</v>
      </c>
    </row>
    <row r="35" spans="1:23">
      <c r="A35" s="18">
        <v>37438</v>
      </c>
      <c r="B35" s="20">
        <f t="shared" si="0"/>
        <v>2002</v>
      </c>
      <c r="C35" s="1483">
        <f>CALC!HH47</f>
        <v>39.156150832540796</v>
      </c>
      <c r="D35" s="820">
        <f>IF(Summary!$O$109=0,CALC!HE47,0)</f>
        <v>22276.5039</v>
      </c>
      <c r="E35" s="820">
        <f>SUM(CALC!GU47:HB47)*CALC!CY47/1000</f>
        <v>73784.483423126134</v>
      </c>
      <c r="F35" s="1481">
        <f>Summary!$J$54</f>
        <v>0.15</v>
      </c>
      <c r="G35" s="1483">
        <f>VLOOKUP(A35,CURVES!AW36:$BS$283,16)</f>
        <v>2.5461797759952751</v>
      </c>
      <c r="H35" s="1481">
        <f>Summary!$J$60</f>
        <v>0.04</v>
      </c>
      <c r="I35" s="17">
        <f>Summary!$J$55</f>
        <v>8.5</v>
      </c>
      <c r="J35" s="1483">
        <f t="shared" si="1"/>
        <v>23.257528095959838</v>
      </c>
      <c r="K35" s="1481">
        <f>Summary!$J$56</f>
        <v>3.75</v>
      </c>
      <c r="L35">
        <f>Summary!$O$23</f>
        <v>3.75</v>
      </c>
      <c r="M35" s="1481">
        <f>Summary!$J$57</f>
        <v>1.75</v>
      </c>
      <c r="N35" s="1483">
        <f t="shared" si="2"/>
        <v>15.898622736580958</v>
      </c>
      <c r="O35" s="1481">
        <f t="shared" si="3"/>
        <v>6.6486227365809576</v>
      </c>
      <c r="P35" s="1481">
        <f t="shared" si="4"/>
        <v>148108.07032107437</v>
      </c>
      <c r="Q35" s="1483">
        <f>IF(A35&lt;=Summary!$J$61,0.5*(P35),$Q$2*(P35))</f>
        <v>0</v>
      </c>
      <c r="R35" s="1481">
        <f>Summary!$J$58</f>
        <v>0.5</v>
      </c>
      <c r="S35" s="1481">
        <f t="shared" si="5"/>
        <v>31.257528095959838</v>
      </c>
      <c r="T35" s="1487">
        <f t="shared" si="6"/>
        <v>175953.70019607438</v>
      </c>
      <c r="U35" s="45">
        <f>Summary!$J$59</f>
        <v>0.12104878144800001</v>
      </c>
      <c r="V35" s="1487">
        <f>IF(A35&lt;=Summary!$J$61,(0.2*T35)+(R35*D35),(U35*T35)+(R35*D35))</f>
        <v>32437.232950001526</v>
      </c>
      <c r="W35" s="1536">
        <f t="shared" si="7"/>
        <v>872262.14673008327</v>
      </c>
    </row>
    <row r="36" spans="1:23">
      <c r="A36" s="18">
        <v>37469</v>
      </c>
      <c r="B36" s="20">
        <f t="shared" si="0"/>
        <v>2002</v>
      </c>
      <c r="C36" s="1483">
        <f>CALC!HH48</f>
        <v>56.310515600178704</v>
      </c>
      <c r="D36" s="820">
        <f>IF(Summary!$O$109=0,CALC!HE48,0)</f>
        <v>22276.503900000003</v>
      </c>
      <c r="E36" s="820">
        <f>SUM(CALC!GU48:HB48)*CALC!CY48/1000</f>
        <v>73803.141459026927</v>
      </c>
      <c r="F36" s="1481">
        <f>Summary!$J$54</f>
        <v>0.15</v>
      </c>
      <c r="G36" s="1483">
        <f>VLOOKUP(A36,CURVES!AW37:$BS$283,16)</f>
        <v>2.6254213580167103</v>
      </c>
      <c r="H36" s="1481">
        <f>Summary!$J$60</f>
        <v>0.04</v>
      </c>
      <c r="I36" s="17">
        <f>Summary!$J$55</f>
        <v>8.5</v>
      </c>
      <c r="J36" s="1483">
        <f t="shared" si="1"/>
        <v>23.931081543142035</v>
      </c>
      <c r="K36" s="1481">
        <f>Summary!$J$56</f>
        <v>3.75</v>
      </c>
      <c r="L36">
        <f>Summary!$O$23</f>
        <v>3.75</v>
      </c>
      <c r="M36" s="1481">
        <f>Summary!$J$57</f>
        <v>1.75</v>
      </c>
      <c r="N36" s="1483">
        <f t="shared" si="2"/>
        <v>32.379434057036669</v>
      </c>
      <c r="O36" s="1481">
        <f t="shared" si="3"/>
        <v>23.129434057036669</v>
      </c>
      <c r="P36" s="1481">
        <f t="shared" si="4"/>
        <v>515242.92797637027</v>
      </c>
      <c r="Q36" s="1483">
        <f>IF(A36&lt;=Summary!$J$61,0.5*(P36),$Q$2*(P36))</f>
        <v>0</v>
      </c>
      <c r="R36" s="1481">
        <f>Summary!$J$58</f>
        <v>0.5</v>
      </c>
      <c r="S36" s="1481">
        <f t="shared" si="5"/>
        <v>31.931081543142035</v>
      </c>
      <c r="T36" s="1487">
        <f t="shared" si="6"/>
        <v>543088.55785137031</v>
      </c>
      <c r="U36" s="45">
        <f>Summary!$J$59</f>
        <v>0.12104878144800001</v>
      </c>
      <c r="V36" s="1487">
        <f>IF(A36&lt;=Summary!$J$61,(0.2*T36)+(R36*D36),(U36*T36)+(R36*D36))</f>
        <v>76878.460096260038</v>
      </c>
      <c r="W36" s="1536">
        <f t="shared" si="7"/>
        <v>1254401.4203783919</v>
      </c>
    </row>
    <row r="37" spans="1:23">
      <c r="A37" s="18">
        <v>37500</v>
      </c>
      <c r="B37" s="20">
        <f t="shared" si="0"/>
        <v>2002</v>
      </c>
      <c r="C37" s="1483">
        <f>CALC!HH49</f>
        <v>46.264260068513863</v>
      </c>
      <c r="D37" s="820">
        <f>IF(Summary!$O$109=0,CALC!HE49,0)</f>
        <v>21557.906999999999</v>
      </c>
      <c r="E37" s="820">
        <f>SUM(CALC!GU49:HB49)*CALC!CY49/1000</f>
        <v>71440.451124123603</v>
      </c>
      <c r="F37" s="1481">
        <f>Summary!$J$54</f>
        <v>0.15</v>
      </c>
      <c r="G37" s="1483">
        <f>VLOOKUP(A37,CURVES!AW38:$BS$283,16)</f>
        <v>2.7220456252398897</v>
      </c>
      <c r="H37" s="1481">
        <f>Summary!$J$60</f>
        <v>0.04</v>
      </c>
      <c r="I37" s="17">
        <f>Summary!$J$55</f>
        <v>8.5</v>
      </c>
      <c r="J37" s="1483">
        <f t="shared" si="1"/>
        <v>24.752387814539063</v>
      </c>
      <c r="K37" s="1481">
        <f>Summary!$J$56</f>
        <v>3.75</v>
      </c>
      <c r="L37">
        <f>Summary!$O$23</f>
        <v>3.75</v>
      </c>
      <c r="M37" s="1481">
        <f>Summary!$J$57</f>
        <v>1.75</v>
      </c>
      <c r="N37" s="1483">
        <f t="shared" si="2"/>
        <v>21.511872253974801</v>
      </c>
      <c r="O37" s="1481">
        <f t="shared" si="3"/>
        <v>12.261872253974801</v>
      </c>
      <c r="P37" s="1481">
        <f t="shared" si="4"/>
        <v>264340.30169706914</v>
      </c>
      <c r="Q37" s="1483">
        <f>IF(A37&lt;=Summary!$J$61,0.5*(P37),$Q$2*(P37))</f>
        <v>0</v>
      </c>
      <c r="R37" s="1481">
        <f>Summary!$J$58</f>
        <v>0.5</v>
      </c>
      <c r="S37" s="1481">
        <f t="shared" si="5"/>
        <v>32.752387814539063</v>
      </c>
      <c r="T37" s="1487">
        <f t="shared" si="6"/>
        <v>291287.68544706912</v>
      </c>
      <c r="U37" s="45">
        <f>Summary!$J$59</f>
        <v>0.12104878144800001</v>
      </c>
      <c r="V37" s="1487">
        <f>IF(A37&lt;=Summary!$J$61,(0.2*T37)+(R37*D37),(U37*T37)+(R37*D37))</f>
        <v>46038.972874176048</v>
      </c>
      <c r="W37" s="1536">
        <f t="shared" si="7"/>
        <v>997360.6159808354</v>
      </c>
    </row>
    <row r="38" spans="1:23">
      <c r="A38" s="18">
        <v>37530</v>
      </c>
      <c r="B38" s="20">
        <f t="shared" si="0"/>
        <v>2002</v>
      </c>
      <c r="C38" s="1483">
        <f>CALC!HH50</f>
        <v>41.08061760567071</v>
      </c>
      <c r="D38" s="820">
        <f>IF(Summary!$O$109=0,CALC!HE50,0)</f>
        <v>20950.521524999996</v>
      </c>
      <c r="E38" s="820">
        <f>SUM(CALC!GU50:HB50)*CALC!CY50/1000</f>
        <v>94351.69573383643</v>
      </c>
      <c r="F38" s="1481">
        <f>Summary!$J$54</f>
        <v>0.15</v>
      </c>
      <c r="G38" s="1483">
        <f>VLOOKUP(A38,CURVES!AW39:$BS$283,16)</f>
        <v>2.8263383395305395</v>
      </c>
      <c r="H38" s="1481">
        <f>Summary!$J$60</f>
        <v>0.04</v>
      </c>
      <c r="I38" s="17">
        <f>Summary!$J$55</f>
        <v>8.5</v>
      </c>
      <c r="J38" s="1483">
        <f t="shared" si="1"/>
        <v>25.638875886009586</v>
      </c>
      <c r="K38" s="1481">
        <f>Summary!$J$56</f>
        <v>3.75</v>
      </c>
      <c r="L38">
        <f>Summary!$O$23</f>
        <v>3.75</v>
      </c>
      <c r="M38" s="1481">
        <f>Summary!$J$57</f>
        <v>1.75</v>
      </c>
      <c r="N38" s="1483">
        <f t="shared" si="2"/>
        <v>15.441741719661124</v>
      </c>
      <c r="O38" s="1481">
        <f t="shared" si="3"/>
        <v>6.191741719661124</v>
      </c>
      <c r="P38" s="1481">
        <f t="shared" si="4"/>
        <v>129720.21817500087</v>
      </c>
      <c r="Q38" s="1483">
        <f>IF(A38&lt;=Summary!$J$61,0.5*(P38),$Q$2*(P38))</f>
        <v>0</v>
      </c>
      <c r="R38" s="1481">
        <f>Summary!$J$58</f>
        <v>0.5</v>
      </c>
      <c r="S38" s="1481">
        <f t="shared" si="5"/>
        <v>33.638875886009586</v>
      </c>
      <c r="T38" s="1487">
        <f t="shared" si="6"/>
        <v>155908.37008125088</v>
      </c>
      <c r="U38" s="45">
        <f>Summary!$J$59</f>
        <v>0.12104878144800001</v>
      </c>
      <c r="V38" s="1487">
        <f>IF(A38&lt;=Summary!$J$61,(0.2*T38)+(R38*D38),(U38*T38)+(R38*D38))</f>
        <v>29347.77897837924</v>
      </c>
      <c r="W38" s="1536">
        <f t="shared" si="7"/>
        <v>860660.363407898</v>
      </c>
    </row>
    <row r="39" spans="1:23">
      <c r="A39" s="18">
        <v>37561</v>
      </c>
      <c r="B39" s="20">
        <f t="shared" si="0"/>
        <v>2002</v>
      </c>
      <c r="C39" s="1483">
        <f>CALC!HH51</f>
        <v>42.134522121157453</v>
      </c>
      <c r="D39" s="820">
        <f>IF(Summary!$O$109=0,CALC!HE51,0)</f>
        <v>20274.698250000001</v>
      </c>
      <c r="E39" s="820">
        <f>SUM(CALC!GU51:HB51)*CALC!CY51/1000</f>
        <v>91331.164410471742</v>
      </c>
      <c r="F39" s="1481">
        <f>Summary!$J$54</f>
        <v>0.15</v>
      </c>
      <c r="G39" s="1483">
        <f>VLOOKUP(A39,CURVES!AW40:$BS$283,16)</f>
        <v>2.9289747891953208</v>
      </c>
      <c r="H39" s="1481">
        <f>Summary!$J$60</f>
        <v>0.04</v>
      </c>
      <c r="I39" s="17">
        <f>Summary!$J$55</f>
        <v>8.5</v>
      </c>
      <c r="J39" s="1483">
        <f t="shared" si="1"/>
        <v>26.511285708160226</v>
      </c>
      <c r="K39" s="1481">
        <f>Summary!$J$56</f>
        <v>3.75</v>
      </c>
      <c r="L39">
        <f>Summary!$O$23</f>
        <v>3.75</v>
      </c>
      <c r="M39" s="1481">
        <f>Summary!$J$57</f>
        <v>1.75</v>
      </c>
      <c r="N39" s="1483">
        <f t="shared" si="2"/>
        <v>15.623236412997226</v>
      </c>
      <c r="O39" s="1481">
        <f t="shared" si="3"/>
        <v>6.3732364129972261</v>
      </c>
      <c r="P39" s="1481">
        <f t="shared" si="4"/>
        <v>129215.44514943115</v>
      </c>
      <c r="Q39" s="1483">
        <f>IF(A39&lt;=Summary!$J$61,0.5*(P39),$Q$2*(P39))</f>
        <v>0</v>
      </c>
      <c r="R39" s="1481">
        <f>Summary!$J$58</f>
        <v>0.5</v>
      </c>
      <c r="S39" s="1481">
        <f t="shared" si="5"/>
        <v>34.51128570816023</v>
      </c>
      <c r="T39" s="1487">
        <f t="shared" si="6"/>
        <v>154558.81796193108</v>
      </c>
      <c r="U39" s="45">
        <f>Summary!$J$59</f>
        <v>0.12104878144800001</v>
      </c>
      <c r="V39" s="1487">
        <f>IF(A39&lt;=Summary!$J$61,(0.2*T39)+(R39*D39),(U39*T39)+(R39*D39))</f>
        <v>28846.505701335012</v>
      </c>
      <c r="W39" s="1536">
        <f t="shared" si="7"/>
        <v>854264.72191441734</v>
      </c>
    </row>
    <row r="40" spans="1:23">
      <c r="A40" s="18">
        <v>37591</v>
      </c>
      <c r="B40" s="20">
        <f t="shared" si="0"/>
        <v>2002</v>
      </c>
      <c r="C40" s="1483">
        <f>CALC!HH52</f>
        <v>40.416894851407697</v>
      </c>
      <c r="D40" s="820">
        <f>IF(Summary!$O$109=0,CALC!HE52,0)</f>
        <v>20950.521524999996</v>
      </c>
      <c r="E40" s="820">
        <f>SUM(CALC!GU52:HB52)*CALC!CY52/1000</f>
        <v>94399.377381138445</v>
      </c>
      <c r="F40" s="1481">
        <f>Summary!$J$54</f>
        <v>0.15</v>
      </c>
      <c r="G40" s="1483">
        <f>VLOOKUP(A40,CURVES!AW41:$BS$283,16)</f>
        <v>3.0380382411766798</v>
      </c>
      <c r="H40" s="1481">
        <f>Summary!$J$60</f>
        <v>0.04</v>
      </c>
      <c r="I40" s="17">
        <f>Summary!$J$55</f>
        <v>8.5</v>
      </c>
      <c r="J40" s="1483">
        <f t="shared" si="1"/>
        <v>27.438325050001776</v>
      </c>
      <c r="K40" s="1481">
        <f>Summary!$J$56</f>
        <v>3.75</v>
      </c>
      <c r="L40">
        <f>Summary!$O$23</f>
        <v>3.75</v>
      </c>
      <c r="M40" s="1481">
        <f>Summary!$J$57</f>
        <v>1.75</v>
      </c>
      <c r="N40" s="1483">
        <f t="shared" si="2"/>
        <v>12.978569801405921</v>
      </c>
      <c r="O40" s="1481">
        <f t="shared" si="3"/>
        <v>3.7285698014059214</v>
      </c>
      <c r="P40" s="1481">
        <f t="shared" si="4"/>
        <v>78115.481881819724</v>
      </c>
      <c r="Q40" s="1483">
        <f>IF(A40&lt;=Summary!$J$61,0.5*(P40),$Q$2*(P40))</f>
        <v>0</v>
      </c>
      <c r="R40" s="1481">
        <f>Summary!$J$58</f>
        <v>0.5</v>
      </c>
      <c r="S40" s="1481">
        <f t="shared" si="5"/>
        <v>35.438325050001779</v>
      </c>
      <c r="T40" s="1487">
        <f t="shared" si="6"/>
        <v>104303.63378806964</v>
      </c>
      <c r="U40" s="45">
        <f>Summary!$J$59</f>
        <v>0.12104878144800001</v>
      </c>
      <c r="V40" s="1487">
        <f>IF(A40&lt;=Summary!$J$61,(0.2*T40)+(R40*D40),(U40*T40)+(R40*D40))</f>
        <v>23101.08853314427</v>
      </c>
      <c r="W40" s="1536">
        <f t="shared" si="7"/>
        <v>846755.02555807855</v>
      </c>
    </row>
    <row r="41" spans="1:23">
      <c r="A41" s="18">
        <v>37622</v>
      </c>
      <c r="B41" s="20">
        <f t="shared" si="0"/>
        <v>2003</v>
      </c>
      <c r="C41" s="1483">
        <f>CALC!HH53</f>
        <v>37.95663066273616</v>
      </c>
      <c r="D41" s="820">
        <f>IF(Summary!$O$109=0,CALC!HE53,0)</f>
        <v>20950.521524999996</v>
      </c>
      <c r="E41" s="820">
        <f>SUM(CALC!GU53:HB53)*CALC!CY53/1000</f>
        <v>94423.21820478946</v>
      </c>
      <c r="F41" s="1481">
        <f>Summary!$J$54</f>
        <v>0.15</v>
      </c>
      <c r="G41" s="1483">
        <f>VLOOKUP(A41,CURVES!AW42:$BS$283,16)</f>
        <v>2.9164115215249073</v>
      </c>
      <c r="H41" s="1481">
        <f>Summary!$J$60</f>
        <v>0.04</v>
      </c>
      <c r="I41" s="17">
        <f>Summary!$J$55</f>
        <v>8.5</v>
      </c>
      <c r="J41" s="1483">
        <f t="shared" si="1"/>
        <v>26.404497932961711</v>
      </c>
      <c r="K41" s="1481">
        <f>Summary!$J$56</f>
        <v>3.75</v>
      </c>
      <c r="L41">
        <f>Summary!$O$23</f>
        <v>3.75</v>
      </c>
      <c r="M41" s="1481">
        <f>Summary!$J$57</f>
        <v>1.75</v>
      </c>
      <c r="N41" s="1483">
        <f t="shared" si="2"/>
        <v>11.552132729774449</v>
      </c>
      <c r="O41" s="1481">
        <f t="shared" si="3"/>
        <v>2.3021327297744492</v>
      </c>
      <c r="P41" s="1481">
        <f t="shared" si="4"/>
        <v>48230.881308546595</v>
      </c>
      <c r="Q41" s="1483">
        <f>IF(A41&lt;=Summary!$J$61,0.5*(P41),$Q$2*(P41))</f>
        <v>0</v>
      </c>
      <c r="R41" s="1481">
        <f>Summary!$J$58</f>
        <v>0.5</v>
      </c>
      <c r="S41" s="1481">
        <f t="shared" si="5"/>
        <v>34.404497932961711</v>
      </c>
      <c r="T41" s="1487">
        <f t="shared" si="6"/>
        <v>74419.033214796596</v>
      </c>
      <c r="U41" s="45">
        <f>Summary!$J$59</f>
        <v>0.12104878144800001</v>
      </c>
      <c r="V41" s="1487">
        <f>IF(A41&lt;=Summary!$J$61,(0.2*T41)+(R41*D41),(U41*T41)+(R41*D41))</f>
        <v>19483.594049689367</v>
      </c>
      <c r="W41" s="1536">
        <f t="shared" si="7"/>
        <v>795211.20771612879</v>
      </c>
    </row>
    <row r="42" spans="1:23">
      <c r="A42" s="18">
        <v>37653</v>
      </c>
      <c r="B42" s="20">
        <f t="shared" si="0"/>
        <v>2003</v>
      </c>
      <c r="C42" s="1483">
        <f>CALC!HH54</f>
        <v>31.218439868527206</v>
      </c>
      <c r="D42" s="820">
        <f>IF(Summary!$O$109=0,CALC!HE54,0)</f>
        <v>18923.051699999996</v>
      </c>
      <c r="E42" s="820">
        <f>SUM(CALC!GU54:HB54)*CALC!CY54/1000</f>
        <v>85307.021057946229</v>
      </c>
      <c r="F42" s="1481">
        <f>Summary!$J$54</f>
        <v>0.15</v>
      </c>
      <c r="G42" s="1483">
        <f>VLOOKUP(A42,CURVES!AW43:$BS$283,16)</f>
        <v>2.6850391101580025</v>
      </c>
      <c r="H42" s="1481">
        <f>Summary!$J$60</f>
        <v>0.04</v>
      </c>
      <c r="I42" s="17">
        <f>Summary!$J$55</f>
        <v>8.5</v>
      </c>
      <c r="J42" s="1483">
        <f t="shared" si="1"/>
        <v>24.437832436343019</v>
      </c>
      <c r="K42" s="1481">
        <f>Summary!$J$56</f>
        <v>3.75</v>
      </c>
      <c r="L42">
        <f>Summary!$O$23</f>
        <v>3.75</v>
      </c>
      <c r="M42" s="1481">
        <f>Summary!$J$57</f>
        <v>1.75</v>
      </c>
      <c r="N42" s="1483">
        <f t="shared" si="2"/>
        <v>6.7806074321841869</v>
      </c>
      <c r="O42" s="1481">
        <f t="shared" si="3"/>
        <v>0</v>
      </c>
      <c r="P42" s="1481">
        <f t="shared" si="4"/>
        <v>0</v>
      </c>
      <c r="Q42" s="1483">
        <f>IF(A42&lt;=Summary!$J$61,0.5*(P42),$Q$2*(P42))</f>
        <v>0</v>
      </c>
      <c r="R42" s="1481">
        <f>Summary!$J$58</f>
        <v>0.5</v>
      </c>
      <c r="S42" s="1481">
        <f t="shared" si="5"/>
        <v>32.437832436343015</v>
      </c>
      <c r="T42" s="1487">
        <f t="shared" si="6"/>
        <v>0</v>
      </c>
      <c r="U42" s="45">
        <f>Summary!$J$59</f>
        <v>0.12104878144800001</v>
      </c>
      <c r="V42" s="1487">
        <f>IF(A42&lt;=Summary!$J$61,(0.2*T42)+(R42*D42),(U42*T42)+(R42*D42))</f>
        <v>9461.5258499999982</v>
      </c>
      <c r="W42" s="1536">
        <f t="shared" si="7"/>
        <v>590748.15162548143</v>
      </c>
    </row>
    <row r="43" spans="1:23">
      <c r="A43" s="18">
        <v>37681</v>
      </c>
      <c r="B43" s="20">
        <f t="shared" si="0"/>
        <v>2003</v>
      </c>
      <c r="C43" s="1483">
        <f>CALC!HH55</f>
        <v>28.031085257980795</v>
      </c>
      <c r="D43" s="820">
        <f>IF(Summary!$O$109=0,CALC!HE55,0)</f>
        <v>20950.521525</v>
      </c>
      <c r="E43" s="820">
        <f>SUM(CALC!GU55:HB55)*CALC!CY55/1000</f>
        <v>94470.899852091505</v>
      </c>
      <c r="F43" s="1481">
        <f>Summary!$J$54</f>
        <v>0.15</v>
      </c>
      <c r="G43" s="1483">
        <f>VLOOKUP(A43,CURVES!AW44:$BS$283,16)</f>
        <v>2.53044136898898</v>
      </c>
      <c r="H43" s="1481">
        <f>Summary!$J$60</f>
        <v>0.04</v>
      </c>
      <c r="I43" s="17">
        <f>Summary!$J$55</f>
        <v>8.5</v>
      </c>
      <c r="J43" s="1483">
        <f t="shared" si="1"/>
        <v>23.123751636406329</v>
      </c>
      <c r="K43" s="1481">
        <f>Summary!$J$56</f>
        <v>3.75</v>
      </c>
      <c r="L43">
        <f>Summary!$O$23</f>
        <v>3.75</v>
      </c>
      <c r="M43" s="1481">
        <f>Summary!$J$57</f>
        <v>1.75</v>
      </c>
      <c r="N43" s="1483">
        <f t="shared" si="2"/>
        <v>4.9073336215744661</v>
      </c>
      <c r="O43" s="1481">
        <f t="shared" si="3"/>
        <v>0</v>
      </c>
      <c r="P43" s="1481">
        <f t="shared" si="4"/>
        <v>0</v>
      </c>
      <c r="Q43" s="1483">
        <f>IF(A43&lt;=Summary!$J$61,0.5*(P43),$Q$2*(P43))</f>
        <v>0</v>
      </c>
      <c r="R43" s="1481">
        <f>Summary!$J$58</f>
        <v>0.5</v>
      </c>
      <c r="S43" s="1481">
        <f t="shared" si="5"/>
        <v>31.123751636406329</v>
      </c>
      <c r="T43" s="1487">
        <f t="shared" si="6"/>
        <v>0</v>
      </c>
      <c r="U43" s="45">
        <f>Summary!$J$59</f>
        <v>0.12104878144800001</v>
      </c>
      <c r="V43" s="1487">
        <f>IF(A43&lt;=Summary!$J$61,(0.2*T43)+(R43*D43),(U43*T43)+(R43*D43))</f>
        <v>10475.2607625</v>
      </c>
      <c r="W43" s="1536">
        <f t="shared" si="7"/>
        <v>587265.85506643681</v>
      </c>
    </row>
    <row r="44" spans="1:23">
      <c r="A44" s="18">
        <v>37712</v>
      </c>
      <c r="B44" s="20">
        <f t="shared" si="0"/>
        <v>2003</v>
      </c>
      <c r="C44" s="1483">
        <f>CALC!HH56</f>
        <v>27.384081908050483</v>
      </c>
      <c r="D44" s="820">
        <f>IF(Summary!$O$109=0,CALC!HE56,0)</f>
        <v>13858.654499999999</v>
      </c>
      <c r="E44" s="820">
        <f>SUM(CALC!GU56:HB56)*CALC!CY56/1000</f>
        <v>91446.523234589506</v>
      </c>
      <c r="F44" s="1481">
        <f>Summary!$J$54</f>
        <v>0.15</v>
      </c>
      <c r="G44" s="1483">
        <f>VLOOKUP(A44,CURVES!AW45:$BS$283,16)</f>
        <v>2.4427720087637481</v>
      </c>
      <c r="H44" s="1481">
        <f>Summary!$J$60</f>
        <v>0.04</v>
      </c>
      <c r="I44" s="17">
        <f>Summary!$J$55</f>
        <v>8.5</v>
      </c>
      <c r="J44" s="1483">
        <f t="shared" si="1"/>
        <v>22.37856207449186</v>
      </c>
      <c r="K44" s="1481">
        <f>Summary!$J$56</f>
        <v>3.75</v>
      </c>
      <c r="L44">
        <f>Summary!$O$23</f>
        <v>3.75</v>
      </c>
      <c r="M44" s="1481">
        <f>Summary!$J$57</f>
        <v>1.75</v>
      </c>
      <c r="N44" s="1483">
        <f t="shared" si="2"/>
        <v>5.0055198335586226</v>
      </c>
      <c r="O44" s="1481">
        <f t="shared" si="3"/>
        <v>0</v>
      </c>
      <c r="P44" s="1481">
        <f t="shared" si="4"/>
        <v>0</v>
      </c>
      <c r="Q44" s="1483">
        <f>IF(A44&lt;=Summary!$J$61,0.5*(P44),$Q$2*(P44))</f>
        <v>0</v>
      </c>
      <c r="R44" s="1481">
        <f>Summary!$J$58</f>
        <v>0.5</v>
      </c>
      <c r="S44" s="1481">
        <f t="shared" si="5"/>
        <v>30.37856207449186</v>
      </c>
      <c r="T44" s="1487">
        <f t="shared" si="6"/>
        <v>0</v>
      </c>
      <c r="U44" s="45">
        <f>Summary!$J$59</f>
        <v>0.12104878144800001</v>
      </c>
      <c r="V44" s="1487">
        <f>IF(A44&lt;=Summary!$J$61,(0.2*T44)+(R44*D44),(U44*T44)+(R44*D44))</f>
        <v>6929.3272499999994</v>
      </c>
      <c r="W44" s="1536">
        <f t="shared" si="7"/>
        <v>379506.52996337239</v>
      </c>
    </row>
    <row r="45" spans="1:23">
      <c r="A45" s="18">
        <v>37742</v>
      </c>
      <c r="B45" s="20">
        <f t="shared" si="0"/>
        <v>2003</v>
      </c>
      <c r="C45" s="1483">
        <f>CALC!HH57</f>
        <v>27.920859391778187</v>
      </c>
      <c r="D45" s="820">
        <f>IF(Summary!$O$109=0,CALC!HE57,0)</f>
        <v>22276.503900000003</v>
      </c>
      <c r="E45" s="820">
        <f>SUM(CALC!GU57:HB57)*CALC!CY57/1000</f>
        <v>73971.06378213405</v>
      </c>
      <c r="F45" s="1481">
        <f>Summary!$J$54</f>
        <v>0.15</v>
      </c>
      <c r="G45" s="1483">
        <f>VLOOKUP(A45,CURVES!AW46:$BS$283,16)</f>
        <v>2.4118959155480413</v>
      </c>
      <c r="H45" s="1481">
        <f>Summary!$J$60</f>
        <v>0.04</v>
      </c>
      <c r="I45" s="17">
        <f>Summary!$J$55</f>
        <v>8.5</v>
      </c>
      <c r="J45" s="1483">
        <f t="shared" si="1"/>
        <v>22.116115282158351</v>
      </c>
      <c r="K45" s="1481">
        <f>Summary!$J$56</f>
        <v>3.75</v>
      </c>
      <c r="L45">
        <f>Summary!$O$23</f>
        <v>3.75</v>
      </c>
      <c r="M45" s="1481">
        <f>Summary!$J$57</f>
        <v>1.75</v>
      </c>
      <c r="N45" s="1483">
        <f t="shared" si="2"/>
        <v>5.8047441096198362</v>
      </c>
      <c r="O45" s="1481">
        <f t="shared" si="3"/>
        <v>0</v>
      </c>
      <c r="P45" s="1481">
        <f t="shared" si="4"/>
        <v>0</v>
      </c>
      <c r="Q45" s="1483">
        <f>IF(A45&lt;=Summary!$J$61,0.5*(P45),$Q$2*(P45))</f>
        <v>0</v>
      </c>
      <c r="R45" s="1481">
        <f>Summary!$J$58</f>
        <v>0.5</v>
      </c>
      <c r="S45" s="1481">
        <f t="shared" si="5"/>
        <v>30.116115282158351</v>
      </c>
      <c r="T45" s="1487">
        <f t="shared" si="6"/>
        <v>0</v>
      </c>
      <c r="U45" s="45">
        <f>Summary!$J$59</f>
        <v>0.12104878144800001</v>
      </c>
      <c r="V45" s="1487">
        <f>IF(A45&lt;=Summary!$J$61,(0.2*T45)+(R45*D45),(U45*T45)+(R45*D45))</f>
        <v>11138.251950000002</v>
      </c>
      <c r="W45" s="1536">
        <f t="shared" si="7"/>
        <v>621979.13313229848</v>
      </c>
    </row>
    <row r="46" spans="1:23">
      <c r="A46" s="18">
        <v>37773</v>
      </c>
      <c r="B46" s="20">
        <f t="shared" si="0"/>
        <v>2003</v>
      </c>
      <c r="C46" s="1483">
        <f>CALC!HH58</f>
        <v>26.867078002999943</v>
      </c>
      <c r="D46" s="820">
        <f>IF(Summary!$O$109=0,CALC!HE58,0)</f>
        <v>16425.072</v>
      </c>
      <c r="E46" s="820">
        <f>SUM(CALC!GU58:HB58)*CALC!CY58/1000</f>
        <v>31823.536265821436</v>
      </c>
      <c r="F46" s="1481">
        <f>Summary!$J$54</f>
        <v>0.15</v>
      </c>
      <c r="G46" s="1483">
        <f>VLOOKUP(A46,CURVES!AW47:$BS$283,16)</f>
        <v>2.4410302257728262</v>
      </c>
      <c r="H46" s="1481">
        <f>Summary!$J$60</f>
        <v>0.04</v>
      </c>
      <c r="I46" s="17">
        <f>Summary!$J$55</f>
        <v>8.5</v>
      </c>
      <c r="J46" s="1483">
        <f t="shared" si="1"/>
        <v>22.363756919069022</v>
      </c>
      <c r="K46" s="1481">
        <f>Summary!$J$56</f>
        <v>3.75</v>
      </c>
      <c r="L46">
        <f>Summary!$O$23</f>
        <v>3.75</v>
      </c>
      <c r="M46" s="1481">
        <f>Summary!$J$57</f>
        <v>1.75</v>
      </c>
      <c r="N46" s="1483">
        <f t="shared" si="2"/>
        <v>4.5033210839309206</v>
      </c>
      <c r="O46" s="1481">
        <f t="shared" si="3"/>
        <v>0</v>
      </c>
      <c r="P46" s="1481">
        <f t="shared" si="4"/>
        <v>0</v>
      </c>
      <c r="Q46" s="1483">
        <f>IF(A46&lt;=Summary!$J$61,0.5*(P46),$Q$2*(P46))</f>
        <v>0</v>
      </c>
      <c r="R46" s="1481">
        <f>Summary!$J$58</f>
        <v>0.5</v>
      </c>
      <c r="S46" s="1481">
        <f t="shared" si="5"/>
        <v>30.363756919069022</v>
      </c>
      <c r="T46" s="1487">
        <f t="shared" si="6"/>
        <v>0</v>
      </c>
      <c r="U46" s="45">
        <f>Summary!$J$59</f>
        <v>0.12104878144800001</v>
      </c>
      <c r="V46" s="1487">
        <f>IF(A46&lt;=Summary!$J$61,(0.2*T46)+(R46*D46),(U46*T46)+(R46*D46))</f>
        <v>8212.5360000000001</v>
      </c>
      <c r="W46" s="1536">
        <f t="shared" si="7"/>
        <v>441293.6906288903</v>
      </c>
    </row>
    <row r="47" spans="1:23">
      <c r="A47" s="18">
        <v>37803</v>
      </c>
      <c r="B47" s="20">
        <f t="shared" si="0"/>
        <v>2003</v>
      </c>
      <c r="C47" s="1483">
        <f>CALC!HH59</f>
        <v>37.502782024243231</v>
      </c>
      <c r="D47" s="820">
        <f>IF(Summary!$O$109=0,CALC!HE59,0)</f>
        <v>22276.5039</v>
      </c>
      <c r="E47" s="820">
        <f>SUM(CALC!GU59:HB59)*CALC!CY59/1000</f>
        <v>74008.379853935636</v>
      </c>
      <c r="F47" s="1481">
        <f>Summary!$J$54</f>
        <v>0.15</v>
      </c>
      <c r="G47" s="1483">
        <f>VLOOKUP(A47,CURVES!AW48:$BS$283,16)</f>
        <v>2.5076608074356694</v>
      </c>
      <c r="H47" s="1481">
        <f>Summary!$J$60</f>
        <v>0.04</v>
      </c>
      <c r="I47" s="17">
        <f>Summary!$J$55</f>
        <v>8.5</v>
      </c>
      <c r="J47" s="1483">
        <f t="shared" si="1"/>
        <v>22.930116863203189</v>
      </c>
      <c r="K47" s="1481">
        <f>Summary!$J$56</f>
        <v>3.75</v>
      </c>
      <c r="L47">
        <f>Summary!$O$23</f>
        <v>3.75</v>
      </c>
      <c r="M47" s="1481">
        <f>Summary!$J$57</f>
        <v>1.75</v>
      </c>
      <c r="N47" s="1483">
        <f t="shared" si="2"/>
        <v>14.572665161040042</v>
      </c>
      <c r="O47" s="1481">
        <f t="shared" si="3"/>
        <v>5.3226651610400424</v>
      </c>
      <c r="P47" s="1481">
        <f t="shared" si="4"/>
        <v>118570.37121830264</v>
      </c>
      <c r="Q47" s="1483">
        <f>IF(A47&lt;=Summary!$J$61,0.5*(P47),$Q$2*(P47))</f>
        <v>0</v>
      </c>
      <c r="R47" s="1481">
        <f>Summary!$J$58</f>
        <v>0.5</v>
      </c>
      <c r="S47" s="1481">
        <f t="shared" si="5"/>
        <v>30.930116863203189</v>
      </c>
      <c r="T47" s="1487">
        <f t="shared" si="6"/>
        <v>146416.00109330262</v>
      </c>
      <c r="U47" s="45">
        <f>Summary!$J$59</f>
        <v>0.12104878144800001</v>
      </c>
      <c r="V47" s="1487">
        <f>IF(A47&lt;=Summary!$J$61,(0.2*T47)+(R47*D47),(U47*T47)+(R47*D47))</f>
        <v>28861.730466833316</v>
      </c>
      <c r="W47" s="1536">
        <f t="shared" si="7"/>
        <v>835430.87002390425</v>
      </c>
    </row>
    <row r="48" spans="1:23">
      <c r="A48" s="18">
        <v>37834</v>
      </c>
      <c r="B48" s="20">
        <f t="shared" si="0"/>
        <v>2003</v>
      </c>
      <c r="C48" s="1483">
        <f>CALC!HH60</f>
        <v>52.203787689087484</v>
      </c>
      <c r="D48" s="820">
        <f>IF(Summary!$O$109=0,CALC!HE60,0)</f>
        <v>22276.503900000003</v>
      </c>
      <c r="E48" s="820">
        <f>SUM(CALC!GU60:HB60)*CALC!CY60/1000</f>
        <v>74027.037889836443</v>
      </c>
      <c r="F48" s="1481">
        <f>Summary!$J$54</f>
        <v>0.15</v>
      </c>
      <c r="G48" s="1483">
        <f>VLOOKUP(A48,CURVES!AW49:$BS$283,16)</f>
        <v>2.602290071795156</v>
      </c>
      <c r="H48" s="1481">
        <f>Summary!$J$60</f>
        <v>0.04</v>
      </c>
      <c r="I48" s="17">
        <f>Summary!$J$55</f>
        <v>8.5</v>
      </c>
      <c r="J48" s="1483">
        <f t="shared" si="1"/>
        <v>23.734465610258827</v>
      </c>
      <c r="K48" s="1481">
        <f>Summary!$J$56</f>
        <v>3.75</v>
      </c>
      <c r="L48">
        <f>Summary!$O$23</f>
        <v>3.75</v>
      </c>
      <c r="M48" s="1481">
        <f>Summary!$J$57</f>
        <v>1.75</v>
      </c>
      <c r="N48" s="1483">
        <f t="shared" si="2"/>
        <v>28.469322078828657</v>
      </c>
      <c r="O48" s="1481">
        <f t="shared" si="3"/>
        <v>19.219322078828657</v>
      </c>
      <c r="P48" s="1481">
        <f t="shared" si="4"/>
        <v>428139.30324438278</v>
      </c>
      <c r="Q48" s="1483">
        <f>IF(A48&lt;=Summary!$J$61,0.5*(P48),$Q$2*(P48))</f>
        <v>0</v>
      </c>
      <c r="R48" s="1481">
        <f>Summary!$J$58</f>
        <v>0.5</v>
      </c>
      <c r="S48" s="1481">
        <f t="shared" si="5"/>
        <v>31.734465610258827</v>
      </c>
      <c r="T48" s="1487">
        <f t="shared" si="6"/>
        <v>455984.93311938277</v>
      </c>
      <c r="U48" s="45">
        <f>Summary!$J$59</f>
        <v>0.12104878144800001</v>
      </c>
      <c r="V48" s="1487">
        <f>IF(A48&lt;=Summary!$J$61,(0.2*T48)+(R48*D48),(U48*T48)+(R48*D48))</f>
        <v>66334.672462749062</v>
      </c>
      <c r="W48" s="1536">
        <f t="shared" si="7"/>
        <v>1162917.8800507295</v>
      </c>
    </row>
    <row r="49" spans="1:23">
      <c r="A49" s="18">
        <v>37865</v>
      </c>
      <c r="B49" s="20">
        <f t="shared" si="0"/>
        <v>2003</v>
      </c>
      <c r="C49" s="1483">
        <f>CALC!HH61</f>
        <v>44.777765230743512</v>
      </c>
      <c r="D49" s="820">
        <f>IF(Summary!$O$109=0,CALC!HE61,0)</f>
        <v>21557.906999999999</v>
      </c>
      <c r="E49" s="820">
        <f>SUM(CALC!GU61:HB61)*CALC!CY61/1000</f>
        <v>71657.12508942312</v>
      </c>
      <c r="F49" s="1481">
        <f>Summary!$J$54</f>
        <v>0.15</v>
      </c>
      <c r="G49" s="1483">
        <f>VLOOKUP(A49,CURVES!AW50:$BS$283,16)</f>
        <v>2.7149554934431563</v>
      </c>
      <c r="H49" s="1481">
        <f>Summary!$J$60</f>
        <v>0.04</v>
      </c>
      <c r="I49" s="17">
        <f>Summary!$J$55</f>
        <v>8.5</v>
      </c>
      <c r="J49" s="1483">
        <f t="shared" si="1"/>
        <v>24.692121694266827</v>
      </c>
      <c r="K49" s="1481">
        <f>Summary!$J$56</f>
        <v>3.75</v>
      </c>
      <c r="L49">
        <f>Summary!$O$23</f>
        <v>3.75</v>
      </c>
      <c r="M49" s="1481">
        <f>Summary!$J$57</f>
        <v>1.75</v>
      </c>
      <c r="N49" s="1483">
        <f t="shared" si="2"/>
        <v>20.085643536476685</v>
      </c>
      <c r="O49" s="1481">
        <f t="shared" si="3"/>
        <v>10.835643536476685</v>
      </c>
      <c r="P49" s="1481">
        <f t="shared" si="4"/>
        <v>233593.79564451546</v>
      </c>
      <c r="Q49" s="1483">
        <f>IF(A49&lt;=Summary!$J$61,0.5*(P49),$Q$2*(P49))</f>
        <v>0</v>
      </c>
      <c r="R49" s="1481">
        <f>Summary!$J$58</f>
        <v>0.5</v>
      </c>
      <c r="S49" s="1481">
        <f t="shared" si="5"/>
        <v>32.692121694266831</v>
      </c>
      <c r="T49" s="1487">
        <f t="shared" si="6"/>
        <v>260541.17939451538</v>
      </c>
      <c r="U49" s="45">
        <f>Summary!$J$59</f>
        <v>0.12104878144800001</v>
      </c>
      <c r="V49" s="1487">
        <f>IF(A49&lt;=Summary!$J$61,(0.2*T49)+(R49*D49),(U49*T49)+(R49*D49))</f>
        <v>42317.145782730855</v>
      </c>
      <c r="W49" s="1536">
        <f t="shared" si="7"/>
        <v>965314.89851220208</v>
      </c>
    </row>
    <row r="50" spans="1:23">
      <c r="A50" s="18">
        <v>37895</v>
      </c>
      <c r="B50" s="20">
        <f t="shared" si="0"/>
        <v>2003</v>
      </c>
      <c r="C50" s="1483">
        <f>CALC!HH62</f>
        <v>38.023121724592876</v>
      </c>
      <c r="D50" s="820">
        <f>IF(Summary!$O$109=0,CALC!HE62,0)</f>
        <v>20950.521524999996</v>
      </c>
      <c r="E50" s="820">
        <f>SUM(CALC!GU62:HB62)*CALC!CY62/1000</f>
        <v>94637.785617648551</v>
      </c>
      <c r="F50" s="1481">
        <f>Summary!$J$54</f>
        <v>0.15</v>
      </c>
      <c r="G50" s="1483">
        <f>VLOOKUP(A50,CURVES!AW51:$BS$283,16)</f>
        <v>2.8356065322164685</v>
      </c>
      <c r="H50" s="1481">
        <f>Summary!$J$60</f>
        <v>0.04</v>
      </c>
      <c r="I50" s="17">
        <f>Summary!$J$55</f>
        <v>8.5</v>
      </c>
      <c r="J50" s="1483">
        <f t="shared" si="1"/>
        <v>25.717655523839984</v>
      </c>
      <c r="K50" s="1481">
        <f>Summary!$J$56</f>
        <v>3.75</v>
      </c>
      <c r="L50">
        <f>Summary!$O$23</f>
        <v>3.75</v>
      </c>
      <c r="M50" s="1481">
        <f>Summary!$J$57</f>
        <v>1.75</v>
      </c>
      <c r="N50" s="1483">
        <f t="shared" si="2"/>
        <v>12.305466200752893</v>
      </c>
      <c r="O50" s="1481">
        <f t="shared" si="3"/>
        <v>3.0554662007528925</v>
      </c>
      <c r="P50" s="1481">
        <f t="shared" si="4"/>
        <v>64013.610407783439</v>
      </c>
      <c r="Q50" s="1483">
        <f>IF(A50&lt;=Summary!$J$61,0.5*(P50),$Q$2*(P50))</f>
        <v>0</v>
      </c>
      <c r="R50" s="1481">
        <f>Summary!$J$58</f>
        <v>0.5</v>
      </c>
      <c r="S50" s="1481">
        <f t="shared" si="5"/>
        <v>33.71765552383998</v>
      </c>
      <c r="T50" s="1487">
        <f t="shared" si="6"/>
        <v>90201.762314033505</v>
      </c>
      <c r="U50" s="45">
        <f>Summary!$J$59</f>
        <v>0.12104878144800001</v>
      </c>
      <c r="V50" s="1487">
        <f>IF(A50&lt;=Summary!$J$61,(0.2*T50)+(R50*D50),(U50*T50)+(R50*D50))</f>
        <v>21394.074175075883</v>
      </c>
      <c r="W50" s="1536">
        <f t="shared" si="7"/>
        <v>796604.23013877799</v>
      </c>
    </row>
    <row r="51" spans="1:23">
      <c r="A51" s="18">
        <v>37926</v>
      </c>
      <c r="B51" s="20">
        <f t="shared" si="0"/>
        <v>2003</v>
      </c>
      <c r="C51" s="1483">
        <f>CALC!HH63</f>
        <v>39.684790965111695</v>
      </c>
      <c r="D51" s="820">
        <f>IF(Summary!$O$109=0,CALC!HE63,0)</f>
        <v>20274.698249999998</v>
      </c>
      <c r="E51" s="820">
        <f>SUM(CALC!GU63:HB63)*CALC!CY63/1000</f>
        <v>91608.025588354431</v>
      </c>
      <c r="F51" s="1481">
        <f>Summary!$J$54</f>
        <v>0.15</v>
      </c>
      <c r="G51" s="1483">
        <f>VLOOKUP(A51,CURVES!AW52:$BS$283,16)</f>
        <v>2.9545805258802962</v>
      </c>
      <c r="H51" s="1481">
        <f>Summary!$J$60</f>
        <v>0.04</v>
      </c>
      <c r="I51" s="17">
        <f>Summary!$J$55</f>
        <v>8.5</v>
      </c>
      <c r="J51" s="1483">
        <f t="shared" si="1"/>
        <v>26.728934469982516</v>
      </c>
      <c r="K51" s="1481">
        <f>Summary!$J$56</f>
        <v>3.75</v>
      </c>
      <c r="L51">
        <f>Summary!$O$23</f>
        <v>3.75</v>
      </c>
      <c r="M51" s="1481">
        <f>Summary!$J$57</f>
        <v>1.75</v>
      </c>
      <c r="N51" s="1483">
        <f t="shared" si="2"/>
        <v>12.955856495129179</v>
      </c>
      <c r="O51" s="1481">
        <f t="shared" si="3"/>
        <v>3.7058564951291793</v>
      </c>
      <c r="P51" s="1481">
        <f t="shared" si="4"/>
        <v>75135.122196546698</v>
      </c>
      <c r="Q51" s="1483">
        <f>IF(A51&lt;=Summary!$J$61,0.5*(P51),$Q$2*(P51))</f>
        <v>0</v>
      </c>
      <c r="R51" s="1481">
        <f>Summary!$J$58</f>
        <v>0.5</v>
      </c>
      <c r="S51" s="1481">
        <f t="shared" si="5"/>
        <v>34.728934469982519</v>
      </c>
      <c r="T51" s="1487">
        <f t="shared" si="6"/>
        <v>100478.49500904662</v>
      </c>
      <c r="U51" s="45">
        <f>Summary!$J$59</f>
        <v>0.12104878144800001</v>
      </c>
      <c r="V51" s="1487">
        <f>IF(A51&lt;=Summary!$J$61,(0.2*T51)+(R51*D51),(U51*T51)+(R51*D51))</f>
        <v>22300.148507574042</v>
      </c>
      <c r="W51" s="1536">
        <f t="shared" si="7"/>
        <v>804597.16193196585</v>
      </c>
    </row>
    <row r="52" spans="1:23">
      <c r="A52" s="18">
        <v>37956</v>
      </c>
      <c r="B52" s="20">
        <f t="shared" si="0"/>
        <v>2003</v>
      </c>
      <c r="C52" s="1483">
        <f>CALC!HH64</f>
        <v>38.52825874882933</v>
      </c>
      <c r="D52" s="820">
        <f>IF(Summary!$O$109=0,CALC!HE64,0)</f>
        <v>20950.521524999996</v>
      </c>
      <c r="E52" s="820">
        <f>SUM(CALC!GU64:HB64)*CALC!CY64/1000</f>
        <v>94147.88006497678</v>
      </c>
      <c r="F52" s="1481">
        <f>Summary!$J$54</f>
        <v>0.15</v>
      </c>
      <c r="G52" s="1483">
        <f>VLOOKUP(A52,CURVES!AW53:$BS$283,16)</f>
        <v>3.0802539078062816</v>
      </c>
      <c r="H52" s="1481">
        <f>Summary!$J$60</f>
        <v>0.04</v>
      </c>
      <c r="I52" s="17">
        <f>Summary!$J$55</f>
        <v>8.5</v>
      </c>
      <c r="J52" s="1483">
        <f t="shared" si="1"/>
        <v>27.797158216353392</v>
      </c>
      <c r="K52" s="1481">
        <f>Summary!$J$56</f>
        <v>3.75</v>
      </c>
      <c r="L52">
        <f>Summary!$O$23</f>
        <v>3.75</v>
      </c>
      <c r="M52" s="1481">
        <f>Summary!$J$57</f>
        <v>1.75</v>
      </c>
      <c r="N52" s="1483">
        <f t="shared" si="2"/>
        <v>10.731100532475939</v>
      </c>
      <c r="O52" s="1481">
        <f t="shared" si="3"/>
        <v>1.4811005324759385</v>
      </c>
      <c r="P52" s="1481">
        <f t="shared" si="4"/>
        <v>31029.828586326108</v>
      </c>
      <c r="Q52" s="1483">
        <f>IF(A52&lt;=Summary!$J$61,0.5*(P52),$Q$2*(P52))</f>
        <v>0</v>
      </c>
      <c r="R52" s="1481">
        <f>Summary!$J$58</f>
        <v>0.5</v>
      </c>
      <c r="S52" s="1481">
        <f t="shared" si="5"/>
        <v>35.797158216353395</v>
      </c>
      <c r="T52" s="1487">
        <f t="shared" si="6"/>
        <v>57217.980492576025</v>
      </c>
      <c r="U52" s="45">
        <f>Summary!$J$59</f>
        <v>0.12104878144800001</v>
      </c>
      <c r="V52" s="1487">
        <f>IF(A52&lt;=Summary!$J$61,(0.2*T52)+(R52*D52),(U52*T52)+(R52*D52))</f>
        <v>17401.427578041759</v>
      </c>
      <c r="W52" s="1536">
        <f t="shared" si="7"/>
        <v>807187.11423811829</v>
      </c>
    </row>
    <row r="53" spans="1:23">
      <c r="A53" s="18">
        <v>37987</v>
      </c>
      <c r="B53" s="20">
        <f t="shared" si="0"/>
        <v>2004</v>
      </c>
      <c r="C53" s="1483">
        <f>CALC!HH65</f>
        <v>35.737458569462497</v>
      </c>
      <c r="D53" s="820">
        <f>IF(Summary!$O$109=0,CALC!HE65,0)</f>
        <v>20950.521525</v>
      </c>
      <c r="E53" s="820">
        <f>SUM(CALC!GU65:HB65)*CALC!CY65/1000</f>
        <v>94163.773947410809</v>
      </c>
      <c r="F53" s="1481">
        <f>Summary!$J$54</f>
        <v>0.15</v>
      </c>
      <c r="G53" s="1483">
        <f>VLOOKUP(A53,CURVES!AW54:$BS$283,16)</f>
        <v>2.9585966894973295</v>
      </c>
      <c r="H53" s="1481">
        <f>Summary!$J$60</f>
        <v>0.04</v>
      </c>
      <c r="I53" s="17">
        <f>Summary!$J$55</f>
        <v>8.5</v>
      </c>
      <c r="J53" s="1483">
        <f t="shared" si="1"/>
        <v>26.763071860727301</v>
      </c>
      <c r="K53" s="1481">
        <f>Summary!$J$56</f>
        <v>3.75</v>
      </c>
      <c r="L53">
        <f>Summary!$O$23</f>
        <v>3.75</v>
      </c>
      <c r="M53" s="1481">
        <f>Summary!$J$57</f>
        <v>1.75</v>
      </c>
      <c r="N53" s="1483">
        <f t="shared" si="2"/>
        <v>8.9743867087351958</v>
      </c>
      <c r="O53" s="1481">
        <f t="shared" si="3"/>
        <v>0</v>
      </c>
      <c r="P53" s="1481">
        <f t="shared" si="4"/>
        <v>0</v>
      </c>
      <c r="Q53" s="1483">
        <f>IF(A53&lt;=Summary!$J$61,0.5*(P53),$Q$2*(P53))</f>
        <v>0</v>
      </c>
      <c r="R53" s="1481">
        <f>Summary!$J$58</f>
        <v>0.5</v>
      </c>
      <c r="S53" s="1481">
        <f t="shared" si="5"/>
        <v>34.763071860727301</v>
      </c>
      <c r="T53" s="1487">
        <f t="shared" si="6"/>
        <v>20413.909715030626</v>
      </c>
      <c r="U53" s="45">
        <f>Summary!$J$59</f>
        <v>0.12104878144800001</v>
      </c>
      <c r="V53" s="1487">
        <f>IF(A53&lt;=Summary!$J$61,(0.2*T53)+(R53*D53),(U53*T53)+(R53*D53))</f>
        <v>12946.339658093946</v>
      </c>
      <c r="W53" s="1536">
        <f t="shared" si="7"/>
        <v>748718.39500831976</v>
      </c>
    </row>
    <row r="54" spans="1:23">
      <c r="A54" s="18">
        <v>38018</v>
      </c>
      <c r="B54" s="20">
        <f t="shared" si="0"/>
        <v>2004</v>
      </c>
      <c r="C54" s="1483">
        <f>CALC!HH66</f>
        <v>29.561329117128448</v>
      </c>
      <c r="D54" s="820">
        <f>IF(Summary!$O$109=0,CALC!HE66,0)</f>
        <v>5954.0886</v>
      </c>
      <c r="E54" s="820">
        <f>SUM(CALC!GU66:HB66)*CALC!CY66/1000</f>
        <v>30644.716601015421</v>
      </c>
      <c r="F54" s="1481">
        <f>Summary!$J$54</f>
        <v>0.15</v>
      </c>
      <c r="G54" s="1483">
        <f>VLOOKUP(A54,CURVES!AW55:$BS$283,16)</f>
        <v>2.7326108893263523</v>
      </c>
      <c r="H54" s="1481">
        <f>Summary!$J$60</f>
        <v>0.04</v>
      </c>
      <c r="I54" s="17">
        <f>Summary!$J$55</f>
        <v>8.5</v>
      </c>
      <c r="J54" s="1483">
        <f t="shared" si="1"/>
        <v>24.842192559273993</v>
      </c>
      <c r="K54" s="1481">
        <f>Summary!$J$56</f>
        <v>3.75</v>
      </c>
      <c r="L54">
        <f>Summary!$O$23</f>
        <v>3.75</v>
      </c>
      <c r="M54" s="1481">
        <f>Summary!$J$57</f>
        <v>1.75</v>
      </c>
      <c r="N54" s="1483">
        <f t="shared" si="2"/>
        <v>4.7191365578544548</v>
      </c>
      <c r="O54" s="1481">
        <f t="shared" si="3"/>
        <v>0</v>
      </c>
      <c r="P54" s="1481">
        <f t="shared" si="4"/>
        <v>0</v>
      </c>
      <c r="Q54" s="1483">
        <f>IF(A54&lt;=Summary!$J$61,0.5*(P54),$Q$2*(P54))</f>
        <v>0</v>
      </c>
      <c r="R54" s="1481">
        <f>Summary!$J$58</f>
        <v>0.5</v>
      </c>
      <c r="S54" s="1481">
        <f t="shared" si="5"/>
        <v>32.842192559273997</v>
      </c>
      <c r="T54" s="1487">
        <f t="shared" si="6"/>
        <v>0</v>
      </c>
      <c r="U54" s="45">
        <f>Summary!$J$59</f>
        <v>0.12104878144800001</v>
      </c>
      <c r="V54" s="1487">
        <f>IF(A54&lt;=Summary!$J$61,(0.2*T54)+(R54*D54),(U54*T54)+(R54*D54))</f>
        <v>2977.0443</v>
      </c>
      <c r="W54" s="1536">
        <f t="shared" si="7"/>
        <v>176010.77269714256</v>
      </c>
    </row>
    <row r="55" spans="1:23">
      <c r="A55" s="18">
        <v>38047</v>
      </c>
      <c r="B55" s="20">
        <f t="shared" si="0"/>
        <v>2004</v>
      </c>
      <c r="C55" s="1483">
        <f>CALC!HH67</f>
        <v>27.491912767241665</v>
      </c>
      <c r="D55" s="820">
        <f>IF(Summary!$O$109=0,CALC!HE67,0)</f>
        <v>6364.7154</v>
      </c>
      <c r="E55" s="820">
        <f>SUM(CALC!GU67:HB67)*CALC!CY67/1000</f>
        <v>32763.673639053501</v>
      </c>
      <c r="F55" s="1481">
        <f>Summary!$J$54</f>
        <v>0.15</v>
      </c>
      <c r="G55" s="1483">
        <f>VLOOKUP(A55,CURVES!AW56:$BS$283,16)</f>
        <v>2.586055130508254</v>
      </c>
      <c r="H55" s="1481">
        <f>Summary!$J$60</f>
        <v>0.04</v>
      </c>
      <c r="I55" s="17">
        <f>Summary!$J$55</f>
        <v>8.5</v>
      </c>
      <c r="J55" s="1483">
        <f t="shared" si="1"/>
        <v>23.596468609320159</v>
      </c>
      <c r="K55" s="1481">
        <f>Summary!$J$56</f>
        <v>3.75</v>
      </c>
      <c r="L55">
        <f>Summary!$O$23</f>
        <v>3.75</v>
      </c>
      <c r="M55" s="1481">
        <f>Summary!$J$57</f>
        <v>1.75</v>
      </c>
      <c r="N55" s="1483">
        <f t="shared" si="2"/>
        <v>3.8954441579215064</v>
      </c>
      <c r="O55" s="1481">
        <f t="shared" si="3"/>
        <v>0</v>
      </c>
      <c r="P55" s="1481">
        <f t="shared" si="4"/>
        <v>0</v>
      </c>
      <c r="Q55" s="1483">
        <f>IF(A55&lt;=Summary!$J$61,0.5*(P55),$Q$2*(P55))</f>
        <v>0</v>
      </c>
      <c r="R55" s="1481">
        <f>Summary!$J$58</f>
        <v>0.5</v>
      </c>
      <c r="S55" s="1481">
        <f t="shared" si="5"/>
        <v>31.596468609320159</v>
      </c>
      <c r="T55" s="1487">
        <f t="shared" si="6"/>
        <v>0</v>
      </c>
      <c r="U55" s="45">
        <f>Summary!$J$59</f>
        <v>0.12104878144800001</v>
      </c>
      <c r="V55" s="1487">
        <f>IF(A55&lt;=Summary!$J$61,(0.2*T55)+(R55*D55),(U55*T55)+(R55*D55))</f>
        <v>3182.3577</v>
      </c>
      <c r="W55" s="1536">
        <f t="shared" si="7"/>
        <v>174978.20056511965</v>
      </c>
    </row>
    <row r="56" spans="1:23">
      <c r="A56" s="18">
        <v>38078</v>
      </c>
      <c r="B56" s="20">
        <f t="shared" si="0"/>
        <v>2004</v>
      </c>
      <c r="C56" s="1483">
        <f>CALC!HH68</f>
        <v>27.053054854700221</v>
      </c>
      <c r="D56" s="820">
        <f>IF(Summary!$O$109=0,CALC!HE68,0)</f>
        <v>13858.654499999999</v>
      </c>
      <c r="E56" s="820">
        <f>SUM(CALC!GU68:HB68)*CALC!CY68/1000</f>
        <v>91172.376381980139</v>
      </c>
      <c r="F56" s="1481">
        <f>Summary!$J$54</f>
        <v>0.15</v>
      </c>
      <c r="G56" s="1483">
        <f>VLOOKUP(A56,CURVES!AW57:$BS$283,16)</f>
        <v>2.5084716304797166</v>
      </c>
      <c r="H56" s="1481">
        <f>Summary!$J$60</f>
        <v>0.04</v>
      </c>
      <c r="I56" s="17">
        <f>Summary!$J$55</f>
        <v>8.5</v>
      </c>
      <c r="J56" s="1483">
        <f t="shared" si="1"/>
        <v>22.93700885907759</v>
      </c>
      <c r="K56" s="1481">
        <f>Summary!$J$56</f>
        <v>3.75</v>
      </c>
      <c r="L56">
        <f>Summary!$O$23</f>
        <v>3.75</v>
      </c>
      <c r="M56" s="1481">
        <f>Summary!$J$57</f>
        <v>1.75</v>
      </c>
      <c r="N56" s="1483">
        <f t="shared" si="2"/>
        <v>4.1160459956226312</v>
      </c>
      <c r="O56" s="1481">
        <f t="shared" si="3"/>
        <v>0</v>
      </c>
      <c r="P56" s="1481">
        <f t="shared" si="4"/>
        <v>0</v>
      </c>
      <c r="Q56" s="1483">
        <f>IF(A56&lt;=Summary!$J$61,0.5*(P56),$Q$2*(P56))</f>
        <v>0</v>
      </c>
      <c r="R56" s="1481">
        <f>Summary!$J$58</f>
        <v>0.5</v>
      </c>
      <c r="S56" s="1481">
        <f t="shared" si="5"/>
        <v>30.93700885907759</v>
      </c>
      <c r="T56" s="1487">
        <f t="shared" si="6"/>
        <v>0</v>
      </c>
      <c r="U56" s="45">
        <f>Summary!$J$59</f>
        <v>0.12104878144800001</v>
      </c>
      <c r="V56" s="1487">
        <f>IF(A56&lt;=Summary!$J$61,(0.2*T56)+(R56*D56),(U56*T56)+(R56*D56))</f>
        <v>6929.3272499999994</v>
      </c>
      <c r="W56" s="1536">
        <f t="shared" si="7"/>
        <v>374918.94040083804</v>
      </c>
    </row>
    <row r="57" spans="1:23">
      <c r="A57" s="18">
        <v>38108</v>
      </c>
      <c r="B57" s="20">
        <f t="shared" si="0"/>
        <v>2004</v>
      </c>
      <c r="C57" s="1483">
        <f>CALC!HH69</f>
        <v>27.640927818561764</v>
      </c>
      <c r="D57" s="820">
        <f>IF(Summary!$O$109=0,CALC!HE69,0)</f>
        <v>22276.503900000003</v>
      </c>
      <c r="E57" s="820">
        <f>SUM(CALC!GU69:HB69)*CALC!CY69/1000</f>
        <v>73743.143069071448</v>
      </c>
      <c r="F57" s="1481">
        <f>Summary!$J$54</f>
        <v>0.15</v>
      </c>
      <c r="G57" s="1483">
        <f>VLOOKUP(A57,CURVES!AW58:$BS$283,16)</f>
        <v>2.4895535133988131</v>
      </c>
      <c r="H57" s="1481">
        <f>Summary!$J$60</f>
        <v>0.04</v>
      </c>
      <c r="I57" s="17">
        <f>Summary!$J$55</f>
        <v>8.5</v>
      </c>
      <c r="J57" s="1483">
        <f t="shared" si="1"/>
        <v>22.776204863889912</v>
      </c>
      <c r="K57" s="1481">
        <f>Summary!$J$56</f>
        <v>3.75</v>
      </c>
      <c r="L57">
        <f>Summary!$O$23</f>
        <v>3.75</v>
      </c>
      <c r="M57" s="1481">
        <f>Summary!$J$57</f>
        <v>1.75</v>
      </c>
      <c r="N57" s="1483">
        <f t="shared" si="2"/>
        <v>4.8647229546718513</v>
      </c>
      <c r="O57" s="1481">
        <f t="shared" si="3"/>
        <v>0</v>
      </c>
      <c r="P57" s="1481">
        <f t="shared" si="4"/>
        <v>0</v>
      </c>
      <c r="Q57" s="1483">
        <f>IF(A57&lt;=Summary!$J$61,0.5*(P57),$Q$2*(P57))</f>
        <v>0</v>
      </c>
      <c r="R57" s="1481">
        <f>Summary!$J$58</f>
        <v>0.5</v>
      </c>
      <c r="S57" s="1481">
        <f t="shared" si="5"/>
        <v>30.776204863889912</v>
      </c>
      <c r="T57" s="1487">
        <f t="shared" si="6"/>
        <v>0</v>
      </c>
      <c r="U57" s="45">
        <f>Summary!$J$59</f>
        <v>0.12104878144800001</v>
      </c>
      <c r="V57" s="1487">
        <f>IF(A57&lt;=Summary!$J$61,(0.2*T57)+(R57*D57),(U57*T57)+(R57*D57))</f>
        <v>11138.251950000002</v>
      </c>
      <c r="W57" s="1536">
        <f t="shared" si="7"/>
        <v>615743.23634980968</v>
      </c>
    </row>
    <row r="58" spans="1:23">
      <c r="A58" s="18">
        <v>38139</v>
      </c>
      <c r="B58" s="20">
        <f t="shared" si="0"/>
        <v>2004</v>
      </c>
      <c r="C58" s="1483">
        <f>CALC!HH70</f>
        <v>0</v>
      </c>
      <c r="D58" s="820">
        <f>IF(Summary!$O$109=0,CALC!HE70,0)</f>
        <v>0</v>
      </c>
      <c r="E58" s="820">
        <f>SUM(CALC!GU70:HB70)*CALC!CY70/1000</f>
        <v>0</v>
      </c>
      <c r="F58" s="1481">
        <f>Summary!$J$54</f>
        <v>0.15</v>
      </c>
      <c r="G58" s="1483">
        <f>VLOOKUP(A58,CURVES!AW59:$BS$283,16)</f>
        <v>2.5196258825723734</v>
      </c>
      <c r="H58" s="1481">
        <f>Summary!$J$60</f>
        <v>0.04</v>
      </c>
      <c r="I58" s="17">
        <f>Summary!$J$55</f>
        <v>8.5</v>
      </c>
      <c r="J58" s="1483">
        <f t="shared" si="1"/>
        <v>23.031820001865174</v>
      </c>
      <c r="K58" s="1481">
        <f>Summary!$J$56</f>
        <v>3.75</v>
      </c>
      <c r="L58">
        <f>Summary!$O$23</f>
        <v>3.75</v>
      </c>
      <c r="M58" s="1481">
        <f>Summary!$J$57</f>
        <v>1.75</v>
      </c>
      <c r="N58" s="1483">
        <f t="shared" si="2"/>
        <v>0</v>
      </c>
      <c r="O58" s="1481">
        <f t="shared" si="3"/>
        <v>0</v>
      </c>
      <c r="P58" s="1481">
        <f t="shared" si="4"/>
        <v>0</v>
      </c>
      <c r="Q58" s="1483">
        <f>IF(A58&lt;=Summary!$J$61,0.5*(P58),$Q$2*(P58))</f>
        <v>0</v>
      </c>
      <c r="R58" s="1481">
        <f>Summary!$J$58</f>
        <v>0.5</v>
      </c>
      <c r="S58" s="1481">
        <f t="shared" si="5"/>
        <v>31.031820001865174</v>
      </c>
      <c r="T58" s="1487">
        <f t="shared" si="6"/>
        <v>0</v>
      </c>
      <c r="U58" s="45">
        <f>Summary!$J$59</f>
        <v>0.12104878144800001</v>
      </c>
      <c r="V58" s="1487">
        <f>IF(A58&lt;=Summary!$J$61,(0.2*T58)+(R58*D58),(U58*T58)+(R58*D58))</f>
        <v>0</v>
      </c>
      <c r="W58" s="1536">
        <f t="shared" si="7"/>
        <v>0</v>
      </c>
    </row>
    <row r="59" spans="1:23">
      <c r="A59" s="18">
        <v>38169</v>
      </c>
      <c r="B59" s="20">
        <f t="shared" si="0"/>
        <v>2004</v>
      </c>
      <c r="C59" s="1483">
        <f>CALC!HH71</f>
        <v>36.057330669153792</v>
      </c>
      <c r="D59" s="820">
        <f>IF(Summary!$O$109=0,CALC!HE71,0)</f>
        <v>22276.503900000003</v>
      </c>
      <c r="E59" s="820">
        <f>SUM(CALC!GU71:HB71)*CALC!CY71/1000</f>
        <v>73768.020450272496</v>
      </c>
      <c r="F59" s="1481">
        <f>Summary!$J$54</f>
        <v>0.15</v>
      </c>
      <c r="G59" s="1483">
        <f>VLOOKUP(A59,CURVES!AW60:$BS$283,16)</f>
        <v>2.5884018183866879</v>
      </c>
      <c r="H59" s="1481">
        <f>Summary!$J$60</f>
        <v>0.04</v>
      </c>
      <c r="I59" s="17">
        <f>Summary!$J$55</f>
        <v>8.5</v>
      </c>
      <c r="J59" s="1483">
        <f t="shared" si="1"/>
        <v>23.616415456286848</v>
      </c>
      <c r="K59" s="1481">
        <f>Summary!$J$56</f>
        <v>3.75</v>
      </c>
      <c r="L59">
        <f>Summary!$O$23</f>
        <v>3.75</v>
      </c>
      <c r="M59" s="1481">
        <f>Summary!$J$57</f>
        <v>1.75</v>
      </c>
      <c r="N59" s="1483">
        <f t="shared" si="2"/>
        <v>12.440915212866944</v>
      </c>
      <c r="O59" s="1481">
        <f t="shared" si="3"/>
        <v>3.190915212866944</v>
      </c>
      <c r="P59" s="1481">
        <f t="shared" si="4"/>
        <v>71082.435183999813</v>
      </c>
      <c r="Q59" s="1483">
        <f>IF(A59&lt;=Summary!$J$61,0.5*(P59),$Q$2*(P59))</f>
        <v>0</v>
      </c>
      <c r="R59" s="1481">
        <f>Summary!$J$58</f>
        <v>0.5</v>
      </c>
      <c r="S59" s="1481">
        <f t="shared" si="5"/>
        <v>31.616415456286848</v>
      </c>
      <c r="T59" s="1487">
        <f t="shared" si="6"/>
        <v>98928.065058999826</v>
      </c>
      <c r="U59" s="45">
        <f>Summary!$J$59</f>
        <v>0.12104878144800001</v>
      </c>
      <c r="V59" s="1487">
        <f>IF(A59&lt;=Summary!$J$61,(0.2*T59)+(R59*D59),(U59*T59)+(R59*D59))</f>
        <v>23113.373676400399</v>
      </c>
      <c r="W59" s="1536">
        <f t="shared" si="7"/>
        <v>803231.26727499417</v>
      </c>
    </row>
    <row r="60" spans="1:23">
      <c r="A60" s="18">
        <v>38200</v>
      </c>
      <c r="B60" s="20">
        <f t="shared" si="0"/>
        <v>2004</v>
      </c>
      <c r="C60" s="1483">
        <f>CALC!HH72</f>
        <v>44.035036354870002</v>
      </c>
      <c r="D60" s="820">
        <f>IF(Summary!$O$109=0,CALC!HE72,0)</f>
        <v>22276.5039</v>
      </c>
      <c r="E60" s="820">
        <f>SUM(CALC!GU72:HB72)*CALC!CY72/1000</f>
        <v>73780.459140873019</v>
      </c>
      <c r="F60" s="1481">
        <f>Summary!$J$54</f>
        <v>0.15</v>
      </c>
      <c r="G60" s="1483">
        <f>VLOOKUP(A60,CURVES!AW61:$BS$283,16)</f>
        <v>2.6860779312064134</v>
      </c>
      <c r="H60" s="1481">
        <f>Summary!$J$60</f>
        <v>0.04</v>
      </c>
      <c r="I60" s="17">
        <f>Summary!$J$55</f>
        <v>8.5</v>
      </c>
      <c r="J60" s="1483">
        <f t="shared" si="1"/>
        <v>24.446662415254512</v>
      </c>
      <c r="K60" s="1481">
        <f>Summary!$J$56</f>
        <v>3.75</v>
      </c>
      <c r="L60">
        <f>Summary!$O$23</f>
        <v>3.75</v>
      </c>
      <c r="M60" s="1481">
        <f>Summary!$J$57</f>
        <v>1.75</v>
      </c>
      <c r="N60" s="1483">
        <f t="shared" si="2"/>
        <v>19.58837393961549</v>
      </c>
      <c r="O60" s="1481">
        <f t="shared" si="3"/>
        <v>10.33837393961549</v>
      </c>
      <c r="P60" s="1481">
        <f t="shared" si="4"/>
        <v>230302.82738550284</v>
      </c>
      <c r="Q60" s="1483">
        <f>IF(A60&lt;=Summary!$J$61,0.5*(P60),$Q$2*(P60))</f>
        <v>0</v>
      </c>
      <c r="R60" s="1481">
        <f>Summary!$J$58</f>
        <v>0.5</v>
      </c>
      <c r="S60" s="1481">
        <f t="shared" si="5"/>
        <v>32.446662415254508</v>
      </c>
      <c r="T60" s="1487">
        <f t="shared" si="6"/>
        <v>258148.45726050291</v>
      </c>
      <c r="U60" s="45">
        <f>Summary!$J$59</f>
        <v>0.12104878144800001</v>
      </c>
      <c r="V60" s="1487">
        <f>IF(A60&lt;=Summary!$J$61,(0.2*T60)+(R60*D60),(U60*T60)+(R60*D60))</f>
        <v>42386.808134064988</v>
      </c>
      <c r="W60" s="1536">
        <f t="shared" si="7"/>
        <v>980946.65909590339</v>
      </c>
    </row>
    <row r="61" spans="1:23">
      <c r="A61" s="18">
        <v>38231</v>
      </c>
      <c r="B61" s="20">
        <f t="shared" si="0"/>
        <v>2004</v>
      </c>
      <c r="C61" s="1483">
        <f>CALC!HH73</f>
        <v>39.444609209981486</v>
      </c>
      <c r="D61" s="820">
        <f>IF(Summary!$O$109=0,CALC!HE73,0)</f>
        <v>21557.906999999999</v>
      </c>
      <c r="E61" s="820">
        <f>SUM(CALC!GU73:HB73)*CALC!CY73/1000</f>
        <v>71412.481772393759</v>
      </c>
      <c r="F61" s="1481">
        <f>Summary!$J$54</f>
        <v>0.15</v>
      </c>
      <c r="G61" s="1483">
        <f>VLOOKUP(A61,CURVES!AW62:$BS$283,16)</f>
        <v>2.8023709248195328</v>
      </c>
      <c r="H61" s="1481">
        <f>Summary!$J$60</f>
        <v>0.04</v>
      </c>
      <c r="I61" s="17">
        <f>Summary!$J$55</f>
        <v>8.5</v>
      </c>
      <c r="J61" s="1483">
        <f t="shared" si="1"/>
        <v>25.435152860966028</v>
      </c>
      <c r="K61" s="1481">
        <f>Summary!$J$56</f>
        <v>3.75</v>
      </c>
      <c r="L61">
        <f>Summary!$O$23</f>
        <v>3.75</v>
      </c>
      <c r="M61" s="1481">
        <f>Summary!$J$57</f>
        <v>1.75</v>
      </c>
      <c r="N61" s="1483">
        <f t="shared" si="2"/>
        <v>14.009456349015458</v>
      </c>
      <c r="O61" s="1481">
        <f t="shared" si="3"/>
        <v>4.7594563490154584</v>
      </c>
      <c r="P61" s="1481">
        <f t="shared" si="4"/>
        <v>102603.91734263478</v>
      </c>
      <c r="Q61" s="1483">
        <f>IF(A61&lt;=Summary!$J$61,0.5*(P61),$Q$2*(P61))</f>
        <v>0</v>
      </c>
      <c r="R61" s="1481">
        <f>Summary!$J$58</f>
        <v>0.5</v>
      </c>
      <c r="S61" s="1481">
        <f t="shared" si="5"/>
        <v>33.435152860966028</v>
      </c>
      <c r="T61" s="1487">
        <f t="shared" si="6"/>
        <v>129551.30109263479</v>
      </c>
      <c r="U61" s="45">
        <f>Summary!$J$59</f>
        <v>0.12104878144800001</v>
      </c>
      <c r="V61" s="1487">
        <f>IF(A61&lt;=Summary!$J$61,(0.2*T61)+(R61*D61),(U61*T61)+(R61*D61))</f>
        <v>26460.980632266394</v>
      </c>
      <c r="W61" s="1536">
        <f t="shared" si="7"/>
        <v>850343.21700012428</v>
      </c>
    </row>
    <row r="62" spans="1:23">
      <c r="A62" s="18">
        <v>38261</v>
      </c>
      <c r="B62" s="20">
        <f t="shared" si="0"/>
        <v>2004</v>
      </c>
      <c r="C62" s="1483">
        <f>CALC!HH74</f>
        <v>35.560939478477536</v>
      </c>
      <c r="D62" s="820">
        <f>IF(Summary!$O$109=0,CALC!HE74,0)</f>
        <v>20950.521525</v>
      </c>
      <c r="E62" s="820">
        <f>SUM(CALC!GU74:HB74)*CALC!CY74/1000</f>
        <v>94306.81888931687</v>
      </c>
      <c r="F62" s="1481">
        <f>Summary!$J$54</f>
        <v>0.15</v>
      </c>
      <c r="G62" s="1483">
        <f>VLOOKUP(A62,CURVES!AW63:$BS$283,16)</f>
        <v>2.9269066543827487</v>
      </c>
      <c r="H62" s="1481">
        <f>Summary!$J$60</f>
        <v>0.04</v>
      </c>
      <c r="I62" s="17">
        <f>Summary!$J$55</f>
        <v>8.5</v>
      </c>
      <c r="J62" s="1483">
        <f t="shared" si="1"/>
        <v>26.493706562253362</v>
      </c>
      <c r="K62" s="1481">
        <f>Summary!$J$56</f>
        <v>3.75</v>
      </c>
      <c r="L62">
        <f>Summary!$O$23</f>
        <v>3.75</v>
      </c>
      <c r="M62" s="1481">
        <f>Summary!$J$57</f>
        <v>1.75</v>
      </c>
      <c r="N62" s="1483">
        <f t="shared" si="2"/>
        <v>9.0672329162241745</v>
      </c>
      <c r="O62" s="1481">
        <f t="shared" si="3"/>
        <v>0</v>
      </c>
      <c r="P62" s="1481">
        <f t="shared" si="4"/>
        <v>0</v>
      </c>
      <c r="Q62" s="1483">
        <f>IF(A62&lt;=Summary!$J$61,0.5*(P62),$Q$2*(P62))</f>
        <v>0</v>
      </c>
      <c r="R62" s="1481">
        <f>Summary!$J$58</f>
        <v>0.5</v>
      </c>
      <c r="S62" s="1481">
        <f t="shared" si="5"/>
        <v>34.493706562253365</v>
      </c>
      <c r="T62" s="1487">
        <f t="shared" si="6"/>
        <v>22359.086183543015</v>
      </c>
      <c r="U62" s="45">
        <f>Summary!$J$59</f>
        <v>0.12104878144800001</v>
      </c>
      <c r="V62" s="1487">
        <f>IF(A62&lt;=Summary!$J$61,(0.2*T62)+(R62*D62),(U62*T62)+(R62*D62))</f>
        <v>13181.800899308695</v>
      </c>
      <c r="W62" s="1536">
        <f t="shared" si="7"/>
        <v>745020.22799306584</v>
      </c>
    </row>
    <row r="63" spans="1:23">
      <c r="A63" s="18">
        <v>38292</v>
      </c>
      <c r="B63" s="20">
        <f t="shared" si="0"/>
        <v>2004</v>
      </c>
      <c r="C63" s="1483">
        <f>CALC!HH75</f>
        <v>35.96845842528073</v>
      </c>
      <c r="D63" s="820">
        <f>IF(Summary!$O$109=0,CALC!HE75,0)</f>
        <v>20274.698250000001</v>
      </c>
      <c r="E63" s="820">
        <f>SUM(CALC!GU75:HB75)*CALC!CY75/1000</f>
        <v>91280.044617823442</v>
      </c>
      <c r="F63" s="1481">
        <f>Summary!$J$54</f>
        <v>0.15</v>
      </c>
      <c r="G63" s="1483">
        <f>VLOOKUP(A63,CURVES!AW64:$BS$283,16)</f>
        <v>3.0497113417738988</v>
      </c>
      <c r="H63" s="1481">
        <f>Summary!$J$60</f>
        <v>0.04</v>
      </c>
      <c r="I63" s="17">
        <f>Summary!$J$55</f>
        <v>8.5</v>
      </c>
      <c r="J63" s="1483">
        <f t="shared" si="1"/>
        <v>27.537546405078139</v>
      </c>
      <c r="K63" s="1481">
        <f>Summary!$J$56</f>
        <v>3.75</v>
      </c>
      <c r="L63">
        <f>Summary!$O$23</f>
        <v>3.75</v>
      </c>
      <c r="M63" s="1481">
        <f>Summary!$J$57</f>
        <v>1.75</v>
      </c>
      <c r="N63" s="1483">
        <f t="shared" si="2"/>
        <v>8.4309120202025909</v>
      </c>
      <c r="O63" s="1481">
        <f t="shared" si="3"/>
        <v>0</v>
      </c>
      <c r="P63" s="1481">
        <f t="shared" si="4"/>
        <v>0</v>
      </c>
      <c r="Q63" s="1483">
        <f>IF(A63&lt;=Summary!$J$61,0.5*(P63),$Q$2*(P63))</f>
        <v>0</v>
      </c>
      <c r="R63" s="1481">
        <f>Summary!$J$58</f>
        <v>0.5</v>
      </c>
      <c r="S63" s="1481">
        <f t="shared" si="5"/>
        <v>35.537546405078139</v>
      </c>
      <c r="T63" s="1487">
        <f t="shared" si="6"/>
        <v>8736.6111819054349</v>
      </c>
      <c r="U63" s="45">
        <f>Summary!$J$59</f>
        <v>0.12104878144800001</v>
      </c>
      <c r="V63" s="1487">
        <f>IF(A63&lt;=Summary!$J$61,(0.2*T63)+(R63*D63),(U63*T63)+(R63*D63))</f>
        <v>11194.905262554625</v>
      </c>
      <c r="W63" s="1536">
        <f t="shared" si="7"/>
        <v>729249.64109023707</v>
      </c>
    </row>
    <row r="64" spans="1:23">
      <c r="A64" s="18">
        <v>38322</v>
      </c>
      <c r="B64" s="20">
        <f t="shared" si="0"/>
        <v>2004</v>
      </c>
      <c r="C64" s="1483">
        <f>CALC!HH76</f>
        <v>37.645555413044193</v>
      </c>
      <c r="D64" s="820">
        <f>IF(Summary!$O$109=0,CALC!HE76,0)</f>
        <v>20950.521525</v>
      </c>
      <c r="E64" s="820">
        <f>SUM(CALC!GU76:HB76)*CALC!CY76/1000</f>
        <v>94338.6066541849</v>
      </c>
      <c r="F64" s="1481">
        <f>Summary!$J$54</f>
        <v>0.15</v>
      </c>
      <c r="G64" s="1483">
        <f>VLOOKUP(A64,CURVES!AW65:$BS$283,16)</f>
        <v>3.1794311225893401</v>
      </c>
      <c r="H64" s="1481">
        <f>Summary!$J$60</f>
        <v>0.04</v>
      </c>
      <c r="I64" s="17">
        <f>Summary!$J$55</f>
        <v>8.5</v>
      </c>
      <c r="J64" s="1483">
        <f t="shared" si="1"/>
        <v>28.640164542009391</v>
      </c>
      <c r="K64" s="1481">
        <f>Summary!$J$56</f>
        <v>3.75</v>
      </c>
      <c r="L64">
        <f>Summary!$O$23</f>
        <v>3.75</v>
      </c>
      <c r="M64" s="1481">
        <f>Summary!$J$57</f>
        <v>1.75</v>
      </c>
      <c r="N64" s="1483">
        <f t="shared" si="2"/>
        <v>9.0053908710348018</v>
      </c>
      <c r="O64" s="1481">
        <f t="shared" si="3"/>
        <v>0</v>
      </c>
      <c r="P64" s="1481">
        <f t="shared" si="4"/>
        <v>0</v>
      </c>
      <c r="Q64" s="1483">
        <f>IF(A64&lt;=Summary!$J$61,0.5*(P64),$Q$2*(P64))</f>
        <v>0</v>
      </c>
      <c r="R64" s="1481">
        <f>Summary!$J$58</f>
        <v>0.5</v>
      </c>
      <c r="S64" s="1481">
        <f t="shared" si="5"/>
        <v>36.640164542009387</v>
      </c>
      <c r="T64" s="1487">
        <f t="shared" si="6"/>
        <v>21063.463084653191</v>
      </c>
      <c r="U64" s="45">
        <f>Summary!$J$59</f>
        <v>0.12104878144800001</v>
      </c>
      <c r="V64" s="1487">
        <f>IF(A64&lt;=Summary!$J$61,(0.2*T64)+(R64*D64),(U64*T64)+(R64*D64))</f>
        <v>13024.967301972199</v>
      </c>
      <c r="W64" s="1536">
        <f t="shared" si="7"/>
        <v>788694.01900156261</v>
      </c>
    </row>
    <row r="65" spans="1:23">
      <c r="A65" s="18">
        <v>38353</v>
      </c>
      <c r="B65" s="20">
        <f t="shared" si="0"/>
        <v>2005</v>
      </c>
      <c r="C65" s="1483">
        <f>CALC!HH77</f>
        <v>37.694683569635586</v>
      </c>
      <c r="D65" s="820">
        <f>IF(Summary!$O$109=0,CALC!HE77,0)</f>
        <v>20950.521524999996</v>
      </c>
      <c r="E65" s="820">
        <f>SUM(CALC!GU77:HB77)*CALC!CY77/1000</f>
        <v>94354.500536618885</v>
      </c>
      <c r="F65" s="1481">
        <f>Summary!$J$54</f>
        <v>0.15</v>
      </c>
      <c r="G65" s="1483">
        <f>VLOOKUP(A65,CURVES!AW66:$BS$283,16)</f>
        <v>3.0461721177933478</v>
      </c>
      <c r="H65" s="1481">
        <f>Summary!$J$60</f>
        <v>0.04</v>
      </c>
      <c r="I65" s="17">
        <f>Summary!$J$55</f>
        <v>8.5</v>
      </c>
      <c r="J65" s="1483">
        <f t="shared" si="1"/>
        <v>27.507463001243455</v>
      </c>
      <c r="K65" s="1481">
        <f>Summary!$J$56</f>
        <v>3.75</v>
      </c>
      <c r="L65">
        <f>Summary!$O$23</f>
        <v>3.75</v>
      </c>
      <c r="M65" s="1481">
        <f>Summary!$J$57</f>
        <v>1.75</v>
      </c>
      <c r="N65" s="1483">
        <f t="shared" si="2"/>
        <v>10.187220568392132</v>
      </c>
      <c r="O65" s="1481">
        <f t="shared" si="3"/>
        <v>0.93722056839213153</v>
      </c>
      <c r="P65" s="1481">
        <f t="shared" si="4"/>
        <v>19635.259691772084</v>
      </c>
      <c r="Q65" s="1483">
        <f>IF(A65&lt;=Summary!$J$61,0.5*(P65),$Q$2*(P65))</f>
        <v>0</v>
      </c>
      <c r="R65" s="1481">
        <f>Summary!$J$58</f>
        <v>0.5</v>
      </c>
      <c r="S65" s="1481">
        <f t="shared" si="5"/>
        <v>35.507463001243451</v>
      </c>
      <c r="T65" s="1487">
        <f t="shared" si="6"/>
        <v>45823.411598022154</v>
      </c>
      <c r="U65" s="45">
        <f>Summary!$J$59</f>
        <v>0.12104878144800001</v>
      </c>
      <c r="V65" s="1487">
        <f>IF(A65&lt;=Summary!$J$61,(0.2*T65)+(R65*D65),(U65*T65)+(R65*D65))</f>
        <v>16022.128898230731</v>
      </c>
      <c r="W65" s="1536">
        <f t="shared" si="7"/>
        <v>789723.27950371406</v>
      </c>
    </row>
    <row r="66" spans="1:23">
      <c r="A66" s="18">
        <v>38384</v>
      </c>
      <c r="B66" s="20">
        <f t="shared" si="0"/>
        <v>2005</v>
      </c>
      <c r="C66" s="1483">
        <f>CALC!HH78</f>
        <v>31.126287712242789</v>
      </c>
      <c r="D66" s="820">
        <f>IF(Summary!$O$109=0,CALC!HE78,0)</f>
        <v>18923.051699999996</v>
      </c>
      <c r="E66" s="820">
        <f>SUM(CALC!GU78:HB78)*CALC!CY78/1000</f>
        <v>85237.775604305847</v>
      </c>
      <c r="F66" s="1481">
        <f>Summary!$J$54</f>
        <v>0.15</v>
      </c>
      <c r="G66" s="1483">
        <f>VLOOKUP(A66,CURVES!AW67:$BS$283,16)</f>
        <v>2.8134970641296424</v>
      </c>
      <c r="H66" s="1481">
        <f>Summary!$J$60</f>
        <v>0.04</v>
      </c>
      <c r="I66" s="17">
        <f>Summary!$J$55</f>
        <v>8.5</v>
      </c>
      <c r="J66" s="1483">
        <f t="shared" si="1"/>
        <v>25.529725045101959</v>
      </c>
      <c r="K66" s="1481">
        <f>Summary!$J$56</f>
        <v>3.75</v>
      </c>
      <c r="L66">
        <f>Summary!$O$23</f>
        <v>3.75</v>
      </c>
      <c r="M66" s="1481">
        <f>Summary!$J$57</f>
        <v>1.75</v>
      </c>
      <c r="N66" s="1483">
        <f t="shared" si="2"/>
        <v>5.5965626671408302</v>
      </c>
      <c r="O66" s="1481">
        <f t="shared" si="3"/>
        <v>0</v>
      </c>
      <c r="P66" s="1481">
        <f t="shared" si="4"/>
        <v>0</v>
      </c>
      <c r="Q66" s="1483">
        <f>IF(A66&lt;=Summary!$J$61,0.5*(P66),$Q$2*(P66))</f>
        <v>0</v>
      </c>
      <c r="R66" s="1481">
        <f>Summary!$J$58</f>
        <v>0.5</v>
      </c>
      <c r="S66" s="1481">
        <f t="shared" si="5"/>
        <v>33.529725045101955</v>
      </c>
      <c r="T66" s="1487">
        <f t="shared" si="6"/>
        <v>0</v>
      </c>
      <c r="U66" s="45">
        <f>Summary!$J$59</f>
        <v>0.12104878144800001</v>
      </c>
      <c r="V66" s="1487">
        <f>IF(A66&lt;=Summary!$J$61,(0.2*T66)+(R66*D66),(U66*T66)+(R66*D66))</f>
        <v>9461.5258499999982</v>
      </c>
      <c r="W66" s="1536">
        <f t="shared" si="7"/>
        <v>589004.35160784493</v>
      </c>
    </row>
    <row r="67" spans="1:23">
      <c r="A67" s="18">
        <v>38412</v>
      </c>
      <c r="B67" s="20">
        <f t="shared" si="0"/>
        <v>2005</v>
      </c>
      <c r="C67" s="1483">
        <f>CALC!HH79</f>
        <v>28.393627908476173</v>
      </c>
      <c r="D67" s="820">
        <f>IF(Summary!$O$109=0,CALC!HE79,0)</f>
        <v>14320.609649999999</v>
      </c>
      <c r="E67" s="820">
        <f>SUM(CALC!GU79:HB79)*CALC!CY79/1000</f>
        <v>94386.288301486915</v>
      </c>
      <c r="F67" s="1481">
        <f>Summary!$J$54</f>
        <v>0.15</v>
      </c>
      <c r="G67" s="1483">
        <f>VLOOKUP(A67,CURVES!AW68:$BS$283,16)</f>
        <v>2.6624588535020224</v>
      </c>
      <c r="H67" s="1481">
        <f>Summary!$J$60</f>
        <v>0.04</v>
      </c>
      <c r="I67" s="17">
        <f>Summary!$J$55</f>
        <v>8.5</v>
      </c>
      <c r="J67" s="1483">
        <f t="shared" si="1"/>
        <v>24.245900254767189</v>
      </c>
      <c r="K67" s="1481">
        <f>Summary!$J$56</f>
        <v>3.75</v>
      </c>
      <c r="L67">
        <f>Summary!$O$23</f>
        <v>3.75</v>
      </c>
      <c r="M67" s="1481">
        <f>Summary!$J$57</f>
        <v>1.75</v>
      </c>
      <c r="N67" s="1483">
        <f t="shared" si="2"/>
        <v>4.1477276537089836</v>
      </c>
      <c r="O67" s="1481">
        <f t="shared" si="3"/>
        <v>0</v>
      </c>
      <c r="P67" s="1481">
        <f t="shared" si="4"/>
        <v>0</v>
      </c>
      <c r="Q67" s="1483">
        <f>IF(A67&lt;=Summary!$J$61,0.5*(P67),$Q$2*(P67))</f>
        <v>0</v>
      </c>
      <c r="R67" s="1481">
        <f>Summary!$J$58</f>
        <v>0.5</v>
      </c>
      <c r="S67" s="1481">
        <f t="shared" si="5"/>
        <v>32.245900254767193</v>
      </c>
      <c r="T67" s="1487">
        <f t="shared" si="6"/>
        <v>0</v>
      </c>
      <c r="U67" s="45">
        <f>Summary!$J$59</f>
        <v>0.12104878144800001</v>
      </c>
      <c r="V67" s="1487">
        <f>IF(A67&lt;=Summary!$J$61,(0.2*T67)+(R67*D67),(U67*T67)+(R67*D67))</f>
        <v>7160.3048249999993</v>
      </c>
      <c r="W67" s="1536">
        <f t="shared" si="7"/>
        <v>406614.06182463316</v>
      </c>
    </row>
    <row r="68" spans="1:23">
      <c r="A68" s="18">
        <v>38443</v>
      </c>
      <c r="B68" s="20">
        <f t="shared" si="0"/>
        <v>2005</v>
      </c>
      <c r="C68" s="1483">
        <f>CALC!HH80</f>
        <v>29.23297745203838</v>
      </c>
      <c r="D68" s="820">
        <f>IF(Summary!$O$109=0,CALC!HE80,0)</f>
        <v>13858.654500000001</v>
      </c>
      <c r="E68" s="820">
        <f>SUM(CALC!GU80:HB80)*CALC!CY80/1000</f>
        <v>91356.950500568637</v>
      </c>
      <c r="F68" s="1481">
        <f>Summary!$J$54</f>
        <v>0.15</v>
      </c>
      <c r="G68" s="1483">
        <f>VLOOKUP(A68,CURVES!AW69:$BS$283,16)</f>
        <v>2.5825831872411649</v>
      </c>
      <c r="H68" s="1481">
        <f>Summary!$J$60</f>
        <v>0.04</v>
      </c>
      <c r="I68" s="17">
        <f>Summary!$J$55</f>
        <v>8.5</v>
      </c>
      <c r="J68" s="1483">
        <f t="shared" si="1"/>
        <v>23.566957091549902</v>
      </c>
      <c r="K68" s="1481">
        <f>Summary!$J$56</f>
        <v>3.75</v>
      </c>
      <c r="L68">
        <f>Summary!$O$23</f>
        <v>3.75</v>
      </c>
      <c r="M68" s="1481">
        <f>Summary!$J$57</f>
        <v>1.75</v>
      </c>
      <c r="N68" s="1483">
        <f t="shared" si="2"/>
        <v>5.6660203604884778</v>
      </c>
      <c r="O68" s="1481">
        <f t="shared" si="3"/>
        <v>0</v>
      </c>
      <c r="P68" s="1481">
        <f t="shared" si="4"/>
        <v>0</v>
      </c>
      <c r="Q68" s="1483">
        <f>IF(A68&lt;=Summary!$J$61,0.5*(P68),$Q$2*(P68))</f>
        <v>0</v>
      </c>
      <c r="R68" s="1481">
        <f>Summary!$J$58</f>
        <v>0.5</v>
      </c>
      <c r="S68" s="1481">
        <f t="shared" si="5"/>
        <v>31.566957091549902</v>
      </c>
      <c r="T68" s="1487">
        <f t="shared" si="6"/>
        <v>0</v>
      </c>
      <c r="U68" s="45">
        <f>Summary!$J$59</f>
        <v>0.12104878144800001</v>
      </c>
      <c r="V68" s="1487">
        <f>IF(A68&lt;=Summary!$J$61,(0.2*T68)+(R68*D68),(U68*T68)+(R68*D68))</f>
        <v>6929.3272500000003</v>
      </c>
      <c r="W68" s="1536">
        <f t="shared" si="7"/>
        <v>405129.73451409023</v>
      </c>
    </row>
    <row r="69" spans="1:23">
      <c r="A69" s="18">
        <v>38473</v>
      </c>
      <c r="B69" s="20">
        <f t="shared" si="0"/>
        <v>2005</v>
      </c>
      <c r="C69" s="1483">
        <f>CALC!HH81</f>
        <v>29.399721469329762</v>
      </c>
      <c r="D69" s="820">
        <f>IF(Summary!$O$109=0,CALC!HE81,0)</f>
        <v>22276.5039</v>
      </c>
      <c r="E69" s="820">
        <f>SUM(CALC!GU81:HB81)*CALC!CY81/1000</f>
        <v>73892.407356277763</v>
      </c>
      <c r="F69" s="1481">
        <f>Summary!$J$54</f>
        <v>0.15</v>
      </c>
      <c r="G69" s="1483">
        <f>VLOOKUP(A69,CURVES!AW70:$BS$283,16)</f>
        <v>2.5631061437244096</v>
      </c>
      <c r="H69" s="1481">
        <f>Summary!$J$60</f>
        <v>0.04</v>
      </c>
      <c r="I69" s="17">
        <f>Summary!$J$55</f>
        <v>8.5</v>
      </c>
      <c r="J69" s="1483">
        <f t="shared" si="1"/>
        <v>23.401402221657481</v>
      </c>
      <c r="K69" s="1481">
        <f>Summary!$J$56</f>
        <v>3.75</v>
      </c>
      <c r="L69">
        <f>Summary!$O$23</f>
        <v>3.75</v>
      </c>
      <c r="M69" s="1481">
        <f>Summary!$J$57</f>
        <v>1.75</v>
      </c>
      <c r="N69" s="1483">
        <f t="shared" si="2"/>
        <v>5.9983192476722813</v>
      </c>
      <c r="O69" s="1481">
        <f t="shared" si="3"/>
        <v>0</v>
      </c>
      <c r="P69" s="1481">
        <f t="shared" si="4"/>
        <v>0</v>
      </c>
      <c r="Q69" s="1483">
        <f>IF(A69&lt;=Summary!$J$61,0.5*(P69),$Q$2*(P69))</f>
        <v>0</v>
      </c>
      <c r="R69" s="1481">
        <f>Summary!$J$58</f>
        <v>0.5</v>
      </c>
      <c r="S69" s="1481">
        <f t="shared" si="5"/>
        <v>31.401402221657481</v>
      </c>
      <c r="T69" s="1487">
        <f t="shared" si="6"/>
        <v>0</v>
      </c>
      <c r="U69" s="45">
        <f>Summary!$J$59</f>
        <v>0.12104878144800001</v>
      </c>
      <c r="V69" s="1487">
        <f>IF(A69&lt;=Summary!$J$61,(0.2*T69)+(R69*D69),(U69*T69)+(R69*D69))</f>
        <v>11138.25195</v>
      </c>
      <c r="W69" s="1536">
        <f t="shared" si="7"/>
        <v>654923.0099704382</v>
      </c>
    </row>
    <row r="70" spans="1:23">
      <c r="A70" s="18">
        <v>38504</v>
      </c>
      <c r="B70" s="20">
        <f t="shared" ref="B70:B133" si="11">YEAR(A70)</f>
        <v>2005</v>
      </c>
      <c r="C70" s="1483">
        <f>CALC!HH82</f>
        <v>27.735815179493049</v>
      </c>
      <c r="D70" s="820">
        <f>IF(Summary!$O$109=0,CALC!HE82,0)</f>
        <v>16425.072</v>
      </c>
      <c r="E70" s="820">
        <f>SUM(CALC!GU82:HB82)*CALC!CY82/1000</f>
        <v>31787.030557797119</v>
      </c>
      <c r="F70" s="1481">
        <f>Summary!$J$54</f>
        <v>0.15</v>
      </c>
      <c r="G70" s="1483">
        <f>VLOOKUP(A70,CURVES!AW71:$BS$283,16)</f>
        <v>2.5940669862089205</v>
      </c>
      <c r="H70" s="1481">
        <f>Summary!$J$60</f>
        <v>0.04</v>
      </c>
      <c r="I70" s="17">
        <f>Summary!$J$55</f>
        <v>8.5</v>
      </c>
      <c r="J70" s="1483">
        <f t="shared" ref="J70:J133" si="12">I70*SUM(F70:H70)</f>
        <v>23.664569382775824</v>
      </c>
      <c r="K70" s="1481">
        <f>Summary!$J$56</f>
        <v>3.75</v>
      </c>
      <c r="L70">
        <f>Summary!$O$23</f>
        <v>3.75</v>
      </c>
      <c r="M70" s="1481">
        <f>Summary!$J$57</f>
        <v>1.75</v>
      </c>
      <c r="N70" s="1483">
        <f t="shared" ref="N70:N133" si="13">IF(C70&gt;0,C70-J70,0)</f>
        <v>4.0712457967172249</v>
      </c>
      <c r="O70" s="1481">
        <f t="shared" ref="O70:O133" si="14">IF(N70&gt;0,IF(N70-SUM(K70:M70)&gt;0,N70-SUM(K70:M70),0),0)</f>
        <v>0</v>
      </c>
      <c r="P70" s="1481">
        <f t="shared" ref="P70:P133" si="15">O70*D70</f>
        <v>0</v>
      </c>
      <c r="Q70" s="1483">
        <f>IF(A70&lt;=Summary!$J$61,0.5*(P70),$Q$2*(P70))</f>
        <v>0</v>
      </c>
      <c r="R70" s="1481">
        <f>Summary!$J$58</f>
        <v>0.5</v>
      </c>
      <c r="S70" s="1481">
        <f t="shared" ref="S70:S133" si="16">J70+(K70+L70+R70)</f>
        <v>31.664569382775824</v>
      </c>
      <c r="T70" s="1487">
        <f t="shared" ref="T70:T133" si="17">IF(D70*(C70-S70)-Q70&gt;0,D70*(C70-S70)-Q70,0)</f>
        <v>0</v>
      </c>
      <c r="U70" s="45">
        <f>Summary!$J$59</f>
        <v>0.12104878144800001</v>
      </c>
      <c r="V70" s="1487">
        <f>IF(A70&lt;=Summary!$J$61,(0.2*T70)+(R70*D70),(U70*T70)+(R70*D70))</f>
        <v>8212.5360000000001</v>
      </c>
      <c r="W70" s="1536">
        <f t="shared" ref="W70:W133" si="18">C70*D70</f>
        <v>455562.76130186627</v>
      </c>
    </row>
    <row r="71" spans="1:23">
      <c r="A71" s="18">
        <v>38534</v>
      </c>
      <c r="B71" s="20">
        <f t="shared" si="11"/>
        <v>2005</v>
      </c>
      <c r="C71" s="1483">
        <f>CALC!HH83</f>
        <v>39.471479175059322</v>
      </c>
      <c r="D71" s="820">
        <f>IF(Summary!$O$109=0,CALC!HE83,0)</f>
        <v>22276.503900000003</v>
      </c>
      <c r="E71" s="820">
        <f>SUM(CALC!GU83:HB83)*CALC!CY83/1000</f>
        <v>73917.28473747884</v>
      </c>
      <c r="F71" s="1481">
        <f>Summary!$J$54</f>
        <v>0.15</v>
      </c>
      <c r="G71" s="1483">
        <f>VLOOKUP(A71,CURVES!AW72:$BS$283,16)</f>
        <v>2.6648748731160796</v>
      </c>
      <c r="H71" s="1481">
        <f>Summary!$J$60</f>
        <v>0.04</v>
      </c>
      <c r="I71" s="17">
        <f>Summary!$J$55</f>
        <v>8.5</v>
      </c>
      <c r="J71" s="1483">
        <f t="shared" si="12"/>
        <v>24.266436421486677</v>
      </c>
      <c r="K71" s="1481">
        <f>Summary!$J$56</f>
        <v>3.75</v>
      </c>
      <c r="L71">
        <f>Summary!$O$23</f>
        <v>3.75</v>
      </c>
      <c r="M71" s="1481">
        <f>Summary!$J$57</f>
        <v>1.75</v>
      </c>
      <c r="N71" s="1483">
        <f t="shared" si="13"/>
        <v>15.205042753572645</v>
      </c>
      <c r="O71" s="1481">
        <f t="shared" si="14"/>
        <v>5.9550427535726449</v>
      </c>
      <c r="P71" s="1481">
        <f t="shared" si="15"/>
        <v>132657.53312462778</v>
      </c>
      <c r="Q71" s="1483">
        <f>IF(A71&lt;=Summary!$J$61,0.5*(P71),$Q$2*(P71))</f>
        <v>0</v>
      </c>
      <c r="R71" s="1481">
        <f>Summary!$J$58</f>
        <v>0.5</v>
      </c>
      <c r="S71" s="1481">
        <f t="shared" si="16"/>
        <v>32.266436421486674</v>
      </c>
      <c r="T71" s="1487">
        <f t="shared" si="17"/>
        <v>160503.16299962788</v>
      </c>
      <c r="U71" s="45">
        <f>Summary!$J$59</f>
        <v>0.12104878144800001</v>
      </c>
      <c r="V71" s="1487">
        <f>IF(A71&lt;=Summary!$J$61,(0.2*T71)+(R71*D71),(U71*T71)+(R71*D71))</f>
        <v>30566.964249654677</v>
      </c>
      <c r="W71" s="1536">
        <f t="shared" si="18"/>
        <v>879286.55978197791</v>
      </c>
    </row>
    <row r="72" spans="1:23">
      <c r="A72" s="18">
        <v>38565</v>
      </c>
      <c r="B72" s="20">
        <f t="shared" si="11"/>
        <v>2005</v>
      </c>
      <c r="C72" s="1483">
        <f>CALC!HH84</f>
        <v>55.841624823528186</v>
      </c>
      <c r="D72" s="820">
        <f>IF(Summary!$O$109=0,CALC!HE84,0)</f>
        <v>22276.5039</v>
      </c>
      <c r="E72" s="820">
        <f>SUM(CALC!GU84:HB84)*CALC!CY84/1000</f>
        <v>73929.723428079349</v>
      </c>
      <c r="F72" s="1481">
        <f>Summary!$J$54</f>
        <v>0.15</v>
      </c>
      <c r="G72" s="1483">
        <f>VLOOKUP(A72,CURVES!AW73:$BS$283,16)</f>
        <v>2.7654367785002969</v>
      </c>
      <c r="H72" s="1481">
        <f>Summary!$J$60</f>
        <v>0.04</v>
      </c>
      <c r="I72" s="17">
        <f>Summary!$J$55</f>
        <v>8.5</v>
      </c>
      <c r="J72" s="1483">
        <f t="shared" si="12"/>
        <v>25.121212617252525</v>
      </c>
      <c r="K72" s="1481">
        <f>Summary!$J$56</f>
        <v>3.75</v>
      </c>
      <c r="L72">
        <f>Summary!$O$23</f>
        <v>3.75</v>
      </c>
      <c r="M72" s="1481">
        <f>Summary!$J$57</f>
        <v>1.75</v>
      </c>
      <c r="N72" s="1483">
        <f t="shared" si="13"/>
        <v>30.720412206275661</v>
      </c>
      <c r="O72" s="1481">
        <f t="shared" si="14"/>
        <v>21.470412206275661</v>
      </c>
      <c r="P72" s="1481">
        <f t="shared" si="15"/>
        <v>478285.72124770738</v>
      </c>
      <c r="Q72" s="1483">
        <f>IF(A72&lt;=Summary!$J$61,0.5*(P72),$Q$2*(P72))</f>
        <v>0</v>
      </c>
      <c r="R72" s="1481">
        <f>Summary!$J$58</f>
        <v>0.5</v>
      </c>
      <c r="S72" s="1481">
        <f t="shared" si="16"/>
        <v>33.121212617252525</v>
      </c>
      <c r="T72" s="1487">
        <f t="shared" si="17"/>
        <v>506131.35112270736</v>
      </c>
      <c r="U72" s="45">
        <f>Summary!$J$59</f>
        <v>0.12104878144800001</v>
      </c>
      <c r="V72" s="1487">
        <f>IF(A72&lt;=Summary!$J$61,(0.2*T72)+(R72*D72),(U72*T72)+(R72*D72))</f>
        <v>72404.835256033562</v>
      </c>
      <c r="W72" s="1536">
        <f t="shared" si="18"/>
        <v>1243956.1731636624</v>
      </c>
    </row>
    <row r="73" spans="1:23">
      <c r="A73" s="18">
        <v>38596</v>
      </c>
      <c r="B73" s="20">
        <f t="shared" si="11"/>
        <v>2005</v>
      </c>
      <c r="C73" s="1483">
        <f>CALC!HH85</f>
        <v>46.027119246254784</v>
      </c>
      <c r="D73" s="820">
        <f>IF(Summary!$O$109=0,CALC!HE85,0)</f>
        <v>21557.906999999999</v>
      </c>
      <c r="E73" s="820">
        <f>SUM(CALC!GU85:HB85)*CALC!CY85/1000</f>
        <v>71556.931082593437</v>
      </c>
      <c r="F73" s="1481">
        <f>Summary!$J$54</f>
        <v>0.15</v>
      </c>
      <c r="G73" s="1483">
        <f>VLOOKUP(A73,CURVES!AW74:$BS$283,16)</f>
        <v>2.8851655912362619</v>
      </c>
      <c r="H73" s="1481">
        <f>Summary!$J$60</f>
        <v>0.04</v>
      </c>
      <c r="I73" s="17">
        <f>Summary!$J$55</f>
        <v>8.5</v>
      </c>
      <c r="J73" s="1483">
        <f t="shared" si="12"/>
        <v>26.138907525508227</v>
      </c>
      <c r="K73" s="1481">
        <f>Summary!$J$56</f>
        <v>3.75</v>
      </c>
      <c r="L73">
        <f>Summary!$O$23</f>
        <v>3.75</v>
      </c>
      <c r="M73" s="1481">
        <f>Summary!$J$57</f>
        <v>1.75</v>
      </c>
      <c r="N73" s="1483">
        <f t="shared" si="13"/>
        <v>19.888211720746558</v>
      </c>
      <c r="O73" s="1481">
        <f t="shared" si="14"/>
        <v>10.638211720746558</v>
      </c>
      <c r="P73" s="1481">
        <f t="shared" si="15"/>
        <v>229337.57892216425</v>
      </c>
      <c r="Q73" s="1483">
        <f>IF(A73&lt;=Summary!$J$61,0.5*(P73),$Q$2*(P73))</f>
        <v>0</v>
      </c>
      <c r="R73" s="1481">
        <f>Summary!$J$58</f>
        <v>0.5</v>
      </c>
      <c r="S73" s="1481">
        <f t="shared" si="16"/>
        <v>34.13890752550823</v>
      </c>
      <c r="T73" s="1487">
        <f t="shared" si="17"/>
        <v>256284.96267216417</v>
      </c>
      <c r="U73" s="45">
        <f>Summary!$J$59</f>
        <v>0.12104878144800001</v>
      </c>
      <c r="V73" s="1487">
        <f>IF(A73&lt;=Summary!$J$61,(0.2*T73)+(R73*D73),(U73*T73)+(R73*D73))</f>
        <v>41801.935934911642</v>
      </c>
      <c r="W73" s="1536">
        <f t="shared" si="18"/>
        <v>992248.35618867073</v>
      </c>
    </row>
    <row r="74" spans="1:23">
      <c r="A74" s="18">
        <v>38626</v>
      </c>
      <c r="B74" s="20">
        <f t="shared" si="11"/>
        <v>2005</v>
      </c>
      <c r="C74" s="1483">
        <f>CALC!HH86</f>
        <v>40.556754397997004</v>
      </c>
      <c r="D74" s="820">
        <f>IF(Summary!$O$109=0,CALC!HE86,0)</f>
        <v>20950.521525</v>
      </c>
      <c r="E74" s="820">
        <f>SUM(CALC!GU86:HB86)*CALC!CY86/1000</f>
        <v>94497.545478524989</v>
      </c>
      <c r="F74" s="1481">
        <f>Summary!$J$54</f>
        <v>0.15</v>
      </c>
      <c r="G74" s="1483">
        <f>VLOOKUP(A74,CURVES!AW75:$BS$283,16)</f>
        <v>3.0133806674893933</v>
      </c>
      <c r="H74" s="1481">
        <f>Summary!$J$60</f>
        <v>0.04</v>
      </c>
      <c r="I74" s="17">
        <f>Summary!$J$55</f>
        <v>8.5</v>
      </c>
      <c r="J74" s="1483">
        <f t="shared" si="12"/>
        <v>27.228735673659841</v>
      </c>
      <c r="K74" s="1481">
        <f>Summary!$J$56</f>
        <v>3.75</v>
      </c>
      <c r="L74">
        <f>Summary!$O$23</f>
        <v>3.75</v>
      </c>
      <c r="M74" s="1481">
        <f>Summary!$J$57</f>
        <v>1.75</v>
      </c>
      <c r="N74" s="1483">
        <f t="shared" si="13"/>
        <v>13.328018724337163</v>
      </c>
      <c r="O74" s="1481">
        <f t="shared" si="14"/>
        <v>4.0780187243371628</v>
      </c>
      <c r="P74" s="1481">
        <f t="shared" si="15"/>
        <v>85436.619063578779</v>
      </c>
      <c r="Q74" s="1483">
        <f>IF(A74&lt;=Summary!$J$61,0.5*(P74),$Q$2*(P74))</f>
        <v>0</v>
      </c>
      <c r="R74" s="1481">
        <f>Summary!$J$58</f>
        <v>0.5</v>
      </c>
      <c r="S74" s="1481">
        <f t="shared" si="16"/>
        <v>35.228735673659841</v>
      </c>
      <c r="T74" s="1487">
        <f t="shared" si="17"/>
        <v>111624.77096982877</v>
      </c>
      <c r="U74" s="45">
        <f>Summary!$J$59</f>
        <v>0.12104878144800001</v>
      </c>
      <c r="V74" s="1487">
        <f>IF(A74&lt;=Summary!$J$61,(0.2*T74)+(R74*D74),(U74*T74)+(R74*D74))</f>
        <v>23987.303267809861</v>
      </c>
      <c r="W74" s="1536">
        <f t="shared" si="18"/>
        <v>849685.15599937469</v>
      </c>
    </row>
    <row r="75" spans="1:23">
      <c r="A75" s="18">
        <v>38657</v>
      </c>
      <c r="B75" s="20">
        <f t="shared" si="11"/>
        <v>2005</v>
      </c>
      <c r="C75" s="1483">
        <f>CALC!HH87</f>
        <v>42.536554439402501</v>
      </c>
      <c r="D75" s="820">
        <f>IF(Summary!$O$109=0,CALC!HE87,0)</f>
        <v>20274.698250000001</v>
      </c>
      <c r="E75" s="820">
        <f>SUM(CALC!GU87:HB87)*CALC!CY87/1000</f>
        <v>91464.618736411925</v>
      </c>
      <c r="F75" s="1481">
        <f>Summary!$J$54</f>
        <v>0.15</v>
      </c>
      <c r="G75" s="1483">
        <f>VLOOKUP(A75,CURVES!AW76:$BS$283,16)</f>
        <v>3.1398135587834992</v>
      </c>
      <c r="H75" s="1481">
        <f>Summary!$J$60</f>
        <v>0.04</v>
      </c>
      <c r="I75" s="17">
        <f>Summary!$J$55</f>
        <v>8.5</v>
      </c>
      <c r="J75" s="1483">
        <f t="shared" si="12"/>
        <v>28.303415249659743</v>
      </c>
      <c r="K75" s="1481">
        <f>Summary!$J$56</f>
        <v>3.75</v>
      </c>
      <c r="L75">
        <f>Summary!$O$23</f>
        <v>3.75</v>
      </c>
      <c r="M75" s="1481">
        <f>Summary!$J$57</f>
        <v>1.75</v>
      </c>
      <c r="N75" s="1483">
        <f t="shared" si="13"/>
        <v>14.233139189742758</v>
      </c>
      <c r="O75" s="1481">
        <f t="shared" si="14"/>
        <v>4.9831391897427579</v>
      </c>
      <c r="P75" s="1481">
        <f t="shared" si="15"/>
        <v>101031.64340978392</v>
      </c>
      <c r="Q75" s="1483">
        <f>IF(A75&lt;=Summary!$J$61,0.5*(P75),$Q$2*(P75))</f>
        <v>0</v>
      </c>
      <c r="R75" s="1481">
        <f>Summary!$J$58</f>
        <v>0.5</v>
      </c>
      <c r="S75" s="1481">
        <f t="shared" si="16"/>
        <v>36.303415249659743</v>
      </c>
      <c r="T75" s="1487">
        <f t="shared" si="17"/>
        <v>126375.01622228391</v>
      </c>
      <c r="U75" s="45">
        <f>Summary!$J$59</f>
        <v>0.12104878144800001</v>
      </c>
      <c r="V75" s="1487">
        <f>IF(A75&lt;=Summary!$J$61,(0.2*T75)+(R75*D75),(U75*T75)+(R75*D75))</f>
        <v>25434.890844178699</v>
      </c>
      <c r="W75" s="1536">
        <f t="shared" si="18"/>
        <v>862415.80585358362</v>
      </c>
    </row>
    <row r="76" spans="1:23">
      <c r="A76" s="18">
        <v>38687</v>
      </c>
      <c r="B76" s="20">
        <f t="shared" si="11"/>
        <v>2005</v>
      </c>
      <c r="C76" s="1483">
        <f>CALC!HH88</f>
        <v>41.550743053032555</v>
      </c>
      <c r="D76" s="820">
        <f>IF(Summary!$O$109=0,CALC!HE88,0)</f>
        <v>20950.521525</v>
      </c>
      <c r="E76" s="820">
        <f>SUM(CALC!GU88:HB88)*CALC!CY88/1000</f>
        <v>94529.333243393005</v>
      </c>
      <c r="F76" s="1481">
        <f>Summary!$J$54</f>
        <v>0.15</v>
      </c>
      <c r="G76" s="1483">
        <f>VLOOKUP(A76,CURVES!AW77:$BS$283,16)</f>
        <v>3.2733658465255377</v>
      </c>
      <c r="H76" s="1481">
        <f>Summary!$J$60</f>
        <v>0.04</v>
      </c>
      <c r="I76" s="17">
        <f>Summary!$J$55</f>
        <v>8.5</v>
      </c>
      <c r="J76" s="1483">
        <f t="shared" si="12"/>
        <v>29.438609695467072</v>
      </c>
      <c r="K76" s="1481">
        <f>Summary!$J$56</f>
        <v>3.75</v>
      </c>
      <c r="L76">
        <f>Summary!$O$23</f>
        <v>3.75</v>
      </c>
      <c r="M76" s="1481">
        <f>Summary!$J$57</f>
        <v>1.75</v>
      </c>
      <c r="N76" s="1483">
        <f t="shared" si="13"/>
        <v>12.112133357565483</v>
      </c>
      <c r="O76" s="1481">
        <f t="shared" si="14"/>
        <v>2.862133357565483</v>
      </c>
      <c r="P76" s="1481">
        <f t="shared" si="15"/>
        <v>59963.186515096175</v>
      </c>
      <c r="Q76" s="1483">
        <f>IF(A76&lt;=Summary!$J$61,0.5*(P76),$Q$2*(P76))</f>
        <v>0</v>
      </c>
      <c r="R76" s="1481">
        <f>Summary!$J$58</f>
        <v>0.5</v>
      </c>
      <c r="S76" s="1481">
        <f t="shared" si="16"/>
        <v>37.438609695467072</v>
      </c>
      <c r="T76" s="1487">
        <f t="shared" si="17"/>
        <v>86151.338421346169</v>
      </c>
      <c r="U76" s="45">
        <f>Summary!$J$59</f>
        <v>0.12104878144800001</v>
      </c>
      <c r="V76" s="1487">
        <f>IF(A76&lt;=Summary!$J$61,(0.2*T76)+(R76*D76),(U76*T76)+(R76*D76))</f>
        <v>20903.775298518216</v>
      </c>
      <c r="W76" s="1536">
        <f t="shared" si="18"/>
        <v>870509.73671230278</v>
      </c>
    </row>
    <row r="77" spans="1:23">
      <c r="A77" s="18">
        <v>38718</v>
      </c>
      <c r="B77" s="20">
        <f t="shared" si="11"/>
        <v>2006</v>
      </c>
      <c r="C77" s="1483">
        <f>CALC!HH89</f>
        <v>40.817036212077284</v>
      </c>
      <c r="D77" s="820">
        <f>IF(Summary!$O$109=0,CALC!HE89,0)</f>
        <v>20950.521524999996</v>
      </c>
      <c r="E77" s="820">
        <f>SUM(CALC!GU89:HB89)*CALC!CY89/1000</f>
        <v>94545.227125827005</v>
      </c>
      <c r="F77" s="1481">
        <f>Summary!$J$54</f>
        <v>0.15</v>
      </c>
      <c r="G77" s="1483">
        <f>VLOOKUP(A77,CURVES!AW78:$BS$283,16)</f>
        <v>3.1477490545285347</v>
      </c>
      <c r="H77" s="1481">
        <f>Summary!$J$60</f>
        <v>0.04</v>
      </c>
      <c r="I77" s="17">
        <f>Summary!$J$55</f>
        <v>8.5</v>
      </c>
      <c r="J77" s="1483">
        <f t="shared" si="12"/>
        <v>28.370866963492546</v>
      </c>
      <c r="K77" s="1481">
        <f>Summary!$J$56</f>
        <v>3.75</v>
      </c>
      <c r="L77">
        <f>Summary!$O$23</f>
        <v>3.75</v>
      </c>
      <c r="M77" s="1481">
        <f>Summary!$J$57</f>
        <v>1.75</v>
      </c>
      <c r="N77" s="1483">
        <f t="shared" si="13"/>
        <v>12.446169248584738</v>
      </c>
      <c r="O77" s="1481">
        <f t="shared" si="14"/>
        <v>3.1961692485847379</v>
      </c>
      <c r="P77" s="1481">
        <f t="shared" si="15"/>
        <v>66961.412640017617</v>
      </c>
      <c r="Q77" s="1483">
        <f>IF(A77&lt;=Summary!$J$61,0.5*(P77),$Q$2*(P77))</f>
        <v>0</v>
      </c>
      <c r="R77" s="1481">
        <f>Summary!$J$58</f>
        <v>0.5</v>
      </c>
      <c r="S77" s="1481">
        <f t="shared" si="16"/>
        <v>36.370866963492546</v>
      </c>
      <c r="T77" s="1487">
        <f t="shared" si="17"/>
        <v>93149.564546267618</v>
      </c>
      <c r="U77" s="45">
        <f>Summary!$J$59</f>
        <v>0.12104878144800001</v>
      </c>
      <c r="V77" s="1487">
        <f>IF(A77&lt;=Summary!$J$61,(0.2*T77)+(R77*D77),(U77*T77)+(R77*D77))</f>
        <v>21750.902043237518</v>
      </c>
      <c r="W77" s="1536">
        <f t="shared" si="18"/>
        <v>855138.19574782951</v>
      </c>
    </row>
    <row r="78" spans="1:23">
      <c r="A78" s="18">
        <v>38749</v>
      </c>
      <c r="B78" s="20">
        <f t="shared" si="11"/>
        <v>2006</v>
      </c>
      <c r="C78" s="1483">
        <f>CALC!HH90</f>
        <v>31.60372815195085</v>
      </c>
      <c r="D78" s="820">
        <f>IF(Summary!$O$109=0,CALC!HE90,0)</f>
        <v>18923.051699999996</v>
      </c>
      <c r="E78" s="820">
        <f>SUM(CALC!GU90:HB90)*CALC!CY90/1000</f>
        <v>85410.044781655088</v>
      </c>
      <c r="F78" s="1481">
        <f>Summary!$J$54</f>
        <v>0.15</v>
      </c>
      <c r="G78" s="1483">
        <f>VLOOKUP(A78,CURVES!AW79:$BS$283,16)</f>
        <v>2.9073152734220171</v>
      </c>
      <c r="H78" s="1481">
        <f>Summary!$J$60</f>
        <v>0.04</v>
      </c>
      <c r="I78" s="17">
        <f>Summary!$J$55</f>
        <v>8.5</v>
      </c>
      <c r="J78" s="1483">
        <f t="shared" si="12"/>
        <v>26.327179824087146</v>
      </c>
      <c r="K78" s="1481">
        <f>Summary!$J$56</f>
        <v>3.75</v>
      </c>
      <c r="L78">
        <f>Summary!$O$23</f>
        <v>3.75</v>
      </c>
      <c r="M78" s="1481">
        <f>Summary!$J$57</f>
        <v>1.75</v>
      </c>
      <c r="N78" s="1483">
        <f t="shared" si="13"/>
        <v>5.2765483278637042</v>
      </c>
      <c r="O78" s="1481">
        <f t="shared" si="14"/>
        <v>0</v>
      </c>
      <c r="P78" s="1481">
        <f t="shared" si="15"/>
        <v>0</v>
      </c>
      <c r="Q78" s="1483">
        <f>IF(A78&lt;=Summary!$J$61,0.5*(P78),$Q$2*(P78))</f>
        <v>0</v>
      </c>
      <c r="R78" s="1481">
        <f>Summary!$J$58</f>
        <v>0.5</v>
      </c>
      <c r="S78" s="1481">
        <f t="shared" si="16"/>
        <v>34.327179824087146</v>
      </c>
      <c r="T78" s="1487">
        <f t="shared" si="17"/>
        <v>0</v>
      </c>
      <c r="U78" s="45">
        <f>Summary!$J$59</f>
        <v>0.12104878144800001</v>
      </c>
      <c r="V78" s="1487">
        <f>IF(A78&lt;=Summary!$J$61,(0.2*T78)+(R78*D78),(U78*T78)+(R78*D78))</f>
        <v>9461.5258499999982</v>
      </c>
      <c r="W78" s="1536">
        <f t="shared" si="18"/>
        <v>598038.98173211131</v>
      </c>
    </row>
    <row r="79" spans="1:23">
      <c r="A79" s="18">
        <v>38777</v>
      </c>
      <c r="B79" s="20">
        <f t="shared" si="11"/>
        <v>2006</v>
      </c>
      <c r="C79" s="1483">
        <f>CALC!HH91</f>
        <v>30.740823071901296</v>
      </c>
      <c r="D79" s="820">
        <f>IF(Summary!$O$109=0,CALC!HE91,0)</f>
        <v>14320.609649999999</v>
      </c>
      <c r="E79" s="820">
        <f>SUM(CALC!GU91:HB91)*CALC!CY91/1000</f>
        <v>94577.014890695005</v>
      </c>
      <c r="F79" s="1481">
        <f>Summary!$J$54</f>
        <v>0.15</v>
      </c>
      <c r="G79" s="1483">
        <f>VLOOKUP(A79,CURVES!AW80:$BS$283,16)</f>
        <v>2.7512405782583125</v>
      </c>
      <c r="H79" s="1481">
        <f>Summary!$J$60</f>
        <v>0.04</v>
      </c>
      <c r="I79" s="17">
        <f>Summary!$J$55</f>
        <v>8.5</v>
      </c>
      <c r="J79" s="1483">
        <f t="shared" si="12"/>
        <v>25.000544915195654</v>
      </c>
      <c r="K79" s="1481">
        <f>Summary!$J$56</f>
        <v>3.75</v>
      </c>
      <c r="L79">
        <f>Summary!$O$23</f>
        <v>3.75</v>
      </c>
      <c r="M79" s="1481">
        <f>Summary!$J$57</f>
        <v>1.75</v>
      </c>
      <c r="N79" s="1483">
        <f t="shared" si="13"/>
        <v>5.7402781567056422</v>
      </c>
      <c r="O79" s="1481">
        <f t="shared" si="14"/>
        <v>0</v>
      </c>
      <c r="P79" s="1481">
        <f t="shared" si="15"/>
        <v>0</v>
      </c>
      <c r="Q79" s="1483">
        <f>IF(A79&lt;=Summary!$J$61,0.5*(P79),$Q$2*(P79))</f>
        <v>0</v>
      </c>
      <c r="R79" s="1481">
        <f>Summary!$J$58</f>
        <v>0.5</v>
      </c>
      <c r="S79" s="1481">
        <f t="shared" si="16"/>
        <v>33.000544915195654</v>
      </c>
      <c r="T79" s="1487">
        <f t="shared" si="17"/>
        <v>0</v>
      </c>
      <c r="U79" s="45">
        <f>Summary!$J$59</f>
        <v>0.12104878144800001</v>
      </c>
      <c r="V79" s="1487">
        <f>IF(A79&lt;=Summary!$J$61,(0.2*T79)+(R79*D79),(U79*T79)+(R79*D79))</f>
        <v>7160.3048249999993</v>
      </c>
      <c r="W79" s="1536">
        <f t="shared" si="18"/>
        <v>440227.32753241231</v>
      </c>
    </row>
    <row r="80" spans="1:23">
      <c r="A80" s="18">
        <v>38808</v>
      </c>
      <c r="B80" s="20">
        <f t="shared" si="11"/>
        <v>2006</v>
      </c>
      <c r="C80" s="1483">
        <f>CALC!HH92</f>
        <v>29.853793296679065</v>
      </c>
      <c r="D80" s="820">
        <f>IF(Summary!$O$109=0,CALC!HE92,0)</f>
        <v>20274.698250000001</v>
      </c>
      <c r="E80" s="820">
        <f>SUM(CALC!GU92:HB92)*CALC!CY92/1000</f>
        <v>91541.52461915712</v>
      </c>
      <c r="F80" s="1481">
        <f>Summary!$J$54</f>
        <v>0.15</v>
      </c>
      <c r="G80" s="1483">
        <f>VLOOKUP(A80,CURVES!AW81:$BS$283,16)</f>
        <v>2.6687013968759459</v>
      </c>
      <c r="H80" s="1481">
        <f>Summary!$J$60</f>
        <v>0.04</v>
      </c>
      <c r="I80" s="17">
        <f>Summary!$J$55</f>
        <v>8.5</v>
      </c>
      <c r="J80" s="1483">
        <f t="shared" si="12"/>
        <v>24.298961873445538</v>
      </c>
      <c r="K80" s="1481">
        <f>Summary!$J$56</f>
        <v>3.75</v>
      </c>
      <c r="L80">
        <f>Summary!$O$23</f>
        <v>3.75</v>
      </c>
      <c r="M80" s="1481">
        <f>Summary!$J$57</f>
        <v>1.75</v>
      </c>
      <c r="N80" s="1483">
        <f t="shared" si="13"/>
        <v>5.5548314232335265</v>
      </c>
      <c r="O80" s="1481">
        <f t="shared" si="14"/>
        <v>0</v>
      </c>
      <c r="P80" s="1481">
        <f t="shared" si="15"/>
        <v>0</v>
      </c>
      <c r="Q80" s="1483">
        <f>IF(A80&lt;=Summary!$J$61,0.5*(P80),$Q$2*(P80))</f>
        <v>0</v>
      </c>
      <c r="R80" s="1481">
        <f>Summary!$J$58</f>
        <v>0.5</v>
      </c>
      <c r="S80" s="1481">
        <f t="shared" si="16"/>
        <v>32.298961873445535</v>
      </c>
      <c r="T80" s="1487">
        <f t="shared" si="17"/>
        <v>0</v>
      </c>
      <c r="U80" s="45">
        <f>Summary!$J$59</f>
        <v>0.12104878144800001</v>
      </c>
      <c r="V80" s="1487">
        <f>IF(A80&lt;=Summary!$J$61,(0.2*T80)+(R80*D80),(U80*T80)+(R80*D80))</f>
        <v>10137.349125000001</v>
      </c>
      <c r="W80" s="1536">
        <f t="shared" si="18"/>
        <v>605276.6507080408</v>
      </c>
    </row>
    <row r="81" spans="1:23">
      <c r="A81" s="18">
        <v>38838</v>
      </c>
      <c r="B81" s="20">
        <f t="shared" si="11"/>
        <v>2006</v>
      </c>
      <c r="C81" s="1483">
        <f>CALC!HH93</f>
        <v>30.122947991882111</v>
      </c>
      <c r="D81" s="820">
        <f>IF(Summary!$O$109=0,CALC!HE93,0)</f>
        <v>22276.5039</v>
      </c>
      <c r="E81" s="820">
        <f>SUM(CALC!GU93:HB93)*CALC!CY93/1000</f>
        <v>74041.671643484122</v>
      </c>
      <c r="F81" s="1481">
        <f>Summary!$J$54</f>
        <v>0.15</v>
      </c>
      <c r="G81" s="1483">
        <f>VLOOKUP(A81,CURVES!AW82:$BS$283,16)</f>
        <v>2.6485748764614367</v>
      </c>
      <c r="H81" s="1481">
        <f>Summary!$J$60</f>
        <v>0.04</v>
      </c>
      <c r="I81" s="17">
        <f>Summary!$J$55</f>
        <v>8.5</v>
      </c>
      <c r="J81" s="1483">
        <f t="shared" si="12"/>
        <v>24.127886449922212</v>
      </c>
      <c r="K81" s="1481">
        <f>Summary!$J$56</f>
        <v>3.75</v>
      </c>
      <c r="L81">
        <f>Summary!$O$23</f>
        <v>3.75</v>
      </c>
      <c r="M81" s="1481">
        <f>Summary!$J$57</f>
        <v>1.75</v>
      </c>
      <c r="N81" s="1483">
        <f t="shared" si="13"/>
        <v>5.9950615419598989</v>
      </c>
      <c r="O81" s="1481">
        <f t="shared" si="14"/>
        <v>0</v>
      </c>
      <c r="P81" s="1481">
        <f t="shared" si="15"/>
        <v>0</v>
      </c>
      <c r="Q81" s="1483">
        <f>IF(A81&lt;=Summary!$J$61,0.5*(P81),$Q$2*(P81))</f>
        <v>0</v>
      </c>
      <c r="R81" s="1481">
        <f>Summary!$J$58</f>
        <v>0.5</v>
      </c>
      <c r="S81" s="1481">
        <f t="shared" si="16"/>
        <v>32.127886449922215</v>
      </c>
      <c r="T81" s="1487">
        <f t="shared" si="17"/>
        <v>0</v>
      </c>
      <c r="U81" s="45">
        <f>Summary!$J$59</f>
        <v>0.12104878144800001</v>
      </c>
      <c r="V81" s="1487">
        <f>IF(A81&lt;=Summary!$J$61,(0.2*T81)+(R81*D81),(U81*T81)+(R81*D81))</f>
        <v>11138.25195</v>
      </c>
      <c r="W81" s="1536">
        <f t="shared" si="18"/>
        <v>671033.96842065896</v>
      </c>
    </row>
    <row r="82" spans="1:23">
      <c r="A82" s="18">
        <v>38869</v>
      </c>
      <c r="B82" s="20">
        <f t="shared" si="11"/>
        <v>2006</v>
      </c>
      <c r="C82" s="1483">
        <f>CALC!HH94</f>
        <v>29.863302835806763</v>
      </c>
      <c r="D82" s="820">
        <f>IF(Summary!$O$109=0,CALC!HE94,0)</f>
        <v>16425.072</v>
      </c>
      <c r="E82" s="820">
        <f>SUM(CALC!GU94:HB94)*CALC!CY94/1000</f>
        <v>31851.230251219204</v>
      </c>
      <c r="F82" s="1481">
        <f>Summary!$J$54</f>
        <v>0.15</v>
      </c>
      <c r="G82" s="1483">
        <f>VLOOKUP(A82,CURVES!AW83:$BS$283,16)</f>
        <v>2.6805681318946277</v>
      </c>
      <c r="H82" s="1481">
        <f>Summary!$J$60</f>
        <v>0.04</v>
      </c>
      <c r="I82" s="17">
        <f>Summary!$J$55</f>
        <v>8.5</v>
      </c>
      <c r="J82" s="1483">
        <f t="shared" si="12"/>
        <v>24.399829121104336</v>
      </c>
      <c r="K82" s="1481">
        <f>Summary!$J$56</f>
        <v>3.75</v>
      </c>
      <c r="L82">
        <f>Summary!$O$23</f>
        <v>3.75</v>
      </c>
      <c r="M82" s="1481">
        <f>Summary!$J$57</f>
        <v>1.75</v>
      </c>
      <c r="N82" s="1483">
        <f t="shared" si="13"/>
        <v>5.4634737147024275</v>
      </c>
      <c r="O82" s="1481">
        <f t="shared" si="14"/>
        <v>0</v>
      </c>
      <c r="P82" s="1481">
        <f t="shared" si="15"/>
        <v>0</v>
      </c>
      <c r="Q82" s="1483">
        <f>IF(A82&lt;=Summary!$J$61,0.5*(P82),$Q$2*(P82))</f>
        <v>0</v>
      </c>
      <c r="R82" s="1481">
        <f>Summary!$J$58</f>
        <v>0.5</v>
      </c>
      <c r="S82" s="1481">
        <f t="shared" si="16"/>
        <v>32.399829121104332</v>
      </c>
      <c r="T82" s="1487">
        <f t="shared" si="17"/>
        <v>0</v>
      </c>
      <c r="U82" s="45">
        <f>Summary!$J$59</f>
        <v>0.12104878144800001</v>
      </c>
      <c r="V82" s="1487">
        <f>IF(A82&lt;=Summary!$J$61,(0.2*T82)+(R82*D82),(U82*T82)+(R82*D82))</f>
        <v>8212.5360000000001</v>
      </c>
      <c r="W82" s="1536">
        <f t="shared" si="18"/>
        <v>490506.89923593029</v>
      </c>
    </row>
    <row r="83" spans="1:23">
      <c r="A83" s="18">
        <v>38899</v>
      </c>
      <c r="B83" s="20">
        <f t="shared" si="11"/>
        <v>2006</v>
      </c>
      <c r="C83" s="1483">
        <f>CALC!HH95</f>
        <v>41.400495878191776</v>
      </c>
      <c r="D83" s="820">
        <f>IF(Summary!$O$109=0,CALC!HE95,0)</f>
        <v>22276.503900000003</v>
      </c>
      <c r="E83" s="820">
        <f>SUM(CALC!GU95:HB95)*CALC!CY95/1000</f>
        <v>74066.549024685184</v>
      </c>
      <c r="F83" s="1481">
        <f>Summary!$J$54</f>
        <v>0.15</v>
      </c>
      <c r="G83" s="1483">
        <f>VLOOKUP(A83,CURVES!AW84:$BS$283,16)</f>
        <v>2.7537371618923916</v>
      </c>
      <c r="H83" s="1481">
        <f>Summary!$J$60</f>
        <v>0.04</v>
      </c>
      <c r="I83" s="17">
        <f>Summary!$J$55</f>
        <v>8.5</v>
      </c>
      <c r="J83" s="1483">
        <f t="shared" si="12"/>
        <v>25.021765876085329</v>
      </c>
      <c r="K83" s="1481">
        <f>Summary!$J$56</f>
        <v>3.75</v>
      </c>
      <c r="L83">
        <f>Summary!$O$23</f>
        <v>3.75</v>
      </c>
      <c r="M83" s="1481">
        <f>Summary!$J$57</f>
        <v>1.75</v>
      </c>
      <c r="N83" s="1483">
        <f t="shared" si="13"/>
        <v>16.378730002106447</v>
      </c>
      <c r="O83" s="1481">
        <f t="shared" si="14"/>
        <v>7.1287300021064475</v>
      </c>
      <c r="P83" s="1481">
        <f t="shared" si="15"/>
        <v>158803.1816939713</v>
      </c>
      <c r="Q83" s="1483">
        <f>IF(A83&lt;=Summary!$J$61,0.5*(P83),$Q$2*(P83))</f>
        <v>0</v>
      </c>
      <c r="R83" s="1481">
        <f>Summary!$J$58</f>
        <v>0.5</v>
      </c>
      <c r="S83" s="1481">
        <f t="shared" si="16"/>
        <v>33.021765876085325</v>
      </c>
      <c r="T83" s="1487">
        <f t="shared" si="17"/>
        <v>186648.8115689714</v>
      </c>
      <c r="U83" s="45">
        <f>Summary!$J$59</f>
        <v>0.12104878144800001</v>
      </c>
      <c r="V83" s="1487">
        <f>IF(A83&lt;=Summary!$J$61,(0.2*T83)+(R83*D83),(U83*T83)+(R83*D83))</f>
        <v>33731.863149141354</v>
      </c>
      <c r="W83" s="1536">
        <f t="shared" si="18"/>
        <v>922258.30789247318</v>
      </c>
    </row>
    <row r="84" spans="1:23">
      <c r="A84" s="18">
        <v>38930</v>
      </c>
      <c r="B84" s="20">
        <f t="shared" si="11"/>
        <v>2006</v>
      </c>
      <c r="C84" s="1483">
        <f>CALC!HH96</f>
        <v>59.626150127198542</v>
      </c>
      <c r="D84" s="820">
        <f>IF(Summary!$O$109=0,CALC!HE96,0)</f>
        <v>22276.5039</v>
      </c>
      <c r="E84" s="820">
        <f>SUM(CALC!GU96:HB96)*CALC!CY96/1000</f>
        <v>74078.987715285693</v>
      </c>
      <c r="F84" s="1481">
        <f>Summary!$J$54</f>
        <v>0.15</v>
      </c>
      <c r="G84" s="1483">
        <f>VLOOKUP(A84,CURVES!AW85:$BS$283,16)</f>
        <v>2.8576523808472754</v>
      </c>
      <c r="H84" s="1481">
        <f>Summary!$J$60</f>
        <v>0.04</v>
      </c>
      <c r="I84" s="17">
        <f>Summary!$J$55</f>
        <v>8.5</v>
      </c>
      <c r="J84" s="1483">
        <f t="shared" si="12"/>
        <v>25.90504523720184</v>
      </c>
      <c r="K84" s="1481">
        <f>Summary!$J$56</f>
        <v>3.75</v>
      </c>
      <c r="L84">
        <f>Summary!$O$23</f>
        <v>3.75</v>
      </c>
      <c r="M84" s="1481">
        <f>Summary!$J$57</f>
        <v>1.75</v>
      </c>
      <c r="N84" s="1483">
        <f t="shared" si="13"/>
        <v>33.721104889996703</v>
      </c>
      <c r="O84" s="1481">
        <f t="shared" si="14"/>
        <v>24.471104889996703</v>
      </c>
      <c r="P84" s="1481">
        <f t="shared" si="15"/>
        <v>545130.66351932066</v>
      </c>
      <c r="Q84" s="1483">
        <f>IF(A84&lt;=Summary!$J$61,0.5*(P84),$Q$2*(P84))</f>
        <v>0</v>
      </c>
      <c r="R84" s="1481">
        <f>Summary!$J$58</f>
        <v>0.5</v>
      </c>
      <c r="S84" s="1481">
        <f t="shared" si="16"/>
        <v>33.90504523720184</v>
      </c>
      <c r="T84" s="1487">
        <f t="shared" si="17"/>
        <v>572976.29339432064</v>
      </c>
      <c r="U84" s="45">
        <f>Summary!$J$59</f>
        <v>0.12104878144800001</v>
      </c>
      <c r="V84" s="1487">
        <f>IF(A84&lt;=Summary!$J$61,(0.2*T84)+(R84*D84),(U84*T84)+(R84*D84))</f>
        <v>80496.334063974253</v>
      </c>
      <c r="W84" s="1536">
        <f t="shared" si="18"/>
        <v>1328262.1658505239</v>
      </c>
    </row>
    <row r="85" spans="1:23">
      <c r="A85" s="18">
        <v>38961</v>
      </c>
      <c r="B85" s="20">
        <f t="shared" si="11"/>
        <v>2006</v>
      </c>
      <c r="C85" s="1483">
        <f>CALC!HH97</f>
        <v>48.735694292532791</v>
      </c>
      <c r="D85" s="820">
        <f>IF(Summary!$O$109=0,CALC!HE97,0)</f>
        <v>21557.906999999999</v>
      </c>
      <c r="E85" s="820">
        <f>SUM(CALC!GU97:HB97)*CALC!CY97/1000</f>
        <v>71701.380392793129</v>
      </c>
      <c r="F85" s="1481">
        <f>Summary!$J$54</f>
        <v>0.15</v>
      </c>
      <c r="G85" s="1483">
        <f>VLOOKUP(A85,CURVES!AW86:$BS$283,16)</f>
        <v>2.9813736423242752</v>
      </c>
      <c r="H85" s="1481">
        <f>Summary!$J$60</f>
        <v>0.04</v>
      </c>
      <c r="I85" s="17">
        <f>Summary!$J$55</f>
        <v>8.5</v>
      </c>
      <c r="J85" s="1483">
        <f t="shared" si="12"/>
        <v>26.956675959756339</v>
      </c>
      <c r="K85" s="1481">
        <f>Summary!$J$56</f>
        <v>3.75</v>
      </c>
      <c r="L85">
        <f>Summary!$O$23</f>
        <v>3.75</v>
      </c>
      <c r="M85" s="1481">
        <f>Summary!$J$57</f>
        <v>1.75</v>
      </c>
      <c r="N85" s="1483">
        <f t="shared" si="13"/>
        <v>21.779018332776452</v>
      </c>
      <c r="O85" s="1481">
        <f t="shared" si="14"/>
        <v>12.529018332776452</v>
      </c>
      <c r="P85" s="1481">
        <f t="shared" si="15"/>
        <v>270099.4120192898</v>
      </c>
      <c r="Q85" s="1483">
        <f>IF(A85&lt;=Summary!$J$61,0.5*(P85),$Q$2*(P85))</f>
        <v>0</v>
      </c>
      <c r="R85" s="1481">
        <f>Summary!$J$58</f>
        <v>0.5</v>
      </c>
      <c r="S85" s="1481">
        <f t="shared" si="16"/>
        <v>34.956675959756339</v>
      </c>
      <c r="T85" s="1487">
        <f t="shared" si="17"/>
        <v>297046.79576928978</v>
      </c>
      <c r="U85" s="45">
        <f>Summary!$J$59</f>
        <v>0.12104878144800001</v>
      </c>
      <c r="V85" s="1487">
        <f>IF(A85&lt;=Summary!$J$61,(0.2*T85)+(R85*D85),(U85*T85)+(R85*D85))</f>
        <v>46736.106160905445</v>
      </c>
      <c r="W85" s="1536">
        <f t="shared" si="18"/>
        <v>1050639.5651388527</v>
      </c>
    </row>
    <row r="86" spans="1:23">
      <c r="A86" s="18">
        <v>38991</v>
      </c>
      <c r="B86" s="20">
        <f t="shared" si="11"/>
        <v>2006</v>
      </c>
      <c r="C86" s="1483">
        <f>CALC!HH98</f>
        <v>42.94773718893687</v>
      </c>
      <c r="D86" s="820">
        <f>IF(Summary!$O$109=0,CALC!HE98,0)</f>
        <v>20950.521524999996</v>
      </c>
      <c r="E86" s="820">
        <f>SUM(CALC!GU98:HB98)*CALC!CY98/1000</f>
        <v>94688.272067733065</v>
      </c>
      <c r="F86" s="1481">
        <f>Summary!$J$54</f>
        <v>0.15</v>
      </c>
      <c r="G86" s="1483">
        <f>VLOOKUP(A86,CURVES!AW87:$BS$283,16)</f>
        <v>3.1138641482594616</v>
      </c>
      <c r="H86" s="1481">
        <f>Summary!$J$60</f>
        <v>0.04</v>
      </c>
      <c r="I86" s="17">
        <f>Summary!$J$55</f>
        <v>8.5</v>
      </c>
      <c r="J86" s="1483">
        <f t="shared" si="12"/>
        <v>28.082845260205424</v>
      </c>
      <c r="K86" s="1481">
        <f>Summary!$J$56</f>
        <v>3.75</v>
      </c>
      <c r="L86">
        <f>Summary!$O$23</f>
        <v>3.75</v>
      </c>
      <c r="M86" s="1481">
        <f>Summary!$J$57</f>
        <v>1.75</v>
      </c>
      <c r="N86" s="1483">
        <f t="shared" si="13"/>
        <v>14.864891928731446</v>
      </c>
      <c r="O86" s="1481">
        <f t="shared" si="14"/>
        <v>5.6148919287314456</v>
      </c>
      <c r="P86" s="1481">
        <f t="shared" si="15"/>
        <v>117634.9142134369</v>
      </c>
      <c r="Q86" s="1483">
        <f>IF(A86&lt;=Summary!$J$61,0.5*(P86),$Q$2*(P86))</f>
        <v>0</v>
      </c>
      <c r="R86" s="1481">
        <f>Summary!$J$58</f>
        <v>0.5</v>
      </c>
      <c r="S86" s="1481">
        <f t="shared" si="16"/>
        <v>36.082845260205424</v>
      </c>
      <c r="T86" s="1487">
        <f t="shared" si="17"/>
        <v>143823.0661196869</v>
      </c>
      <c r="U86" s="45">
        <f>Summary!$J$59</f>
        <v>0.12104878144800001</v>
      </c>
      <c r="V86" s="1487">
        <f>IF(A86&lt;=Summary!$J$61,(0.2*T86)+(R86*D86),(U86*T86)+(R86*D86))</f>
        <v>27884.867660403233</v>
      </c>
      <c r="W86" s="1536">
        <f t="shared" si="18"/>
        <v>899777.49242686469</v>
      </c>
    </row>
    <row r="87" spans="1:23">
      <c r="A87" s="18">
        <v>39022</v>
      </c>
      <c r="B87" s="20">
        <f t="shared" si="11"/>
        <v>2006</v>
      </c>
      <c r="C87" s="1483">
        <f>CALC!HH99</f>
        <v>44.991501097284129</v>
      </c>
      <c r="D87" s="820">
        <f>IF(Summary!$O$109=0,CALC!HE99,0)</f>
        <v>20274.698250000001</v>
      </c>
      <c r="E87" s="820">
        <f>SUM(CALC!GU99:HB99)*CALC!CY99/1000</f>
        <v>91649.192855000409</v>
      </c>
      <c r="F87" s="1481">
        <f>Summary!$J$54</f>
        <v>0.15</v>
      </c>
      <c r="G87" s="1483">
        <f>VLOOKUP(A87,CURVES!AW88:$BS$283,16)</f>
        <v>3.2445130409164622</v>
      </c>
      <c r="H87" s="1481">
        <f>Summary!$J$60</f>
        <v>0.04</v>
      </c>
      <c r="I87" s="17">
        <f>Summary!$J$55</f>
        <v>8.5</v>
      </c>
      <c r="J87" s="1483">
        <f t="shared" si="12"/>
        <v>29.193360847789929</v>
      </c>
      <c r="K87" s="1481">
        <f>Summary!$J$56</f>
        <v>3.75</v>
      </c>
      <c r="L87">
        <f>Summary!$O$23</f>
        <v>3.75</v>
      </c>
      <c r="M87" s="1481">
        <f>Summary!$J$57</f>
        <v>1.75</v>
      </c>
      <c r="N87" s="1483">
        <f t="shared" si="13"/>
        <v>15.7981402494942</v>
      </c>
      <c r="O87" s="1481">
        <f t="shared" si="14"/>
        <v>6.5481402494941996</v>
      </c>
      <c r="P87" s="1481">
        <f t="shared" si="15"/>
        <v>132761.56765717463</v>
      </c>
      <c r="Q87" s="1483">
        <f>IF(A87&lt;=Summary!$J$61,0.5*(P87),$Q$2*(P87))</f>
        <v>0</v>
      </c>
      <c r="R87" s="1481">
        <f>Summary!$J$58</f>
        <v>0.5</v>
      </c>
      <c r="S87" s="1481">
        <f t="shared" si="16"/>
        <v>37.193360847789933</v>
      </c>
      <c r="T87" s="1487">
        <f t="shared" si="17"/>
        <v>158104.94046967456</v>
      </c>
      <c r="U87" s="45">
        <f>Summary!$J$59</f>
        <v>0.12104878144800001</v>
      </c>
      <c r="V87" s="1487">
        <f>IF(A87&lt;=Summary!$J$61,(0.2*T87)+(R87*D87),(U87*T87)+(R87*D87))</f>
        <v>29275.759509762687</v>
      </c>
      <c r="W87" s="1536">
        <f t="shared" si="18"/>
        <v>912189.10856197961</v>
      </c>
    </row>
    <row r="88" spans="1:23">
      <c r="A88" s="18">
        <v>39052</v>
      </c>
      <c r="B88" s="20">
        <f t="shared" si="11"/>
        <v>2006</v>
      </c>
      <c r="C88" s="1483">
        <f>CALC!HH100</f>
        <v>41.865366367713925</v>
      </c>
      <c r="D88" s="820">
        <f>IF(Summary!$O$109=0,CALC!HE100,0)</f>
        <v>20950.521525</v>
      </c>
      <c r="E88" s="820">
        <f>SUM(CALC!GU100:HB100)*CALC!CY100/1000</f>
        <v>94720.059832601095</v>
      </c>
      <c r="F88" s="1481">
        <f>Summary!$J$54</f>
        <v>0.15</v>
      </c>
      <c r="G88" s="1483">
        <f>VLOOKUP(A88,CURVES!AW89:$BS$283,16)</f>
        <v>3.3825187317356189</v>
      </c>
      <c r="H88" s="1481">
        <f>Summary!$J$60</f>
        <v>0.04</v>
      </c>
      <c r="I88" s="17">
        <f>Summary!$J$55</f>
        <v>8.5</v>
      </c>
      <c r="J88" s="1483">
        <f t="shared" si="12"/>
        <v>30.366409219752761</v>
      </c>
      <c r="K88" s="1481">
        <f>Summary!$J$56</f>
        <v>3.75</v>
      </c>
      <c r="L88">
        <f>Summary!$O$23</f>
        <v>3.75</v>
      </c>
      <c r="M88" s="1481">
        <f>Summary!$J$57</f>
        <v>1.75</v>
      </c>
      <c r="N88" s="1483">
        <f t="shared" si="13"/>
        <v>11.498957147961164</v>
      </c>
      <c r="O88" s="1481">
        <f t="shared" si="14"/>
        <v>2.2489571479611641</v>
      </c>
      <c r="P88" s="1481">
        <f t="shared" si="15"/>
        <v>47116.825137162981</v>
      </c>
      <c r="Q88" s="1483">
        <f>IF(A88&lt;=Summary!$J$61,0.5*(P88),$Q$2*(P88))</f>
        <v>0</v>
      </c>
      <c r="R88" s="1481">
        <f>Summary!$J$58</f>
        <v>0.5</v>
      </c>
      <c r="S88" s="1481">
        <f t="shared" si="16"/>
        <v>38.366409219752761</v>
      </c>
      <c r="T88" s="1487">
        <f t="shared" si="17"/>
        <v>73304.977043412975</v>
      </c>
      <c r="U88" s="45">
        <f>Summary!$J$59</f>
        <v>0.12104878144800001</v>
      </c>
      <c r="V88" s="1487">
        <f>IF(A88&lt;=Summary!$J$61,(0.2*T88)+(R88*D88),(U88*T88)+(R88*D88))</f>
        <v>19348.738907678755</v>
      </c>
      <c r="W88" s="1536">
        <f t="shared" si="18"/>
        <v>877101.25923880166</v>
      </c>
    </row>
    <row r="89" spans="1:23">
      <c r="A89" s="18">
        <v>39083</v>
      </c>
      <c r="B89" s="20">
        <f t="shared" si="11"/>
        <v>2007</v>
      </c>
      <c r="C89" s="1483">
        <f>CALC!HH101</f>
        <v>41.126190420078345</v>
      </c>
      <c r="D89" s="820">
        <f>IF(Summary!$O$109=0,CALC!HE101,0)</f>
        <v>20950.521524999996</v>
      </c>
      <c r="E89" s="820">
        <f>SUM(CALC!GU101:HB101)*CALC!CY101/1000</f>
        <v>94735.953715035081</v>
      </c>
      <c r="F89" s="1481">
        <f>Summary!$J$54</f>
        <v>0.15</v>
      </c>
      <c r="G89" s="1483">
        <f>VLOOKUP(A89,CURVES!AW90:$BS$283,16)</f>
        <v>3.2445479561774047</v>
      </c>
      <c r="H89" s="1481">
        <f>Summary!$J$60</f>
        <v>0.04</v>
      </c>
      <c r="I89" s="17">
        <f>Summary!$J$55</f>
        <v>8.5</v>
      </c>
      <c r="J89" s="1483">
        <f t="shared" si="12"/>
        <v>29.193657627507939</v>
      </c>
      <c r="K89" s="1481">
        <f>Summary!$J$56</f>
        <v>3.75</v>
      </c>
      <c r="L89">
        <f>Summary!$O$23</f>
        <v>3.75</v>
      </c>
      <c r="M89" s="1481">
        <f>Summary!$J$57</f>
        <v>1.75</v>
      </c>
      <c r="N89" s="1483">
        <f t="shared" si="13"/>
        <v>11.932532792570406</v>
      </c>
      <c r="O89" s="1481">
        <f t="shared" si="14"/>
        <v>2.6825327925704059</v>
      </c>
      <c r="P89" s="1481">
        <f t="shared" si="15"/>
        <v>56200.461012264641</v>
      </c>
      <c r="Q89" s="1483">
        <f>IF(A89&lt;=Summary!$J$61,0.5*(P89),$Q$2*(P89))</f>
        <v>0</v>
      </c>
      <c r="R89" s="1481">
        <f>Summary!$J$58</f>
        <v>0.5</v>
      </c>
      <c r="S89" s="1481">
        <f t="shared" si="16"/>
        <v>37.193657627507939</v>
      </c>
      <c r="T89" s="1487">
        <f t="shared" si="17"/>
        <v>82388.612918514642</v>
      </c>
      <c r="U89" s="45">
        <f>Summary!$J$59</f>
        <v>0.12104878144800001</v>
      </c>
      <c r="V89" s="1487">
        <f>IF(A89&lt;=Summary!$J$61,(0.2*T89)+(R89*D89),(U89*T89)+(R89*D89))</f>
        <v>20448.301961477147</v>
      </c>
      <c r="W89" s="1536">
        <f t="shared" si="18"/>
        <v>861615.13763710007</v>
      </c>
    </row>
    <row r="90" spans="1:23">
      <c r="A90" s="18">
        <v>39114</v>
      </c>
      <c r="B90" s="20">
        <f t="shared" si="11"/>
        <v>2007</v>
      </c>
      <c r="C90" s="1483">
        <f>CALC!HH102</f>
        <v>34.859435089775452</v>
      </c>
      <c r="D90" s="820">
        <f>IF(Summary!$O$109=0,CALC!HE102,0)</f>
        <v>18923.051699999996</v>
      </c>
      <c r="E90" s="820">
        <f>SUM(CALC!GU102:HB102)*CALC!CY102/1000</f>
        <v>85582.313959004343</v>
      </c>
      <c r="F90" s="1481">
        <f>Summary!$J$54</f>
        <v>0.15</v>
      </c>
      <c r="G90" s="1483">
        <f>VLOOKUP(A90,CURVES!AW91:$BS$283,16)</f>
        <v>2.9967204071665132</v>
      </c>
      <c r="H90" s="1481">
        <f>Summary!$J$60</f>
        <v>0.04</v>
      </c>
      <c r="I90" s="17">
        <f>Summary!$J$55</f>
        <v>8.5</v>
      </c>
      <c r="J90" s="1483">
        <f t="shared" si="12"/>
        <v>27.087123460915361</v>
      </c>
      <c r="K90" s="1481">
        <f>Summary!$J$56</f>
        <v>3.75</v>
      </c>
      <c r="L90">
        <f>Summary!$O$23</f>
        <v>3.75</v>
      </c>
      <c r="M90" s="1481">
        <f>Summary!$J$57</f>
        <v>1.75</v>
      </c>
      <c r="N90" s="1483">
        <f t="shared" si="13"/>
        <v>7.7723116288600913</v>
      </c>
      <c r="O90" s="1481">
        <f t="shared" si="14"/>
        <v>0</v>
      </c>
      <c r="P90" s="1481">
        <f t="shared" si="15"/>
        <v>0</v>
      </c>
      <c r="Q90" s="1483">
        <f>IF(A90&lt;=Summary!$J$61,0.5*(P90),$Q$2*(P90))</f>
        <v>0</v>
      </c>
      <c r="R90" s="1481">
        <f>Summary!$J$58</f>
        <v>0.5</v>
      </c>
      <c r="S90" s="1481">
        <f t="shared" si="16"/>
        <v>35.087123460915365</v>
      </c>
      <c r="T90" s="1487">
        <f t="shared" si="17"/>
        <v>0</v>
      </c>
      <c r="U90" s="45">
        <f>Summary!$J$59</f>
        <v>0.12104878144800001</v>
      </c>
      <c r="V90" s="1487">
        <f>IF(A90&lt;=Summary!$J$61,(0.2*T90)+(R90*D90),(U90*T90)+(R90*D90))</f>
        <v>9461.5258499999982</v>
      </c>
      <c r="W90" s="1536">
        <f t="shared" si="18"/>
        <v>659646.89243661484</v>
      </c>
    </row>
    <row r="91" spans="1:23">
      <c r="A91" s="18">
        <v>39142</v>
      </c>
      <c r="B91" s="20">
        <f t="shared" si="11"/>
        <v>2007</v>
      </c>
      <c r="C91" s="1483">
        <f>CALC!HH103</f>
        <v>32.941913936779535</v>
      </c>
      <c r="D91" s="820">
        <f>IF(Summary!$O$109=0,CALC!HE103,0)</f>
        <v>20950.521524999996</v>
      </c>
      <c r="E91" s="820">
        <f>SUM(CALC!GU103:HB103)*CALC!CY103/1000</f>
        <v>94767.741479903096</v>
      </c>
      <c r="F91" s="1481">
        <f>Summary!$J$54</f>
        <v>0.15</v>
      </c>
      <c r="G91" s="1483">
        <f>VLOOKUP(A91,CURVES!AW92:$BS$283,16)</f>
        <v>2.8358461365584784</v>
      </c>
      <c r="H91" s="1481">
        <f>Summary!$J$60</f>
        <v>0.04</v>
      </c>
      <c r="I91" s="17">
        <f>Summary!$J$55</f>
        <v>8.5</v>
      </c>
      <c r="J91" s="1483">
        <f t="shared" si="12"/>
        <v>25.719692160747066</v>
      </c>
      <c r="K91" s="1481">
        <f>Summary!$J$56</f>
        <v>3.75</v>
      </c>
      <c r="L91">
        <f>Summary!$O$23</f>
        <v>3.75</v>
      </c>
      <c r="M91" s="1481">
        <f>Summary!$J$57</f>
        <v>1.75</v>
      </c>
      <c r="N91" s="1483">
        <f t="shared" si="13"/>
        <v>7.2222217760324696</v>
      </c>
      <c r="O91" s="1481">
        <f t="shared" si="14"/>
        <v>0</v>
      </c>
      <c r="P91" s="1481">
        <f t="shared" si="15"/>
        <v>0</v>
      </c>
      <c r="Q91" s="1483">
        <f>IF(A91&lt;=Summary!$J$61,0.5*(P91),$Q$2*(P91))</f>
        <v>0</v>
      </c>
      <c r="R91" s="1481">
        <f>Summary!$J$58</f>
        <v>0.5</v>
      </c>
      <c r="S91" s="1481">
        <f t="shared" si="16"/>
        <v>33.719692160747066</v>
      </c>
      <c r="T91" s="1487">
        <f t="shared" si="17"/>
        <v>0</v>
      </c>
      <c r="U91" s="45">
        <f>Summary!$J$59</f>
        <v>0.12104878144800001</v>
      </c>
      <c r="V91" s="1487">
        <f>IF(A91&lt;=Summary!$J$61,(0.2*T91)+(R91*D91),(U91*T91)+(R91*D91))</f>
        <v>10475.260762499998</v>
      </c>
      <c r="W91" s="1536">
        <f t="shared" si="18"/>
        <v>690150.27700719703</v>
      </c>
    </row>
    <row r="92" spans="1:23">
      <c r="A92" s="18">
        <v>39173</v>
      </c>
      <c r="B92" s="20">
        <f t="shared" si="11"/>
        <v>2007</v>
      </c>
      <c r="C92" s="1483">
        <f>CALC!HH104</f>
        <v>31.435265801416261</v>
      </c>
      <c r="D92" s="820">
        <f>IF(Summary!$O$109=0,CALC!HE104,0)</f>
        <v>20274.698250000001</v>
      </c>
      <c r="E92" s="820">
        <f>SUM(CALC!GU104:HB104)*CALC!CY104/1000</f>
        <v>91726.098737745619</v>
      </c>
      <c r="F92" s="1481">
        <f>Summary!$J$54</f>
        <v>0.15</v>
      </c>
      <c r="G92" s="1483">
        <f>VLOOKUP(A92,CURVES!AW93:$BS$283,16)</f>
        <v>2.7507687280295374</v>
      </c>
      <c r="H92" s="1481">
        <f>Summary!$J$60</f>
        <v>0.04</v>
      </c>
      <c r="I92" s="17">
        <f>Summary!$J$55</f>
        <v>8.5</v>
      </c>
      <c r="J92" s="1483">
        <f t="shared" si="12"/>
        <v>24.996534188251069</v>
      </c>
      <c r="K92" s="1481">
        <f>Summary!$J$56</f>
        <v>3.75</v>
      </c>
      <c r="L92">
        <f>Summary!$O$23</f>
        <v>3.75</v>
      </c>
      <c r="M92" s="1481">
        <f>Summary!$J$57</f>
        <v>1.75</v>
      </c>
      <c r="N92" s="1483">
        <f t="shared" si="13"/>
        <v>6.4387316131651922</v>
      </c>
      <c r="O92" s="1481">
        <f t="shared" si="14"/>
        <v>0</v>
      </c>
      <c r="P92" s="1481">
        <f t="shared" si="15"/>
        <v>0</v>
      </c>
      <c r="Q92" s="1483">
        <f>IF(A92&lt;=Summary!$J$61,0.5*(P92),$Q$2*(P92))</f>
        <v>0</v>
      </c>
      <c r="R92" s="1481">
        <f>Summary!$J$58</f>
        <v>0.5</v>
      </c>
      <c r="S92" s="1481">
        <f t="shared" si="16"/>
        <v>32.996534188251069</v>
      </c>
      <c r="T92" s="1487">
        <f t="shared" si="17"/>
        <v>0</v>
      </c>
      <c r="U92" s="45">
        <f>Summary!$J$59</f>
        <v>0.12104878144800001</v>
      </c>
      <c r="V92" s="1487">
        <f>IF(A92&lt;=Summary!$J$61,(0.2*T92)+(R92*D92),(U92*T92)+(R92*D92))</f>
        <v>10137.349125000001</v>
      </c>
      <c r="W92" s="1536">
        <f t="shared" si="18"/>
        <v>637340.52853225917</v>
      </c>
    </row>
    <row r="93" spans="1:23">
      <c r="A93" s="18">
        <v>39203</v>
      </c>
      <c r="B93" s="20">
        <f t="shared" si="11"/>
        <v>2007</v>
      </c>
      <c r="C93" s="1483">
        <f>CALC!HH105</f>
        <v>32.58313882766155</v>
      </c>
      <c r="D93" s="820">
        <f>IF(Summary!$O$109=0,CALC!HE105,0)</f>
        <v>22276.5039</v>
      </c>
      <c r="E93" s="820">
        <f>SUM(CALC!GU105:HB105)*CALC!CY105/1000</f>
        <v>74190.935930690452</v>
      </c>
      <c r="F93" s="1481">
        <f>Summary!$J$54</f>
        <v>0.15</v>
      </c>
      <c r="G93" s="1483">
        <f>VLOOKUP(A93,CURVES!AW94:$BS$283,16)</f>
        <v>2.7300232811897032</v>
      </c>
      <c r="H93" s="1481">
        <f>Summary!$J$60</f>
        <v>0.04</v>
      </c>
      <c r="I93" s="17">
        <f>Summary!$J$55</f>
        <v>8.5</v>
      </c>
      <c r="J93" s="1483">
        <f t="shared" si="12"/>
        <v>24.820197890112475</v>
      </c>
      <c r="K93" s="1481">
        <f>Summary!$J$56</f>
        <v>3.75</v>
      </c>
      <c r="L93">
        <f>Summary!$O$23</f>
        <v>3.75</v>
      </c>
      <c r="M93" s="1481">
        <f>Summary!$J$57</f>
        <v>1.75</v>
      </c>
      <c r="N93" s="1483">
        <f t="shared" si="13"/>
        <v>7.7629409375490752</v>
      </c>
      <c r="O93" s="1481">
        <f t="shared" si="14"/>
        <v>0</v>
      </c>
      <c r="P93" s="1481">
        <f t="shared" si="15"/>
        <v>0</v>
      </c>
      <c r="Q93" s="1483">
        <f>IF(A93&lt;=Summary!$J$61,0.5*(P93),$Q$2*(P93))</f>
        <v>0</v>
      </c>
      <c r="R93" s="1481">
        <f>Summary!$J$58</f>
        <v>0.5</v>
      </c>
      <c r="S93" s="1481">
        <f t="shared" si="16"/>
        <v>32.820197890112475</v>
      </c>
      <c r="T93" s="1487">
        <f t="shared" si="17"/>
        <v>0</v>
      </c>
      <c r="U93" s="45">
        <f>Summary!$J$59</f>
        <v>0.12104878144800001</v>
      </c>
      <c r="V93" s="1487">
        <f>IF(A93&lt;=Summary!$J$61,(0.2*T93)+(R93*D93),(U93*T93)+(R93*D93))</f>
        <v>11138.25195</v>
      </c>
      <c r="W93" s="1536">
        <f t="shared" si="18"/>
        <v>725838.41916864389</v>
      </c>
    </row>
    <row r="94" spans="1:23">
      <c r="A94" s="18">
        <v>39234</v>
      </c>
      <c r="B94" s="20">
        <f t="shared" si="11"/>
        <v>2007</v>
      </c>
      <c r="C94" s="1483">
        <f>CALC!HH106</f>
        <v>32.042479078753381</v>
      </c>
      <c r="D94" s="820">
        <f>IF(Summary!$O$109=0,CALC!HE106,0)</f>
        <v>16425.072</v>
      </c>
      <c r="E94" s="820">
        <f>SUM(CALC!GU106:HB106)*CALC!CY106/1000</f>
        <v>31915.429944641284</v>
      </c>
      <c r="F94" s="1481">
        <f>Summary!$J$54</f>
        <v>0.15</v>
      </c>
      <c r="G94" s="1483">
        <f>VLOOKUP(A94,CURVES!AW95:$BS$283,16)</f>
        <v>2.7630003863302428</v>
      </c>
      <c r="H94" s="1481">
        <f>Summary!$J$60</f>
        <v>0.04</v>
      </c>
      <c r="I94" s="17">
        <f>Summary!$J$55</f>
        <v>8.5</v>
      </c>
      <c r="J94" s="1483">
        <f t="shared" si="12"/>
        <v>25.100503283807065</v>
      </c>
      <c r="K94" s="1481">
        <f>Summary!$J$56</f>
        <v>3.75</v>
      </c>
      <c r="L94">
        <f>Summary!$O$23</f>
        <v>3.75</v>
      </c>
      <c r="M94" s="1481">
        <f>Summary!$J$57</f>
        <v>1.75</v>
      </c>
      <c r="N94" s="1483">
        <f t="shared" si="13"/>
        <v>6.9419757949463161</v>
      </c>
      <c r="O94" s="1481">
        <f t="shared" si="14"/>
        <v>0</v>
      </c>
      <c r="P94" s="1481">
        <f t="shared" si="15"/>
        <v>0</v>
      </c>
      <c r="Q94" s="1483">
        <f>IF(A94&lt;=Summary!$J$61,0.5*(P94),$Q$2*(P94))</f>
        <v>0</v>
      </c>
      <c r="R94" s="1481">
        <f>Summary!$J$58</f>
        <v>0.5</v>
      </c>
      <c r="S94" s="1481">
        <f t="shared" si="16"/>
        <v>33.100503283807065</v>
      </c>
      <c r="T94" s="1487">
        <f t="shared" si="17"/>
        <v>0</v>
      </c>
      <c r="U94" s="45">
        <f>Summary!$J$59</f>
        <v>0.12104878144800001</v>
      </c>
      <c r="V94" s="1487">
        <f>IF(A94&lt;=Summary!$J$61,(0.2*T94)+(R94*D94),(U94*T94)+(R94*D94))</f>
        <v>8212.5360000000001</v>
      </c>
      <c r="W94" s="1536">
        <f t="shared" si="18"/>
        <v>526300.02592701791</v>
      </c>
    </row>
    <row r="95" spans="1:23">
      <c r="A95" s="18">
        <v>39264</v>
      </c>
      <c r="B95" s="20">
        <f t="shared" si="11"/>
        <v>2007</v>
      </c>
      <c r="C95" s="1483">
        <f>CALC!HH107</f>
        <v>45.119199396533226</v>
      </c>
      <c r="D95" s="820">
        <f>IF(Summary!$O$109=0,CALC!HE107,0)</f>
        <v>22276.5039</v>
      </c>
      <c r="E95" s="820">
        <f>SUM(CALC!GU107:HB107)*CALC!CY107/1000</f>
        <v>74215.813311891499</v>
      </c>
      <c r="F95" s="1481">
        <f>Summary!$J$54</f>
        <v>0.15</v>
      </c>
      <c r="G95" s="1483">
        <f>VLOOKUP(A95,CURVES!AW96:$BS$283,16)</f>
        <v>2.838419494595303</v>
      </c>
      <c r="H95" s="1481">
        <f>Summary!$J$60</f>
        <v>0.04</v>
      </c>
      <c r="I95" s="17">
        <f>Summary!$J$55</f>
        <v>8.5</v>
      </c>
      <c r="J95" s="1483">
        <f t="shared" si="12"/>
        <v>25.741565704060076</v>
      </c>
      <c r="K95" s="1481">
        <f>Summary!$J$56</f>
        <v>3.75</v>
      </c>
      <c r="L95">
        <f>Summary!$O$23</f>
        <v>3.75</v>
      </c>
      <c r="M95" s="1481">
        <f>Summary!$J$57</f>
        <v>1.75</v>
      </c>
      <c r="N95" s="1483">
        <f t="shared" si="13"/>
        <v>19.37763369247315</v>
      </c>
      <c r="O95" s="1481">
        <f t="shared" si="14"/>
        <v>10.12763369247315</v>
      </c>
      <c r="P95" s="1481">
        <f t="shared" si="15"/>
        <v>225608.27144814952</v>
      </c>
      <c r="Q95" s="1483">
        <f>IF(A95&lt;=Summary!$J$61,0.5*(P95),$Q$2*(P95))</f>
        <v>0</v>
      </c>
      <c r="R95" s="1481">
        <f>Summary!$J$58</f>
        <v>0.5</v>
      </c>
      <c r="S95" s="1481">
        <f t="shared" si="16"/>
        <v>33.741565704060079</v>
      </c>
      <c r="T95" s="1487">
        <f t="shared" si="17"/>
        <v>253453.90132314945</v>
      </c>
      <c r="U95" s="45">
        <f>Summary!$J$59</f>
        <v>0.12104878144800001</v>
      </c>
      <c r="V95" s="1487">
        <f>IF(A95&lt;=Summary!$J$61,(0.2*T95)+(R95*D95),(U95*T95)+(R95*D95))</f>
        <v>41818.537858408876</v>
      </c>
      <c r="W95" s="1536">
        <f t="shared" si="18"/>
        <v>1005098.02132175</v>
      </c>
    </row>
    <row r="96" spans="1:23">
      <c r="A96" s="18">
        <v>39295</v>
      </c>
      <c r="B96" s="20">
        <f t="shared" si="11"/>
        <v>2007</v>
      </c>
      <c r="C96" s="1483">
        <f>CALC!HH108</f>
        <v>63.862112468936878</v>
      </c>
      <c r="D96" s="820">
        <f>IF(Summary!$O$109=0,CALC!HE108,0)</f>
        <v>22276.5039</v>
      </c>
      <c r="E96" s="820">
        <f>SUM(CALC!GU108:HB108)*CALC!CY108/1000</f>
        <v>74228.252002492023</v>
      </c>
      <c r="F96" s="1481">
        <f>Summary!$J$54</f>
        <v>0.15</v>
      </c>
      <c r="G96" s="1483">
        <f>VLOOKUP(A96,CURVES!AW97:$BS$283,16)</f>
        <v>2.9455302920048809</v>
      </c>
      <c r="H96" s="1481">
        <f>Summary!$J$60</f>
        <v>0.04</v>
      </c>
      <c r="I96" s="17">
        <f>Summary!$J$55</f>
        <v>8.5</v>
      </c>
      <c r="J96" s="1483">
        <f t="shared" si="12"/>
        <v>26.652007482041487</v>
      </c>
      <c r="K96" s="1481">
        <f>Summary!$J$56</f>
        <v>3.75</v>
      </c>
      <c r="L96">
        <f>Summary!$O$23</f>
        <v>3.75</v>
      </c>
      <c r="M96" s="1481">
        <f>Summary!$J$57</f>
        <v>1.75</v>
      </c>
      <c r="N96" s="1483">
        <f t="shared" si="13"/>
        <v>37.210104986895388</v>
      </c>
      <c r="O96" s="1481">
        <f t="shared" si="14"/>
        <v>27.960104986895388</v>
      </c>
      <c r="P96" s="1481">
        <f t="shared" si="15"/>
        <v>622853.38778498454</v>
      </c>
      <c r="Q96" s="1483">
        <f>IF(A96&lt;=Summary!$J$61,0.5*(P96),$Q$2*(P96))</f>
        <v>0</v>
      </c>
      <c r="R96" s="1481">
        <f>Summary!$J$58</f>
        <v>0.5</v>
      </c>
      <c r="S96" s="1481">
        <f t="shared" si="16"/>
        <v>34.652007482041483</v>
      </c>
      <c r="T96" s="1487">
        <f t="shared" si="17"/>
        <v>650699.01765998476</v>
      </c>
      <c r="U96" s="45">
        <f>Summary!$J$59</f>
        <v>0.12104878144800001</v>
      </c>
      <c r="V96" s="1487">
        <f>IF(A96&lt;=Summary!$J$61,(0.2*T96)+(R96*D96),(U96*T96)+(R96*D96))</f>
        <v>89904.575127151795</v>
      </c>
      <c r="W96" s="1536">
        <f t="shared" si="18"/>
        <v>1422624.597476511</v>
      </c>
    </row>
    <row r="97" spans="1:23">
      <c r="A97" s="18">
        <v>39326</v>
      </c>
      <c r="B97" s="20">
        <f t="shared" si="11"/>
        <v>2007</v>
      </c>
      <c r="C97" s="1483">
        <f>CALC!HH109</f>
        <v>51.059853647294645</v>
      </c>
      <c r="D97" s="820">
        <f>IF(Summary!$O$109=0,CALC!HE109,0)</f>
        <v>21557.906999999999</v>
      </c>
      <c r="E97" s="820">
        <f>SUM(CALC!GU109:HB109)*CALC!CY109/1000</f>
        <v>71845.829702992793</v>
      </c>
      <c r="F97" s="1481">
        <f>Summary!$J$54</f>
        <v>0.15</v>
      </c>
      <c r="G97" s="1483">
        <f>VLOOKUP(A97,CURVES!AW98:$BS$283,16)</f>
        <v>3.0730562030947071</v>
      </c>
      <c r="H97" s="1481">
        <f>Summary!$J$60</f>
        <v>0.04</v>
      </c>
      <c r="I97" s="17">
        <f>Summary!$J$55</f>
        <v>8.5</v>
      </c>
      <c r="J97" s="1483">
        <f t="shared" si="12"/>
        <v>27.735977726305009</v>
      </c>
      <c r="K97" s="1481">
        <f>Summary!$J$56</f>
        <v>3.75</v>
      </c>
      <c r="L97">
        <f>Summary!$O$23</f>
        <v>3.75</v>
      </c>
      <c r="M97" s="1481">
        <f>Summary!$J$57</f>
        <v>1.75</v>
      </c>
      <c r="N97" s="1483">
        <f t="shared" si="13"/>
        <v>23.323875920989636</v>
      </c>
      <c r="O97" s="1481">
        <f t="shared" si="14"/>
        <v>14.073875920989636</v>
      </c>
      <c r="P97" s="1481">
        <f t="shared" si="15"/>
        <v>303403.30823423393</v>
      </c>
      <c r="Q97" s="1483">
        <f>IF(A97&lt;=Summary!$J$61,0.5*(P97),$Q$2*(P97))</f>
        <v>0</v>
      </c>
      <c r="R97" s="1481">
        <f>Summary!$J$58</f>
        <v>0.5</v>
      </c>
      <c r="S97" s="1481">
        <f t="shared" si="16"/>
        <v>35.735977726305009</v>
      </c>
      <c r="T97" s="1487">
        <f t="shared" si="17"/>
        <v>330350.69198423391</v>
      </c>
      <c r="U97" s="45">
        <f>Summary!$J$59</f>
        <v>0.12104878144800001</v>
      </c>
      <c r="V97" s="1487">
        <f>IF(A97&lt;=Summary!$J$61,(0.2*T97)+(R97*D97),(U97*T97)+(R97*D97))</f>
        <v>50767.502215195098</v>
      </c>
      <c r="W97" s="1536">
        <f t="shared" si="18"/>
        <v>1100743.5763619887</v>
      </c>
    </row>
    <row r="98" spans="1:23">
      <c r="A98" s="18">
        <v>39356</v>
      </c>
      <c r="B98" s="20">
        <f t="shared" si="11"/>
        <v>2007</v>
      </c>
      <c r="C98" s="1483">
        <f>CALC!HH110</f>
        <v>43.728230729952955</v>
      </c>
      <c r="D98" s="820">
        <f>IF(Summary!$O$109=0,CALC!HE110,0)</f>
        <v>20950.521524999996</v>
      </c>
      <c r="E98" s="820">
        <f>SUM(CALC!GU110:HB110)*CALC!CY110/1000</f>
        <v>94878.998656941156</v>
      </c>
      <c r="F98" s="1481">
        <f>Summary!$J$54</f>
        <v>0.15</v>
      </c>
      <c r="G98" s="1483">
        <f>VLOOKUP(A98,CURVES!AW99:$BS$283,16)</f>
        <v>3.2096210285614895</v>
      </c>
      <c r="H98" s="1481">
        <f>Summary!$J$60</f>
        <v>0.04</v>
      </c>
      <c r="I98" s="17">
        <f>Summary!$J$55</f>
        <v>8.5</v>
      </c>
      <c r="J98" s="1483">
        <f t="shared" si="12"/>
        <v>28.896778742772661</v>
      </c>
      <c r="K98" s="1481">
        <f>Summary!$J$56</f>
        <v>3.75</v>
      </c>
      <c r="L98">
        <f>Summary!$O$23</f>
        <v>3.75</v>
      </c>
      <c r="M98" s="1481">
        <f>Summary!$J$57</f>
        <v>1.75</v>
      </c>
      <c r="N98" s="1483">
        <f t="shared" si="13"/>
        <v>14.831451987180294</v>
      </c>
      <c r="O98" s="1481">
        <f t="shared" si="14"/>
        <v>5.5814519871802943</v>
      </c>
      <c r="P98" s="1481">
        <f t="shared" si="15"/>
        <v>116934.32999817476</v>
      </c>
      <c r="Q98" s="1483">
        <f>IF(A98&lt;=Summary!$J$61,0.5*(P98),$Q$2*(P98))</f>
        <v>0</v>
      </c>
      <c r="R98" s="1481">
        <f>Summary!$J$58</f>
        <v>0.5</v>
      </c>
      <c r="S98" s="1481">
        <f t="shared" si="16"/>
        <v>36.896778742772661</v>
      </c>
      <c r="T98" s="1487">
        <f t="shared" si="17"/>
        <v>143122.48190442476</v>
      </c>
      <c r="U98" s="45">
        <f>Summary!$J$59</f>
        <v>0.12104878144800001</v>
      </c>
      <c r="V98" s="1487">
        <f>IF(A98&lt;=Summary!$J$61,(0.2*T98)+(R98*D98),(U98*T98)+(R98*D98))</f>
        <v>27800.062794844045</v>
      </c>
      <c r="W98" s="1536">
        <f t="shared" si="18"/>
        <v>916129.23915804573</v>
      </c>
    </row>
    <row r="99" spans="1:23">
      <c r="A99" s="18">
        <v>39387</v>
      </c>
      <c r="B99" s="20">
        <f t="shared" si="11"/>
        <v>2007</v>
      </c>
      <c r="C99" s="1483">
        <f>CALC!HH111</f>
        <v>45.989430181731223</v>
      </c>
      <c r="D99" s="820">
        <f>IF(Summary!$O$109=0,CALC!HE111,0)</f>
        <v>20274.698250000001</v>
      </c>
      <c r="E99" s="820">
        <f>SUM(CALC!GU111:HB111)*CALC!CY111/1000</f>
        <v>91833.766973588892</v>
      </c>
      <c r="F99" s="1481">
        <f>Summary!$J$54</f>
        <v>0.15</v>
      </c>
      <c r="G99" s="1483">
        <f>VLOOKUP(A99,CURVES!AW100:$BS$283,16)</f>
        <v>3.3442876078548012</v>
      </c>
      <c r="H99" s="1481">
        <f>Summary!$J$60</f>
        <v>0.04</v>
      </c>
      <c r="I99" s="17">
        <f>Summary!$J$55</f>
        <v>8.5</v>
      </c>
      <c r="J99" s="1483">
        <f t="shared" si="12"/>
        <v>30.041444666765809</v>
      </c>
      <c r="K99" s="1481">
        <f>Summary!$J$56</f>
        <v>3.75</v>
      </c>
      <c r="L99">
        <f>Summary!$O$23</f>
        <v>3.75</v>
      </c>
      <c r="M99" s="1481">
        <f>Summary!$J$57</f>
        <v>1.75</v>
      </c>
      <c r="N99" s="1483">
        <f t="shared" si="13"/>
        <v>15.947985514965414</v>
      </c>
      <c r="O99" s="1481">
        <f t="shared" si="14"/>
        <v>6.6979855149654135</v>
      </c>
      <c r="P99" s="1481">
        <f t="shared" si="15"/>
        <v>135799.63519879463</v>
      </c>
      <c r="Q99" s="1483">
        <f>IF(A99&lt;=Summary!$J$61,0.5*(P99),$Q$2*(P99))</f>
        <v>0</v>
      </c>
      <c r="R99" s="1481">
        <f>Summary!$J$58</f>
        <v>0.5</v>
      </c>
      <c r="S99" s="1481">
        <f t="shared" si="16"/>
        <v>38.041444666765813</v>
      </c>
      <c r="T99" s="1487">
        <f t="shared" si="17"/>
        <v>161143.00801129456</v>
      </c>
      <c r="U99" s="45">
        <f>Summary!$J$59</f>
        <v>0.12104878144800001</v>
      </c>
      <c r="V99" s="1487">
        <f>IF(A99&lt;=Summary!$J$61,(0.2*T99)+(R99*D99),(U99*T99)+(R99*D99))</f>
        <v>29643.51388363251</v>
      </c>
      <c r="W99" s="1536">
        <f t="shared" si="18"/>
        <v>932421.8196240433</v>
      </c>
    </row>
    <row r="100" spans="1:23">
      <c r="A100" s="18">
        <v>39417</v>
      </c>
      <c r="B100" s="20">
        <f t="shared" si="11"/>
        <v>2007</v>
      </c>
      <c r="C100" s="1483">
        <f>CALC!HH112</f>
        <v>46.338380291719325</v>
      </c>
      <c r="D100" s="820">
        <f>IF(Summary!$O$109=0,CALC!HE112,0)</f>
        <v>20950.521525</v>
      </c>
      <c r="E100" s="820">
        <f>SUM(CALC!GU112:HB112)*CALC!CY112/1000</f>
        <v>93493.426082400008</v>
      </c>
      <c r="F100" s="1481">
        <f>Summary!$J$54</f>
        <v>0.15</v>
      </c>
      <c r="G100" s="1483">
        <f>VLOOKUP(A100,CURVES!AW101:$BS$283,16)</f>
        <v>3.4865372199844473</v>
      </c>
      <c r="H100" s="1481">
        <f>Summary!$J$60</f>
        <v>0.04</v>
      </c>
      <c r="I100" s="17">
        <f>Summary!$J$55</f>
        <v>8.5</v>
      </c>
      <c r="J100" s="1483">
        <f t="shared" si="12"/>
        <v>31.250566369867801</v>
      </c>
      <c r="K100" s="1481">
        <f>Summary!$J$56</f>
        <v>3.75</v>
      </c>
      <c r="L100">
        <f>Summary!$O$23</f>
        <v>3.75</v>
      </c>
      <c r="M100" s="1481">
        <f>Summary!$J$57</f>
        <v>1.75</v>
      </c>
      <c r="N100" s="1483">
        <f t="shared" si="13"/>
        <v>15.087813921851524</v>
      </c>
      <c r="O100" s="1481">
        <f t="shared" si="14"/>
        <v>5.8378139218515237</v>
      </c>
      <c r="P100" s="1481">
        <f t="shared" si="15"/>
        <v>122305.24622869502</v>
      </c>
      <c r="Q100" s="1483">
        <f>IF(A100&lt;=Summary!$J$61,0.5*(P100),$Q$2*(P100))</f>
        <v>0</v>
      </c>
      <c r="R100" s="1481">
        <f>Summary!$J$58</f>
        <v>0.5</v>
      </c>
      <c r="S100" s="1481">
        <f t="shared" si="16"/>
        <v>39.250566369867798</v>
      </c>
      <c r="T100" s="1487">
        <f t="shared" si="17"/>
        <v>148493.39813494508</v>
      </c>
      <c r="U100" s="45">
        <f>Summary!$J$59</f>
        <v>0.12104878144800001</v>
      </c>
      <c r="V100" s="1487">
        <f>IF(A100&lt;=Summary!$J$61,(0.2*T100)+(R100*D100),(U100*T100)+(R100*D100))</f>
        <v>28450.20565980782</v>
      </c>
      <c r="W100" s="1536">
        <f t="shared" si="18"/>
        <v>970813.23373530153</v>
      </c>
    </row>
    <row r="101" spans="1:23">
      <c r="A101" s="18">
        <v>39448</v>
      </c>
      <c r="B101" s="20">
        <f t="shared" si="11"/>
        <v>2008</v>
      </c>
      <c r="C101" s="1483">
        <f>CALC!HH113</f>
        <v>42.554658587083566</v>
      </c>
      <c r="D101" s="820">
        <f>IF(Summary!$O$109=0,CALC!HE113,0)</f>
        <v>20950.521524999996</v>
      </c>
      <c r="E101" s="820">
        <f>SUM(CALC!GU113:HB113)*CALC!CY113/1000</f>
        <v>93518.201840311827</v>
      </c>
      <c r="F101" s="1481">
        <f>Summary!$J$54</f>
        <v>0.15</v>
      </c>
      <c r="G101" s="1483">
        <f>VLOOKUP(A101,CURVES!AW102:$BS$283,16)</f>
        <v>3.341436315830201</v>
      </c>
      <c r="H101" s="1481">
        <f>Summary!$J$60</f>
        <v>0.04</v>
      </c>
      <c r="I101" s="17">
        <f>Summary!$J$55</f>
        <v>8.5</v>
      </c>
      <c r="J101" s="1483">
        <f t="shared" si="12"/>
        <v>30.017208684556707</v>
      </c>
      <c r="K101" s="1481">
        <f>Summary!$J$56</f>
        <v>3.75</v>
      </c>
      <c r="L101">
        <f>Summary!$O$23</f>
        <v>3.75</v>
      </c>
      <c r="M101" s="1481">
        <f>Summary!$J$57</f>
        <v>1.75</v>
      </c>
      <c r="N101" s="1483">
        <f t="shared" si="13"/>
        <v>12.537449902526859</v>
      </c>
      <c r="O101" s="1481">
        <f t="shared" si="14"/>
        <v>3.2874499025268591</v>
      </c>
      <c r="P101" s="1481">
        <f t="shared" si="15"/>
        <v>68873.789945248107</v>
      </c>
      <c r="Q101" s="1483">
        <f>IF(A101&lt;=Summary!$J$61,0.5*(P101),$Q$2*(P101))</f>
        <v>0</v>
      </c>
      <c r="R101" s="1481">
        <f>Summary!$J$58</f>
        <v>0.5</v>
      </c>
      <c r="S101" s="1481">
        <f t="shared" si="16"/>
        <v>38.017208684556707</v>
      </c>
      <c r="T101" s="1487">
        <f t="shared" si="17"/>
        <v>95061.941851498093</v>
      </c>
      <c r="U101" s="45">
        <f>Summary!$J$59</f>
        <v>0.12104878144800001</v>
      </c>
      <c r="V101" s="1487">
        <f>IF(A101&lt;=Summary!$J$61,(0.2*T101)+(R101*D101),(U101*T101)+(R101*D101))</f>
        <v>21982.392985704479</v>
      </c>
      <c r="W101" s="1536">
        <f t="shared" si="18"/>
        <v>891542.29071772017</v>
      </c>
    </row>
    <row r="102" spans="1:23">
      <c r="A102" s="18">
        <v>39479</v>
      </c>
      <c r="B102" s="20">
        <f t="shared" si="11"/>
        <v>2008</v>
      </c>
      <c r="C102" s="1483">
        <f>CALC!HH114</f>
        <v>34.39924018338818</v>
      </c>
      <c r="D102" s="820">
        <f>IF(Summary!$O$109=0,CALC!HE114,0)</f>
        <v>19598.874974999999</v>
      </c>
      <c r="E102" s="820">
        <f>SUM(CALC!GU114:HB114)*CALC!CY114/1000</f>
        <v>87507.946785435022</v>
      </c>
      <c r="F102" s="1481">
        <f>Summary!$J$54</f>
        <v>0.15</v>
      </c>
      <c r="G102" s="1483">
        <f>VLOOKUP(A102,CURVES!AW103:$BS$283,16)</f>
        <v>3.0862081658651079</v>
      </c>
      <c r="H102" s="1481">
        <f>Summary!$J$60</f>
        <v>0.04</v>
      </c>
      <c r="I102" s="17">
        <f>Summary!$J$55</f>
        <v>8.5</v>
      </c>
      <c r="J102" s="1483">
        <f t="shared" si="12"/>
        <v>27.847769409853417</v>
      </c>
      <c r="K102" s="1481">
        <f>Summary!$J$56</f>
        <v>3.75</v>
      </c>
      <c r="L102">
        <f>Summary!$O$23</f>
        <v>3.75</v>
      </c>
      <c r="M102" s="1481">
        <f>Summary!$J$57</f>
        <v>1.75</v>
      </c>
      <c r="N102" s="1483">
        <f t="shared" si="13"/>
        <v>6.5514707735347635</v>
      </c>
      <c r="O102" s="1481">
        <f t="shared" si="14"/>
        <v>0</v>
      </c>
      <c r="P102" s="1481">
        <f t="shared" si="15"/>
        <v>0</v>
      </c>
      <c r="Q102" s="1483">
        <f>IF(A102&lt;=Summary!$J$61,0.5*(P102),$Q$2*(P102))</f>
        <v>0</v>
      </c>
      <c r="R102" s="1481">
        <f>Summary!$J$58</f>
        <v>0.5</v>
      </c>
      <c r="S102" s="1481">
        <f t="shared" si="16"/>
        <v>35.847769409853413</v>
      </c>
      <c r="T102" s="1487">
        <f t="shared" si="17"/>
        <v>0</v>
      </c>
      <c r="U102" s="45">
        <f>Summary!$J$59</f>
        <v>0.12104878144800001</v>
      </c>
      <c r="V102" s="1487">
        <f>IF(A102&lt;=Summary!$J$61,(0.2*T102)+(R102*D102),(U102*T102)+(R102*D102))</f>
        <v>9799.4374874999994</v>
      </c>
      <c r="W102" s="1536">
        <f t="shared" si="18"/>
        <v>674186.40758922102</v>
      </c>
    </row>
    <row r="103" spans="1:23">
      <c r="A103" s="18">
        <v>39508</v>
      </c>
      <c r="B103" s="20">
        <f t="shared" si="11"/>
        <v>2008</v>
      </c>
      <c r="C103" s="1483">
        <f>CALC!HH115</f>
        <v>33.847293811552731</v>
      </c>
      <c r="D103" s="820">
        <f>IF(Summary!$O$109=0,CALC!HE115,0)</f>
        <v>20950.521525</v>
      </c>
      <c r="E103" s="820">
        <f>SUM(CALC!GU115:HB115)*CALC!CY115/1000</f>
        <v>93567.753356135538</v>
      </c>
      <c r="F103" s="1481">
        <f>Summary!$J$54</f>
        <v>0.15</v>
      </c>
      <c r="G103" s="1483">
        <f>VLOOKUP(A103,CURVES!AW104:$BS$283,16)</f>
        <v>2.9206882298267671</v>
      </c>
      <c r="H103" s="1481">
        <f>Summary!$J$60</f>
        <v>0.04</v>
      </c>
      <c r="I103" s="17">
        <f>Summary!$J$55</f>
        <v>8.5</v>
      </c>
      <c r="J103" s="1483">
        <f t="shared" si="12"/>
        <v>26.440849953527518</v>
      </c>
      <c r="K103" s="1481">
        <f>Summary!$J$56</f>
        <v>3.75</v>
      </c>
      <c r="L103">
        <f>Summary!$O$23</f>
        <v>3.75</v>
      </c>
      <c r="M103" s="1481">
        <f>Summary!$J$57</f>
        <v>1.75</v>
      </c>
      <c r="N103" s="1483">
        <f t="shared" si="13"/>
        <v>7.406443858025213</v>
      </c>
      <c r="O103" s="1481">
        <f t="shared" si="14"/>
        <v>0</v>
      </c>
      <c r="P103" s="1481">
        <f t="shared" si="15"/>
        <v>0</v>
      </c>
      <c r="Q103" s="1483">
        <f>IF(A103&lt;=Summary!$J$61,0.5*(P103),$Q$2*(P103))</f>
        <v>0</v>
      </c>
      <c r="R103" s="1481">
        <f>Summary!$J$58</f>
        <v>0.5</v>
      </c>
      <c r="S103" s="1481">
        <f t="shared" si="16"/>
        <v>34.440849953527518</v>
      </c>
      <c r="T103" s="1487">
        <f t="shared" si="17"/>
        <v>0</v>
      </c>
      <c r="U103" s="45">
        <f>Summary!$J$59</f>
        <v>0.12104878144800001</v>
      </c>
      <c r="V103" s="1487">
        <f>IF(A103&lt;=Summary!$J$61,(0.2*T103)+(R103*D103),(U103*T103)+(R103*D103))</f>
        <v>10475.2607625</v>
      </c>
      <c r="W103" s="1536">
        <f t="shared" si="18"/>
        <v>709118.45756193483</v>
      </c>
    </row>
    <row r="104" spans="1:23">
      <c r="A104" s="18">
        <v>39539</v>
      </c>
      <c r="B104" s="20">
        <f t="shared" si="11"/>
        <v>2008</v>
      </c>
      <c r="C104" s="1483">
        <f>CALC!HH116</f>
        <v>32.320340557594832</v>
      </c>
      <c r="D104" s="820">
        <f>IF(Summary!$O$109=0,CALC!HE116,0)</f>
        <v>20274.698249999998</v>
      </c>
      <c r="E104" s="820">
        <f>SUM(CALC!GU116:HB116)*CALC!CY116/1000</f>
        <v>90573.415271658712</v>
      </c>
      <c r="F104" s="1481">
        <f>Summary!$J$54</f>
        <v>0.15</v>
      </c>
      <c r="G104" s="1483">
        <f>VLOOKUP(A104,CURVES!AW105:$BS$283,16)</f>
        <v>2.8330654979333523</v>
      </c>
      <c r="H104" s="1481">
        <f>Summary!$J$60</f>
        <v>0.04</v>
      </c>
      <c r="I104" s="17">
        <f>Summary!$J$55</f>
        <v>8.5</v>
      </c>
      <c r="J104" s="1483">
        <f t="shared" si="12"/>
        <v>25.696056732433494</v>
      </c>
      <c r="K104" s="1481">
        <f>Summary!$J$56</f>
        <v>3.75</v>
      </c>
      <c r="L104">
        <f>Summary!$O$23</f>
        <v>3.75</v>
      </c>
      <c r="M104" s="1481">
        <f>Summary!$J$57</f>
        <v>1.75</v>
      </c>
      <c r="N104" s="1483">
        <f t="shared" si="13"/>
        <v>6.6242838251613385</v>
      </c>
      <c r="O104" s="1481">
        <f t="shared" si="14"/>
        <v>0</v>
      </c>
      <c r="P104" s="1481">
        <f t="shared" si="15"/>
        <v>0</v>
      </c>
      <c r="Q104" s="1483">
        <f>IF(A104&lt;=Summary!$J$61,0.5*(P104),$Q$2*(P104))</f>
        <v>0</v>
      </c>
      <c r="R104" s="1481">
        <f>Summary!$J$58</f>
        <v>0.5</v>
      </c>
      <c r="S104" s="1481">
        <f t="shared" si="16"/>
        <v>33.69605673243349</v>
      </c>
      <c r="T104" s="1487">
        <f t="shared" si="17"/>
        <v>0</v>
      </c>
      <c r="U104" s="45">
        <f>Summary!$J$59</f>
        <v>0.12104878144800001</v>
      </c>
      <c r="V104" s="1487">
        <f>IF(A104&lt;=Summary!$J$61,(0.2*T104)+(R104*D104),(U104*T104)+(R104*D104))</f>
        <v>10137.349124999999</v>
      </c>
      <c r="W104" s="1536">
        <f t="shared" si="18"/>
        <v>655285.15214247187</v>
      </c>
    </row>
    <row r="105" spans="1:23">
      <c r="A105" s="18">
        <v>39569</v>
      </c>
      <c r="B105" s="20">
        <f t="shared" si="11"/>
        <v>2008</v>
      </c>
      <c r="C105" s="1483">
        <f>CALC!HH117</f>
        <v>33.968812315346121</v>
      </c>
      <c r="D105" s="820">
        <f>IF(Summary!$O$109=0,CALC!HE117,0)</f>
        <v>22276.503900000003</v>
      </c>
      <c r="E105" s="820">
        <f>SUM(CALC!GU117:HB117)*CALC!CY117/1000</f>
        <v>73265.716856315892</v>
      </c>
      <c r="F105" s="1481">
        <f>Summary!$J$54</f>
        <v>0.15</v>
      </c>
      <c r="G105" s="1483">
        <f>VLOOKUP(A105,CURVES!AW106:$BS$283,16)</f>
        <v>2.8116993943121127</v>
      </c>
      <c r="H105" s="1481">
        <f>Summary!$J$60</f>
        <v>0.04</v>
      </c>
      <c r="I105" s="17">
        <f>Summary!$J$55</f>
        <v>8.5</v>
      </c>
      <c r="J105" s="1483">
        <f t="shared" si="12"/>
        <v>25.514444851652957</v>
      </c>
      <c r="K105" s="1481">
        <f>Summary!$J$56</f>
        <v>3.75</v>
      </c>
      <c r="L105">
        <f>Summary!$O$23</f>
        <v>3.75</v>
      </c>
      <c r="M105" s="1481">
        <f>Summary!$J$57</f>
        <v>1.75</v>
      </c>
      <c r="N105" s="1483">
        <f t="shared" si="13"/>
        <v>8.4543674636931634</v>
      </c>
      <c r="O105" s="1481">
        <f t="shared" si="14"/>
        <v>0</v>
      </c>
      <c r="P105" s="1481">
        <f t="shared" si="15"/>
        <v>0</v>
      </c>
      <c r="Q105" s="1483">
        <f>IF(A105&lt;=Summary!$J$61,0.5*(P105),$Q$2*(P105))</f>
        <v>0</v>
      </c>
      <c r="R105" s="1481">
        <f>Summary!$J$58</f>
        <v>0.5</v>
      </c>
      <c r="S105" s="1481">
        <f t="shared" si="16"/>
        <v>33.514444851652954</v>
      </c>
      <c r="T105" s="1487">
        <f t="shared" si="17"/>
        <v>10121.718576993942</v>
      </c>
      <c r="U105" s="45">
        <f>Summary!$J$59</f>
        <v>0.12104878144800001</v>
      </c>
      <c r="V105" s="1487">
        <f>IF(A105&lt;=Summary!$J$61,(0.2*T105)+(R105*D105),(U105*T105)+(R105*D105))</f>
        <v>12363.473649904703</v>
      </c>
      <c r="W105" s="1536">
        <f t="shared" si="18"/>
        <v>756706.38002117595</v>
      </c>
    </row>
    <row r="106" spans="1:23">
      <c r="A106" s="18">
        <v>39600</v>
      </c>
      <c r="B106" s="20">
        <f t="shared" si="11"/>
        <v>2008</v>
      </c>
      <c r="C106" s="1483">
        <f>CALC!HH118</f>
        <v>33.608352132374421</v>
      </c>
      <c r="D106" s="820">
        <f>IF(Summary!$O$109=0,CALC!HE118,0)</f>
        <v>21557.906999999999</v>
      </c>
      <c r="E106" s="820">
        <f>SUM(CALC!GU118:HB118)*CALC!CY118/1000</f>
        <v>70921.070883773296</v>
      </c>
      <c r="F106" s="1481">
        <f>Summary!$J$54</f>
        <v>0.15</v>
      </c>
      <c r="G106" s="1483">
        <f>VLOOKUP(A106,CURVES!AW107:$BS$283,16)</f>
        <v>2.8456630997459404</v>
      </c>
      <c r="H106" s="1481">
        <f>Summary!$J$60</f>
        <v>0.04</v>
      </c>
      <c r="I106" s="17">
        <f>Summary!$J$55</f>
        <v>8.5</v>
      </c>
      <c r="J106" s="1483">
        <f t="shared" si="12"/>
        <v>25.803136347840493</v>
      </c>
      <c r="K106" s="1481">
        <f>Summary!$J$56</f>
        <v>3.75</v>
      </c>
      <c r="L106">
        <f>Summary!$O$23</f>
        <v>3.75</v>
      </c>
      <c r="M106" s="1481">
        <f>Summary!$J$57</f>
        <v>1.75</v>
      </c>
      <c r="N106" s="1483">
        <f t="shared" si="13"/>
        <v>7.8052157845339281</v>
      </c>
      <c r="O106" s="1481">
        <f t="shared" si="14"/>
        <v>0</v>
      </c>
      <c r="P106" s="1481">
        <f t="shared" si="15"/>
        <v>0</v>
      </c>
      <c r="Q106" s="1483">
        <f>IF(A106&lt;=Summary!$J$61,0.5*(P106),$Q$2*(P106))</f>
        <v>0</v>
      </c>
      <c r="R106" s="1481">
        <f>Summary!$J$58</f>
        <v>0.5</v>
      </c>
      <c r="S106" s="1481">
        <f t="shared" si="16"/>
        <v>33.803136347840493</v>
      </c>
      <c r="T106" s="1487">
        <f t="shared" si="17"/>
        <v>0</v>
      </c>
      <c r="U106" s="45">
        <f>Summary!$J$59</f>
        <v>0.12104878144800001</v>
      </c>
      <c r="V106" s="1487">
        <f>IF(A106&lt;=Summary!$J$61,(0.2*T106)+(R106*D106),(U106*T106)+(R106*D106))</f>
        <v>10778.9535</v>
      </c>
      <c r="W106" s="1536">
        <f t="shared" si="18"/>
        <v>724525.72969297948</v>
      </c>
    </row>
    <row r="107" spans="1:23">
      <c r="A107" s="18">
        <v>39630</v>
      </c>
      <c r="B107" s="20">
        <f t="shared" si="11"/>
        <v>2008</v>
      </c>
      <c r="C107" s="1483">
        <f>CALC!HH119</f>
        <v>46.305715341960145</v>
      </c>
      <c r="D107" s="820">
        <f>IF(Summary!$O$109=0,CALC!HE119,0)</f>
        <v>22276.5039</v>
      </c>
      <c r="E107" s="820">
        <f>SUM(CALC!GU119:HB119)*CALC!CY119/1000</f>
        <v>73304.496303482214</v>
      </c>
      <c r="F107" s="1481">
        <f>Summary!$J$54</f>
        <v>0.15</v>
      </c>
      <c r="G107" s="1483">
        <f>VLOOKUP(A107,CURVES!AW108:$BS$283,16)</f>
        <v>2.9233385769074474</v>
      </c>
      <c r="H107" s="1481">
        <f>Summary!$J$60</f>
        <v>0.04</v>
      </c>
      <c r="I107" s="17">
        <f>Summary!$J$55</f>
        <v>8.5</v>
      </c>
      <c r="J107" s="1483">
        <f t="shared" si="12"/>
        <v>26.463377903713301</v>
      </c>
      <c r="K107" s="1481">
        <f>Summary!$J$56</f>
        <v>3.75</v>
      </c>
      <c r="L107">
        <f>Summary!$O$23</f>
        <v>3.75</v>
      </c>
      <c r="M107" s="1481">
        <f>Summary!$J$57</f>
        <v>1.75</v>
      </c>
      <c r="N107" s="1483">
        <f t="shared" si="13"/>
        <v>19.842337438246844</v>
      </c>
      <c r="O107" s="1481">
        <f t="shared" si="14"/>
        <v>10.592337438246844</v>
      </c>
      <c r="P107" s="1481">
        <f t="shared" si="15"/>
        <v>235960.24625322182</v>
      </c>
      <c r="Q107" s="1483">
        <f>IF(A107&lt;=Summary!$J$61,0.5*(P107),$Q$2*(P107))</f>
        <v>0</v>
      </c>
      <c r="R107" s="1481">
        <f>Summary!$J$58</f>
        <v>0.5</v>
      </c>
      <c r="S107" s="1481">
        <f t="shared" si="16"/>
        <v>34.463377903713301</v>
      </c>
      <c r="T107" s="1487">
        <f t="shared" si="17"/>
        <v>263805.8761282218</v>
      </c>
      <c r="U107" s="45">
        <f>Summary!$J$59</f>
        <v>0.12104878144800001</v>
      </c>
      <c r="V107" s="1487">
        <f>IF(A107&lt;=Summary!$J$61,(0.2*T107)+(R107*D107),(U107*T107)+(R107*D107))</f>
        <v>43071.631794143286</v>
      </c>
      <c r="W107" s="1536">
        <f t="shared" si="18"/>
        <v>1031529.448407465</v>
      </c>
    </row>
    <row r="108" spans="1:23">
      <c r="A108" s="18">
        <v>39661</v>
      </c>
      <c r="B108" s="20">
        <f t="shared" si="11"/>
        <v>2008</v>
      </c>
      <c r="C108" s="1483">
        <f>CALC!HH120</f>
        <v>79.381185510656891</v>
      </c>
      <c r="D108" s="820">
        <f>IF(Summary!$O$109=0,CALC!HE120,0)</f>
        <v>22276.503900000003</v>
      </c>
      <c r="E108" s="820">
        <f>SUM(CALC!GU120:HB120)*CALC!CY120/1000</f>
        <v>73323.886027065411</v>
      </c>
      <c r="F108" s="1481">
        <f>Summary!$J$54</f>
        <v>0.15</v>
      </c>
      <c r="G108" s="1483">
        <f>VLOOKUP(A108,CURVES!AW109:$BS$283,16)</f>
        <v>3.0336538867716007</v>
      </c>
      <c r="H108" s="1481">
        <f>Summary!$J$60</f>
        <v>0.04</v>
      </c>
      <c r="I108" s="17">
        <f>Summary!$J$55</f>
        <v>8.5</v>
      </c>
      <c r="J108" s="1483">
        <f t="shared" si="12"/>
        <v>27.401058037558606</v>
      </c>
      <c r="K108" s="1481">
        <f>Summary!$J$56</f>
        <v>3.75</v>
      </c>
      <c r="L108">
        <f>Summary!$O$23</f>
        <v>3.75</v>
      </c>
      <c r="M108" s="1481">
        <f>Summary!$J$57</f>
        <v>1.75</v>
      </c>
      <c r="N108" s="1483">
        <f t="shared" si="13"/>
        <v>51.980127473098285</v>
      </c>
      <c r="O108" s="1481">
        <f t="shared" si="14"/>
        <v>42.730127473098285</v>
      </c>
      <c r="P108" s="1481">
        <f t="shared" si="15"/>
        <v>951877.85130197124</v>
      </c>
      <c r="Q108" s="1483">
        <f>IF(A108&lt;=Summary!$J$61,0.5*(P108),$Q$2*(P108))</f>
        <v>0</v>
      </c>
      <c r="R108" s="1481">
        <f>Summary!$J$58</f>
        <v>0.5</v>
      </c>
      <c r="S108" s="1481">
        <f t="shared" si="16"/>
        <v>35.401058037558606</v>
      </c>
      <c r="T108" s="1487">
        <f t="shared" si="17"/>
        <v>979723.48117697123</v>
      </c>
      <c r="U108" s="45">
        <f>Summary!$J$59</f>
        <v>0.12104878144800001</v>
      </c>
      <c r="V108" s="1487">
        <f>IF(A108&lt;=Summary!$J$61,(0.2*T108)+(R108*D108),(U108*T108)+(R108*D108))</f>
        <v>129732.58550246495</v>
      </c>
      <c r="W108" s="1536">
        <f t="shared" si="18"/>
        <v>1768335.288614772</v>
      </c>
    </row>
    <row r="109" spans="1:23">
      <c r="A109" s="18">
        <v>39692</v>
      </c>
      <c r="B109" s="20">
        <f t="shared" si="11"/>
        <v>2008</v>
      </c>
      <c r="C109" s="1483">
        <f>CALC!HH121</f>
        <v>52.012308320627739</v>
      </c>
      <c r="D109" s="820">
        <f>IF(Summary!$O$109=0,CALC!HE121,0)</f>
        <v>21557.906999999999</v>
      </c>
      <c r="E109" s="820">
        <f>SUM(CALC!GU121:HB121)*CALC!CY121/1000</f>
        <v>70977.363629659929</v>
      </c>
      <c r="F109" s="1481">
        <f>Summary!$J$54</f>
        <v>0.15</v>
      </c>
      <c r="G109" s="1483">
        <f>VLOOKUP(A109,CURVES!AW110:$BS$283,16)</f>
        <v>3.1649950842774728</v>
      </c>
      <c r="H109" s="1481">
        <f>Summary!$J$60</f>
        <v>0.04</v>
      </c>
      <c r="I109" s="17">
        <f>Summary!$J$55</f>
        <v>8.5</v>
      </c>
      <c r="J109" s="1483">
        <f t="shared" si="12"/>
        <v>28.51745821635852</v>
      </c>
      <c r="K109" s="1481">
        <f>Summary!$J$56</f>
        <v>3.75</v>
      </c>
      <c r="L109">
        <f>Summary!$O$23</f>
        <v>3.75</v>
      </c>
      <c r="M109" s="1481">
        <f>Summary!$J$57</f>
        <v>1.75</v>
      </c>
      <c r="N109" s="1483">
        <f t="shared" si="13"/>
        <v>23.494850104269219</v>
      </c>
      <c r="O109" s="1481">
        <f t="shared" si="14"/>
        <v>14.244850104269219</v>
      </c>
      <c r="P109" s="1481">
        <f t="shared" si="15"/>
        <v>307089.1537767761</v>
      </c>
      <c r="Q109" s="1483">
        <f>IF(A109&lt;=Summary!$J$61,0.5*(P109),$Q$2*(P109))</f>
        <v>0</v>
      </c>
      <c r="R109" s="1481">
        <f>Summary!$J$58</f>
        <v>0.5</v>
      </c>
      <c r="S109" s="1481">
        <f t="shared" si="16"/>
        <v>36.51745821635852</v>
      </c>
      <c r="T109" s="1487">
        <f t="shared" si="17"/>
        <v>334036.53752677608</v>
      </c>
      <c r="U109" s="45">
        <f>Summary!$J$59</f>
        <v>0.12104878144800001</v>
      </c>
      <c r="V109" s="1487">
        <f>IF(A109&lt;=Summary!$J$61,(0.2*T109)+(R109*D109),(U109*T109)+(R109*D109))</f>
        <v>51213.669326725372</v>
      </c>
      <c r="W109" s="1536">
        <f t="shared" si="18"/>
        <v>1121276.5056314189</v>
      </c>
    </row>
    <row r="110" spans="1:23">
      <c r="A110" s="18">
        <v>39722</v>
      </c>
      <c r="B110" s="20">
        <f t="shared" si="11"/>
        <v>2008</v>
      </c>
      <c r="C110" s="1483">
        <f>CALC!HH122</f>
        <v>43.469283272813961</v>
      </c>
      <c r="D110" s="820">
        <f>IF(Summary!$O$109=0,CALC!HE122,0)</f>
        <v>20950.521524999996</v>
      </c>
      <c r="E110" s="820">
        <f>SUM(CALC!GU122:HB122)*CALC!CY122/1000</f>
        <v>93741.183661518357</v>
      </c>
      <c r="F110" s="1481">
        <f>Summary!$J$54</f>
        <v>0.15</v>
      </c>
      <c r="G110" s="1483">
        <f>VLOOKUP(A110,CURVES!AW111:$BS$283,16)</f>
        <v>3.3056456200054898</v>
      </c>
      <c r="H110" s="1481">
        <f>Summary!$J$60</f>
        <v>0.04</v>
      </c>
      <c r="I110" s="17">
        <f>Summary!$J$55</f>
        <v>8.5</v>
      </c>
      <c r="J110" s="1483">
        <f t="shared" si="12"/>
        <v>29.712987770046663</v>
      </c>
      <c r="K110" s="1481">
        <f>Summary!$J$56</f>
        <v>3.75</v>
      </c>
      <c r="L110">
        <f>Summary!$O$23</f>
        <v>3.75</v>
      </c>
      <c r="M110" s="1481">
        <f>Summary!$J$57</f>
        <v>1.75</v>
      </c>
      <c r="N110" s="1483">
        <f t="shared" si="13"/>
        <v>13.756295502767298</v>
      </c>
      <c r="O110" s="1481">
        <f t="shared" si="14"/>
        <v>4.5062955027672977</v>
      </c>
      <c r="P110" s="1481">
        <f t="shared" si="15"/>
        <v>94409.240928736952</v>
      </c>
      <c r="Q110" s="1483">
        <f>IF(A110&lt;=Summary!$J$61,0.5*(P110),$Q$2*(P110))</f>
        <v>0</v>
      </c>
      <c r="R110" s="1481">
        <f>Summary!$J$58</f>
        <v>0.5</v>
      </c>
      <c r="S110" s="1481">
        <f t="shared" si="16"/>
        <v>37.712987770046666</v>
      </c>
      <c r="T110" s="1487">
        <f t="shared" si="17"/>
        <v>120597.39283498688</v>
      </c>
      <c r="U110" s="45">
        <f>Summary!$J$59</f>
        <v>0.12104878144800001</v>
      </c>
      <c r="V110" s="1487">
        <f>IF(A110&lt;=Summary!$J$61,(0.2*T110)+(R110*D110),(U110*T110)+(R110*D110))</f>
        <v>25073.428210980928</v>
      </c>
      <c r="W110" s="1536">
        <f t="shared" si="18"/>
        <v>910704.15488341113</v>
      </c>
    </row>
    <row r="111" spans="1:23">
      <c r="A111" s="18">
        <v>39753</v>
      </c>
      <c r="B111" s="20">
        <f t="shared" si="11"/>
        <v>2008</v>
      </c>
      <c r="C111" s="1483">
        <f>CALC!HH123</f>
        <v>47.692652786162817</v>
      </c>
      <c r="D111" s="820">
        <f>IF(Summary!$O$109=0,CALC!HE123,0)</f>
        <v>20274.698249999998</v>
      </c>
      <c r="E111" s="820">
        <f>SUM(CALC!GU123:HB123)*CALC!CY123/1000</f>
        <v>90741.251051061467</v>
      </c>
      <c r="F111" s="1481">
        <f>Summary!$J$54</f>
        <v>0.15</v>
      </c>
      <c r="G111" s="1483">
        <f>VLOOKUP(A111,CURVES!AW112:$BS$283,16)</f>
        <v>3.4443411183340182</v>
      </c>
      <c r="H111" s="1481">
        <f>Summary!$J$60</f>
        <v>0.04</v>
      </c>
      <c r="I111" s="17">
        <f>Summary!$J$55</f>
        <v>8.5</v>
      </c>
      <c r="J111" s="1483">
        <f t="shared" si="12"/>
        <v>30.891899505839156</v>
      </c>
      <c r="K111" s="1481">
        <f>Summary!$J$56</f>
        <v>3.75</v>
      </c>
      <c r="L111">
        <f>Summary!$O$23</f>
        <v>3.75</v>
      </c>
      <c r="M111" s="1481">
        <f>Summary!$J$57</f>
        <v>1.75</v>
      </c>
      <c r="N111" s="1483">
        <f t="shared" si="13"/>
        <v>16.800753280323661</v>
      </c>
      <c r="O111" s="1481">
        <f t="shared" si="14"/>
        <v>7.5507532803236614</v>
      </c>
      <c r="P111" s="1481">
        <f t="shared" si="15"/>
        <v>153089.24431875988</v>
      </c>
      <c r="Q111" s="1483">
        <f>IF(A111&lt;=Summary!$J$61,0.5*(P111),$Q$2*(P111))</f>
        <v>0</v>
      </c>
      <c r="R111" s="1481">
        <f>Summary!$J$58</f>
        <v>0.5</v>
      </c>
      <c r="S111" s="1481">
        <f t="shared" si="16"/>
        <v>38.891899505839156</v>
      </c>
      <c r="T111" s="1487">
        <f t="shared" si="17"/>
        <v>178432.61713125987</v>
      </c>
      <c r="U111" s="45">
        <f>Summary!$J$59</f>
        <v>0.12104878144800001</v>
      </c>
      <c r="V111" s="1487">
        <f>IF(A111&lt;=Summary!$J$61,(0.2*T111)+(R111*D111),(U111*T111)+(R111*D111))</f>
        <v>31736.399999316534</v>
      </c>
      <c r="W111" s="1536">
        <f t="shared" si="18"/>
        <v>966954.14398147282</v>
      </c>
    </row>
    <row r="112" spans="1:23">
      <c r="A112" s="18">
        <v>39783</v>
      </c>
      <c r="B112" s="20">
        <f t="shared" si="11"/>
        <v>2008</v>
      </c>
      <c r="C112" s="1483">
        <f>CALC!HH124</f>
        <v>46.117423012851454</v>
      </c>
      <c r="D112" s="820">
        <f>IF(Summary!$O$109=0,CALC!HE124,0)</f>
        <v>20950.521524999996</v>
      </c>
      <c r="E112" s="820">
        <f>SUM(CALC!GU124:HB124)*CALC!CY124/1000</f>
        <v>93790.735177342009</v>
      </c>
      <c r="F112" s="1481">
        <f>Summary!$J$54</f>
        <v>0.15</v>
      </c>
      <c r="G112" s="1483">
        <f>VLOOKUP(A112,CURVES!AW113:$BS$283,16)</f>
        <v>3.5908465166659185</v>
      </c>
      <c r="H112" s="1481">
        <f>Summary!$J$60</f>
        <v>0.04</v>
      </c>
      <c r="I112" s="17">
        <f>Summary!$J$55</f>
        <v>8.5</v>
      </c>
      <c r="J112" s="1483">
        <f t="shared" si="12"/>
        <v>32.137195391660306</v>
      </c>
      <c r="K112" s="1481">
        <f>Summary!$J$56</f>
        <v>3.75</v>
      </c>
      <c r="L112">
        <f>Summary!$O$23</f>
        <v>3.75</v>
      </c>
      <c r="M112" s="1481">
        <f>Summary!$J$57</f>
        <v>1.75</v>
      </c>
      <c r="N112" s="1483">
        <f t="shared" si="13"/>
        <v>13.980227621191148</v>
      </c>
      <c r="O112" s="1481">
        <f t="shared" si="14"/>
        <v>4.7302276211911476</v>
      </c>
      <c r="P112" s="1481">
        <f t="shared" si="15"/>
        <v>99100.735595914666</v>
      </c>
      <c r="Q112" s="1483">
        <f>IF(A112&lt;=Summary!$J$61,0.5*(P112),$Q$2*(P112))</f>
        <v>0</v>
      </c>
      <c r="R112" s="1481">
        <f>Summary!$J$58</f>
        <v>0.5</v>
      </c>
      <c r="S112" s="1481">
        <f t="shared" si="16"/>
        <v>40.137195391660306</v>
      </c>
      <c r="T112" s="1487">
        <f t="shared" si="17"/>
        <v>125288.88750216467</v>
      </c>
      <c r="U112" s="45">
        <f>Summary!$J$59</f>
        <v>0.12104878144800001</v>
      </c>
      <c r="V112" s="1487">
        <f>IF(A112&lt;=Summary!$J$61,(0.2*T112)+(R112*D112),(U112*T112)+(R112*D112))</f>
        <v>25641.327923612589</v>
      </c>
      <c r="W112" s="1536">
        <f t="shared" si="18"/>
        <v>966184.06350827462</v>
      </c>
    </row>
    <row r="113" spans="1:23">
      <c r="A113" s="18">
        <v>39814</v>
      </c>
      <c r="B113" s="20">
        <f t="shared" si="11"/>
        <v>2009</v>
      </c>
      <c r="C113" s="1483">
        <f>CALC!HH125</f>
        <v>41.867866998280547</v>
      </c>
      <c r="D113" s="820">
        <f>IF(Summary!$O$109=0,CALC!HE125,0)</f>
        <v>20950.521525</v>
      </c>
      <c r="E113" s="820">
        <f>SUM(CALC!GU125:HB125)*CALC!CY125/1000</f>
        <v>93815.510935253871</v>
      </c>
      <c r="F113" s="1481">
        <f>Summary!$J$54</f>
        <v>0.15</v>
      </c>
      <c r="G113" s="1483">
        <f>VLOOKUP(A113,CURVES!AW114:$BS$283,16)</f>
        <v>3.4317676538293602</v>
      </c>
      <c r="H113" s="1481">
        <f>Summary!$J$60</f>
        <v>0.04</v>
      </c>
      <c r="I113" s="17">
        <f>Summary!$J$55</f>
        <v>8.5</v>
      </c>
      <c r="J113" s="1483">
        <f t="shared" si="12"/>
        <v>30.785025057549561</v>
      </c>
      <c r="K113" s="1481">
        <f>Summary!$J$56</f>
        <v>3.75</v>
      </c>
      <c r="L113">
        <f>Summary!$O$23</f>
        <v>3.75</v>
      </c>
      <c r="M113" s="1481">
        <f>Summary!$J$57</f>
        <v>1.75</v>
      </c>
      <c r="N113" s="1483">
        <f t="shared" si="13"/>
        <v>11.082841940730987</v>
      </c>
      <c r="O113" s="1481">
        <f t="shared" si="14"/>
        <v>1.8328419407309866</v>
      </c>
      <c r="P113" s="1481">
        <f t="shared" si="15"/>
        <v>38398.994531207311</v>
      </c>
      <c r="Q113" s="1483">
        <f>IF(A113&lt;=Summary!$J$61,0.5*(P113),$Q$2*(P113))</f>
        <v>0</v>
      </c>
      <c r="R113" s="1481">
        <f>Summary!$J$58</f>
        <v>0.5</v>
      </c>
      <c r="S113" s="1481">
        <f t="shared" si="16"/>
        <v>38.785025057549561</v>
      </c>
      <c r="T113" s="1487">
        <f t="shared" si="17"/>
        <v>64587.146437457312</v>
      </c>
      <c r="U113" s="45">
        <f>Summary!$J$59</f>
        <v>0.12104878144800001</v>
      </c>
      <c r="V113" s="1487">
        <f>IF(A113&lt;=Summary!$J$61,(0.2*T113)+(R113*D113),(U113*T113)+(R113*D113))</f>
        <v>18293.456135957742</v>
      </c>
      <c r="W113" s="1536">
        <f t="shared" si="18"/>
        <v>877153.6487533137</v>
      </c>
    </row>
    <row r="114" spans="1:23">
      <c r="A114" s="18">
        <v>39845</v>
      </c>
      <c r="B114" s="20">
        <f t="shared" si="11"/>
        <v>2009</v>
      </c>
      <c r="C114" s="1483">
        <f>CALC!HH126</f>
        <v>36.724403087488717</v>
      </c>
      <c r="D114" s="820">
        <f>IF(Summary!$O$109=0,CALC!HE126,0)</f>
        <v>18923.051699999996</v>
      </c>
      <c r="E114" s="820">
        <f>SUM(CALC!GU126:HB126)*CALC!CY126/1000</f>
        <v>84758.968626085145</v>
      </c>
      <c r="F114" s="1481">
        <f>Summary!$J$54</f>
        <v>0.15</v>
      </c>
      <c r="G114" s="1483">
        <f>VLOOKUP(A114,CURVES!AW115:$BS$283,16)</f>
        <v>3.1696397463641253</v>
      </c>
      <c r="H114" s="1481">
        <f>Summary!$J$60</f>
        <v>0.04</v>
      </c>
      <c r="I114" s="17">
        <f>Summary!$J$55</f>
        <v>8.5</v>
      </c>
      <c r="J114" s="1483">
        <f t="shared" si="12"/>
        <v>28.556937844095064</v>
      </c>
      <c r="K114" s="1481">
        <f>Summary!$J$56</f>
        <v>3.75</v>
      </c>
      <c r="L114">
        <f>Summary!$O$23</f>
        <v>3.75</v>
      </c>
      <c r="M114" s="1481">
        <f>Summary!$J$57</f>
        <v>1.75</v>
      </c>
      <c r="N114" s="1483">
        <f t="shared" si="13"/>
        <v>8.1674652433936537</v>
      </c>
      <c r="O114" s="1481">
        <f t="shared" si="14"/>
        <v>0</v>
      </c>
      <c r="P114" s="1481">
        <f t="shared" si="15"/>
        <v>0</v>
      </c>
      <c r="Q114" s="1483">
        <f>IF(A114&lt;=Summary!$J$61,0.5*(P114),$Q$2*(P114))</f>
        <v>0</v>
      </c>
      <c r="R114" s="1481">
        <f>Summary!$J$58</f>
        <v>0.5</v>
      </c>
      <c r="S114" s="1481">
        <f t="shared" si="16"/>
        <v>36.55693784409506</v>
      </c>
      <c r="T114" s="1487">
        <f t="shared" si="17"/>
        <v>3168.9534586912582</v>
      </c>
      <c r="U114" s="45">
        <f>Summary!$J$59</f>
        <v>0.12104878144800001</v>
      </c>
      <c r="V114" s="1487">
        <f>IF(A114&lt;=Summary!$J$61,(0.2*T114)+(R114*D114),(U114*T114)+(R114*D114))</f>
        <v>9845.1238046399994</v>
      </c>
      <c r="W114" s="1536">
        <f t="shared" si="18"/>
        <v>694937.77827618853</v>
      </c>
    </row>
    <row r="115" spans="1:23">
      <c r="A115" s="18">
        <v>39873</v>
      </c>
      <c r="B115" s="20">
        <f t="shared" si="11"/>
        <v>2009</v>
      </c>
      <c r="C115" s="1483">
        <f>CALC!HH127</f>
        <v>34.469710979837885</v>
      </c>
      <c r="D115" s="820">
        <f>IF(Summary!$O$109=0,CALC!HE127,0)</f>
        <v>20950.521524999996</v>
      </c>
      <c r="E115" s="820">
        <f>SUM(CALC!GU127:HB127)*CALC!CY127/1000</f>
        <v>93865.062451077538</v>
      </c>
      <c r="F115" s="1481">
        <f>Summary!$J$54</f>
        <v>0.15</v>
      </c>
      <c r="G115" s="1483">
        <f>VLOOKUP(A115,CURVES!AW116:$BS$283,16)</f>
        <v>2.9994825701834138</v>
      </c>
      <c r="H115" s="1481">
        <f>Summary!$J$60</f>
        <v>0.04</v>
      </c>
      <c r="I115" s="17">
        <f>Summary!$J$55</f>
        <v>8.5</v>
      </c>
      <c r="J115" s="1483">
        <f t="shared" si="12"/>
        <v>27.110601846559018</v>
      </c>
      <c r="K115" s="1481">
        <f>Summary!$J$56</f>
        <v>3.75</v>
      </c>
      <c r="L115">
        <f>Summary!$O$23</f>
        <v>3.75</v>
      </c>
      <c r="M115" s="1481">
        <f>Summary!$J$57</f>
        <v>1.75</v>
      </c>
      <c r="N115" s="1483">
        <f t="shared" si="13"/>
        <v>7.3591091332788672</v>
      </c>
      <c r="O115" s="1481">
        <f t="shared" si="14"/>
        <v>0</v>
      </c>
      <c r="P115" s="1481">
        <f t="shared" si="15"/>
        <v>0</v>
      </c>
      <c r="Q115" s="1483">
        <f>IF(A115&lt;=Summary!$J$61,0.5*(P115),$Q$2*(P115))</f>
        <v>0</v>
      </c>
      <c r="R115" s="1481">
        <f>Summary!$J$58</f>
        <v>0.5</v>
      </c>
      <c r="S115" s="1481">
        <f t="shared" si="16"/>
        <v>35.110601846559021</v>
      </c>
      <c r="T115" s="1487">
        <f t="shared" si="17"/>
        <v>0</v>
      </c>
      <c r="U115" s="45">
        <f>Summary!$J$59</f>
        <v>0.12104878144800001</v>
      </c>
      <c r="V115" s="1487">
        <f>IF(A115&lt;=Summary!$J$61,(0.2*T115)+(R115*D115),(U115*T115)+(R115*D115))</f>
        <v>10475.260762499998</v>
      </c>
      <c r="W115" s="1536">
        <f t="shared" si="18"/>
        <v>722158.42184362235</v>
      </c>
    </row>
    <row r="116" spans="1:23">
      <c r="A116" s="18">
        <v>39904</v>
      </c>
      <c r="B116" s="20">
        <f t="shared" si="11"/>
        <v>2009</v>
      </c>
      <c r="C116" s="1483">
        <f>CALC!HH128</f>
        <v>34.011110096177077</v>
      </c>
      <c r="D116" s="820">
        <f>IF(Summary!$O$109=0,CALC!HE128,0)</f>
        <v>20274.698249999998</v>
      </c>
      <c r="E116" s="820">
        <f>SUM(CALC!GU128:HB128)*CALC!CY128/1000</f>
        <v>90861.133750634865</v>
      </c>
      <c r="F116" s="1481">
        <f>Summary!$J$54</f>
        <v>0.15</v>
      </c>
      <c r="G116" s="1483">
        <f>VLOOKUP(A116,CURVES!AW117:$BS$283,16)</f>
        <v>2.9094959518301975</v>
      </c>
      <c r="H116" s="1481">
        <f>Summary!$J$60</f>
        <v>0.04</v>
      </c>
      <c r="I116" s="17">
        <f>Summary!$J$55</f>
        <v>8.5</v>
      </c>
      <c r="J116" s="1483">
        <f t="shared" si="12"/>
        <v>26.345715590556679</v>
      </c>
      <c r="K116" s="1481">
        <f>Summary!$J$56</f>
        <v>3.75</v>
      </c>
      <c r="L116">
        <f>Summary!$O$23</f>
        <v>3.75</v>
      </c>
      <c r="M116" s="1481">
        <f>Summary!$J$57</f>
        <v>1.75</v>
      </c>
      <c r="N116" s="1483">
        <f t="shared" si="13"/>
        <v>7.665394505620398</v>
      </c>
      <c r="O116" s="1481">
        <f t="shared" si="14"/>
        <v>0</v>
      </c>
      <c r="P116" s="1481">
        <f t="shared" si="15"/>
        <v>0</v>
      </c>
      <c r="Q116" s="1483">
        <f>IF(A116&lt;=Summary!$J$61,0.5*(P116),$Q$2*(P116))</f>
        <v>0</v>
      </c>
      <c r="R116" s="1481">
        <f>Summary!$J$58</f>
        <v>0.5</v>
      </c>
      <c r="S116" s="1481">
        <f t="shared" si="16"/>
        <v>34.345715590556679</v>
      </c>
      <c r="T116" s="1487">
        <f t="shared" si="17"/>
        <v>0</v>
      </c>
      <c r="U116" s="45">
        <f>Summary!$J$59</f>
        <v>0.12104878144800001</v>
      </c>
      <c r="V116" s="1487">
        <f>IF(A116&lt;=Summary!$J$61,(0.2*T116)+(R116*D116),(U116*T116)+(R116*D116))</f>
        <v>10137.349124999999</v>
      </c>
      <c r="W116" s="1536">
        <f t="shared" si="18"/>
        <v>689564.99434751866</v>
      </c>
    </row>
    <row r="117" spans="1:23">
      <c r="A117" s="18">
        <v>39934</v>
      </c>
      <c r="B117" s="20">
        <f t="shared" si="11"/>
        <v>2009</v>
      </c>
      <c r="C117" s="1483">
        <f>CALC!HH129</f>
        <v>34.787343321833788</v>
      </c>
      <c r="D117" s="820">
        <f>IF(Summary!$O$109=0,CALC!HE129,0)</f>
        <v>22276.503900000003</v>
      </c>
      <c r="E117" s="820">
        <f>SUM(CALC!GU129:HB129)*CALC!CY129/1000</f>
        <v>73498.393539313998</v>
      </c>
      <c r="F117" s="1481">
        <f>Summary!$J$54</f>
        <v>0.15</v>
      </c>
      <c r="G117" s="1483">
        <f>VLOOKUP(A117,CURVES!AW118:$BS$283,16)</f>
        <v>2.887553433368224</v>
      </c>
      <c r="H117" s="1481">
        <f>Summary!$J$60</f>
        <v>0.04</v>
      </c>
      <c r="I117" s="17">
        <f>Summary!$J$55</f>
        <v>8.5</v>
      </c>
      <c r="J117" s="1483">
        <f t="shared" si="12"/>
        <v>26.159204183629903</v>
      </c>
      <c r="K117" s="1481">
        <f>Summary!$J$56</f>
        <v>3.75</v>
      </c>
      <c r="L117">
        <f>Summary!$O$23</f>
        <v>3.75</v>
      </c>
      <c r="M117" s="1481">
        <f>Summary!$J$57</f>
        <v>1.75</v>
      </c>
      <c r="N117" s="1483">
        <f t="shared" si="13"/>
        <v>8.6281391382038848</v>
      </c>
      <c r="O117" s="1481">
        <f t="shared" si="14"/>
        <v>0</v>
      </c>
      <c r="P117" s="1481">
        <f t="shared" si="15"/>
        <v>0</v>
      </c>
      <c r="Q117" s="1483">
        <f>IF(A117&lt;=Summary!$J$61,0.5*(P117),$Q$2*(P117))</f>
        <v>0</v>
      </c>
      <c r="R117" s="1481">
        <f>Summary!$J$58</f>
        <v>0.5</v>
      </c>
      <c r="S117" s="1481">
        <f t="shared" si="16"/>
        <v>34.159204183629903</v>
      </c>
      <c r="T117" s="1487">
        <f t="shared" si="17"/>
        <v>13992.74396194148</v>
      </c>
      <c r="U117" s="45">
        <f>Summary!$J$59</f>
        <v>0.12104878144800001</v>
      </c>
      <c r="V117" s="1487">
        <f>IF(A117&lt;=Summary!$J$61,(0.2*T117)+(R117*D117),(U117*T117)+(R117*D117))</f>
        <v>12832.056555706877</v>
      </c>
      <c r="W117" s="1536">
        <f t="shared" si="18"/>
        <v>774940.38917946944</v>
      </c>
    </row>
    <row r="118" spans="1:23">
      <c r="A118" s="18">
        <v>39965</v>
      </c>
      <c r="B118" s="20">
        <f t="shared" si="11"/>
        <v>2009</v>
      </c>
      <c r="C118" s="1483">
        <f>CALC!HH130</f>
        <v>33.770962978787367</v>
      </c>
      <c r="D118" s="820">
        <f>IF(Summary!$O$109=0,CALC!HE130,0)</f>
        <v>21557.906999999999</v>
      </c>
      <c r="E118" s="820">
        <f>SUM(CALC!GU130:HB130)*CALC!CY130/1000</f>
        <v>71146.241867319841</v>
      </c>
      <c r="F118" s="1481">
        <f>Summary!$J$54</f>
        <v>0.15</v>
      </c>
      <c r="G118" s="1483">
        <f>VLOOKUP(A118,CURVES!AW119:$BS$283,16)</f>
        <v>2.92243341180182</v>
      </c>
      <c r="H118" s="1481">
        <f>Summary!$J$60</f>
        <v>0.04</v>
      </c>
      <c r="I118" s="17">
        <f>Summary!$J$55</f>
        <v>8.5</v>
      </c>
      <c r="J118" s="1483">
        <f t="shared" si="12"/>
        <v>26.455684000315468</v>
      </c>
      <c r="K118" s="1481">
        <f>Summary!$J$56</f>
        <v>3.75</v>
      </c>
      <c r="L118">
        <f>Summary!$O$23</f>
        <v>3.75</v>
      </c>
      <c r="M118" s="1481">
        <f>Summary!$J$57</f>
        <v>1.75</v>
      </c>
      <c r="N118" s="1483">
        <f t="shared" si="13"/>
        <v>7.3152789784718983</v>
      </c>
      <c r="O118" s="1481">
        <f t="shared" si="14"/>
        <v>0</v>
      </c>
      <c r="P118" s="1481">
        <f t="shared" si="15"/>
        <v>0</v>
      </c>
      <c r="Q118" s="1483">
        <f>IF(A118&lt;=Summary!$J$61,0.5*(P118),$Q$2*(P118))</f>
        <v>0</v>
      </c>
      <c r="R118" s="1481">
        <f>Summary!$J$58</f>
        <v>0.5</v>
      </c>
      <c r="S118" s="1481">
        <f t="shared" si="16"/>
        <v>34.455684000315472</v>
      </c>
      <c r="T118" s="1487">
        <f t="shared" si="17"/>
        <v>0</v>
      </c>
      <c r="U118" s="45">
        <f>Summary!$J$59</f>
        <v>0.12104878144800001</v>
      </c>
      <c r="V118" s="1487">
        <f>IF(A118&lt;=Summary!$J$61,(0.2*T118)+(R118*D118),(U118*T118)+(R118*D118))</f>
        <v>10778.9535</v>
      </c>
      <c r="W118" s="1536">
        <f t="shared" si="18"/>
        <v>728031.27919714095</v>
      </c>
    </row>
    <row r="119" spans="1:23">
      <c r="A119" s="18">
        <v>39995</v>
      </c>
      <c r="B119" s="20">
        <f t="shared" si="11"/>
        <v>2009</v>
      </c>
      <c r="C119" s="1483">
        <f>CALC!HH131</f>
        <v>47.907198937129998</v>
      </c>
      <c r="D119" s="820">
        <f>IF(Summary!$O$109=0,CALC!HE131,0)</f>
        <v>22276.5039</v>
      </c>
      <c r="E119" s="820">
        <f>SUM(CALC!GU131:HB131)*CALC!CY131/1000</f>
        <v>73537.17298648032</v>
      </c>
      <c r="F119" s="1481">
        <f>Summary!$J$54</f>
        <v>0.15</v>
      </c>
      <c r="G119" s="1483">
        <f>VLOOKUP(A119,CURVES!AW120:$BS$283,16)</f>
        <v>3.0022044183396979</v>
      </c>
      <c r="H119" s="1481">
        <f>Summary!$J$60</f>
        <v>0.04</v>
      </c>
      <c r="I119" s="17">
        <f>Summary!$J$55</f>
        <v>8.5</v>
      </c>
      <c r="J119" s="1483">
        <f t="shared" si="12"/>
        <v>27.133737555887432</v>
      </c>
      <c r="K119" s="1481">
        <f>Summary!$J$56</f>
        <v>3.75</v>
      </c>
      <c r="L119">
        <f>Summary!$O$23</f>
        <v>3.75</v>
      </c>
      <c r="M119" s="1481">
        <f>Summary!$J$57</f>
        <v>1.75</v>
      </c>
      <c r="N119" s="1483">
        <f t="shared" si="13"/>
        <v>20.773461381242566</v>
      </c>
      <c r="O119" s="1481">
        <f t="shared" si="14"/>
        <v>11.523461381242566</v>
      </c>
      <c r="P119" s="1481">
        <f t="shared" si="15"/>
        <v>256702.43240074939</v>
      </c>
      <c r="Q119" s="1483">
        <f>IF(A119&lt;=Summary!$J$61,0.5*(P119),$Q$2*(P119))</f>
        <v>0</v>
      </c>
      <c r="R119" s="1481">
        <f>Summary!$J$58</f>
        <v>0.5</v>
      </c>
      <c r="S119" s="1481">
        <f t="shared" si="16"/>
        <v>35.133737555887436</v>
      </c>
      <c r="T119" s="1487">
        <f t="shared" si="17"/>
        <v>284548.06227574934</v>
      </c>
      <c r="U119" s="45">
        <f>Summary!$J$59</f>
        <v>0.12104878144800001</v>
      </c>
      <c r="V119" s="1487">
        <f>IF(A119&lt;=Summary!$J$61,(0.2*T119)+(R119*D119),(U119*T119)+(R119*D119))</f>
        <v>45582.448151869074</v>
      </c>
      <c r="W119" s="1536">
        <f t="shared" si="18"/>
        <v>1067204.9039610522</v>
      </c>
    </row>
    <row r="120" spans="1:23">
      <c r="A120" s="18">
        <v>40026</v>
      </c>
      <c r="B120" s="20">
        <f t="shared" si="11"/>
        <v>2009</v>
      </c>
      <c r="C120" s="1483">
        <f>CALC!HH132</f>
        <v>81.293361012710648</v>
      </c>
      <c r="D120" s="820">
        <f>IF(Summary!$O$109=0,CALC!HE132,0)</f>
        <v>22276.503900000003</v>
      </c>
      <c r="E120" s="820">
        <f>SUM(CALC!GU132:HB132)*CALC!CY132/1000</f>
        <v>73556.562710063547</v>
      </c>
      <c r="F120" s="1481">
        <f>Summary!$J$54</f>
        <v>0.15</v>
      </c>
      <c r="G120" s="1483">
        <f>VLOOKUP(A120,CURVES!AW121:$BS$283,16)</f>
        <v>3.1154958151354246</v>
      </c>
      <c r="H120" s="1481">
        <f>Summary!$J$60</f>
        <v>0.04</v>
      </c>
      <c r="I120" s="17">
        <f>Summary!$J$55</f>
        <v>8.5</v>
      </c>
      <c r="J120" s="1483">
        <f t="shared" si="12"/>
        <v>28.096714428651108</v>
      </c>
      <c r="K120" s="1481">
        <f>Summary!$J$56</f>
        <v>3.75</v>
      </c>
      <c r="L120">
        <f>Summary!$O$23</f>
        <v>3.75</v>
      </c>
      <c r="M120" s="1481">
        <f>Summary!$J$57</f>
        <v>1.75</v>
      </c>
      <c r="N120" s="1483">
        <f t="shared" si="13"/>
        <v>53.196646584059536</v>
      </c>
      <c r="O120" s="1481">
        <f t="shared" si="14"/>
        <v>43.946646584059536</v>
      </c>
      <c r="P120" s="1481">
        <f t="shared" si="15"/>
        <v>978977.64402172412</v>
      </c>
      <c r="Q120" s="1483">
        <f>IF(A120&lt;=Summary!$J$61,0.5*(P120),$Q$2*(P120))</f>
        <v>0</v>
      </c>
      <c r="R120" s="1481">
        <f>Summary!$J$58</f>
        <v>0.5</v>
      </c>
      <c r="S120" s="1481">
        <f t="shared" si="16"/>
        <v>36.096714428651111</v>
      </c>
      <c r="T120" s="1487">
        <f t="shared" si="17"/>
        <v>1006823.2738967241</v>
      </c>
      <c r="U120" s="45">
        <f>Summary!$J$59</f>
        <v>0.12104878144800001</v>
      </c>
      <c r="V120" s="1487">
        <f>IF(A120&lt;=Summary!$J$61,(0.2*T120)+(R120*D120),(U120*T120)+(R120*D120))</f>
        <v>133012.98238868441</v>
      </c>
      <c r="W120" s="1536">
        <f t="shared" si="18"/>
        <v>1810931.8736437571</v>
      </c>
    </row>
    <row r="121" spans="1:23">
      <c r="A121" s="18">
        <v>40057</v>
      </c>
      <c r="B121" s="20">
        <f t="shared" si="11"/>
        <v>2009</v>
      </c>
      <c r="C121" s="1483">
        <f>CALC!HH133</f>
        <v>53.14262597515885</v>
      </c>
      <c r="D121" s="820">
        <f>IF(Summary!$O$109=0,CALC!HE133,0)</f>
        <v>21557.906999999999</v>
      </c>
      <c r="E121" s="820">
        <f>SUM(CALC!GU133:HB133)*CALC!CY133/1000</f>
        <v>71202.534613206488</v>
      </c>
      <c r="F121" s="1481">
        <f>Summary!$J$54</f>
        <v>0.15</v>
      </c>
      <c r="G121" s="1483">
        <f>VLOOKUP(A121,CURVES!AW122:$BS$283,16)</f>
        <v>3.250380336065358</v>
      </c>
      <c r="H121" s="1481">
        <f>Summary!$J$60</f>
        <v>0.04</v>
      </c>
      <c r="I121" s="17">
        <f>Summary!$J$55</f>
        <v>8.5</v>
      </c>
      <c r="J121" s="1483">
        <f t="shared" si="12"/>
        <v>29.243232856555544</v>
      </c>
      <c r="K121" s="1481">
        <f>Summary!$J$56</f>
        <v>3.75</v>
      </c>
      <c r="L121">
        <f>Summary!$O$23</f>
        <v>3.75</v>
      </c>
      <c r="M121" s="1481">
        <f>Summary!$J$57</f>
        <v>1.75</v>
      </c>
      <c r="N121" s="1483">
        <f t="shared" si="13"/>
        <v>23.899393118603307</v>
      </c>
      <c r="O121" s="1481">
        <f t="shared" si="14"/>
        <v>14.649393118603307</v>
      </c>
      <c r="P121" s="1481">
        <f t="shared" si="15"/>
        <v>315810.25445729005</v>
      </c>
      <c r="Q121" s="1483">
        <f>IF(A121&lt;=Summary!$J$61,0.5*(P121),$Q$2*(P121))</f>
        <v>0</v>
      </c>
      <c r="R121" s="1481">
        <f>Summary!$J$58</f>
        <v>0.5</v>
      </c>
      <c r="S121" s="1481">
        <f t="shared" si="16"/>
        <v>37.243232856555544</v>
      </c>
      <c r="T121" s="1487">
        <f t="shared" si="17"/>
        <v>342757.63820729003</v>
      </c>
      <c r="U121" s="45">
        <f>Summary!$J$59</f>
        <v>0.12104878144800001</v>
      </c>
      <c r="V121" s="1487">
        <f>IF(A121&lt;=Summary!$J$61,(0.2*T121)+(R121*D121),(U121*T121)+(R121*D121))</f>
        <v>52269.347936986902</v>
      </c>
      <c r="W121" s="1536">
        <f t="shared" si="18"/>
        <v>1145643.7885082588</v>
      </c>
    </row>
    <row r="122" spans="1:23">
      <c r="A122" s="18">
        <v>40087</v>
      </c>
      <c r="B122" s="20">
        <f t="shared" si="11"/>
        <v>2009</v>
      </c>
      <c r="C122" s="1483">
        <f>CALC!HH134</f>
        <v>45.737327996234512</v>
      </c>
      <c r="D122" s="820">
        <f>IF(Summary!$O$109=0,CALC!HE134,0)</f>
        <v>20950.521524999996</v>
      </c>
      <c r="E122" s="820">
        <f>SUM(CALC!GU134:HB134)*CALC!CY134/1000</f>
        <v>94038.492756460386</v>
      </c>
      <c r="F122" s="1481">
        <f>Summary!$J$54</f>
        <v>0.15</v>
      </c>
      <c r="G122" s="1483">
        <f>VLOOKUP(A122,CURVES!AW123:$BS$283,16)</f>
        <v>3.3948253425863628</v>
      </c>
      <c r="H122" s="1481">
        <f>Summary!$J$60</f>
        <v>0.04</v>
      </c>
      <c r="I122" s="17">
        <f>Summary!$J$55</f>
        <v>8.5</v>
      </c>
      <c r="J122" s="1483">
        <f t="shared" si="12"/>
        <v>30.471015411984084</v>
      </c>
      <c r="K122" s="1481">
        <f>Summary!$J$56</f>
        <v>3.75</v>
      </c>
      <c r="L122">
        <f>Summary!$O$23</f>
        <v>3.75</v>
      </c>
      <c r="M122" s="1481">
        <f>Summary!$J$57</f>
        <v>1.75</v>
      </c>
      <c r="N122" s="1483">
        <f t="shared" si="13"/>
        <v>15.266312584250429</v>
      </c>
      <c r="O122" s="1481">
        <f t="shared" si="14"/>
        <v>6.0163125842504286</v>
      </c>
      <c r="P122" s="1481">
        <f t="shared" si="15"/>
        <v>126044.88629746696</v>
      </c>
      <c r="Q122" s="1483">
        <f>IF(A122&lt;=Summary!$J$61,0.5*(P122),$Q$2*(P122))</f>
        <v>0</v>
      </c>
      <c r="R122" s="1481">
        <f>Summary!$J$58</f>
        <v>0.5</v>
      </c>
      <c r="S122" s="1481">
        <f t="shared" si="16"/>
        <v>38.471015411984084</v>
      </c>
      <c r="T122" s="1487">
        <f t="shared" si="17"/>
        <v>152233.03820371695</v>
      </c>
      <c r="U122" s="45">
        <f>Summary!$J$59</f>
        <v>0.12104878144800001</v>
      </c>
      <c r="V122" s="1487">
        <f>IF(A122&lt;=Summary!$J$61,(0.2*T122)+(R122*D122),(U122*T122)+(R122*D122))</f>
        <v>28902.884533186767</v>
      </c>
      <c r="W122" s="1536">
        <f t="shared" si="18"/>
        <v>958220.87468109606</v>
      </c>
    </row>
    <row r="123" spans="1:23">
      <c r="A123" s="18">
        <v>40118</v>
      </c>
      <c r="B123" s="20">
        <f t="shared" si="11"/>
        <v>2009</v>
      </c>
      <c r="C123" s="1483">
        <f>CALC!HH135</f>
        <v>50.218552803685824</v>
      </c>
      <c r="D123" s="820">
        <f>IF(Summary!$O$109=0,CALC!HE135,0)</f>
        <v>20274.698249999998</v>
      </c>
      <c r="E123" s="820">
        <f>SUM(CALC!GU135:HB135)*CALC!CY135/1000</f>
        <v>91028.969530037633</v>
      </c>
      <c r="F123" s="1481">
        <f>Summary!$J$54</f>
        <v>0.15</v>
      </c>
      <c r="G123" s="1483">
        <f>VLOOKUP(A123,CURVES!AW124:$BS$283,16)</f>
        <v>3.5372625687000161</v>
      </c>
      <c r="H123" s="1481">
        <f>Summary!$J$60</f>
        <v>0.04</v>
      </c>
      <c r="I123" s="17">
        <f>Summary!$J$55</f>
        <v>8.5</v>
      </c>
      <c r="J123" s="1483">
        <f t="shared" si="12"/>
        <v>31.681731833950135</v>
      </c>
      <c r="K123" s="1481">
        <f>Summary!$J$56</f>
        <v>3.75</v>
      </c>
      <c r="L123">
        <f>Summary!$O$23</f>
        <v>3.75</v>
      </c>
      <c r="M123" s="1481">
        <f>Summary!$J$57</f>
        <v>1.75</v>
      </c>
      <c r="N123" s="1483">
        <f t="shared" si="13"/>
        <v>18.53682096973569</v>
      </c>
      <c r="O123" s="1481">
        <f t="shared" si="14"/>
        <v>9.2868209697356896</v>
      </c>
      <c r="P123" s="1481">
        <f t="shared" si="15"/>
        <v>188287.49286316347</v>
      </c>
      <c r="Q123" s="1483">
        <f>IF(A123&lt;=Summary!$J$61,0.5*(P123),$Q$2*(P123))</f>
        <v>0</v>
      </c>
      <c r="R123" s="1481">
        <f>Summary!$J$58</f>
        <v>0.5</v>
      </c>
      <c r="S123" s="1481">
        <f t="shared" si="16"/>
        <v>39.681731833950138</v>
      </c>
      <c r="T123" s="1487">
        <f t="shared" si="17"/>
        <v>213630.8656756634</v>
      </c>
      <c r="U123" s="45">
        <f>Summary!$J$59</f>
        <v>0.12104878144800001</v>
      </c>
      <c r="V123" s="1487">
        <f>IF(A123&lt;=Summary!$J$61,(0.2*T123)+(R123*D123),(U123*T123)+(R123*D123))</f>
        <v>35997.105094720428</v>
      </c>
      <c r="W123" s="1536">
        <f t="shared" si="18"/>
        <v>1018166.0046464214</v>
      </c>
    </row>
    <row r="124" spans="1:23">
      <c r="A124" s="18">
        <v>40148</v>
      </c>
      <c r="B124" s="20">
        <f t="shared" si="11"/>
        <v>2009</v>
      </c>
      <c r="C124" s="1483">
        <f>CALC!HH136</f>
        <v>46.328797810555905</v>
      </c>
      <c r="D124" s="820">
        <f>IF(Summary!$O$109=0,CALC!HE136,0)</f>
        <v>20950.521524999996</v>
      </c>
      <c r="E124" s="820">
        <f>SUM(CALC!GU136:HB136)*CALC!CY136/1000</f>
        <v>94088.044272284053</v>
      </c>
      <c r="F124" s="1481">
        <f>Summary!$J$54</f>
        <v>0.15</v>
      </c>
      <c r="G124" s="1483">
        <f>VLOOKUP(A124,CURVES!AW125:$BS$283,16)</f>
        <v>3.6877203903348774</v>
      </c>
      <c r="H124" s="1481">
        <f>Summary!$J$60</f>
        <v>0.04</v>
      </c>
      <c r="I124" s="17">
        <f>Summary!$J$55</f>
        <v>8.5</v>
      </c>
      <c r="J124" s="1483">
        <f t="shared" si="12"/>
        <v>32.960623317846455</v>
      </c>
      <c r="K124" s="1481">
        <f>Summary!$J$56</f>
        <v>3.75</v>
      </c>
      <c r="L124">
        <f>Summary!$O$23</f>
        <v>3.75</v>
      </c>
      <c r="M124" s="1481">
        <f>Summary!$J$57</f>
        <v>1.75</v>
      </c>
      <c r="N124" s="1483">
        <f t="shared" si="13"/>
        <v>13.36817449270945</v>
      </c>
      <c r="O124" s="1481">
        <f t="shared" si="14"/>
        <v>4.1181744927094499</v>
      </c>
      <c r="P124" s="1481">
        <f t="shared" si="15"/>
        <v>86277.903353215268</v>
      </c>
      <c r="Q124" s="1483">
        <f>IF(A124&lt;=Summary!$J$61,0.5*(P124),$Q$2*(P124))</f>
        <v>0</v>
      </c>
      <c r="R124" s="1481">
        <f>Summary!$J$58</f>
        <v>0.5</v>
      </c>
      <c r="S124" s="1481">
        <f t="shared" si="16"/>
        <v>40.960623317846455</v>
      </c>
      <c r="T124" s="1487">
        <f t="shared" si="17"/>
        <v>112466.05525946527</v>
      </c>
      <c r="U124" s="45">
        <f>Summary!$J$59</f>
        <v>0.12104878144800001</v>
      </c>
      <c r="V124" s="1487">
        <f>IF(A124&lt;=Summary!$J$61,(0.2*T124)+(R124*D124),(U124*T124)+(R124*D124))</f>
        <v>24089.139705921702</v>
      </c>
      <c r="W124" s="1536">
        <f t="shared" si="18"/>
        <v>970612.47575742414</v>
      </c>
    </row>
    <row r="125" spans="1:23">
      <c r="A125" s="18">
        <v>40179</v>
      </c>
      <c r="B125" s="20">
        <f t="shared" si="11"/>
        <v>2010</v>
      </c>
      <c r="C125" s="1483">
        <f>CALC!HH137</f>
        <v>43.525308220852999</v>
      </c>
      <c r="D125" s="820">
        <f>IF(Summary!$O$109=0,CALC!HE137,0)</f>
        <v>20950.521525</v>
      </c>
      <c r="E125" s="820">
        <f>SUM(CALC!GU137:HB137)*CALC!CY137/1000</f>
        <v>94112.8200301959</v>
      </c>
      <c r="F125" s="1481">
        <f>Summary!$J$54</f>
        <v>0.15</v>
      </c>
      <c r="G125" s="1483">
        <f>VLOOKUP(A125,CURVES!AW126:$BS$283,16)</f>
        <v>3.5219671447532508</v>
      </c>
      <c r="H125" s="1481">
        <f>Summary!$J$60</f>
        <v>0.04</v>
      </c>
      <c r="I125" s="17">
        <f>Summary!$J$55</f>
        <v>8.5</v>
      </c>
      <c r="J125" s="1483">
        <f t="shared" si="12"/>
        <v>31.551720730402632</v>
      </c>
      <c r="K125" s="1481">
        <f>Summary!$J$56</f>
        <v>3.75</v>
      </c>
      <c r="L125">
        <f>Summary!$O$23</f>
        <v>3.75</v>
      </c>
      <c r="M125" s="1481">
        <f>Summary!$J$57</f>
        <v>1.75</v>
      </c>
      <c r="N125" s="1483">
        <f t="shared" si="13"/>
        <v>11.973587490450367</v>
      </c>
      <c r="O125" s="1481">
        <f t="shared" si="14"/>
        <v>2.7235874904503667</v>
      </c>
      <c r="P125" s="1481">
        <f t="shared" si="15"/>
        <v>57060.578343901143</v>
      </c>
      <c r="Q125" s="1483">
        <f>IF(A125&lt;=Summary!$J$61,0.5*(P125),$Q$2*(P125))</f>
        <v>0</v>
      </c>
      <c r="R125" s="1481">
        <f>Summary!$J$58</f>
        <v>0.5</v>
      </c>
      <c r="S125" s="1481">
        <f t="shared" si="16"/>
        <v>39.551720730402636</v>
      </c>
      <c r="T125" s="1487">
        <f t="shared" si="17"/>
        <v>83248.730250151071</v>
      </c>
      <c r="U125" s="45">
        <f>Summary!$J$59</f>
        <v>0.12104878144800001</v>
      </c>
      <c r="V125" s="1487">
        <f>IF(A125&lt;=Summary!$J$61,(0.2*T125)+(R125*D125),(U125*T125)+(R125*D125))</f>
        <v>20552.418116374043</v>
      </c>
      <c r="W125" s="1536">
        <f t="shared" si="18"/>
        <v>911877.90676324023</v>
      </c>
    </row>
    <row r="126" spans="1:23">
      <c r="A126" s="18">
        <v>40210</v>
      </c>
      <c r="B126" s="20">
        <f t="shared" si="11"/>
        <v>2010</v>
      </c>
      <c r="C126" s="1483">
        <f>CALC!HH138</f>
        <v>38.44729232019349</v>
      </c>
      <c r="D126" s="820">
        <f>IF(Summary!$O$109=0,CALC!HE138,0)</f>
        <v>18923.051699999996</v>
      </c>
      <c r="E126" s="820">
        <f>SUM(CALC!GU138:HB138)*CALC!CY138/1000</f>
        <v>85027.505873129558</v>
      </c>
      <c r="F126" s="1481">
        <f>Summary!$J$54</f>
        <v>0.15</v>
      </c>
      <c r="G126" s="1483">
        <f>VLOOKUP(A126,CURVES!AW127:$BS$283,16)</f>
        <v>3.2529495506322421</v>
      </c>
      <c r="H126" s="1481">
        <f>Summary!$J$60</f>
        <v>0.04</v>
      </c>
      <c r="I126" s="17">
        <f>Summary!$J$55</f>
        <v>8.5</v>
      </c>
      <c r="J126" s="1483">
        <f t="shared" si="12"/>
        <v>29.265071180374058</v>
      </c>
      <c r="K126" s="1481">
        <f>Summary!$J$56</f>
        <v>3.75</v>
      </c>
      <c r="L126">
        <f>Summary!$O$23</f>
        <v>3.75</v>
      </c>
      <c r="M126" s="1481">
        <f>Summary!$J$57</f>
        <v>1.75</v>
      </c>
      <c r="N126" s="1483">
        <f t="shared" si="13"/>
        <v>9.1822211398194327</v>
      </c>
      <c r="O126" s="1481">
        <f t="shared" si="14"/>
        <v>0</v>
      </c>
      <c r="P126" s="1481">
        <f t="shared" si="15"/>
        <v>0</v>
      </c>
      <c r="Q126" s="1483">
        <f>IF(A126&lt;=Summary!$J$61,0.5*(P126),$Q$2*(P126))</f>
        <v>0</v>
      </c>
      <c r="R126" s="1481">
        <f>Summary!$J$58</f>
        <v>0.5</v>
      </c>
      <c r="S126" s="1481">
        <f t="shared" si="16"/>
        <v>37.265071180374058</v>
      </c>
      <c r="T126" s="1487">
        <f t="shared" si="17"/>
        <v>22371.231749636048</v>
      </c>
      <c r="U126" s="45">
        <f>Summary!$J$59</f>
        <v>0.12104878144800001</v>
      </c>
      <c r="V126" s="1487">
        <f>IF(A126&lt;=Summary!$J$61,(0.2*T126)+(R126*D126),(U126*T126)+(R126*D126))</f>
        <v>12169.536192784251</v>
      </c>
      <c r="W126" s="1536">
        <f t="shared" si="18"/>
        <v>727540.10030003428</v>
      </c>
    </row>
    <row r="127" spans="1:23">
      <c r="A127" s="18">
        <v>40238</v>
      </c>
      <c r="B127" s="20">
        <f t="shared" si="11"/>
        <v>2010</v>
      </c>
      <c r="C127" s="1483">
        <f>CALC!HH139</f>
        <v>35.574902721002076</v>
      </c>
      <c r="D127" s="820">
        <f>IF(Summary!$O$109=0,CALC!HE139,0)</f>
        <v>20950.521524999996</v>
      </c>
      <c r="E127" s="820">
        <f>SUM(CALC!GU139:HB139)*CALC!CY139/1000</f>
        <v>94162.371546019567</v>
      </c>
      <c r="F127" s="1481">
        <f>Summary!$J$54</f>
        <v>0.15</v>
      </c>
      <c r="G127" s="1483">
        <f>VLOOKUP(A127,CURVES!AW128:$BS$283,16)</f>
        <v>3.078320017282647</v>
      </c>
      <c r="H127" s="1481">
        <f>Summary!$J$60</f>
        <v>0.04</v>
      </c>
      <c r="I127" s="17">
        <f>Summary!$J$55</f>
        <v>8.5</v>
      </c>
      <c r="J127" s="1483">
        <f t="shared" si="12"/>
        <v>27.7807201469025</v>
      </c>
      <c r="K127" s="1481">
        <f>Summary!$J$56</f>
        <v>3.75</v>
      </c>
      <c r="L127">
        <f>Summary!$O$23</f>
        <v>3.75</v>
      </c>
      <c r="M127" s="1481">
        <f>Summary!$J$57</f>
        <v>1.75</v>
      </c>
      <c r="N127" s="1483">
        <f t="shared" si="13"/>
        <v>7.794182574099576</v>
      </c>
      <c r="O127" s="1481">
        <f t="shared" si="14"/>
        <v>0</v>
      </c>
      <c r="P127" s="1481">
        <f t="shared" si="15"/>
        <v>0</v>
      </c>
      <c r="Q127" s="1483">
        <f>IF(A127&lt;=Summary!$J$61,0.5*(P127),$Q$2*(P127))</f>
        <v>0</v>
      </c>
      <c r="R127" s="1481">
        <f>Summary!$J$58</f>
        <v>0.5</v>
      </c>
      <c r="S127" s="1481">
        <f t="shared" si="16"/>
        <v>35.780720146902496</v>
      </c>
      <c r="T127" s="1487">
        <f t="shared" si="17"/>
        <v>0</v>
      </c>
      <c r="U127" s="45">
        <f>Summary!$J$59</f>
        <v>0.12104878144800001</v>
      </c>
      <c r="V127" s="1487">
        <f>IF(A127&lt;=Summary!$J$61,(0.2*T127)+(R127*D127),(U127*T127)+(R127*D127))</f>
        <v>10475.260762499998</v>
      </c>
      <c r="W127" s="1536">
        <f t="shared" si="18"/>
        <v>745312.76520613488</v>
      </c>
    </row>
    <row r="128" spans="1:23">
      <c r="A128" s="18">
        <v>40269</v>
      </c>
      <c r="B128" s="20">
        <f t="shared" si="11"/>
        <v>2010</v>
      </c>
      <c r="C128" s="1483">
        <f>CALC!HH140</f>
        <v>34.41290305422293</v>
      </c>
      <c r="D128" s="820">
        <f>IF(Summary!$O$109=0,CALC!HE140,0)</f>
        <v>20274.698249999998</v>
      </c>
      <c r="E128" s="820">
        <f>SUM(CALC!GU140:HB140)*CALC!CY140/1000</f>
        <v>91148.852229611031</v>
      </c>
      <c r="F128" s="1481">
        <f>Summary!$J$54</f>
        <v>0.15</v>
      </c>
      <c r="G128" s="1483">
        <f>VLOOKUP(A128,CURVES!AW129:$BS$283,16)</f>
        <v>2.985968219236578</v>
      </c>
      <c r="H128" s="1481">
        <f>Summary!$J$60</f>
        <v>0.04</v>
      </c>
      <c r="I128" s="17">
        <f>Summary!$J$55</f>
        <v>8.5</v>
      </c>
      <c r="J128" s="1483">
        <f t="shared" si="12"/>
        <v>26.995729863510913</v>
      </c>
      <c r="K128" s="1481">
        <f>Summary!$J$56</f>
        <v>3.75</v>
      </c>
      <c r="L128">
        <f>Summary!$O$23</f>
        <v>3.75</v>
      </c>
      <c r="M128" s="1481">
        <f>Summary!$J$57</f>
        <v>1.75</v>
      </c>
      <c r="N128" s="1483">
        <f t="shared" si="13"/>
        <v>7.4171731907120169</v>
      </c>
      <c r="O128" s="1481">
        <f t="shared" si="14"/>
        <v>0</v>
      </c>
      <c r="P128" s="1481">
        <f t="shared" si="15"/>
        <v>0</v>
      </c>
      <c r="Q128" s="1483">
        <f>IF(A128&lt;=Summary!$J$61,0.5*(P128),$Q$2*(P128))</f>
        <v>0</v>
      </c>
      <c r="R128" s="1481">
        <f>Summary!$J$58</f>
        <v>0.5</v>
      </c>
      <c r="S128" s="1481">
        <f t="shared" si="16"/>
        <v>34.995729863510917</v>
      </c>
      <c r="T128" s="1487">
        <f t="shared" si="17"/>
        <v>0</v>
      </c>
      <c r="U128" s="45">
        <f>Summary!$J$59</f>
        <v>0.12104878144800001</v>
      </c>
      <c r="V128" s="1487">
        <f>IF(A128&lt;=Summary!$J$61,(0.2*T128)+(R128*D128),(U128*T128)+(R128*D128))</f>
        <v>10137.349124999999</v>
      </c>
      <c r="W128" s="1536">
        <f t="shared" si="18"/>
        <v>697711.22533087316</v>
      </c>
    </row>
    <row r="129" spans="1:23">
      <c r="A129" s="18">
        <v>40299</v>
      </c>
      <c r="B129" s="20">
        <f t="shared" si="11"/>
        <v>2010</v>
      </c>
      <c r="C129" s="1483">
        <f>CALC!HH141</f>
        <v>35.597250828920167</v>
      </c>
      <c r="D129" s="820">
        <f>IF(Summary!$O$109=0,CALC!HE141,0)</f>
        <v>22276.503900000003</v>
      </c>
      <c r="E129" s="820">
        <f>SUM(CALC!GU141:HB141)*CALC!CY141/1000</f>
        <v>73731.070222312104</v>
      </c>
      <c r="F129" s="1481">
        <f>Summary!$J$54</f>
        <v>0.15</v>
      </c>
      <c r="G129" s="1483">
        <f>VLOOKUP(A129,CURVES!AW130:$BS$283,16)</f>
        <v>2.963448970589317</v>
      </c>
      <c r="H129" s="1481">
        <f>Summary!$J$60</f>
        <v>0.04</v>
      </c>
      <c r="I129" s="17">
        <f>Summary!$J$55</f>
        <v>8.5</v>
      </c>
      <c r="J129" s="1483">
        <f t="shared" si="12"/>
        <v>26.804316250009194</v>
      </c>
      <c r="K129" s="1481">
        <f>Summary!$J$56</f>
        <v>3.75</v>
      </c>
      <c r="L129">
        <f>Summary!$O$23</f>
        <v>3.75</v>
      </c>
      <c r="M129" s="1481">
        <f>Summary!$J$57</f>
        <v>1.75</v>
      </c>
      <c r="N129" s="1483">
        <f t="shared" si="13"/>
        <v>8.7929345789109732</v>
      </c>
      <c r="O129" s="1481">
        <f t="shared" si="14"/>
        <v>0</v>
      </c>
      <c r="P129" s="1481">
        <f t="shared" si="15"/>
        <v>0</v>
      </c>
      <c r="Q129" s="1483">
        <f>IF(A129&lt;=Summary!$J$61,0.5*(P129),$Q$2*(P129))</f>
        <v>0</v>
      </c>
      <c r="R129" s="1481">
        <f>Summary!$J$58</f>
        <v>0.5</v>
      </c>
      <c r="S129" s="1481">
        <f t="shared" si="16"/>
        <v>34.804316250009194</v>
      </c>
      <c r="T129" s="1487">
        <f t="shared" si="17"/>
        <v>17663.810239555154</v>
      </c>
      <c r="U129" s="45">
        <f>Summary!$J$59</f>
        <v>0.12104878144800001</v>
      </c>
      <c r="V129" s="1487">
        <f>IF(A129&lt;=Summary!$J$61,(0.2*T129)+(R129*D129),(U129*T129)+(R129*D129))</f>
        <v>13276.434655226858</v>
      </c>
      <c r="W129" s="1536">
        <f t="shared" si="18"/>
        <v>792982.2969197185</v>
      </c>
    </row>
    <row r="130" spans="1:23">
      <c r="A130" s="18">
        <v>40330</v>
      </c>
      <c r="B130" s="20">
        <f t="shared" si="11"/>
        <v>2010</v>
      </c>
      <c r="C130" s="1483">
        <f>CALC!HH142</f>
        <v>37.459495291037754</v>
      </c>
      <c r="D130" s="820">
        <f>IF(Summary!$O$109=0,CALC!HE142,0)</f>
        <v>21557.906999999999</v>
      </c>
      <c r="E130" s="820">
        <f>SUM(CALC!GU142:HB142)*CALC!CY142/1000</f>
        <v>71371.412850866385</v>
      </c>
      <c r="F130" s="1481">
        <f>Summary!$J$54</f>
        <v>0.15</v>
      </c>
      <c r="G130" s="1483">
        <f>VLOOKUP(A130,CURVES!AW131:$BS$283,16)</f>
        <v>2.9992457232965544</v>
      </c>
      <c r="H130" s="1481">
        <f>Summary!$J$60</f>
        <v>0.04</v>
      </c>
      <c r="I130" s="17">
        <f>Summary!$J$55</f>
        <v>8.5</v>
      </c>
      <c r="J130" s="1483">
        <f t="shared" si="12"/>
        <v>27.10858864802071</v>
      </c>
      <c r="K130" s="1481">
        <f>Summary!$J$56</f>
        <v>3.75</v>
      </c>
      <c r="L130">
        <f>Summary!$O$23</f>
        <v>3.75</v>
      </c>
      <c r="M130" s="1481">
        <f>Summary!$J$57</f>
        <v>1.75</v>
      </c>
      <c r="N130" s="1483">
        <f t="shared" si="13"/>
        <v>10.350906643017044</v>
      </c>
      <c r="O130" s="1481">
        <f t="shared" si="14"/>
        <v>1.1009066430170442</v>
      </c>
      <c r="P130" s="1481">
        <f t="shared" si="15"/>
        <v>23733.243025843636</v>
      </c>
      <c r="Q130" s="1483">
        <f>IF(A130&lt;=Summary!$J$61,0.5*(P130),$Q$2*(P130))</f>
        <v>0</v>
      </c>
      <c r="R130" s="1481">
        <f>Summary!$J$58</f>
        <v>0.5</v>
      </c>
      <c r="S130" s="1481">
        <f t="shared" si="16"/>
        <v>35.108588648020714</v>
      </c>
      <c r="T130" s="1487">
        <f t="shared" si="17"/>
        <v>50680.626775843557</v>
      </c>
      <c r="U130" s="45">
        <f>Summary!$J$59</f>
        <v>0.12104878144800001</v>
      </c>
      <c r="V130" s="1487">
        <f>IF(A130&lt;=Summary!$J$61,(0.2*T130)+(R130*D130),(U130*T130)+(R130*D130))</f>
        <v>16913.781614236745</v>
      </c>
      <c r="W130" s="1536">
        <f t="shared" si="18"/>
        <v>807548.31575112976</v>
      </c>
    </row>
    <row r="131" spans="1:23">
      <c r="A131" s="18">
        <v>40360</v>
      </c>
      <c r="B131" s="20">
        <f t="shared" si="11"/>
        <v>2010</v>
      </c>
      <c r="C131" s="1483">
        <f>CALC!HH143</f>
        <v>50.623760546963879</v>
      </c>
      <c r="D131" s="820">
        <f>IF(Summary!$O$109=0,CALC!HE143,0)</f>
        <v>22276.503900000003</v>
      </c>
      <c r="E131" s="820">
        <f>SUM(CALC!GU143:HB143)*CALC!CY143/1000</f>
        <v>73769.84966947847</v>
      </c>
      <c r="F131" s="1481">
        <f>Summary!$J$54</f>
        <v>0.15</v>
      </c>
      <c r="G131" s="1483">
        <f>VLOOKUP(A131,CURVES!AW132:$BS$283,16)</f>
        <v>3.0811134056312843</v>
      </c>
      <c r="H131" s="1481">
        <f>Summary!$J$60</f>
        <v>0.04</v>
      </c>
      <c r="I131" s="17">
        <f>Summary!$J$55</f>
        <v>8.5</v>
      </c>
      <c r="J131" s="1483">
        <f t="shared" si="12"/>
        <v>27.804463947865916</v>
      </c>
      <c r="K131" s="1481">
        <f>Summary!$J$56</f>
        <v>3.75</v>
      </c>
      <c r="L131">
        <f>Summary!$O$23</f>
        <v>3.75</v>
      </c>
      <c r="M131" s="1481">
        <f>Summary!$J$57</f>
        <v>1.75</v>
      </c>
      <c r="N131" s="1483">
        <f t="shared" si="13"/>
        <v>22.819296599097964</v>
      </c>
      <c r="O131" s="1481">
        <f t="shared" si="14"/>
        <v>13.569296599097964</v>
      </c>
      <c r="P131" s="1481">
        <f t="shared" si="15"/>
        <v>302276.48861006257</v>
      </c>
      <c r="Q131" s="1483">
        <f>IF(A131&lt;=Summary!$J$61,0.5*(P131),$Q$2*(P131))</f>
        <v>0</v>
      </c>
      <c r="R131" s="1481">
        <f>Summary!$J$58</f>
        <v>0.5</v>
      </c>
      <c r="S131" s="1481">
        <f t="shared" si="16"/>
        <v>35.804463947865912</v>
      </c>
      <c r="T131" s="1487">
        <f t="shared" si="17"/>
        <v>330122.11848506267</v>
      </c>
      <c r="U131" s="45">
        <f>Summary!$J$59</f>
        <v>0.12104878144800001</v>
      </c>
      <c r="V131" s="1487">
        <f>IF(A131&lt;=Summary!$J$61,(0.2*T131)+(R131*D131),(U131*T131)+(R131*D131))</f>
        <v>51099.13212164912</v>
      </c>
      <c r="W131" s="1536">
        <f t="shared" si="18"/>
        <v>1127720.3992571072</v>
      </c>
    </row>
    <row r="132" spans="1:23">
      <c r="A132" s="18">
        <v>40391</v>
      </c>
      <c r="B132" s="20">
        <f t="shared" si="11"/>
        <v>2010</v>
      </c>
      <c r="C132" s="1483">
        <f>CALC!HH144</f>
        <v>71.838442376262719</v>
      </c>
      <c r="D132" s="820">
        <f>IF(Summary!$O$109=0,CALC!HE144,0)</f>
        <v>22276.5039</v>
      </c>
      <c r="E132" s="820">
        <f>SUM(CALC!GU144:HB144)*CALC!CY144/1000</f>
        <v>73789.239393061638</v>
      </c>
      <c r="F132" s="1481">
        <f>Summary!$J$54</f>
        <v>0.15</v>
      </c>
      <c r="G132" s="1483">
        <f>VLOOKUP(A132,CURVES!AW133:$BS$283,16)</f>
        <v>3.1973825175137618</v>
      </c>
      <c r="H132" s="1481">
        <f>Summary!$J$60</f>
        <v>0.04</v>
      </c>
      <c r="I132" s="17">
        <f>Summary!$J$55</f>
        <v>8.5</v>
      </c>
      <c r="J132" s="1483">
        <f t="shared" si="12"/>
        <v>28.792751398866976</v>
      </c>
      <c r="K132" s="1481">
        <f>Summary!$J$56</f>
        <v>3.75</v>
      </c>
      <c r="L132">
        <f>Summary!$O$23</f>
        <v>3.75</v>
      </c>
      <c r="M132" s="1481">
        <f>Summary!$J$57</f>
        <v>1.75</v>
      </c>
      <c r="N132" s="1483">
        <f t="shared" si="13"/>
        <v>43.045690977395743</v>
      </c>
      <c r="O132" s="1481">
        <f t="shared" si="14"/>
        <v>33.795690977395743</v>
      </c>
      <c r="P132" s="1481">
        <f t="shared" si="15"/>
        <v>752849.84186115104</v>
      </c>
      <c r="Q132" s="1483">
        <f>IF(A132&lt;=Summary!$J$61,0.5*(P132),$Q$2*(P132))</f>
        <v>0</v>
      </c>
      <c r="R132" s="1481">
        <f>Summary!$J$58</f>
        <v>0.5</v>
      </c>
      <c r="S132" s="1481">
        <f t="shared" si="16"/>
        <v>36.792751398866976</v>
      </c>
      <c r="T132" s="1487">
        <f t="shared" si="17"/>
        <v>780695.47173615103</v>
      </c>
      <c r="U132" s="45">
        <f>Summary!$J$59</f>
        <v>0.12104878144800001</v>
      </c>
      <c r="V132" s="1487">
        <f>IF(A132&lt;=Summary!$J$61,(0.2*T132)+(R132*D132),(U132*T132)+(R132*D132))</f>
        <v>105640.48748563262</v>
      </c>
      <c r="W132" s="1536">
        <f t="shared" si="18"/>
        <v>1600309.3417647418</v>
      </c>
    </row>
    <row r="133" spans="1:23">
      <c r="A133" s="18">
        <v>40422</v>
      </c>
      <c r="B133" s="20">
        <f t="shared" si="11"/>
        <v>2010</v>
      </c>
      <c r="C133" s="1483">
        <f>CALC!HH145</f>
        <v>58.134348333485427</v>
      </c>
      <c r="D133" s="820">
        <f>IF(Summary!$O$109=0,CALC!HE145,0)</f>
        <v>21557.906999999999</v>
      </c>
      <c r="E133" s="820">
        <f>SUM(CALC!GU145:HB145)*CALC!CY145/1000</f>
        <v>71427.705596753047</v>
      </c>
      <c r="F133" s="1481">
        <f>Summary!$J$54</f>
        <v>0.15</v>
      </c>
      <c r="G133" s="1483">
        <f>VLOOKUP(A133,CURVES!AW134:$BS$283,16)</f>
        <v>3.3358123003462068</v>
      </c>
      <c r="H133" s="1481">
        <f>Summary!$J$60</f>
        <v>0.04</v>
      </c>
      <c r="I133" s="17">
        <f>Summary!$J$55</f>
        <v>8.5</v>
      </c>
      <c r="J133" s="1483">
        <f t="shared" si="12"/>
        <v>29.969404552942756</v>
      </c>
      <c r="K133" s="1481">
        <f>Summary!$J$56</f>
        <v>3.75</v>
      </c>
      <c r="L133">
        <f>Summary!$O$23</f>
        <v>3.75</v>
      </c>
      <c r="M133" s="1481">
        <f>Summary!$J$57</f>
        <v>1.75</v>
      </c>
      <c r="N133" s="1483">
        <f t="shared" si="13"/>
        <v>28.164943780542671</v>
      </c>
      <c r="O133" s="1481">
        <f t="shared" si="14"/>
        <v>18.914943780542671</v>
      </c>
      <c r="P133" s="1481">
        <f t="shared" si="15"/>
        <v>407766.59893116733</v>
      </c>
      <c r="Q133" s="1483">
        <f>IF(A133&lt;=Summary!$J$61,0.5*(P133),$Q$2*(P133))</f>
        <v>0</v>
      </c>
      <c r="R133" s="1481">
        <f>Summary!$J$58</f>
        <v>0.5</v>
      </c>
      <c r="S133" s="1481">
        <f t="shared" si="16"/>
        <v>37.969404552942756</v>
      </c>
      <c r="T133" s="1487">
        <f t="shared" si="17"/>
        <v>434713.98268116731</v>
      </c>
      <c r="U133" s="45">
        <f>Summary!$J$59</f>
        <v>0.12104878144800001</v>
      </c>
      <c r="V133" s="1487">
        <f>IF(A133&lt;=Summary!$J$61,(0.2*T133)+(R133*D133),(U133*T133)+(R133*D133))</f>
        <v>63400.551381962287</v>
      </c>
      <c r="W133" s="1536">
        <f t="shared" si="18"/>
        <v>1253254.8748788838</v>
      </c>
    </row>
    <row r="134" spans="1:23">
      <c r="A134" s="18">
        <v>40452</v>
      </c>
      <c r="B134" s="20">
        <f t="shared" ref="B134:B197" si="19">YEAR(A134)</f>
        <v>2010</v>
      </c>
      <c r="C134" s="1483">
        <f>CALC!HH146</f>
        <v>49.065625278568533</v>
      </c>
      <c r="D134" s="820">
        <f>IF(Summary!$O$109=0,CALC!HE146,0)</f>
        <v>20950.521525</v>
      </c>
      <c r="E134" s="820">
        <f>SUM(CALC!GU146:HB146)*CALC!CY146/1000</f>
        <v>94335.80185140243</v>
      </c>
      <c r="F134" s="1481">
        <f>Summary!$J$54</f>
        <v>0.15</v>
      </c>
      <c r="G134" s="1483">
        <f>VLOOKUP(A134,CURVES!AW135:$BS$283,16)</f>
        <v>3.4840538535361425</v>
      </c>
      <c r="H134" s="1481">
        <f>Summary!$J$60</f>
        <v>0.04</v>
      </c>
      <c r="I134" s="17">
        <f>Summary!$J$55</f>
        <v>8.5</v>
      </c>
      <c r="J134" s="1483">
        <f t="shared" ref="J134:J143" si="20">I134*SUM(F134:H134)</f>
        <v>31.229457755057211</v>
      </c>
      <c r="K134" s="1481">
        <f>Summary!$J$56</f>
        <v>3.75</v>
      </c>
      <c r="L134">
        <f>Summary!$O$23</f>
        <v>3.75</v>
      </c>
      <c r="M134" s="1481">
        <f>Summary!$J$57</f>
        <v>1.75</v>
      </c>
      <c r="N134" s="1483">
        <f t="shared" ref="N134:N197" si="21">IF(C134&gt;0,C134-J134,0)</f>
        <v>17.836167523511321</v>
      </c>
      <c r="O134" s="1481">
        <f t="shared" ref="O134:O197" si="22">IF(N134&gt;0,IF(N134-SUM(K134:M134)&gt;0,N134-SUM(K134:M134),0),0)</f>
        <v>8.5861675235113211</v>
      </c>
      <c r="P134" s="1481">
        <f t="shared" ref="P134:P197" si="23">O134*D134</f>
        <v>179884.68751857989</v>
      </c>
      <c r="Q134" s="1483">
        <f>IF(A134&lt;=Summary!$J$61,0.5*(P134),$Q$2*(P134))</f>
        <v>0</v>
      </c>
      <c r="R134" s="1481">
        <f>Summary!$J$58</f>
        <v>0.5</v>
      </c>
      <c r="S134" s="1481">
        <f t="shared" ref="S134:S197" si="24">J134+(K134+L134+R134)</f>
        <v>39.229457755057211</v>
      </c>
      <c r="T134" s="1487">
        <f t="shared" ref="T134:T197" si="25">IF(D134*(C134-S134)-Q134&gt;0,D134*(C134-S134)-Q134,0)</f>
        <v>206072.83942482987</v>
      </c>
      <c r="U134" s="45">
        <f>Summary!$J$59</f>
        <v>0.12104878144800001</v>
      </c>
      <c r="V134" s="1487">
        <f>IF(A134&lt;=Summary!$J$61,(0.2*T134)+(R134*D134),(U134*T134)+(R134*D134))</f>
        <v>35420.126864405029</v>
      </c>
      <c r="W134" s="1536">
        <f t="shared" ref="W134:W197" si="26">C134*D134</f>
        <v>1027950.4385362342</v>
      </c>
    </row>
    <row r="135" spans="1:23">
      <c r="A135" s="18">
        <v>40483</v>
      </c>
      <c r="B135" s="20">
        <f t="shared" si="19"/>
        <v>2010</v>
      </c>
      <c r="C135" s="1483">
        <f>CALC!HH147</f>
        <v>48.868766961264633</v>
      </c>
      <c r="D135" s="820">
        <f>IF(Summary!$O$109=0,CALC!HE147,0)</f>
        <v>20274.698250000001</v>
      </c>
      <c r="E135" s="820">
        <f>SUM(CALC!GU147:HB147)*CALC!CY147/1000</f>
        <v>91316.688009013786</v>
      </c>
      <c r="F135" s="1481">
        <f>Summary!$J$54</f>
        <v>0.15</v>
      </c>
      <c r="G135" s="1483">
        <f>VLOOKUP(A135,CURVES!AW136:$BS$283,16)</f>
        <v>3.6302348544562659</v>
      </c>
      <c r="H135" s="1481">
        <f>Summary!$J$60</f>
        <v>0.04</v>
      </c>
      <c r="I135" s="17">
        <f>Summary!$J$55</f>
        <v>8.5</v>
      </c>
      <c r="J135" s="1483">
        <f t="shared" si="20"/>
        <v>32.471996262878257</v>
      </c>
      <c r="K135" s="1481">
        <f>Summary!$J$56</f>
        <v>3.75</v>
      </c>
      <c r="L135">
        <f>Summary!$O$23</f>
        <v>3.75</v>
      </c>
      <c r="M135" s="1481">
        <f>Summary!$J$57</f>
        <v>1.75</v>
      </c>
      <c r="N135" s="1483">
        <f t="shared" si="21"/>
        <v>16.396770698386376</v>
      </c>
      <c r="O135" s="1481">
        <f t="shared" si="22"/>
        <v>7.1467706983863764</v>
      </c>
      <c r="P135" s="1481">
        <f t="shared" si="23"/>
        <v>144898.61937172554</v>
      </c>
      <c r="Q135" s="1483">
        <f>IF(A135&lt;=Summary!$J$61,0.5*(P135),$Q$2*(P135))</f>
        <v>0</v>
      </c>
      <c r="R135" s="1481">
        <f>Summary!$J$58</f>
        <v>0.5</v>
      </c>
      <c r="S135" s="1481">
        <f t="shared" si="24"/>
        <v>40.471996262878257</v>
      </c>
      <c r="T135" s="1487">
        <f t="shared" si="25"/>
        <v>170241.99218422556</v>
      </c>
      <c r="U135" s="45">
        <f>Summary!$J$59</f>
        <v>0.12104878144800001</v>
      </c>
      <c r="V135" s="1487">
        <f>IF(A135&lt;=Summary!$J$61,(0.2*T135)+(R135*D135),(U135*T135)+(R135*D135))</f>
        <v>30744.934830180446</v>
      </c>
      <c r="W135" s="1536">
        <f t="shared" si="26"/>
        <v>990799.50398920989</v>
      </c>
    </row>
    <row r="136" spans="1:23">
      <c r="A136" s="18">
        <v>40513</v>
      </c>
      <c r="B136" s="20">
        <f t="shared" si="19"/>
        <v>2010</v>
      </c>
      <c r="C136" s="1483">
        <f>CALC!HH148</f>
        <v>46.607431114416904</v>
      </c>
      <c r="D136" s="820">
        <f>IF(Summary!$O$109=0,CALC!HE148,0)</f>
        <v>20950.521525</v>
      </c>
      <c r="E136" s="820">
        <f>SUM(CALC!GU148:HB148)*CALC!CY148/1000</f>
        <v>94385.353367226096</v>
      </c>
      <c r="F136" s="1481">
        <f>Summary!$J$54</f>
        <v>0.15</v>
      </c>
      <c r="G136" s="1483">
        <f>VLOOKUP(A136,CURVES!AW137:$BS$283,16)</f>
        <v>3.7846472616825606</v>
      </c>
      <c r="H136" s="1481">
        <f>Summary!$J$60</f>
        <v>0.04</v>
      </c>
      <c r="I136" s="17">
        <f>Summary!$J$55</f>
        <v>8.5</v>
      </c>
      <c r="J136" s="1483">
        <f t="shared" si="20"/>
        <v>33.784501724301762</v>
      </c>
      <c r="K136" s="1481">
        <f>Summary!$J$56</f>
        <v>3.75</v>
      </c>
      <c r="L136">
        <f>Summary!$O$23</f>
        <v>3.75</v>
      </c>
      <c r="M136" s="1481">
        <f>Summary!$J$57</f>
        <v>1.75</v>
      </c>
      <c r="N136" s="1483">
        <f t="shared" si="21"/>
        <v>12.822929390115142</v>
      </c>
      <c r="O136" s="1481">
        <f t="shared" si="22"/>
        <v>3.5729293901151422</v>
      </c>
      <c r="P136" s="1481">
        <f t="shared" si="23"/>
        <v>74854.734094912405</v>
      </c>
      <c r="Q136" s="1483">
        <f>IF(A136&lt;=Summary!$J$61,0.5*(P136),$Q$2*(P136))</f>
        <v>0</v>
      </c>
      <c r="R136" s="1481">
        <f>Summary!$J$58</f>
        <v>0.5</v>
      </c>
      <c r="S136" s="1481">
        <f t="shared" si="24"/>
        <v>41.784501724301762</v>
      </c>
      <c r="T136" s="1487">
        <f t="shared" si="25"/>
        <v>101042.88600116241</v>
      </c>
      <c r="U136" s="45">
        <f>Summary!$J$59</f>
        <v>0.12104878144800001</v>
      </c>
      <c r="V136" s="1487">
        <f>IF(A136&lt;=Summary!$J$61,(0.2*T136)+(R136*D136),(U136*T136)+(R136*D136))</f>
        <v>22706.378986929885</v>
      </c>
      <c r="W136" s="1536">
        <f t="shared" si="26"/>
        <v>976449.98878754606</v>
      </c>
    </row>
    <row r="137" spans="1:23">
      <c r="A137" s="18">
        <v>40544</v>
      </c>
      <c r="B137" s="20">
        <f t="shared" si="19"/>
        <v>2011</v>
      </c>
      <c r="C137" s="1483">
        <f>CALC!HH149</f>
        <v>46.498680089768527</v>
      </c>
      <c r="D137" s="820">
        <f>IF(Summary!$O$109=0,CALC!HE149,0)</f>
        <v>20950.521524999996</v>
      </c>
      <c r="E137" s="820">
        <f>SUM(CALC!GU149:HB149)*CALC!CY149/1000</f>
        <v>94410.12912513793</v>
      </c>
      <c r="F137" s="1481">
        <f>Summary!$J$54</f>
        <v>0.15</v>
      </c>
      <c r="G137" s="1483">
        <f>VLOOKUP(A137,CURVES!AW138:$BS$283,16)</f>
        <v>3.6077273017954457</v>
      </c>
      <c r="H137" s="1481">
        <f>Summary!$J$60</f>
        <v>0.04</v>
      </c>
      <c r="I137" s="17">
        <f>Summary!$J$55</f>
        <v>8.5</v>
      </c>
      <c r="J137" s="1483">
        <f t="shared" si="20"/>
        <v>32.280682065261288</v>
      </c>
      <c r="K137" s="1481">
        <f>Summary!$J$56</f>
        <v>3.75</v>
      </c>
      <c r="L137">
        <f>Summary!$O$23</f>
        <v>3.75</v>
      </c>
      <c r="M137" s="1481">
        <f>Summary!$J$57</f>
        <v>1.75</v>
      </c>
      <c r="N137" s="1483">
        <f t="shared" si="21"/>
        <v>14.217998024507239</v>
      </c>
      <c r="O137" s="1481">
        <f t="shared" si="22"/>
        <v>4.9679980245072386</v>
      </c>
      <c r="P137" s="1481">
        <f t="shared" si="23"/>
        <v>104082.14954859637</v>
      </c>
      <c r="Q137" s="1483">
        <f>IF(A137&lt;=Summary!$J$61,0.5*(P137),$Q$2*(P137))</f>
        <v>0</v>
      </c>
      <c r="R137" s="1481">
        <f>Summary!$J$58</f>
        <v>0.5</v>
      </c>
      <c r="S137" s="1481">
        <f t="shared" si="24"/>
        <v>40.280682065261288</v>
      </c>
      <c r="T137" s="1487">
        <f t="shared" si="25"/>
        <v>130270.30145484635</v>
      </c>
      <c r="U137" s="45">
        <f>Summary!$J$59</f>
        <v>0.12104878144800001</v>
      </c>
      <c r="V137" s="1487">
        <f>IF(A137&lt;=Summary!$J$61,(0.2*T137)+(R137*D137),(U137*T137)+(R137*D137))</f>
        <v>26244.322012472774</v>
      </c>
      <c r="W137" s="1536">
        <f t="shared" si="26"/>
        <v>974171.59810478427</v>
      </c>
    </row>
    <row r="138" spans="1:23">
      <c r="A138" s="18">
        <v>40575</v>
      </c>
      <c r="B138" s="20">
        <f t="shared" si="19"/>
        <v>2011</v>
      </c>
      <c r="C138" s="1483">
        <f>CALC!HH150</f>
        <v>38.574580209112725</v>
      </c>
      <c r="D138" s="820">
        <f>IF(Summary!$O$109=0,CALC!HE150,0)</f>
        <v>18923.051699999996</v>
      </c>
      <c r="E138" s="820">
        <f>SUM(CALC!GU150:HB150)*CALC!CY150/1000</f>
        <v>85296.04312017397</v>
      </c>
      <c r="F138" s="1481">
        <f>Summary!$J$54</f>
        <v>0.15</v>
      </c>
      <c r="G138" s="1483">
        <f>VLOOKUP(A138,CURVES!AW139:$BS$283,16)</f>
        <v>3.3321591096220655</v>
      </c>
      <c r="H138" s="1481">
        <f>Summary!$J$60</f>
        <v>0.04</v>
      </c>
      <c r="I138" s="17">
        <f>Summary!$J$55</f>
        <v>8.5</v>
      </c>
      <c r="J138" s="1483">
        <f t="shared" si="20"/>
        <v>29.938352431787557</v>
      </c>
      <c r="K138" s="1481">
        <f>Summary!$J$56</f>
        <v>3.75</v>
      </c>
      <c r="L138">
        <f>Summary!$O$23</f>
        <v>3.75</v>
      </c>
      <c r="M138" s="1481">
        <f>Summary!$J$57</f>
        <v>1.75</v>
      </c>
      <c r="N138" s="1483">
        <f t="shared" si="21"/>
        <v>8.6362277773251677</v>
      </c>
      <c r="O138" s="1481">
        <f t="shared" si="22"/>
        <v>0</v>
      </c>
      <c r="P138" s="1481">
        <f t="shared" si="23"/>
        <v>0</v>
      </c>
      <c r="Q138" s="1483">
        <f>IF(A138&lt;=Summary!$J$61,0.5*(P138),$Q$2*(P138))</f>
        <v>0</v>
      </c>
      <c r="R138" s="1481">
        <f>Summary!$J$58</f>
        <v>0.5</v>
      </c>
      <c r="S138" s="1481">
        <f t="shared" si="24"/>
        <v>37.938352431787557</v>
      </c>
      <c r="T138" s="1487">
        <f t="shared" si="25"/>
        <v>12039.371123300232</v>
      </c>
      <c r="U138" s="45">
        <f>Summary!$J$59</f>
        <v>0.12104878144800001</v>
      </c>
      <c r="V138" s="1487">
        <f>IF(A138&lt;=Summary!$J$61,(0.2*T138)+(R138*D138),(U138*T138)+(R138*D138))</f>
        <v>10918.877053875731</v>
      </c>
      <c r="W138" s="1536">
        <f t="shared" si="26"/>
        <v>729948.77560283674</v>
      </c>
    </row>
    <row r="139" spans="1:23">
      <c r="A139" s="18">
        <v>40603</v>
      </c>
      <c r="B139" s="20">
        <f t="shared" si="19"/>
        <v>2011</v>
      </c>
      <c r="C139" s="1483">
        <f>CALC!HH151</f>
        <v>37.308995391427587</v>
      </c>
      <c r="D139" s="820">
        <f>IF(Summary!$O$109=0,CALC!HE151,0)</f>
        <v>20950.521524999996</v>
      </c>
      <c r="E139" s="820">
        <f>SUM(CALC!GU151:HB151)*CALC!CY151/1000</f>
        <v>94459.680640961597</v>
      </c>
      <c r="F139" s="1481">
        <f>Summary!$J$54</f>
        <v>0.15</v>
      </c>
      <c r="G139" s="1483">
        <f>VLOOKUP(A139,CURVES!AW140:$BS$283,16)</f>
        <v>3.1532773343892448</v>
      </c>
      <c r="H139" s="1481">
        <f>Summary!$J$60</f>
        <v>0.04</v>
      </c>
      <c r="I139" s="17">
        <f>Summary!$J$55</f>
        <v>8.5</v>
      </c>
      <c r="J139" s="1483">
        <f t="shared" si="20"/>
        <v>28.417857342308579</v>
      </c>
      <c r="K139" s="1481">
        <f>Summary!$J$56</f>
        <v>3.75</v>
      </c>
      <c r="L139">
        <f>Summary!$O$23</f>
        <v>3.75</v>
      </c>
      <c r="M139" s="1481">
        <f>Summary!$J$57</f>
        <v>1.75</v>
      </c>
      <c r="N139" s="1483">
        <f t="shared" si="21"/>
        <v>8.8911380491190073</v>
      </c>
      <c r="O139" s="1481">
        <f t="shared" si="22"/>
        <v>0</v>
      </c>
      <c r="P139" s="1481">
        <f t="shared" si="23"/>
        <v>0</v>
      </c>
      <c r="Q139" s="1483">
        <f>IF(A139&lt;=Summary!$J$61,0.5*(P139),$Q$2*(P139))</f>
        <v>0</v>
      </c>
      <c r="R139" s="1481">
        <f>Summary!$J$58</f>
        <v>0.5</v>
      </c>
      <c r="S139" s="1481">
        <f t="shared" si="24"/>
        <v>36.417857342308579</v>
      </c>
      <c r="T139" s="1487">
        <f t="shared" si="25"/>
        <v>18669.806879814267</v>
      </c>
      <c r="U139" s="45">
        <f>Summary!$J$59</f>
        <v>0.12104878144800001</v>
      </c>
      <c r="V139" s="1487">
        <f>IF(A139&lt;=Summary!$J$61,(0.2*T139)+(R139*D139),(U139*T139)+(R139*D139))</f>
        <v>12735.218135171002</v>
      </c>
      <c r="W139" s="1536">
        <f t="shared" si="26"/>
        <v>781642.91102422937</v>
      </c>
    </row>
    <row r="140" spans="1:23">
      <c r="A140" s="18">
        <v>40634</v>
      </c>
      <c r="B140" s="20">
        <f t="shared" si="19"/>
        <v>2011</v>
      </c>
      <c r="C140" s="1483">
        <f>CALC!HH152</f>
        <v>35.900578844481878</v>
      </c>
      <c r="D140" s="820">
        <f>IF(Summary!$O$109=0,CALC!HE152,0)</f>
        <v>20274.698250000001</v>
      </c>
      <c r="E140" s="820">
        <f>SUM(CALC!GU152:HB152)*CALC!CY152/1000</f>
        <v>91436.570708587198</v>
      </c>
      <c r="F140" s="1481">
        <f>Summary!$J$54</f>
        <v>0.15</v>
      </c>
      <c r="G140" s="1483">
        <f>VLOOKUP(A140,CURVES!AW141:$BS$283,16)</f>
        <v>3.0586767633200207</v>
      </c>
      <c r="H140" s="1481">
        <f>Summary!$J$60</f>
        <v>0.04</v>
      </c>
      <c r="I140" s="17">
        <f>Summary!$J$55</f>
        <v>8.5</v>
      </c>
      <c r="J140" s="1483">
        <f t="shared" si="20"/>
        <v>27.613752488220175</v>
      </c>
      <c r="K140" s="1481">
        <f>Summary!$J$56</f>
        <v>3.75</v>
      </c>
      <c r="L140">
        <f>Summary!$O$23</f>
        <v>3.75</v>
      </c>
      <c r="M140" s="1481">
        <f>Summary!$J$57</f>
        <v>1.75</v>
      </c>
      <c r="N140" s="1483">
        <f t="shared" si="21"/>
        <v>8.2868263562617024</v>
      </c>
      <c r="O140" s="1481">
        <f t="shared" si="22"/>
        <v>0</v>
      </c>
      <c r="P140" s="1481">
        <f t="shared" si="23"/>
        <v>0</v>
      </c>
      <c r="Q140" s="1483">
        <f>IF(A140&lt;=Summary!$J$61,0.5*(P140),$Q$2*(P140))</f>
        <v>0</v>
      </c>
      <c r="R140" s="1481">
        <f>Summary!$J$58</f>
        <v>0.5</v>
      </c>
      <c r="S140" s="1481">
        <f t="shared" si="24"/>
        <v>35.613752488220172</v>
      </c>
      <c r="T140" s="1487">
        <f t="shared" si="25"/>
        <v>5815.3178233530862</v>
      </c>
      <c r="U140" s="45">
        <f>Summary!$J$59</f>
        <v>0.12104878144800001</v>
      </c>
      <c r="V140" s="1487">
        <f>IF(A140&lt;=Summary!$J$61,(0.2*T140)+(R140*D140),(U140*T140)+(R140*D140))</f>
        <v>10841.286261249727</v>
      </c>
      <c r="W140" s="1536">
        <f t="shared" si="26"/>
        <v>727873.40307220374</v>
      </c>
    </row>
    <row r="141" spans="1:23">
      <c r="A141" s="18">
        <v>40664</v>
      </c>
      <c r="B141" s="20">
        <f t="shared" si="19"/>
        <v>2011</v>
      </c>
      <c r="C141" s="1483">
        <f>CALC!HH153</f>
        <v>37.724751514073773</v>
      </c>
      <c r="D141" s="820">
        <f>IF(Summary!$O$109=0,CALC!HE153,0)</f>
        <v>22276.5039</v>
      </c>
      <c r="E141" s="820">
        <f>SUM(CALC!GU153:HB153)*CALC!CY153/1000</f>
        <v>73963.74690531021</v>
      </c>
      <c r="F141" s="1481">
        <f>Summary!$J$54</f>
        <v>0.15</v>
      </c>
      <c r="G141" s="1483">
        <f>VLOOKUP(A141,CURVES!AW142:$BS$283,16)</f>
        <v>3.035609169324526</v>
      </c>
      <c r="H141" s="1481">
        <f>Summary!$J$60</f>
        <v>0.04</v>
      </c>
      <c r="I141" s="17">
        <f>Summary!$J$55</f>
        <v>8.5</v>
      </c>
      <c r="J141" s="1483">
        <f t="shared" si="20"/>
        <v>27.417677939258471</v>
      </c>
      <c r="K141" s="1481">
        <f>Summary!$J$56</f>
        <v>3.75</v>
      </c>
      <c r="L141">
        <f>Summary!$O$23</f>
        <v>3.75</v>
      </c>
      <c r="M141" s="1481">
        <f>Summary!$J$57</f>
        <v>1.75</v>
      </c>
      <c r="N141" s="1483">
        <f t="shared" si="21"/>
        <v>10.307073574815302</v>
      </c>
      <c r="O141" s="1481">
        <f t="shared" si="22"/>
        <v>1.057073574815302</v>
      </c>
      <c r="P141" s="1481">
        <f t="shared" si="23"/>
        <v>23547.903611960017</v>
      </c>
      <c r="Q141" s="1483">
        <f>IF(A141&lt;=Summary!$J$61,0.5*(P141),$Q$2*(P141))</f>
        <v>0</v>
      </c>
      <c r="R141" s="1481">
        <f>Summary!$J$58</f>
        <v>0.5</v>
      </c>
      <c r="S141" s="1481">
        <f t="shared" si="24"/>
        <v>35.417677939258468</v>
      </c>
      <c r="T141" s="1487">
        <f t="shared" si="25"/>
        <v>51393.533486960092</v>
      </c>
      <c r="U141" s="45">
        <f>Summary!$J$59</f>
        <v>0.12104878144800001</v>
      </c>
      <c r="V141" s="1487">
        <f>IF(A141&lt;=Summary!$J$61,(0.2*T141)+(R141*D141),(U141*T141)+(R141*D141))</f>
        <v>17359.376552903501</v>
      </c>
      <c r="W141" s="1536">
        <f t="shared" si="26"/>
        <v>840375.57422979525</v>
      </c>
    </row>
    <row r="142" spans="1:23">
      <c r="A142" s="18">
        <v>40695</v>
      </c>
      <c r="B142" s="20">
        <f t="shared" si="19"/>
        <v>2011</v>
      </c>
      <c r="C142" s="1483">
        <f>CALC!HH154</f>
        <v>37.939096580161582</v>
      </c>
      <c r="D142" s="820">
        <f>IF(Summary!$O$109=0,CALC!HE154,0)</f>
        <v>21557.906999999999</v>
      </c>
      <c r="E142" s="820">
        <f>SUM(CALC!GU154:HB154)*CALC!CY154/1000</f>
        <v>71596.583834412959</v>
      </c>
      <c r="F142" s="1481">
        <f>Summary!$J$54</f>
        <v>0.15</v>
      </c>
      <c r="G142" s="1483">
        <f>VLOOKUP(A142,CURVES!AW143:$BS$283,16)</f>
        <v>3.0722775755729788</v>
      </c>
      <c r="H142" s="1481">
        <f>Summary!$J$60</f>
        <v>0.04</v>
      </c>
      <c r="I142" s="17">
        <f>Summary!$J$55</f>
        <v>8.5</v>
      </c>
      <c r="J142" s="1483">
        <f t="shared" si="20"/>
        <v>27.72935939237032</v>
      </c>
      <c r="K142" s="1481">
        <f>Summary!$J$56</f>
        <v>3.75</v>
      </c>
      <c r="L142">
        <f>Summary!$O$23</f>
        <v>3.75</v>
      </c>
      <c r="M142" s="1481">
        <f>Summary!$J$57</f>
        <v>1.75</v>
      </c>
      <c r="N142" s="1483">
        <f t="shared" si="21"/>
        <v>10.209737187791262</v>
      </c>
      <c r="O142" s="1481">
        <f t="shared" si="22"/>
        <v>0.95973718779126216</v>
      </c>
      <c r="P142" s="1481">
        <f t="shared" si="23"/>
        <v>20689.925038845566</v>
      </c>
      <c r="Q142" s="1483">
        <f>IF(A142&lt;=Summary!$J$61,0.5*(P142),$Q$2*(P142))</f>
        <v>0</v>
      </c>
      <c r="R142" s="1481">
        <f>Summary!$J$58</f>
        <v>0.5</v>
      </c>
      <c r="S142" s="1481">
        <f t="shared" si="24"/>
        <v>35.72935939237032</v>
      </c>
      <c r="T142" s="1487">
        <f t="shared" si="25"/>
        <v>47637.308788845563</v>
      </c>
      <c r="U142" s="45">
        <f>Summary!$J$59</f>
        <v>0.12104878144800001</v>
      </c>
      <c r="V142" s="1487">
        <f>IF(A142&lt;=Summary!$J$61,(0.2*T142)+(R142*D142),(U142*T142)+(R142*D142))</f>
        <v>16545.391680351855</v>
      </c>
      <c r="W142" s="1536">
        <f t="shared" si="26"/>
        <v>817887.51573914138</v>
      </c>
    </row>
    <row r="143" spans="1:23">
      <c r="A143" s="18">
        <v>40725</v>
      </c>
      <c r="B143" s="20">
        <f t="shared" si="19"/>
        <v>2011</v>
      </c>
      <c r="C143" s="1483">
        <f>CALC!HH155</f>
        <v>52.56590807938958</v>
      </c>
      <c r="D143" s="820">
        <f>IF(Summary!$O$109=0,CALC!HE155,0)</f>
        <v>22276.503900000003</v>
      </c>
      <c r="E143" s="820">
        <f>SUM(CALC!GU155:HB155)*CALC!CY155/1000</f>
        <v>74002.526352476576</v>
      </c>
      <c r="F143" s="1481">
        <f>Summary!$J$54</f>
        <v>0.15</v>
      </c>
      <c r="G143" s="1483">
        <f>VLOOKUP(A143,CURVES!AW144:$BS$283,16)</f>
        <v>3.1561387419480607</v>
      </c>
      <c r="H143" s="1481">
        <f>Summary!$J$60</f>
        <v>0.04</v>
      </c>
      <c r="I143" s="17">
        <f>Summary!$J$55</f>
        <v>8.5</v>
      </c>
      <c r="J143" s="1483">
        <f t="shared" si="20"/>
        <v>28.442179306558515</v>
      </c>
      <c r="K143" s="1481">
        <f>Summary!$J$56</f>
        <v>3.75</v>
      </c>
      <c r="L143">
        <f>Summary!$O$23</f>
        <v>3.75</v>
      </c>
      <c r="M143" s="1481">
        <f>Summary!$J$57</f>
        <v>1.75</v>
      </c>
      <c r="N143" s="1483">
        <f t="shared" si="21"/>
        <v>24.123728772831065</v>
      </c>
      <c r="O143" s="1481">
        <f t="shared" si="22"/>
        <v>14.873728772831065</v>
      </c>
      <c r="P143" s="1481">
        <f t="shared" si="23"/>
        <v>331334.67701551347</v>
      </c>
      <c r="Q143" s="1483">
        <f>IF(A143&lt;=Summary!$J$61,0.5*(P143),$Q$2*(P143))</f>
        <v>0</v>
      </c>
      <c r="R143" s="1481">
        <f>Summary!$J$58</f>
        <v>0.5</v>
      </c>
      <c r="S143" s="1481">
        <f t="shared" si="24"/>
        <v>36.442179306558515</v>
      </c>
      <c r="T143" s="1487">
        <f t="shared" si="25"/>
        <v>359180.30689051346</v>
      </c>
      <c r="U143" s="45">
        <f>Summary!$J$59</f>
        <v>0.12104878144800001</v>
      </c>
      <c r="V143" s="1487">
        <f>IF(A143&lt;=Summary!$J$61,(0.2*T143)+(R143*D143),(U143*T143)+(R143*D143))</f>
        <v>54616.590419215339</v>
      </c>
      <c r="W143" s="1536">
        <f t="shared" si="26"/>
        <v>1170984.6563375636</v>
      </c>
    </row>
    <row r="144" spans="1:23">
      <c r="A144" s="18">
        <v>40756</v>
      </c>
      <c r="B144" s="20">
        <f t="shared" si="19"/>
        <v>2011</v>
      </c>
      <c r="C144" s="1483">
        <f>CALC!HH156</f>
        <v>71.633814233130465</v>
      </c>
      <c r="D144" s="820">
        <f>IF(Summary!$O$109=0,CALC!HE156,0)</f>
        <v>22276.5039</v>
      </c>
      <c r="E144" s="820">
        <f>SUM(CALC!GU156:HB156)*CALC!CY156/1000</f>
        <v>74021.916076059744</v>
      </c>
      <c r="F144" s="1481">
        <f>Summary!$J$54</f>
        <v>0.15</v>
      </c>
      <c r="G144" s="1483">
        <f>VLOOKUP(A144,CURVES!AW145:$BS$283,16)</f>
        <v>3.2752390151913282</v>
      </c>
      <c r="H144" s="1481">
        <f>Summary!$J$60</f>
        <v>0.04</v>
      </c>
      <c r="I144" s="17">
        <f>Summary!$J$55</f>
        <v>8.5</v>
      </c>
      <c r="J144" s="1483">
        <f t="shared" ref="J144:J207" si="27">I144*SUM(F144:H144)</f>
        <v>29.45453162912629</v>
      </c>
      <c r="K144" s="1481">
        <f>Summary!$J$56</f>
        <v>3.75</v>
      </c>
      <c r="L144">
        <f>Summary!$O$23</f>
        <v>3.75</v>
      </c>
      <c r="M144" s="1481">
        <f>Summary!$J$57</f>
        <v>1.75</v>
      </c>
      <c r="N144" s="1483">
        <f t="shared" si="21"/>
        <v>42.179282604004172</v>
      </c>
      <c r="O144" s="1481">
        <f t="shared" si="22"/>
        <v>32.929282604004172</v>
      </c>
      <c r="P144" s="1481">
        <f t="shared" si="23"/>
        <v>733549.29235230107</v>
      </c>
      <c r="Q144" s="1483">
        <f>IF(A144&lt;=Summary!$J$61,0.5*(P144),$Q$2*(P144))</f>
        <v>0</v>
      </c>
      <c r="R144" s="1481">
        <f>Summary!$J$58</f>
        <v>0.5</v>
      </c>
      <c r="S144" s="1481">
        <f t="shared" si="24"/>
        <v>37.454531629126294</v>
      </c>
      <c r="T144" s="1487">
        <f t="shared" si="25"/>
        <v>761394.92222730105</v>
      </c>
      <c r="U144" s="45">
        <f>Summary!$J$59</f>
        <v>0.12104878144800001</v>
      </c>
      <c r="V144" s="1487">
        <f>IF(A144&lt;=Summary!$J$61,(0.2*T144)+(R144*D144),(U144*T144)+(R144*D144))</f>
        <v>103304.17948630953</v>
      </c>
      <c r="W144" s="1536">
        <f t="shared" si="26"/>
        <v>1595750.9421362062</v>
      </c>
    </row>
    <row r="145" spans="1:23">
      <c r="A145" s="18">
        <v>40787</v>
      </c>
      <c r="B145" s="20">
        <f t="shared" si="19"/>
        <v>2011</v>
      </c>
      <c r="C145" s="1483">
        <f>CALC!HH157</f>
        <v>59.219432110424847</v>
      </c>
      <c r="D145" s="820">
        <f>IF(Summary!$O$109=0,CALC!HE157,0)</f>
        <v>21557.906999999999</v>
      </c>
      <c r="E145" s="820">
        <f>SUM(CALC!GU157:HB157)*CALC!CY157/1000</f>
        <v>71652.876580299606</v>
      </c>
      <c r="F145" s="1481">
        <f>Summary!$J$54</f>
        <v>0.15</v>
      </c>
      <c r="G145" s="1483">
        <f>VLOOKUP(A145,CURVES!AW146:$BS$283,16)</f>
        <v>3.4170395733396965</v>
      </c>
      <c r="H145" s="1481">
        <f>Summary!$J$60</f>
        <v>0.04</v>
      </c>
      <c r="I145" s="17">
        <f>Summary!$J$55</f>
        <v>8.5</v>
      </c>
      <c r="J145" s="1483">
        <f t="shared" si="27"/>
        <v>30.659836373387421</v>
      </c>
      <c r="K145" s="1481">
        <f>Summary!$J$56</f>
        <v>3.75</v>
      </c>
      <c r="L145">
        <f>Summary!$O$23</f>
        <v>3.75</v>
      </c>
      <c r="M145" s="1481">
        <f>Summary!$J$57</f>
        <v>1.75</v>
      </c>
      <c r="N145" s="1483">
        <f t="shared" si="21"/>
        <v>28.559595737037426</v>
      </c>
      <c r="O145" s="1481">
        <f t="shared" si="22"/>
        <v>19.309595737037426</v>
      </c>
      <c r="P145" s="1481">
        <f t="shared" si="23"/>
        <v>416274.46910664928</v>
      </c>
      <c r="Q145" s="1483">
        <f>IF(A145&lt;=Summary!$J$61,0.5*(P145),$Q$2*(P145))</f>
        <v>0</v>
      </c>
      <c r="R145" s="1481">
        <f>Summary!$J$58</f>
        <v>0.5</v>
      </c>
      <c r="S145" s="1481">
        <f t="shared" si="24"/>
        <v>38.659836373387421</v>
      </c>
      <c r="T145" s="1487">
        <f t="shared" si="25"/>
        <v>443221.85285664926</v>
      </c>
      <c r="U145" s="45">
        <f>Summary!$J$59</f>
        <v>0.12104878144800001</v>
      </c>
      <c r="V145" s="1487">
        <f>IF(A145&lt;=Summary!$J$61,(0.2*T145)+(R145*D145),(U145*T145)+(R145*D145))</f>
        <v>64430.418699422153</v>
      </c>
      <c r="W145" s="1536">
        <f t="shared" si="26"/>
        <v>1276647.0100293525</v>
      </c>
    </row>
    <row r="146" spans="1:23">
      <c r="A146" s="18">
        <v>40817</v>
      </c>
      <c r="B146" s="20">
        <f t="shared" si="19"/>
        <v>2011</v>
      </c>
      <c r="C146" s="1483">
        <f>CALC!HH158</f>
        <v>48.280250429323409</v>
      </c>
      <c r="D146" s="820">
        <f>IF(Summary!$O$109=0,CALC!HE158,0)</f>
        <v>20950.521525</v>
      </c>
      <c r="E146" s="820">
        <f>SUM(CALC!GU158:HB158)*CALC!CY158/1000</f>
        <v>94633.110946344445</v>
      </c>
      <c r="F146" s="1481">
        <f>Summary!$J$54</f>
        <v>0.15</v>
      </c>
      <c r="G146" s="1483">
        <f>VLOOKUP(A146,CURVES!AW147:$BS$283,16)</f>
        <v>3.5688908191699191</v>
      </c>
      <c r="H146" s="1481">
        <f>Summary!$J$60</f>
        <v>0.04</v>
      </c>
      <c r="I146" s="17">
        <f>Summary!$J$55</f>
        <v>8.5</v>
      </c>
      <c r="J146" s="1483">
        <f t="shared" si="27"/>
        <v>31.950571962944313</v>
      </c>
      <c r="K146" s="1481">
        <f>Summary!$J$56</f>
        <v>3.75</v>
      </c>
      <c r="L146">
        <f>Summary!$O$23</f>
        <v>3.75</v>
      </c>
      <c r="M146" s="1481">
        <f>Summary!$J$57</f>
        <v>1.75</v>
      </c>
      <c r="N146" s="1483">
        <f t="shared" si="21"/>
        <v>16.329678466379097</v>
      </c>
      <c r="O146" s="1481">
        <f t="shared" si="22"/>
        <v>7.0796784663790966</v>
      </c>
      <c r="P146" s="1481">
        <f t="shared" si="23"/>
        <v>148322.95609995426</v>
      </c>
      <c r="Q146" s="1483">
        <f>IF(A146&lt;=Summary!$J$61,0.5*(P146),$Q$2*(P146))</f>
        <v>0</v>
      </c>
      <c r="R146" s="1481">
        <f>Summary!$J$58</f>
        <v>0.5</v>
      </c>
      <c r="S146" s="1481">
        <f t="shared" si="24"/>
        <v>39.950571962944309</v>
      </c>
      <c r="T146" s="1487">
        <f t="shared" si="25"/>
        <v>174511.10800620433</v>
      </c>
      <c r="U146" s="45">
        <f>Summary!$J$59</f>
        <v>0.12104878144800001</v>
      </c>
      <c r="V146" s="1487">
        <f>IF(A146&lt;=Summary!$J$61,(0.2*T146)+(R146*D146),(U146*T146)+(R146*D146))</f>
        <v>31599.617735791355</v>
      </c>
      <c r="W146" s="1536">
        <f t="shared" si="26"/>
        <v>1011496.4258519306</v>
      </c>
    </row>
    <row r="147" spans="1:23">
      <c r="A147" s="18">
        <v>40848</v>
      </c>
      <c r="B147" s="20">
        <f t="shared" si="19"/>
        <v>2011</v>
      </c>
      <c r="C147" s="1483">
        <f>CALC!HH159</f>
        <v>48.488630520941911</v>
      </c>
      <c r="D147" s="820">
        <f>IF(Summary!$O$109=0,CALC!HE159,0)</f>
        <v>20274.698250000001</v>
      </c>
      <c r="E147" s="820">
        <f>SUM(CALC!GU159:HB159)*CALC!CY159/1000</f>
        <v>91604.406487989952</v>
      </c>
      <c r="F147" s="1481">
        <f>Summary!$J$54</f>
        <v>0.15</v>
      </c>
      <c r="G147" s="1483">
        <f>VLOOKUP(A147,CURVES!AW148:$BS$283,16)</f>
        <v>3.7186313381321603</v>
      </c>
      <c r="H147" s="1481">
        <f>Summary!$J$60</f>
        <v>0.04</v>
      </c>
      <c r="I147" s="17">
        <f>Summary!$J$55</f>
        <v>8.5</v>
      </c>
      <c r="J147" s="1483">
        <f t="shared" si="27"/>
        <v>33.223366374123358</v>
      </c>
      <c r="K147" s="1481">
        <f>Summary!$J$56</f>
        <v>3.75</v>
      </c>
      <c r="L147">
        <f>Summary!$O$23</f>
        <v>3.75</v>
      </c>
      <c r="M147" s="1481">
        <f>Summary!$J$57</f>
        <v>1.75</v>
      </c>
      <c r="N147" s="1483">
        <f t="shared" si="21"/>
        <v>15.265264146818552</v>
      </c>
      <c r="O147" s="1481">
        <f t="shared" si="22"/>
        <v>6.0152641468185521</v>
      </c>
      <c r="P147" s="1481">
        <f t="shared" si="23"/>
        <v>121957.66547078986</v>
      </c>
      <c r="Q147" s="1483">
        <f>IF(A147&lt;=Summary!$J$61,0.5*(P147),$Q$2*(P147))</f>
        <v>0</v>
      </c>
      <c r="R147" s="1481">
        <f>Summary!$J$58</f>
        <v>0.5</v>
      </c>
      <c r="S147" s="1481">
        <f t="shared" si="24"/>
        <v>41.223366374123358</v>
      </c>
      <c r="T147" s="1487">
        <f t="shared" si="25"/>
        <v>147301.03828328985</v>
      </c>
      <c r="U147" s="45">
        <f>Summary!$J$59</f>
        <v>0.12104878144800001</v>
      </c>
      <c r="V147" s="1487">
        <f>IF(A147&lt;=Summary!$J$61,(0.2*T147)+(R147*D147),(U147*T147)+(R147*D147))</f>
        <v>27967.960315217435</v>
      </c>
      <c r="W147" s="1536">
        <f t="shared" si="26"/>
        <v>983092.35236783756</v>
      </c>
    </row>
    <row r="148" spans="1:23">
      <c r="A148" s="18">
        <v>40878</v>
      </c>
      <c r="B148" s="20">
        <f t="shared" si="19"/>
        <v>2011</v>
      </c>
      <c r="C148" s="1483">
        <f>CALC!HH160</f>
        <v>48.019398050337017</v>
      </c>
      <c r="D148" s="820">
        <f>IF(Summary!$O$109=0,CALC!HE160,0)</f>
        <v>20950.521525</v>
      </c>
      <c r="E148" s="820">
        <f>SUM(CALC!GU160:HB160)*CALC!CY160/1000</f>
        <v>94147.880064976795</v>
      </c>
      <c r="F148" s="1481">
        <f>Summary!$J$54</f>
        <v>0.15</v>
      </c>
      <c r="G148" s="1483">
        <f>VLOOKUP(A148,CURVES!AW149:$BS$283,16)</f>
        <v>3.8768036987449364</v>
      </c>
      <c r="H148" s="1481">
        <f>Summary!$J$60</f>
        <v>0.04</v>
      </c>
      <c r="I148" s="17">
        <f>Summary!$J$55</f>
        <v>8.5</v>
      </c>
      <c r="J148" s="1483">
        <f t="shared" si="27"/>
        <v>34.567831439331961</v>
      </c>
      <c r="K148" s="1481">
        <f>Summary!$J$56</f>
        <v>3.75</v>
      </c>
      <c r="L148">
        <f>Summary!$O$23</f>
        <v>3.75</v>
      </c>
      <c r="M148" s="1481">
        <f>Summary!$J$57</f>
        <v>1.75</v>
      </c>
      <c r="N148" s="1483">
        <f t="shared" si="21"/>
        <v>13.451566611005056</v>
      </c>
      <c r="O148" s="1481">
        <f t="shared" si="22"/>
        <v>4.201566611005056</v>
      </c>
      <c r="P148" s="1481">
        <f t="shared" si="23"/>
        <v>88025.011722582727</v>
      </c>
      <c r="Q148" s="1483">
        <f>IF(A148&lt;=Summary!$J$61,0.5*(P148),$Q$2*(P148))</f>
        <v>0</v>
      </c>
      <c r="R148" s="1481">
        <f>Summary!$J$58</f>
        <v>0.5</v>
      </c>
      <c r="S148" s="1481">
        <f t="shared" si="24"/>
        <v>42.567831439331961</v>
      </c>
      <c r="T148" s="1487">
        <f t="shared" si="25"/>
        <v>114213.16362883273</v>
      </c>
      <c r="U148" s="45">
        <f>Summary!$J$59</f>
        <v>0.12104878144800001</v>
      </c>
      <c r="V148" s="1487">
        <f>IF(A148&lt;=Summary!$J$61,(0.2*T148)+(R148*D148),(U148*T148)+(R148*D148))</f>
        <v>24300.625045091234</v>
      </c>
      <c r="W148" s="1536">
        <f t="shared" si="26"/>
        <v>1006031.4324711288</v>
      </c>
    </row>
    <row r="149" spans="1:23">
      <c r="A149" s="18">
        <v>40909</v>
      </c>
      <c r="B149" s="20">
        <f t="shared" si="19"/>
        <v>2012</v>
      </c>
      <c r="C149" s="1483">
        <f>CALC!HH161</f>
        <v>47.532195177892895</v>
      </c>
      <c r="D149" s="820">
        <f>IF(Summary!$O$109=0,CALC!HE161,0)</f>
        <v>20950.521524999996</v>
      </c>
      <c r="E149" s="820">
        <f>SUM(CALC!GU161:HB161)*CALC!CY161/1000</f>
        <v>94163.773947410795</v>
      </c>
      <c r="F149" s="1481">
        <f>Summary!$J$54</f>
        <v>0.15</v>
      </c>
      <c r="G149" s="1483">
        <f>VLOOKUP(A149,CURVES!AW150:$BS$283,16)</f>
        <v>3.69328518608478</v>
      </c>
      <c r="H149" s="1481">
        <f>Summary!$J$60</f>
        <v>0.04</v>
      </c>
      <c r="I149" s="17">
        <f>Summary!$J$55</f>
        <v>8.5</v>
      </c>
      <c r="J149" s="1483">
        <f t="shared" si="27"/>
        <v>33.007924081720631</v>
      </c>
      <c r="K149" s="1481">
        <f>Summary!$J$56</f>
        <v>3.75</v>
      </c>
      <c r="L149">
        <f>Summary!$O$23</f>
        <v>3.75</v>
      </c>
      <c r="M149" s="1481">
        <f>Summary!$J$57</f>
        <v>1.75</v>
      </c>
      <c r="N149" s="1483">
        <f t="shared" si="21"/>
        <v>14.524271096172264</v>
      </c>
      <c r="O149" s="1481">
        <f t="shared" si="22"/>
        <v>5.2742710961722636</v>
      </c>
      <c r="P149" s="1481">
        <f t="shared" si="23"/>
        <v>110498.73012904233</v>
      </c>
      <c r="Q149" s="1483">
        <f>IF(A149&lt;=Summary!$J$61,0.5*(P149),$Q$2*(P149))</f>
        <v>0</v>
      </c>
      <c r="R149" s="1481">
        <f>Summary!$J$58</f>
        <v>0.5</v>
      </c>
      <c r="S149" s="1481">
        <f t="shared" si="24"/>
        <v>41.007924081720631</v>
      </c>
      <c r="T149" s="1487">
        <f t="shared" si="25"/>
        <v>136686.88203529234</v>
      </c>
      <c r="U149" s="45">
        <f>Summary!$J$59</f>
        <v>0.12104878144800001</v>
      </c>
      <c r="V149" s="1487">
        <f>IF(A149&lt;=Summary!$J$61,(0.2*T149)+(R149*D149),(U149*T149)+(R149*D149))</f>
        <v>27021.041272798659</v>
      </c>
      <c r="W149" s="1536">
        <f t="shared" si="26"/>
        <v>995824.27820494608</v>
      </c>
    </row>
    <row r="150" spans="1:23">
      <c r="A150" s="18">
        <v>40940</v>
      </c>
      <c r="B150" s="20">
        <f t="shared" si="19"/>
        <v>2012</v>
      </c>
      <c r="C150" s="1483">
        <f>CALC!HH162</f>
        <v>38.888211084597458</v>
      </c>
      <c r="D150" s="820">
        <f>IF(Summary!$O$109=0,CALC!HE162,0)</f>
        <v>19598.874974999999</v>
      </c>
      <c r="E150" s="820">
        <f>SUM(CALC!GU162:HB162)*CALC!CY162/1000</f>
        <v>88103.560227919326</v>
      </c>
      <c r="F150" s="1481">
        <f>Summary!$J$54</f>
        <v>0.15</v>
      </c>
      <c r="G150" s="1483">
        <f>VLOOKUP(A150,CURVES!AW151:$BS$283,16)</f>
        <v>3.4111818460114867</v>
      </c>
      <c r="H150" s="1481">
        <f>Summary!$J$60</f>
        <v>0.04</v>
      </c>
      <c r="I150" s="17">
        <f>Summary!$J$55</f>
        <v>8.5</v>
      </c>
      <c r="J150" s="1483">
        <f t="shared" si="27"/>
        <v>30.610045691097636</v>
      </c>
      <c r="K150" s="1481">
        <f>Summary!$J$56</f>
        <v>3.75</v>
      </c>
      <c r="L150">
        <f>Summary!$O$23</f>
        <v>3.75</v>
      </c>
      <c r="M150" s="1481">
        <f>Summary!$J$57</f>
        <v>1.75</v>
      </c>
      <c r="N150" s="1483">
        <f t="shared" si="21"/>
        <v>8.2781653934998225</v>
      </c>
      <c r="O150" s="1481">
        <f t="shared" si="22"/>
        <v>0</v>
      </c>
      <c r="P150" s="1481">
        <f t="shared" si="23"/>
        <v>0</v>
      </c>
      <c r="Q150" s="1483">
        <f>IF(A150&lt;=Summary!$J$61,0.5*(P150),$Q$2*(P150))</f>
        <v>0</v>
      </c>
      <c r="R150" s="1481">
        <f>Summary!$J$58</f>
        <v>0.5</v>
      </c>
      <c r="S150" s="1481">
        <f t="shared" si="24"/>
        <v>38.610045691097639</v>
      </c>
      <c r="T150" s="1487">
        <f t="shared" si="25"/>
        <v>5451.728769574629</v>
      </c>
      <c r="U150" s="45">
        <f>Summary!$J$59</f>
        <v>0.12104878144800001</v>
      </c>
      <c r="V150" s="1487">
        <f>IF(A150&lt;=Summary!$J$61,(0.2*T150)+(R150*D150),(U150*T150)+(R150*D150))</f>
        <v>10459.362611842012</v>
      </c>
      <c r="W150" s="1536">
        <f t="shared" si="26"/>
        <v>762165.18704843463</v>
      </c>
    </row>
    <row r="151" spans="1:23">
      <c r="A151" s="18">
        <v>40969</v>
      </c>
      <c r="B151" s="20">
        <f t="shared" si="19"/>
        <v>2012</v>
      </c>
      <c r="C151" s="1483">
        <f>CALC!HH163</f>
        <v>37.428660218886051</v>
      </c>
      <c r="D151" s="820">
        <f>IF(Summary!$O$109=0,CALC!HE163,0)</f>
        <v>20950.521524999996</v>
      </c>
      <c r="E151" s="820">
        <f>SUM(CALC!GU163:HB163)*CALC!CY163/1000</f>
        <v>94195.561712278795</v>
      </c>
      <c r="F151" s="1481">
        <f>Summary!$J$54</f>
        <v>0.15</v>
      </c>
      <c r="G151" s="1483">
        <f>VLOOKUP(A151,CURVES!AW152:$BS$283,16)</f>
        <v>3.2282328773670788</v>
      </c>
      <c r="H151" s="1481">
        <f>Summary!$J$60</f>
        <v>0.04</v>
      </c>
      <c r="I151" s="17">
        <f>Summary!$J$55</f>
        <v>8.5</v>
      </c>
      <c r="J151" s="1483">
        <f t="shared" si="27"/>
        <v>29.054979457620171</v>
      </c>
      <c r="K151" s="1481">
        <f>Summary!$J$56</f>
        <v>3.75</v>
      </c>
      <c r="L151">
        <f>Summary!$O$23</f>
        <v>3.75</v>
      </c>
      <c r="M151" s="1481">
        <f>Summary!$J$57</f>
        <v>1.75</v>
      </c>
      <c r="N151" s="1483">
        <f t="shared" si="21"/>
        <v>8.3736807612658808</v>
      </c>
      <c r="O151" s="1481">
        <f t="shared" si="22"/>
        <v>0</v>
      </c>
      <c r="P151" s="1481">
        <f t="shared" si="23"/>
        <v>0</v>
      </c>
      <c r="Q151" s="1483">
        <f>IF(A151&lt;=Summary!$J$61,0.5*(P151),$Q$2*(P151))</f>
        <v>0</v>
      </c>
      <c r="R151" s="1481">
        <f>Summary!$J$58</f>
        <v>0.5</v>
      </c>
      <c r="S151" s="1481">
        <f t="shared" si="24"/>
        <v>37.054979457620171</v>
      </c>
      <c r="T151" s="1487">
        <f t="shared" si="25"/>
        <v>7828.8068323792204</v>
      </c>
      <c r="U151" s="45">
        <f>Summary!$J$59</f>
        <v>0.12104878144800001</v>
      </c>
      <c r="V151" s="1487">
        <f>IF(A151&lt;=Summary!$J$61,(0.2*T151)+(R151*D151),(U151*T151)+(R151*D151))</f>
        <v>11422.92828975128</v>
      </c>
      <c r="W151" s="1536">
        <f t="shared" si="26"/>
        <v>784149.95156768325</v>
      </c>
    </row>
    <row r="152" spans="1:23">
      <c r="A152" s="18">
        <v>41000</v>
      </c>
      <c r="B152" s="20">
        <f t="shared" si="19"/>
        <v>2012</v>
      </c>
      <c r="C152" s="1483">
        <f>CALC!HH164</f>
        <v>36.93725042969885</v>
      </c>
      <c r="D152" s="820">
        <f>IF(Summary!$O$109=0,CALC!HE164,0)</f>
        <v>20274.698250000001</v>
      </c>
      <c r="E152" s="820">
        <f>SUM(CALC!GU164:HB164)*CALC!CY164/1000</f>
        <v>91172.376381980153</v>
      </c>
      <c r="F152" s="1481">
        <f>Summary!$J$54</f>
        <v>0.15</v>
      </c>
      <c r="G152" s="1483">
        <f>VLOOKUP(A152,CURVES!AW153:$BS$283,16)</f>
        <v>3.1313835864998292</v>
      </c>
      <c r="H152" s="1481">
        <f>Summary!$J$60</f>
        <v>0.04</v>
      </c>
      <c r="I152" s="17">
        <f>Summary!$J$55</f>
        <v>8.5</v>
      </c>
      <c r="J152" s="1483">
        <f t="shared" si="27"/>
        <v>28.231760485248547</v>
      </c>
      <c r="K152" s="1481">
        <f>Summary!$J$56</f>
        <v>3.75</v>
      </c>
      <c r="L152">
        <f>Summary!$O$23</f>
        <v>3.75</v>
      </c>
      <c r="M152" s="1481">
        <f>Summary!$J$57</f>
        <v>1.75</v>
      </c>
      <c r="N152" s="1483">
        <f t="shared" si="21"/>
        <v>8.7054899444503029</v>
      </c>
      <c r="O152" s="1481">
        <f t="shared" si="22"/>
        <v>0</v>
      </c>
      <c r="P152" s="1481">
        <f t="shared" si="23"/>
        <v>0</v>
      </c>
      <c r="Q152" s="1483">
        <f>IF(A152&lt;=Summary!$J$61,0.5*(P152),$Q$2*(P152))</f>
        <v>0</v>
      </c>
      <c r="R152" s="1481">
        <f>Summary!$J$58</f>
        <v>0.5</v>
      </c>
      <c r="S152" s="1481">
        <f t="shared" si="24"/>
        <v>36.231760485248543</v>
      </c>
      <c r="T152" s="1487">
        <f t="shared" si="25"/>
        <v>14303.595742139227</v>
      </c>
      <c r="U152" s="45">
        <f>Summary!$J$59</f>
        <v>0.12104878144800001</v>
      </c>
      <c r="V152" s="1487">
        <f>IF(A152&lt;=Summary!$J$61,(0.2*T152)+(R152*D152),(U152*T152)+(R152*D152))</f>
        <v>11868.781959910755</v>
      </c>
      <c r="W152" s="1536">
        <f t="shared" si="26"/>
        <v>748891.60664682707</v>
      </c>
    </row>
    <row r="153" spans="1:23">
      <c r="A153" s="18">
        <v>41030</v>
      </c>
      <c r="B153" s="20">
        <f t="shared" si="19"/>
        <v>2012</v>
      </c>
      <c r="C153" s="1483">
        <f>CALC!HH165</f>
        <v>39.688722800092513</v>
      </c>
      <c r="D153" s="820">
        <f>IF(Summary!$O$109=0,CALC!HE165,0)</f>
        <v>22276.5039</v>
      </c>
      <c r="E153" s="820">
        <f>SUM(CALC!GU165:HB165)*CALC!CY165/1000</f>
        <v>73743.143069071433</v>
      </c>
      <c r="F153" s="1481">
        <f>Summary!$J$54</f>
        <v>0.15</v>
      </c>
      <c r="G153" s="1483">
        <f>VLOOKUP(A153,CURVES!AW154:$BS$283,16)</f>
        <v>3.1077676601346216</v>
      </c>
      <c r="H153" s="1481">
        <f>Summary!$J$60</f>
        <v>0.04</v>
      </c>
      <c r="I153" s="17">
        <f>Summary!$J$55</f>
        <v>8.5</v>
      </c>
      <c r="J153" s="1483">
        <f t="shared" si="27"/>
        <v>28.031025111144285</v>
      </c>
      <c r="K153" s="1481">
        <f>Summary!$J$56</f>
        <v>3.75</v>
      </c>
      <c r="L153">
        <f>Summary!$O$23</f>
        <v>3.75</v>
      </c>
      <c r="M153" s="1481">
        <f>Summary!$J$57</f>
        <v>1.75</v>
      </c>
      <c r="N153" s="1483">
        <f t="shared" si="21"/>
        <v>11.657697688948229</v>
      </c>
      <c r="O153" s="1481">
        <f t="shared" si="22"/>
        <v>2.4076976889482289</v>
      </c>
      <c r="P153" s="1481">
        <f t="shared" si="23"/>
        <v>53635.086957876207</v>
      </c>
      <c r="Q153" s="1483">
        <f>IF(A153&lt;=Summary!$J$61,0.5*(P153),$Q$2*(P153))</f>
        <v>0</v>
      </c>
      <c r="R153" s="1481">
        <f>Summary!$J$58</f>
        <v>0.5</v>
      </c>
      <c r="S153" s="1481">
        <f t="shared" si="24"/>
        <v>36.031025111144288</v>
      </c>
      <c r="T153" s="1487">
        <f t="shared" si="25"/>
        <v>81480.716832876133</v>
      </c>
      <c r="U153" s="45">
        <f>Summary!$J$59</f>
        <v>0.12104878144800001</v>
      </c>
      <c r="V153" s="1487">
        <f>IF(A153&lt;=Summary!$J$61,(0.2*T153)+(R153*D153),(U153*T153)+(R153*D153))</f>
        <v>21001.393434129197</v>
      </c>
      <c r="W153" s="1536">
        <f t="shared" si="26"/>
        <v>884125.98824227974</v>
      </c>
    </row>
    <row r="154" spans="1:23">
      <c r="A154" s="18">
        <v>41061</v>
      </c>
      <c r="B154" s="20">
        <f t="shared" si="19"/>
        <v>2012</v>
      </c>
      <c r="C154" s="1483">
        <f>CALC!HH166</f>
        <v>39.852951665656697</v>
      </c>
      <c r="D154" s="820">
        <f>IF(Summary!$O$109=0,CALC!HE166,0)</f>
        <v>21557.906999999999</v>
      </c>
      <c r="E154" s="820">
        <f>SUM(CALC!GU166:HB166)*CALC!CY166/1000</f>
        <v>71376.369444843847</v>
      </c>
      <c r="F154" s="1481">
        <f>Summary!$J$54</f>
        <v>0.15</v>
      </c>
      <c r="G154" s="1483">
        <f>VLOOKUP(A154,CURVES!AW155:$BS$283,16)</f>
        <v>3.1453076992935425</v>
      </c>
      <c r="H154" s="1481">
        <f>Summary!$J$60</f>
        <v>0.04</v>
      </c>
      <c r="I154" s="17">
        <f>Summary!$J$55</f>
        <v>8.5</v>
      </c>
      <c r="J154" s="1483">
        <f t="shared" si="27"/>
        <v>28.350115443995112</v>
      </c>
      <c r="K154" s="1481">
        <f>Summary!$J$56</f>
        <v>3.75</v>
      </c>
      <c r="L154">
        <f>Summary!$O$23</f>
        <v>3.75</v>
      </c>
      <c r="M154" s="1481">
        <f>Summary!$J$57</f>
        <v>1.75</v>
      </c>
      <c r="N154" s="1483">
        <f t="shared" si="21"/>
        <v>11.502836221661585</v>
      </c>
      <c r="O154" s="1481">
        <f t="shared" si="22"/>
        <v>2.2528362216615854</v>
      </c>
      <c r="P154" s="1481">
        <f t="shared" si="23"/>
        <v>48566.433752811841</v>
      </c>
      <c r="Q154" s="1483">
        <f>IF(A154&lt;=Summary!$J$61,0.5*(P154),$Q$2*(P154))</f>
        <v>0</v>
      </c>
      <c r="R154" s="1481">
        <f>Summary!$J$58</f>
        <v>0.5</v>
      </c>
      <c r="S154" s="1481">
        <f t="shared" si="24"/>
        <v>36.350115443995108</v>
      </c>
      <c r="T154" s="1487">
        <f t="shared" si="25"/>
        <v>75513.817502811915</v>
      </c>
      <c r="U154" s="45">
        <f>Summary!$J$59</f>
        <v>0.12104878144800001</v>
      </c>
      <c r="V154" s="1487">
        <f>IF(A154&lt;=Summary!$J$61,(0.2*T154)+(R154*D154),(U154*T154)+(R154*D154))</f>
        <v>19919.809091202034</v>
      </c>
      <c r="W154" s="1536">
        <f t="shared" si="26"/>
        <v>859146.22568372218</v>
      </c>
    </row>
    <row r="155" spans="1:23">
      <c r="A155" s="18">
        <v>41091</v>
      </c>
      <c r="B155" s="20">
        <f t="shared" si="19"/>
        <v>2012</v>
      </c>
      <c r="C155" s="1483">
        <f>CALC!HH167</f>
        <v>54.18007745568503</v>
      </c>
      <c r="D155" s="820">
        <f>IF(Summary!$O$109=0,CALC!HE167,0)</f>
        <v>22276.5039</v>
      </c>
      <c r="E155" s="820">
        <f>SUM(CALC!GU167:HB167)*CALC!CY167/1000</f>
        <v>73768.020450272481</v>
      </c>
      <c r="F155" s="1481">
        <f>Summary!$J$54</f>
        <v>0.15</v>
      </c>
      <c r="G155" s="1483">
        <f>VLOOKUP(A155,CURVES!AW156:$BS$283,16)</f>
        <v>3.2311623025261587</v>
      </c>
      <c r="H155" s="1481">
        <f>Summary!$J$60</f>
        <v>0.04</v>
      </c>
      <c r="I155" s="17">
        <f>Summary!$J$55</f>
        <v>8.5</v>
      </c>
      <c r="J155" s="1483">
        <f t="shared" si="27"/>
        <v>29.079879571472347</v>
      </c>
      <c r="K155" s="1481">
        <f>Summary!$J$56</f>
        <v>3.75</v>
      </c>
      <c r="L155">
        <f>Summary!$O$23</f>
        <v>3.75</v>
      </c>
      <c r="M155" s="1481">
        <f>Summary!$J$57</f>
        <v>1.75</v>
      </c>
      <c r="N155" s="1483">
        <f t="shared" si="21"/>
        <v>25.100197884212683</v>
      </c>
      <c r="O155" s="1481">
        <f t="shared" si="22"/>
        <v>15.850197884212683</v>
      </c>
      <c r="P155" s="1481">
        <f t="shared" si="23"/>
        <v>353086.99498343561</v>
      </c>
      <c r="Q155" s="1483">
        <f>IF(A155&lt;=Summary!$J$61,0.5*(P155),$Q$2*(P155))</f>
        <v>0</v>
      </c>
      <c r="R155" s="1481">
        <f>Summary!$J$58</f>
        <v>0.5</v>
      </c>
      <c r="S155" s="1481">
        <f t="shared" si="24"/>
        <v>37.079879571472347</v>
      </c>
      <c r="T155" s="1487">
        <f t="shared" si="25"/>
        <v>380932.62485843559</v>
      </c>
      <c r="U155" s="45">
        <f>Summary!$J$59</f>
        <v>0.12104878144800001</v>
      </c>
      <c r="V155" s="1487">
        <f>IF(A155&lt;=Summary!$J$61,(0.2*T155)+(R155*D155),(U155*T155)+(R155*D155))</f>
        <v>57249.68200290174</v>
      </c>
      <c r="W155" s="1536">
        <f t="shared" si="26"/>
        <v>1206942.7067438697</v>
      </c>
    </row>
    <row r="156" spans="1:23">
      <c r="A156" s="18">
        <v>41122</v>
      </c>
      <c r="B156" s="20">
        <f t="shared" si="19"/>
        <v>2012</v>
      </c>
      <c r="C156" s="1483">
        <f>CALC!HH168</f>
        <v>68.238225317523018</v>
      </c>
      <c r="D156" s="820">
        <f>IF(Summary!$O$109=0,CALC!HE168,0)</f>
        <v>22276.5039</v>
      </c>
      <c r="E156" s="820">
        <f>SUM(CALC!GU168:HB168)*CALC!CY168/1000</f>
        <v>73780.459140873019</v>
      </c>
      <c r="F156" s="1481">
        <f>Summary!$J$54</f>
        <v>0.15</v>
      </c>
      <c r="G156" s="1483">
        <f>VLOOKUP(A156,CURVES!AW157:$BS$283,16)</f>
        <v>3.3530936701208174</v>
      </c>
      <c r="H156" s="1481">
        <f>Summary!$J$60</f>
        <v>0.04</v>
      </c>
      <c r="I156" s="17">
        <f>Summary!$J$55</f>
        <v>8.5</v>
      </c>
      <c r="J156" s="1483">
        <f t="shared" si="27"/>
        <v>30.116296196026948</v>
      </c>
      <c r="K156" s="1481">
        <f>Summary!$J$56</f>
        <v>3.75</v>
      </c>
      <c r="L156">
        <f>Summary!$O$23</f>
        <v>3.75</v>
      </c>
      <c r="M156" s="1481">
        <f>Summary!$J$57</f>
        <v>1.75</v>
      </c>
      <c r="N156" s="1483">
        <f t="shared" si="21"/>
        <v>38.121929121496066</v>
      </c>
      <c r="O156" s="1481">
        <f t="shared" si="22"/>
        <v>28.871929121496066</v>
      </c>
      <c r="P156" s="1481">
        <f t="shared" si="23"/>
        <v>643165.6416755307</v>
      </c>
      <c r="Q156" s="1483">
        <f>IF(A156&lt;=Summary!$J$61,0.5*(P156),$Q$2*(P156))</f>
        <v>0</v>
      </c>
      <c r="R156" s="1481">
        <f>Summary!$J$58</f>
        <v>0.5</v>
      </c>
      <c r="S156" s="1481">
        <f t="shared" si="24"/>
        <v>38.116296196026951</v>
      </c>
      <c r="T156" s="1487">
        <f t="shared" si="25"/>
        <v>671011.27155053068</v>
      </c>
      <c r="U156" s="45">
        <f>Summary!$J$59</f>
        <v>0.12104878144800001</v>
      </c>
      <c r="V156" s="1487">
        <f>IF(A156&lt;=Summary!$J$61,(0.2*T156)+(R156*D156),(U156*T156)+(R156*D156))</f>
        <v>92363.348709064783</v>
      </c>
      <c r="W156" s="1536">
        <f t="shared" si="26"/>
        <v>1520109.0924148802</v>
      </c>
    </row>
    <row r="157" spans="1:23">
      <c r="A157" s="18">
        <v>41153</v>
      </c>
      <c r="B157" s="20">
        <f t="shared" si="19"/>
        <v>2012</v>
      </c>
      <c r="C157" s="1483">
        <f>CALC!HH169</f>
        <v>60.658169732260724</v>
      </c>
      <c r="D157" s="820">
        <f>IF(Summary!$O$109=0,CALC!HE169,0)</f>
        <v>21557.906999999999</v>
      </c>
      <c r="E157" s="820">
        <f>SUM(CALC!GU169:HB169)*CALC!CY169/1000</f>
        <v>71412.481772393745</v>
      </c>
      <c r="F157" s="1481">
        <f>Summary!$J$54</f>
        <v>0.15</v>
      </c>
      <c r="G157" s="1483">
        <f>VLOOKUP(A157,CURVES!AW158:$BS$283,16)</f>
        <v>3.4982649238038457</v>
      </c>
      <c r="H157" s="1481">
        <f>Summary!$J$60</f>
        <v>0.04</v>
      </c>
      <c r="I157" s="17">
        <f>Summary!$J$55</f>
        <v>8.5</v>
      </c>
      <c r="J157" s="1483">
        <f t="shared" si="27"/>
        <v>31.350251852332686</v>
      </c>
      <c r="K157" s="1481">
        <f>Summary!$J$56</f>
        <v>3.75</v>
      </c>
      <c r="L157">
        <f>Summary!$O$23</f>
        <v>3.75</v>
      </c>
      <c r="M157" s="1481">
        <f>Summary!$J$57</f>
        <v>1.75</v>
      </c>
      <c r="N157" s="1483">
        <f t="shared" si="21"/>
        <v>29.307917879928038</v>
      </c>
      <c r="O157" s="1481">
        <f t="shared" si="22"/>
        <v>20.057917879928038</v>
      </c>
      <c r="P157" s="1481">
        <f t="shared" si="23"/>
        <v>432406.7282691258</v>
      </c>
      <c r="Q157" s="1483">
        <f>IF(A157&lt;=Summary!$J$61,0.5*(P157),$Q$2*(P157))</f>
        <v>0</v>
      </c>
      <c r="R157" s="1481">
        <f>Summary!$J$58</f>
        <v>0.5</v>
      </c>
      <c r="S157" s="1481">
        <f t="shared" si="24"/>
        <v>39.35025185233269</v>
      </c>
      <c r="T157" s="1487">
        <f t="shared" si="25"/>
        <v>459354.11201912572</v>
      </c>
      <c r="U157" s="45">
        <f>Summary!$J$59</f>
        <v>0.12104878144800001</v>
      </c>
      <c r="V157" s="1487">
        <f>IF(A157&lt;=Summary!$J$61,(0.2*T157)+(R157*D157),(U157*T157)+(R157*D157))</f>
        <v>66383.209013043263</v>
      </c>
      <c r="W157" s="1536">
        <f t="shared" si="26"/>
        <v>1307663.1818782915</v>
      </c>
    </row>
    <row r="158" spans="1:23">
      <c r="A158" s="18">
        <v>41183</v>
      </c>
      <c r="B158" s="20">
        <f t="shared" si="19"/>
        <v>2012</v>
      </c>
      <c r="C158" s="1483">
        <f>CALC!HH170</f>
        <v>50.116158916731848</v>
      </c>
      <c r="D158" s="820">
        <f>IF(Summary!$O$109=0,CALC!HE170,0)</f>
        <v>20950.521524999996</v>
      </c>
      <c r="E158" s="820">
        <f>SUM(CALC!GU170:HB170)*CALC!CY170/1000</f>
        <v>94306.818889316855</v>
      </c>
      <c r="F158" s="1481">
        <f>Summary!$J$54</f>
        <v>0.15</v>
      </c>
      <c r="G158" s="1483">
        <f>VLOOKUP(A158,CURVES!AW159:$BS$283,16)</f>
        <v>3.6537257768382725</v>
      </c>
      <c r="H158" s="1481">
        <f>Summary!$J$60</f>
        <v>0.04</v>
      </c>
      <c r="I158" s="17">
        <f>Summary!$J$55</f>
        <v>8.5</v>
      </c>
      <c r="J158" s="1483">
        <f t="shared" si="27"/>
        <v>32.671669103125318</v>
      </c>
      <c r="K158" s="1481">
        <f>Summary!$J$56</f>
        <v>3.75</v>
      </c>
      <c r="L158">
        <f>Summary!$O$23</f>
        <v>3.75</v>
      </c>
      <c r="M158" s="1481">
        <f>Summary!$J$57</f>
        <v>1.75</v>
      </c>
      <c r="N158" s="1483">
        <f t="shared" si="21"/>
        <v>17.444489813606531</v>
      </c>
      <c r="O158" s="1481">
        <f t="shared" si="22"/>
        <v>8.1944898136065305</v>
      </c>
      <c r="P158" s="1481">
        <f t="shared" si="23"/>
        <v>171678.83522635684</v>
      </c>
      <c r="Q158" s="1483">
        <f>IF(A158&lt;=Summary!$J$61,0.5*(P158),$Q$2*(P158))</f>
        <v>0</v>
      </c>
      <c r="R158" s="1481">
        <f>Summary!$J$58</f>
        <v>0.5</v>
      </c>
      <c r="S158" s="1481">
        <f t="shared" si="24"/>
        <v>40.671669103125318</v>
      </c>
      <c r="T158" s="1487">
        <f t="shared" si="25"/>
        <v>197866.98713260682</v>
      </c>
      <c r="U158" s="45">
        <f>Summary!$J$59</f>
        <v>0.12104878144800001</v>
      </c>
      <c r="V158" s="1487">
        <f>IF(A158&lt;=Summary!$J$61,(0.2*T158)+(R158*D158),(U158*T158)+(R158*D158))</f>
        <v>34426.818443689146</v>
      </c>
      <c r="W158" s="1536">
        <f t="shared" si="26"/>
        <v>1049959.6661353111</v>
      </c>
    </row>
    <row r="159" spans="1:23">
      <c r="A159" s="18">
        <v>41214</v>
      </c>
      <c r="B159" s="20">
        <f t="shared" si="19"/>
        <v>2012</v>
      </c>
      <c r="C159" s="1483">
        <f>CALC!HH171</f>
        <v>52.789334177913275</v>
      </c>
      <c r="D159" s="820">
        <f>IF(Summary!$O$109=0,CALC!HE171,0)</f>
        <v>20274.698250000001</v>
      </c>
      <c r="E159" s="820">
        <f>SUM(CALC!GU171:HB171)*CALC!CY171/1000</f>
        <v>91280.044617823442</v>
      </c>
      <c r="F159" s="1481">
        <f>Summary!$J$54</f>
        <v>0.15</v>
      </c>
      <c r="G159" s="1483">
        <f>VLOOKUP(A159,CURVES!AW160:$BS$283,16)</f>
        <v>3.8070257295941063</v>
      </c>
      <c r="H159" s="1481">
        <f>Summary!$J$60</f>
        <v>0.04</v>
      </c>
      <c r="I159" s="17">
        <f>Summary!$J$55</f>
        <v>8.5</v>
      </c>
      <c r="J159" s="1483">
        <f t="shared" si="27"/>
        <v>33.974718701549904</v>
      </c>
      <c r="K159" s="1481">
        <f>Summary!$J$56</f>
        <v>3.75</v>
      </c>
      <c r="L159">
        <f>Summary!$O$23</f>
        <v>3.75</v>
      </c>
      <c r="M159" s="1481">
        <f>Summary!$J$57</f>
        <v>1.75</v>
      </c>
      <c r="N159" s="1483">
        <f t="shared" si="21"/>
        <v>18.814615476363372</v>
      </c>
      <c r="O159" s="1481">
        <f t="shared" si="22"/>
        <v>9.5646154763633717</v>
      </c>
      <c r="P159" s="1481">
        <f t="shared" si="23"/>
        <v>193919.69266054739</v>
      </c>
      <c r="Q159" s="1483">
        <f>IF(A159&lt;=Summary!$J$61,0.5*(P159),$Q$2*(P159))</f>
        <v>0</v>
      </c>
      <c r="R159" s="1481">
        <f>Summary!$J$58</f>
        <v>0.5</v>
      </c>
      <c r="S159" s="1481">
        <f t="shared" si="24"/>
        <v>41.974718701549904</v>
      </c>
      <c r="T159" s="1487">
        <f t="shared" si="25"/>
        <v>219263.06547304738</v>
      </c>
      <c r="U159" s="45">
        <f>Summary!$J$59</f>
        <v>0.12104878144800001</v>
      </c>
      <c r="V159" s="1487">
        <f>IF(A159&lt;=Summary!$J$61,(0.2*T159)+(R159*D159),(U159*T159)+(R159*D159))</f>
        <v>36678.876017065428</v>
      </c>
      <c r="W159" s="1536">
        <f t="shared" si="26"/>
        <v>1070287.8212756035</v>
      </c>
    </row>
    <row r="160" spans="1:23">
      <c r="A160" s="18">
        <v>41244</v>
      </c>
      <c r="B160" s="20">
        <f t="shared" si="19"/>
        <v>2012</v>
      </c>
      <c r="C160" s="1483">
        <f>CALC!HH172</f>
        <v>48.771862905739596</v>
      </c>
      <c r="D160" s="820">
        <f>IF(Summary!$O$109=0,CALC!HE172,0)</f>
        <v>20950.521525</v>
      </c>
      <c r="E160" s="820">
        <f>SUM(CALC!GU172:HB172)*CALC!CY172/1000</f>
        <v>94338.6066541849</v>
      </c>
      <c r="F160" s="1481">
        <f>Summary!$J$54</f>
        <v>0.15</v>
      </c>
      <c r="G160" s="1483">
        <f>VLOOKUP(A160,CURVES!AW161:$BS$283,16)</f>
        <v>3.9689579546008313</v>
      </c>
      <c r="H160" s="1481">
        <f>Summary!$J$60</f>
        <v>0.04</v>
      </c>
      <c r="I160" s="17">
        <f>Summary!$J$55</f>
        <v>8.5</v>
      </c>
      <c r="J160" s="1483">
        <f t="shared" si="27"/>
        <v>35.351142614107069</v>
      </c>
      <c r="K160" s="1481">
        <f>Summary!$J$56</f>
        <v>3.75</v>
      </c>
      <c r="L160">
        <f>Summary!$O$23</f>
        <v>3.75</v>
      </c>
      <c r="M160" s="1481">
        <f>Summary!$J$57</f>
        <v>1.75</v>
      </c>
      <c r="N160" s="1483">
        <f t="shared" si="21"/>
        <v>13.420720291632527</v>
      </c>
      <c r="O160" s="1481">
        <f t="shared" si="22"/>
        <v>4.1707202916325272</v>
      </c>
      <c r="P160" s="1481">
        <f t="shared" si="23"/>
        <v>87378.765244601542</v>
      </c>
      <c r="Q160" s="1483">
        <f>IF(A160&lt;=Summary!$J$61,0.5*(P160),$Q$2*(P160))</f>
        <v>0</v>
      </c>
      <c r="R160" s="1481">
        <f>Summary!$J$58</f>
        <v>0.5</v>
      </c>
      <c r="S160" s="1481">
        <f t="shared" si="24"/>
        <v>43.351142614107069</v>
      </c>
      <c r="T160" s="1487">
        <f t="shared" si="25"/>
        <v>113566.91715085154</v>
      </c>
      <c r="U160" s="45">
        <f>Summary!$J$59</f>
        <v>0.12104878144800001</v>
      </c>
      <c r="V160" s="1487">
        <f>IF(A160&lt;=Summary!$J$61,(0.2*T160)+(R160*D160),(U160*T160)+(R160*D160))</f>
        <v>24222.397696416552</v>
      </c>
      <c r="W160" s="1536">
        <f t="shared" si="26"/>
        <v>1021795.9636210465</v>
      </c>
    </row>
    <row r="161" spans="1:23">
      <c r="A161" s="18">
        <v>41275</v>
      </c>
      <c r="B161" s="20">
        <f t="shared" si="19"/>
        <v>2013</v>
      </c>
      <c r="C161" s="1483">
        <f>CALC!HH173</f>
        <v>49.847005961004164</v>
      </c>
      <c r="D161" s="820">
        <f>IF(Summary!$O$109=0,CALC!HE173,0)</f>
        <v>20950.521524999996</v>
      </c>
      <c r="E161" s="820">
        <f>SUM(CALC!GU173:HB173)*CALC!CY173/1000</f>
        <v>94354.500536618885</v>
      </c>
      <c r="F161" s="1481">
        <f>Summary!$J$54</f>
        <v>0.15</v>
      </c>
      <c r="G161" s="1483">
        <f>VLOOKUP(A161,CURVES!AW162:$BS$283,16)</f>
        <v>3.7739008599891157</v>
      </c>
      <c r="H161" s="1481">
        <f>Summary!$J$60</f>
        <v>0.04</v>
      </c>
      <c r="I161" s="17">
        <f>Summary!$J$55</f>
        <v>8.5</v>
      </c>
      <c r="J161" s="1483">
        <f t="shared" si="27"/>
        <v>33.693157309907484</v>
      </c>
      <c r="K161" s="1481">
        <f>Summary!$J$56</f>
        <v>3.75</v>
      </c>
      <c r="L161">
        <f>Summary!$O$23</f>
        <v>3.75</v>
      </c>
      <c r="M161" s="1481">
        <f>Summary!$J$57</f>
        <v>1.75</v>
      </c>
      <c r="N161" s="1483">
        <f t="shared" si="21"/>
        <v>16.153848651096681</v>
      </c>
      <c r="O161" s="1481">
        <f t="shared" si="22"/>
        <v>6.9038486510966806</v>
      </c>
      <c r="P161" s="1481">
        <f t="shared" si="23"/>
        <v>144639.2297701432</v>
      </c>
      <c r="Q161" s="1483">
        <f>IF(A161&lt;=Summary!$J$61,0.5*(P161),$Q$2*(P161))</f>
        <v>0</v>
      </c>
      <c r="R161" s="1481">
        <f>Summary!$J$58</f>
        <v>0.5</v>
      </c>
      <c r="S161" s="1481">
        <f t="shared" si="24"/>
        <v>41.693157309907484</v>
      </c>
      <c r="T161" s="1487">
        <f t="shared" si="25"/>
        <v>170827.38167639318</v>
      </c>
      <c r="U161" s="45">
        <f>Summary!$J$59</f>
        <v>0.12104878144800001</v>
      </c>
      <c r="V161" s="1487">
        <f>IF(A161&lt;=Summary!$J$61,(0.2*T161)+(R161*D161),(U161*T161)+(R161*D161))</f>
        <v>31153.707152379797</v>
      </c>
      <c r="W161" s="1536">
        <f t="shared" si="26"/>
        <v>1044320.7713428208</v>
      </c>
    </row>
    <row r="162" spans="1:23">
      <c r="A162" s="18">
        <v>41306</v>
      </c>
      <c r="B162" s="20">
        <f t="shared" si="19"/>
        <v>2013</v>
      </c>
      <c r="C162" s="1483">
        <f>CALC!HH174</f>
        <v>40.878938785432958</v>
      </c>
      <c r="D162" s="820">
        <f>IF(Summary!$O$109=0,CALC!HE174,0)</f>
        <v>18923.051699999996</v>
      </c>
      <c r="E162" s="820">
        <f>SUM(CALC!GU174:HB174)*CALC!CY174/1000</f>
        <v>85237.775604305847</v>
      </c>
      <c r="F162" s="1481">
        <f>Summary!$J$54</f>
        <v>0.15</v>
      </c>
      <c r="G162" s="1483">
        <f>VLOOKUP(A162,CURVES!AW163:$BS$283,16)</f>
        <v>3.4856398717178552</v>
      </c>
      <c r="H162" s="1481">
        <f>Summary!$J$60</f>
        <v>0.04</v>
      </c>
      <c r="I162" s="17">
        <f>Summary!$J$55</f>
        <v>8.5</v>
      </c>
      <c r="J162" s="1483">
        <f t="shared" si="27"/>
        <v>31.242938909601769</v>
      </c>
      <c r="K162" s="1481">
        <f>Summary!$J$56</f>
        <v>3.75</v>
      </c>
      <c r="L162">
        <f>Summary!$O$23</f>
        <v>3.75</v>
      </c>
      <c r="M162" s="1481">
        <f>Summary!$J$57</f>
        <v>1.75</v>
      </c>
      <c r="N162" s="1483">
        <f t="shared" si="21"/>
        <v>9.6359998758311889</v>
      </c>
      <c r="O162" s="1481">
        <f t="shared" si="22"/>
        <v>0.38599987583118889</v>
      </c>
      <c r="P162" s="1481">
        <f t="shared" si="23"/>
        <v>7304.2956065471662</v>
      </c>
      <c r="Q162" s="1483">
        <f>IF(A162&lt;=Summary!$J$61,0.5*(P162),$Q$2*(P162))</f>
        <v>0</v>
      </c>
      <c r="R162" s="1481">
        <f>Summary!$J$58</f>
        <v>0.5</v>
      </c>
      <c r="S162" s="1481">
        <f t="shared" si="24"/>
        <v>39.242938909601769</v>
      </c>
      <c r="T162" s="1487">
        <f t="shared" si="25"/>
        <v>30958.110231547162</v>
      </c>
      <c r="U162" s="45">
        <f>Summary!$J$59</f>
        <v>0.12104878144800001</v>
      </c>
      <c r="V162" s="1487">
        <f>IF(A162&lt;=Summary!$J$61,(0.2*T162)+(R162*D162),(U162*T162)+(R162*D162))</f>
        <v>13208.967369461643</v>
      </c>
      <c r="W162" s="1536">
        <f t="shared" si="26"/>
        <v>773554.2720778829</v>
      </c>
    </row>
    <row r="163" spans="1:23">
      <c r="A163" s="18">
        <v>41334</v>
      </c>
      <c r="B163" s="20">
        <f t="shared" si="19"/>
        <v>2013</v>
      </c>
      <c r="C163" s="1483">
        <f>CALC!HH175</f>
        <v>37.703201149502789</v>
      </c>
      <c r="D163" s="820">
        <f>IF(Summary!$O$109=0,CALC!HE175,0)</f>
        <v>20950.521525</v>
      </c>
      <c r="E163" s="820">
        <f>SUM(CALC!GU175:HB175)*CALC!CY175/1000</f>
        <v>94386.288301486915</v>
      </c>
      <c r="F163" s="1481">
        <f>Summary!$J$54</f>
        <v>0.15</v>
      </c>
      <c r="G163" s="1483">
        <f>VLOOKUP(A163,CURVES!AW164:$BS$283,16)</f>
        <v>3.2985187206675644</v>
      </c>
      <c r="H163" s="1481">
        <f>Summary!$J$60</f>
        <v>0.04</v>
      </c>
      <c r="I163" s="17">
        <f>Summary!$J$55</f>
        <v>8.5</v>
      </c>
      <c r="J163" s="1483">
        <f t="shared" si="27"/>
        <v>29.652409125674296</v>
      </c>
      <c r="K163" s="1481">
        <f>Summary!$J$56</f>
        <v>3.75</v>
      </c>
      <c r="L163">
        <f>Summary!$O$23</f>
        <v>3.75</v>
      </c>
      <c r="M163" s="1481">
        <f>Summary!$J$57</f>
        <v>1.75</v>
      </c>
      <c r="N163" s="1483">
        <f t="shared" si="21"/>
        <v>8.0507920238284925</v>
      </c>
      <c r="O163" s="1481">
        <f t="shared" si="22"/>
        <v>0</v>
      </c>
      <c r="P163" s="1481">
        <f t="shared" si="23"/>
        <v>0</v>
      </c>
      <c r="Q163" s="1483">
        <f>IF(A163&lt;=Summary!$J$61,0.5*(P163),$Q$2*(P163))</f>
        <v>0</v>
      </c>
      <c r="R163" s="1481">
        <f>Summary!$J$58</f>
        <v>0.5</v>
      </c>
      <c r="S163" s="1481">
        <f t="shared" si="24"/>
        <v>37.652409125674296</v>
      </c>
      <c r="T163" s="1487">
        <f t="shared" si="25"/>
        <v>1064.1193885171442</v>
      </c>
      <c r="U163" s="45">
        <f>Summary!$J$59</f>
        <v>0.12104878144800001</v>
      </c>
      <c r="V163" s="1487">
        <f>IF(A163&lt;=Summary!$J$61,(0.2*T163)+(R163*D163),(U163*T163)+(R163*D163))</f>
        <v>10604.071117795191</v>
      </c>
      <c r="W163" s="1536">
        <f t="shared" si="26"/>
        <v>789901.72724406293</v>
      </c>
    </row>
    <row r="164" spans="1:23">
      <c r="A164" s="18">
        <v>41365</v>
      </c>
      <c r="B164" s="20">
        <f t="shared" si="19"/>
        <v>2013</v>
      </c>
      <c r="C164" s="1483">
        <f>CALC!HH176</f>
        <v>37.572532245308139</v>
      </c>
      <c r="D164" s="820">
        <f>IF(Summary!$O$109=0,CALC!HE176,0)</f>
        <v>20274.698249999998</v>
      </c>
      <c r="E164" s="820">
        <f>SUM(CALC!GU176:HB176)*CALC!CY176/1000</f>
        <v>91356.950500568622</v>
      </c>
      <c r="F164" s="1481">
        <f>Summary!$J$54</f>
        <v>0.15</v>
      </c>
      <c r="G164" s="1483">
        <f>VLOOKUP(A164,CURVES!AW165:$BS$283,16)</f>
        <v>3.1995608043261794</v>
      </c>
      <c r="H164" s="1481">
        <f>Summary!$J$60</f>
        <v>0.04</v>
      </c>
      <c r="I164" s="17">
        <f>Summary!$J$55</f>
        <v>8.5</v>
      </c>
      <c r="J164" s="1483">
        <f t="shared" si="27"/>
        <v>28.811266836772525</v>
      </c>
      <c r="K164" s="1481">
        <f>Summary!$J$56</f>
        <v>3.75</v>
      </c>
      <c r="L164">
        <f>Summary!$O$23</f>
        <v>3.75</v>
      </c>
      <c r="M164" s="1481">
        <f>Summary!$J$57</f>
        <v>1.75</v>
      </c>
      <c r="N164" s="1483">
        <f t="shared" si="21"/>
        <v>8.7612654085356141</v>
      </c>
      <c r="O164" s="1481">
        <f t="shared" si="22"/>
        <v>0</v>
      </c>
      <c r="P164" s="1481">
        <f t="shared" si="23"/>
        <v>0</v>
      </c>
      <c r="Q164" s="1483">
        <f>IF(A164&lt;=Summary!$J$61,0.5*(P164),$Q$2*(P164))</f>
        <v>0</v>
      </c>
      <c r="R164" s="1481">
        <f>Summary!$J$58</f>
        <v>0.5</v>
      </c>
      <c r="S164" s="1481">
        <f t="shared" si="24"/>
        <v>36.811266836772525</v>
      </c>
      <c r="T164" s="1487">
        <f t="shared" si="25"/>
        <v>15434.426446222547</v>
      </c>
      <c r="U164" s="45">
        <f>Summary!$J$59</f>
        <v>0.12104878144800001</v>
      </c>
      <c r="V164" s="1487">
        <f>IF(A164&lt;=Summary!$J$61,(0.2*T164)+(R164*D164),(U164*T164)+(R164*D164))</f>
        <v>12005.667638664023</v>
      </c>
      <c r="W164" s="1536">
        <f t="shared" si="26"/>
        <v>761771.75376201735</v>
      </c>
    </row>
    <row r="165" spans="1:23">
      <c r="A165" s="18">
        <v>41395</v>
      </c>
      <c r="B165" s="20">
        <f t="shared" si="19"/>
        <v>2013</v>
      </c>
      <c r="C165" s="1483">
        <f>CALC!HH177</f>
        <v>40.384438607997701</v>
      </c>
      <c r="D165" s="820">
        <f>IF(Summary!$O$109=0,CALC!HE177,0)</f>
        <v>22276.5039</v>
      </c>
      <c r="E165" s="820">
        <f>SUM(CALC!GU177:HB177)*CALC!CY177/1000</f>
        <v>73892.407356277763</v>
      </c>
      <c r="F165" s="1481">
        <f>Summary!$J$54</f>
        <v>0.15</v>
      </c>
      <c r="G165" s="1483">
        <f>VLOOKUP(A165,CURVES!AW166:$BS$283,16)</f>
        <v>3.1754307064736738</v>
      </c>
      <c r="H165" s="1481">
        <f>Summary!$J$60</f>
        <v>0.04</v>
      </c>
      <c r="I165" s="17">
        <f>Summary!$J$55</f>
        <v>8.5</v>
      </c>
      <c r="J165" s="1483">
        <f t="shared" si="27"/>
        <v>28.606161005026227</v>
      </c>
      <c r="K165" s="1481">
        <f>Summary!$J$56</f>
        <v>3.75</v>
      </c>
      <c r="L165">
        <f>Summary!$O$23</f>
        <v>3.75</v>
      </c>
      <c r="M165" s="1481">
        <f>Summary!$J$57</f>
        <v>1.75</v>
      </c>
      <c r="N165" s="1483">
        <f t="shared" si="21"/>
        <v>11.778277602971475</v>
      </c>
      <c r="O165" s="1481">
        <f t="shared" si="22"/>
        <v>2.5282776029714746</v>
      </c>
      <c r="P165" s="1481">
        <f t="shared" si="23"/>
        <v>56321.185882876707</v>
      </c>
      <c r="Q165" s="1483">
        <f>IF(A165&lt;=Summary!$J$61,0.5*(P165),$Q$2*(P165))</f>
        <v>0</v>
      </c>
      <c r="R165" s="1481">
        <f>Summary!$J$58</f>
        <v>0.5</v>
      </c>
      <c r="S165" s="1481">
        <f t="shared" si="24"/>
        <v>36.606161005026223</v>
      </c>
      <c r="T165" s="1487">
        <f t="shared" si="25"/>
        <v>84166.815757876786</v>
      </c>
      <c r="U165" s="45">
        <f>Summary!$J$59</f>
        <v>0.12104878144800001</v>
      </c>
      <c r="V165" s="1487">
        <f>IF(A165&lt;=Summary!$J$61,(0.2*T165)+(R165*D165),(U165*T165)+(R165*D165))</f>
        <v>21326.542435849311</v>
      </c>
      <c r="W165" s="1536">
        <f t="shared" si="26"/>
        <v>899624.10415037139</v>
      </c>
    </row>
    <row r="166" spans="1:23">
      <c r="A166" s="18">
        <v>41426</v>
      </c>
      <c r="B166" s="20">
        <f t="shared" si="19"/>
        <v>2013</v>
      </c>
      <c r="C166" s="1483">
        <f>CALC!HH178</f>
        <v>41.417557179728348</v>
      </c>
      <c r="D166" s="820">
        <f>IF(Summary!$O$109=0,CALC!HE178,0)</f>
        <v>21557.906999999999</v>
      </c>
      <c r="E166" s="820">
        <f>SUM(CALC!GU178:HB178)*CALC!CY178/1000</f>
        <v>71520.818755043525</v>
      </c>
      <c r="F166" s="1481">
        <f>Summary!$J$54</f>
        <v>0.15</v>
      </c>
      <c r="G166" s="1483">
        <f>VLOOKUP(A166,CURVES!AW167:$BS$283,16)</f>
        <v>3.2137880761691608</v>
      </c>
      <c r="H166" s="1481">
        <f>Summary!$J$60</f>
        <v>0.04</v>
      </c>
      <c r="I166" s="17">
        <f>Summary!$J$55</f>
        <v>8.5</v>
      </c>
      <c r="J166" s="1483">
        <f t="shared" si="27"/>
        <v>28.932198647437868</v>
      </c>
      <c r="K166" s="1481">
        <f>Summary!$J$56</f>
        <v>3.75</v>
      </c>
      <c r="L166">
        <f>Summary!$O$23</f>
        <v>3.75</v>
      </c>
      <c r="M166" s="1481">
        <f>Summary!$J$57</f>
        <v>1.75</v>
      </c>
      <c r="N166" s="1483">
        <f t="shared" si="21"/>
        <v>12.48535853229048</v>
      </c>
      <c r="O166" s="1481">
        <f t="shared" si="22"/>
        <v>3.2353585322904799</v>
      </c>
      <c r="P166" s="1481">
        <f t="shared" si="23"/>
        <v>69747.558350774663</v>
      </c>
      <c r="Q166" s="1483">
        <f>IF(A166&lt;=Summary!$J$61,0.5*(P166),$Q$2*(P166))</f>
        <v>0</v>
      </c>
      <c r="R166" s="1481">
        <f>Summary!$J$58</f>
        <v>0.5</v>
      </c>
      <c r="S166" s="1481">
        <f t="shared" si="24"/>
        <v>36.932198647437872</v>
      </c>
      <c r="T166" s="1487">
        <f t="shared" si="25"/>
        <v>96694.942100774584</v>
      </c>
      <c r="U166" s="45">
        <f>Summary!$J$59</f>
        <v>0.12104878144800001</v>
      </c>
      <c r="V166" s="1487">
        <f>IF(A166&lt;=Summary!$J$61,(0.2*T166)+(R166*D166),(U166*T166)+(R166*D166))</f>
        <v>22483.758413483676</v>
      </c>
      <c r="W166" s="1536">
        <f t="shared" si="26"/>
        <v>892875.84584776603</v>
      </c>
    </row>
    <row r="167" spans="1:23">
      <c r="A167" s="18">
        <v>41456</v>
      </c>
      <c r="B167" s="20">
        <f t="shared" si="19"/>
        <v>2013</v>
      </c>
      <c r="C167" s="1483">
        <f>CALC!HH179</f>
        <v>57.074777550020649</v>
      </c>
      <c r="D167" s="820">
        <f>IF(Summary!$O$109=0,CALC!HE179,0)</f>
        <v>22276.5039</v>
      </c>
      <c r="E167" s="820">
        <f>SUM(CALC!GU179:HB179)*CALC!CY179/1000</f>
        <v>73917.284737478825</v>
      </c>
      <c r="F167" s="1481">
        <f>Summary!$J$54</f>
        <v>0.15</v>
      </c>
      <c r="G167" s="1483">
        <f>VLOOKUP(A167,CURVES!AW168:$BS$283,16)</f>
        <v>3.3015119259582248</v>
      </c>
      <c r="H167" s="1481">
        <f>Summary!$J$60</f>
        <v>0.04</v>
      </c>
      <c r="I167" s="17">
        <f>Summary!$J$55</f>
        <v>8.5</v>
      </c>
      <c r="J167" s="1483">
        <f t="shared" si="27"/>
        <v>29.677851370644909</v>
      </c>
      <c r="K167" s="1481">
        <f>Summary!$J$56</f>
        <v>3.75</v>
      </c>
      <c r="L167">
        <f>Summary!$O$23</f>
        <v>3.75</v>
      </c>
      <c r="M167" s="1481">
        <f>Summary!$J$57</f>
        <v>1.75</v>
      </c>
      <c r="N167" s="1483">
        <f t="shared" si="21"/>
        <v>27.39692617937574</v>
      </c>
      <c r="O167" s="1481">
        <f t="shared" si="22"/>
        <v>18.14692617937574</v>
      </c>
      <c r="P167" s="1481">
        <f t="shared" si="23"/>
        <v>404250.07180787576</v>
      </c>
      <c r="Q167" s="1483">
        <f>IF(A167&lt;=Summary!$J$61,0.5*(P167),$Q$2*(P167))</f>
        <v>0</v>
      </c>
      <c r="R167" s="1481">
        <f>Summary!$J$58</f>
        <v>0.5</v>
      </c>
      <c r="S167" s="1481">
        <f t="shared" si="24"/>
        <v>37.677851370644909</v>
      </c>
      <c r="T167" s="1487">
        <f t="shared" si="25"/>
        <v>432095.70168287575</v>
      </c>
      <c r="U167" s="45">
        <f>Summary!$J$59</f>
        <v>0.12104878144800001</v>
      </c>
      <c r="V167" s="1487">
        <f>IF(A167&lt;=Summary!$J$61,(0.2*T167)+(R167*D167),(U167*T167)+(R167*D167))</f>
        <v>63442.910107630632</v>
      </c>
      <c r="W167" s="1536">
        <f t="shared" si="26"/>
        <v>1271426.5046846673</v>
      </c>
    </row>
    <row r="168" spans="1:23">
      <c r="A168" s="18">
        <v>41487</v>
      </c>
      <c r="B168" s="20">
        <f t="shared" si="19"/>
        <v>2013</v>
      </c>
      <c r="C168" s="1483">
        <f>CALC!HH180</f>
        <v>68.851728540462403</v>
      </c>
      <c r="D168" s="820">
        <f>IF(Summary!$O$109=0,CALC!HE180,0)</f>
        <v>22276.503900000003</v>
      </c>
      <c r="E168" s="820">
        <f>SUM(CALC!GU180:HB180)*CALC!CY180/1000</f>
        <v>73929.723428079364</v>
      </c>
      <c r="F168" s="1481">
        <f>Summary!$J$54</f>
        <v>0.15</v>
      </c>
      <c r="G168" s="1483">
        <f>VLOOKUP(A168,CURVES!AW169:$BS$283,16)</f>
        <v>3.4260980118838487</v>
      </c>
      <c r="H168" s="1481">
        <f>Summary!$J$60</f>
        <v>0.04</v>
      </c>
      <c r="I168" s="17">
        <f>Summary!$J$55</f>
        <v>8.5</v>
      </c>
      <c r="J168" s="1483">
        <f t="shared" si="27"/>
        <v>30.736833101012714</v>
      </c>
      <c r="K168" s="1481">
        <f>Summary!$J$56</f>
        <v>3.75</v>
      </c>
      <c r="L168">
        <f>Summary!$O$23</f>
        <v>3.75</v>
      </c>
      <c r="M168" s="1481">
        <f>Summary!$J$57</f>
        <v>1.75</v>
      </c>
      <c r="N168" s="1483">
        <f t="shared" si="21"/>
        <v>38.11489543944969</v>
      </c>
      <c r="O168" s="1481">
        <f t="shared" si="22"/>
        <v>28.86489543944969</v>
      </c>
      <c r="P168" s="1481">
        <f t="shared" si="23"/>
        <v>643008.95582999336</v>
      </c>
      <c r="Q168" s="1483">
        <f>IF(A168&lt;=Summary!$J$61,0.5*(P168),$Q$2*(P168))</f>
        <v>0</v>
      </c>
      <c r="R168" s="1481">
        <f>Summary!$J$58</f>
        <v>0.5</v>
      </c>
      <c r="S168" s="1481">
        <f t="shared" si="24"/>
        <v>38.736833101012714</v>
      </c>
      <c r="T168" s="1487">
        <f t="shared" si="25"/>
        <v>670854.58570499334</v>
      </c>
      <c r="U168" s="45">
        <f>Summary!$J$59</f>
        <v>0.12104878144800001</v>
      </c>
      <c r="V168" s="1487">
        <f>IF(A168&lt;=Summary!$J$61,(0.2*T168)+(R168*D168),(U168*T168)+(R168*D168))</f>
        <v>92344.382078392329</v>
      </c>
      <c r="W168" s="1536">
        <f t="shared" si="26"/>
        <v>1533775.7993533523</v>
      </c>
    </row>
    <row r="169" spans="1:23">
      <c r="A169" s="18">
        <v>41518</v>
      </c>
      <c r="B169" s="20">
        <f t="shared" si="19"/>
        <v>2013</v>
      </c>
      <c r="C169" s="1483">
        <f>CALC!HH181</f>
        <v>61.617164365176322</v>
      </c>
      <c r="D169" s="820">
        <f>IF(Summary!$O$109=0,CALC!HE181,0)</f>
        <v>21557.906999999999</v>
      </c>
      <c r="E169" s="820">
        <f>SUM(CALC!GU181:HB181)*CALC!CY181/1000</f>
        <v>71556.931082593423</v>
      </c>
      <c r="F169" s="1481">
        <f>Summary!$J$54</f>
        <v>0.15</v>
      </c>
      <c r="G169" s="1483">
        <f>VLOOKUP(A169,CURVES!AW170:$BS$283,16)</f>
        <v>3.5744299681480443</v>
      </c>
      <c r="H169" s="1481">
        <f>Summary!$J$60</f>
        <v>0.04</v>
      </c>
      <c r="I169" s="17">
        <f>Summary!$J$55</f>
        <v>8.5</v>
      </c>
      <c r="J169" s="1483">
        <f t="shared" si="27"/>
        <v>31.997654729258375</v>
      </c>
      <c r="K169" s="1481">
        <f>Summary!$J$56</f>
        <v>3.75</v>
      </c>
      <c r="L169">
        <f>Summary!$O$23</f>
        <v>3.75</v>
      </c>
      <c r="M169" s="1481">
        <f>Summary!$J$57</f>
        <v>1.75</v>
      </c>
      <c r="N169" s="1483">
        <f t="shared" si="21"/>
        <v>29.619509635917947</v>
      </c>
      <c r="O169" s="1481">
        <f t="shared" si="22"/>
        <v>20.369509635917947</v>
      </c>
      <c r="P169" s="1481">
        <f t="shared" si="23"/>
        <v>439123.99436672294</v>
      </c>
      <c r="Q169" s="1483">
        <f>IF(A169&lt;=Summary!$J$61,0.5*(P169),$Q$2*(P169))</f>
        <v>0</v>
      </c>
      <c r="R169" s="1481">
        <f>Summary!$J$58</f>
        <v>0.5</v>
      </c>
      <c r="S169" s="1481">
        <f t="shared" si="24"/>
        <v>39.997654729258372</v>
      </c>
      <c r="T169" s="1487">
        <f t="shared" si="25"/>
        <v>466071.37811672303</v>
      </c>
      <c r="U169" s="45">
        <f>Summary!$J$59</f>
        <v>0.12104878144800001</v>
      </c>
      <c r="V169" s="1487">
        <f>IF(A169&lt;=Summary!$J$61,(0.2*T169)+(R169*D169),(U169*T169)+(R169*D169))</f>
        <v>67196.325888819381</v>
      </c>
      <c r="W169" s="1536">
        <f t="shared" si="26"/>
        <v>1328337.0989881852</v>
      </c>
    </row>
    <row r="170" spans="1:23">
      <c r="A170" s="18">
        <v>41548</v>
      </c>
      <c r="B170" s="20">
        <f t="shared" si="19"/>
        <v>2013</v>
      </c>
      <c r="C170" s="1483">
        <f>CALC!HH182</f>
        <v>50.978442015684351</v>
      </c>
      <c r="D170" s="820">
        <f>IF(Summary!$O$109=0,CALC!HE182,0)</f>
        <v>20950.521524999996</v>
      </c>
      <c r="E170" s="820">
        <f>SUM(CALC!GU182:HB182)*CALC!CY182/1000</f>
        <v>94497.545478524975</v>
      </c>
      <c r="F170" s="1481">
        <f>Summary!$J$54</f>
        <v>0.15</v>
      </c>
      <c r="G170" s="1483">
        <f>VLOOKUP(A170,CURVES!AW171:$BS$283,16)</f>
        <v>3.733275551333862</v>
      </c>
      <c r="H170" s="1481">
        <f>Summary!$J$60</f>
        <v>0.04</v>
      </c>
      <c r="I170" s="17">
        <f>Summary!$J$55</f>
        <v>8.5</v>
      </c>
      <c r="J170" s="1483">
        <f t="shared" si="27"/>
        <v>33.347842186337829</v>
      </c>
      <c r="K170" s="1481">
        <f>Summary!$J$56</f>
        <v>3.75</v>
      </c>
      <c r="L170">
        <f>Summary!$O$23</f>
        <v>3.75</v>
      </c>
      <c r="M170" s="1481">
        <f>Summary!$J$57</f>
        <v>1.75</v>
      </c>
      <c r="N170" s="1483">
        <f t="shared" si="21"/>
        <v>17.630599829346522</v>
      </c>
      <c r="O170" s="1481">
        <f t="shared" si="22"/>
        <v>8.3805998293465223</v>
      </c>
      <c r="P170" s="1481">
        <f t="shared" si="23"/>
        <v>175577.93711713562</v>
      </c>
      <c r="Q170" s="1483">
        <f>IF(A170&lt;=Summary!$J$61,0.5*(P170),$Q$2*(P170))</f>
        <v>0</v>
      </c>
      <c r="R170" s="1481">
        <f>Summary!$J$58</f>
        <v>0.5</v>
      </c>
      <c r="S170" s="1481">
        <f t="shared" si="24"/>
        <v>41.347842186337829</v>
      </c>
      <c r="T170" s="1487">
        <f t="shared" si="25"/>
        <v>201766.0890233856</v>
      </c>
      <c r="U170" s="45">
        <f>Summary!$J$59</f>
        <v>0.12104878144800001</v>
      </c>
      <c r="V170" s="1487">
        <f>IF(A170&lt;=Summary!$J$61,(0.2*T170)+(R170*D170),(U170*T170)+(R170*D170))</f>
        <v>34898.799976309514</v>
      </c>
      <c r="W170" s="1536">
        <f t="shared" si="26"/>
        <v>1068024.9467605592</v>
      </c>
    </row>
    <row r="171" spans="1:23">
      <c r="A171" s="18">
        <v>41579</v>
      </c>
      <c r="B171" s="20">
        <f t="shared" si="19"/>
        <v>2013</v>
      </c>
      <c r="C171" s="1483">
        <f>CALC!HH183</f>
        <v>51.782316233283751</v>
      </c>
      <c r="D171" s="820">
        <f>IF(Summary!$O$109=0,CALC!HE183,0)</f>
        <v>20274.698250000001</v>
      </c>
      <c r="E171" s="820">
        <f>SUM(CALC!GU183:HB183)*CALC!CY183/1000</f>
        <v>91464.618736411925</v>
      </c>
      <c r="F171" s="1481">
        <f>Summary!$J$54</f>
        <v>0.15</v>
      </c>
      <c r="G171" s="1483">
        <f>VLOOKUP(A171,CURVES!AW172:$BS$283,16)</f>
        <v>3.8899131866134415</v>
      </c>
      <c r="H171" s="1481">
        <f>Summary!$J$60</f>
        <v>0.04</v>
      </c>
      <c r="I171" s="17">
        <f>Summary!$J$55</f>
        <v>8.5</v>
      </c>
      <c r="J171" s="1483">
        <f t="shared" si="27"/>
        <v>34.679262086214251</v>
      </c>
      <c r="K171" s="1481">
        <f>Summary!$J$56</f>
        <v>3.75</v>
      </c>
      <c r="L171">
        <f>Summary!$O$23</f>
        <v>3.75</v>
      </c>
      <c r="M171" s="1481">
        <f>Summary!$J$57</f>
        <v>1.75</v>
      </c>
      <c r="N171" s="1483">
        <f t="shared" si="21"/>
        <v>17.1030541470695</v>
      </c>
      <c r="O171" s="1481">
        <f t="shared" si="22"/>
        <v>7.8530541470694999</v>
      </c>
      <c r="P171" s="1481">
        <f t="shared" si="23"/>
        <v>159218.30317274525</v>
      </c>
      <c r="Q171" s="1483">
        <f>IF(A171&lt;=Summary!$J$61,0.5*(P171),$Q$2*(P171))</f>
        <v>0</v>
      </c>
      <c r="R171" s="1481">
        <f>Summary!$J$58</f>
        <v>0.5</v>
      </c>
      <c r="S171" s="1481">
        <f t="shared" si="24"/>
        <v>42.679262086214251</v>
      </c>
      <c r="T171" s="1487">
        <f t="shared" si="25"/>
        <v>184561.67598524524</v>
      </c>
      <c r="U171" s="45">
        <f>Summary!$J$59</f>
        <v>0.12104878144800001</v>
      </c>
      <c r="V171" s="1487">
        <f>IF(A171&lt;=Summary!$J$61,(0.2*T171)+(R171*D171),(U171*T171)+(R171*D171))</f>
        <v>32478.315105014542</v>
      </c>
      <c r="W171" s="1536">
        <f t="shared" si="26"/>
        <v>1049870.8363159047</v>
      </c>
    </row>
    <row r="172" spans="1:23">
      <c r="A172" s="18">
        <v>41609</v>
      </c>
      <c r="B172" s="20">
        <f t="shared" si="19"/>
        <v>2013</v>
      </c>
      <c r="C172" s="1483">
        <f>CALC!HH184</f>
        <v>49.870644600664264</v>
      </c>
      <c r="D172" s="820">
        <f>IF(Summary!$O$109=0,CALC!HE184,0)</f>
        <v>20950.521524999996</v>
      </c>
      <c r="E172" s="820">
        <f>SUM(CALC!GU184:HB184)*CALC!CY184/1000</f>
        <v>94529.33324339299</v>
      </c>
      <c r="F172" s="1481">
        <f>Summary!$J$54</f>
        <v>0.15</v>
      </c>
      <c r="G172" s="1483">
        <f>VLOOKUP(A172,CURVES!AW173:$BS$283,16)</f>
        <v>4.0553710379998229</v>
      </c>
      <c r="H172" s="1481">
        <f>Summary!$J$60</f>
        <v>0.04</v>
      </c>
      <c r="I172" s="17">
        <f>Summary!$J$55</f>
        <v>8.5</v>
      </c>
      <c r="J172" s="1483">
        <f t="shared" si="27"/>
        <v>36.085653822998495</v>
      </c>
      <c r="K172" s="1481">
        <f>Summary!$J$56</f>
        <v>3.75</v>
      </c>
      <c r="L172">
        <f>Summary!$O$23</f>
        <v>3.75</v>
      </c>
      <c r="M172" s="1481">
        <f>Summary!$J$57</f>
        <v>1.75</v>
      </c>
      <c r="N172" s="1483">
        <f t="shared" si="21"/>
        <v>13.784990777665769</v>
      </c>
      <c r="O172" s="1481">
        <f t="shared" si="22"/>
        <v>4.5349907776657687</v>
      </c>
      <c r="P172" s="1481">
        <f t="shared" si="23"/>
        <v>95010.421903163166</v>
      </c>
      <c r="Q172" s="1483">
        <f>IF(A172&lt;=Summary!$J$61,0.5*(P172),$Q$2*(P172))</f>
        <v>0</v>
      </c>
      <c r="R172" s="1481">
        <f>Summary!$J$58</f>
        <v>0.5</v>
      </c>
      <c r="S172" s="1481">
        <f t="shared" si="24"/>
        <v>44.085653822998495</v>
      </c>
      <c r="T172" s="1487">
        <f t="shared" si="25"/>
        <v>121198.57380941315</v>
      </c>
      <c r="U172" s="45">
        <f>Summary!$J$59</f>
        <v>0.12104878144800001</v>
      </c>
      <c r="V172" s="1487">
        <f>IF(A172&lt;=Summary!$J$61,(0.2*T172)+(R172*D172),(U172*T172)+(R172*D172))</f>
        <v>25146.200435364946</v>
      </c>
      <c r="W172" s="1536">
        <f t="shared" si="26"/>
        <v>1044816.0131718415</v>
      </c>
    </row>
    <row r="173" spans="1:23">
      <c r="A173" s="18">
        <v>41640</v>
      </c>
      <c r="B173" s="20">
        <f t="shared" si="19"/>
        <v>2014</v>
      </c>
      <c r="C173" s="1483">
        <f>CALC!HH185</f>
        <v>49.801063447917251</v>
      </c>
      <c r="D173" s="820">
        <f>IF(Summary!$O$109=0,CALC!HE185,0)</f>
        <v>20950.521524999996</v>
      </c>
      <c r="E173" s="820">
        <f>SUM(CALC!GU185:HB185)*CALC!CY185/1000</f>
        <v>94545.227125827005</v>
      </c>
      <c r="F173" s="1481">
        <f>Summary!$J$54</f>
        <v>0.15</v>
      </c>
      <c r="G173" s="1483">
        <f>VLOOKUP(A173,CURVES!AW174:$BS$283,16)</f>
        <v>3.8498307565099323</v>
      </c>
      <c r="H173" s="1481">
        <f>Summary!$J$60</f>
        <v>0.04</v>
      </c>
      <c r="I173" s="17">
        <f>Summary!$J$55</f>
        <v>8.5</v>
      </c>
      <c r="J173" s="1483">
        <f t="shared" si="27"/>
        <v>34.338561430334423</v>
      </c>
      <c r="K173" s="1481">
        <f>Summary!$J$56</f>
        <v>3.75</v>
      </c>
      <c r="L173">
        <f>Summary!$O$23</f>
        <v>3.75</v>
      </c>
      <c r="M173" s="1481">
        <f>Summary!$J$57</f>
        <v>1.75</v>
      </c>
      <c r="N173" s="1483">
        <f t="shared" si="21"/>
        <v>15.462502017582828</v>
      </c>
      <c r="O173" s="1481">
        <f t="shared" si="22"/>
        <v>6.2125020175828283</v>
      </c>
      <c r="P173" s="1481">
        <f t="shared" si="23"/>
        <v>130155.15724347495</v>
      </c>
      <c r="Q173" s="1483">
        <f>IF(A173&lt;=Summary!$J$61,0.5*(P173),$Q$2*(P173))</f>
        <v>0</v>
      </c>
      <c r="R173" s="1481">
        <f>Summary!$J$58</f>
        <v>0.5</v>
      </c>
      <c r="S173" s="1481">
        <f t="shared" si="24"/>
        <v>42.338561430334423</v>
      </c>
      <c r="T173" s="1487">
        <f t="shared" si="25"/>
        <v>156343.30914972496</v>
      </c>
      <c r="U173" s="45">
        <f>Summary!$J$59</f>
        <v>0.12104878144800001</v>
      </c>
      <c r="V173" s="1487">
        <f>IF(A173&lt;=Summary!$J$61,(0.2*T173)+(R173*D173),(U173*T173)+(R173*D173))</f>
        <v>29400.427822622154</v>
      </c>
      <c r="W173" s="1536">
        <f t="shared" si="26"/>
        <v>1043358.251733481</v>
      </c>
    </row>
    <row r="174" spans="1:23">
      <c r="A174" s="18">
        <v>41671</v>
      </c>
      <c r="B174" s="20">
        <f t="shared" si="19"/>
        <v>2014</v>
      </c>
      <c r="C174" s="1483">
        <f>CALC!HH186</f>
        <v>42.396811846461205</v>
      </c>
      <c r="D174" s="820">
        <f>IF(Summary!$O$109=0,CALC!HE186,0)</f>
        <v>18923.051699999996</v>
      </c>
      <c r="E174" s="820">
        <f>SUM(CALC!GU186:HB186)*CALC!CY186/1000</f>
        <v>85410.044781655088</v>
      </c>
      <c r="F174" s="1481">
        <f>Summary!$J$54</f>
        <v>0.15</v>
      </c>
      <c r="G174" s="1483">
        <f>VLOOKUP(A174,CURVES!AW175:$BS$283,16)</f>
        <v>3.555770032680571</v>
      </c>
      <c r="H174" s="1481">
        <f>Summary!$J$60</f>
        <v>0.04</v>
      </c>
      <c r="I174" s="17">
        <f>Summary!$J$55</f>
        <v>8.5</v>
      </c>
      <c r="J174" s="1483">
        <f t="shared" si="27"/>
        <v>31.839045277784852</v>
      </c>
      <c r="K174" s="1481">
        <f>Summary!$J$56</f>
        <v>3.75</v>
      </c>
      <c r="L174">
        <f>Summary!$O$23</f>
        <v>3.75</v>
      </c>
      <c r="M174" s="1481">
        <f>Summary!$J$57</f>
        <v>1.75</v>
      </c>
      <c r="N174" s="1483">
        <f t="shared" si="21"/>
        <v>10.557766568676353</v>
      </c>
      <c r="O174" s="1481">
        <f t="shared" si="22"/>
        <v>1.3077665686763531</v>
      </c>
      <c r="P174" s="1481">
        <f t="shared" si="23"/>
        <v>24746.934390594226</v>
      </c>
      <c r="Q174" s="1483">
        <f>IF(A174&lt;=Summary!$J$61,0.5*(P174),$Q$2*(P174))</f>
        <v>0</v>
      </c>
      <c r="R174" s="1481">
        <f>Summary!$J$58</f>
        <v>0.5</v>
      </c>
      <c r="S174" s="1481">
        <f t="shared" si="24"/>
        <v>39.839045277784848</v>
      </c>
      <c r="T174" s="1487">
        <f t="shared" si="25"/>
        <v>48400.749015594287</v>
      </c>
      <c r="U174" s="45">
        <f>Summary!$J$59</f>
        <v>0.12104878144800001</v>
      </c>
      <c r="V174" s="1487">
        <f>IF(A174&lt;=Summary!$J$61,(0.2*T174)+(R174*D174),(U174*T174)+(R174*D174))</f>
        <v>15320.377539508172</v>
      </c>
      <c r="W174" s="1536">
        <f t="shared" si="26"/>
        <v>802277.06248575763</v>
      </c>
    </row>
    <row r="175" spans="1:23">
      <c r="A175" s="18">
        <v>41699</v>
      </c>
      <c r="B175" s="20">
        <f t="shared" si="19"/>
        <v>2014</v>
      </c>
      <c r="C175" s="1483">
        <f>CALC!HH187</f>
        <v>38.944032463382626</v>
      </c>
      <c r="D175" s="820">
        <f>IF(Summary!$O$109=0,CALC!HE187,0)</f>
        <v>20950.521525</v>
      </c>
      <c r="E175" s="820">
        <f>SUM(CALC!GU187:HB187)*CALC!CY187/1000</f>
        <v>94577.01489069502</v>
      </c>
      <c r="F175" s="1481">
        <f>Summary!$J$54</f>
        <v>0.15</v>
      </c>
      <c r="G175" s="1483">
        <f>VLOOKUP(A175,CURVES!AW176:$BS$283,16)</f>
        <v>3.3648840530978883</v>
      </c>
      <c r="H175" s="1481">
        <f>Summary!$J$60</f>
        <v>0.04</v>
      </c>
      <c r="I175" s="17">
        <f>Summary!$J$55</f>
        <v>8.5</v>
      </c>
      <c r="J175" s="1483">
        <f t="shared" si="27"/>
        <v>30.216514451332049</v>
      </c>
      <c r="K175" s="1481">
        <f>Summary!$J$56</f>
        <v>3.75</v>
      </c>
      <c r="L175">
        <f>Summary!$O$23</f>
        <v>3.75</v>
      </c>
      <c r="M175" s="1481">
        <f>Summary!$J$57</f>
        <v>1.75</v>
      </c>
      <c r="N175" s="1483">
        <f t="shared" si="21"/>
        <v>8.7275180120505773</v>
      </c>
      <c r="O175" s="1481">
        <f t="shared" si="22"/>
        <v>0</v>
      </c>
      <c r="P175" s="1481">
        <f t="shared" si="23"/>
        <v>0</v>
      </c>
      <c r="Q175" s="1483">
        <f>IF(A175&lt;=Summary!$J$61,0.5*(P175),$Q$2*(P175))</f>
        <v>0</v>
      </c>
      <c r="R175" s="1481">
        <f>Summary!$J$58</f>
        <v>0.5</v>
      </c>
      <c r="S175" s="1481">
        <f t="shared" si="24"/>
        <v>38.216514451332046</v>
      </c>
      <c r="T175" s="1487">
        <f t="shared" si="25"/>
        <v>15241.881771290904</v>
      </c>
      <c r="U175" s="45">
        <f>Summary!$J$59</f>
        <v>0.12104878144800001</v>
      </c>
      <c r="V175" s="1487">
        <f>IF(A175&lt;=Summary!$J$61,(0.2*T175)+(R175*D175),(U175*T175)+(R175*D175))</f>
        <v>12320.271977889248</v>
      </c>
      <c r="W175" s="1536">
        <f t="shared" si="26"/>
        <v>815897.79039439652</v>
      </c>
    </row>
    <row r="176" spans="1:23">
      <c r="A176" s="18">
        <v>41730</v>
      </c>
      <c r="B176" s="20">
        <f t="shared" si="19"/>
        <v>2014</v>
      </c>
      <c r="C176" s="1483">
        <f>CALC!HH188</f>
        <v>38.973975804261485</v>
      </c>
      <c r="D176" s="820">
        <f>IF(Summary!$O$109=0,CALC!HE188,0)</f>
        <v>20274.698249999998</v>
      </c>
      <c r="E176" s="820">
        <f>SUM(CALC!GU188:HB188)*CALC!CY188/1000</f>
        <v>91541.524619157106</v>
      </c>
      <c r="F176" s="1481">
        <f>Summary!$J$54</f>
        <v>0.15</v>
      </c>
      <c r="G176" s="1483">
        <f>VLOOKUP(A176,CURVES!AW177:$BS$283,16)</f>
        <v>3.263935129407217</v>
      </c>
      <c r="H176" s="1481">
        <f>Summary!$J$60</f>
        <v>0.04</v>
      </c>
      <c r="I176" s="17">
        <f>Summary!$J$55</f>
        <v>8.5</v>
      </c>
      <c r="J176" s="1483">
        <f t="shared" si="27"/>
        <v>29.358448599961342</v>
      </c>
      <c r="K176" s="1481">
        <f>Summary!$J$56</f>
        <v>3.75</v>
      </c>
      <c r="L176">
        <f>Summary!$O$23</f>
        <v>3.75</v>
      </c>
      <c r="M176" s="1481">
        <f>Summary!$J$57</f>
        <v>1.75</v>
      </c>
      <c r="N176" s="1483">
        <f t="shared" si="21"/>
        <v>9.6155272043001432</v>
      </c>
      <c r="O176" s="1481">
        <f t="shared" si="22"/>
        <v>0.36552720430014318</v>
      </c>
      <c r="P176" s="1481">
        <f t="shared" si="23"/>
        <v>7410.9537693515049</v>
      </c>
      <c r="Q176" s="1483">
        <f>IF(A176&lt;=Summary!$J$61,0.5*(P176),$Q$2*(P176))</f>
        <v>0</v>
      </c>
      <c r="R176" s="1481">
        <f>Summary!$J$58</f>
        <v>0.5</v>
      </c>
      <c r="S176" s="1481">
        <f t="shared" si="24"/>
        <v>37.358448599961342</v>
      </c>
      <c r="T176" s="1487">
        <f t="shared" si="25"/>
        <v>32754.326581851503</v>
      </c>
      <c r="U176" s="45">
        <f>Summary!$J$59</f>
        <v>0.12104878144800001</v>
      </c>
      <c r="V176" s="1487">
        <f>IF(A176&lt;=Summary!$J$61,(0.2*T176)+(R176*D176),(U176*T176)+(R176*D176))</f>
        <v>14102.220444882958</v>
      </c>
      <c r="W176" s="1536">
        <f t="shared" si="26"/>
        <v>790185.59903420263</v>
      </c>
    </row>
    <row r="177" spans="1:23">
      <c r="A177" s="18">
        <v>41760</v>
      </c>
      <c r="B177" s="20">
        <f t="shared" si="19"/>
        <v>2014</v>
      </c>
      <c r="C177" s="1483">
        <f>CALC!HH189</f>
        <v>39.215239340553921</v>
      </c>
      <c r="D177" s="820">
        <f>IF(Summary!$O$109=0,CALC!HE189,0)</f>
        <v>22276.503900000003</v>
      </c>
      <c r="E177" s="820">
        <f>SUM(CALC!GU189:HB189)*CALC!CY189/1000</f>
        <v>74041.671643484136</v>
      </c>
      <c r="F177" s="1481">
        <f>Summary!$J$54</f>
        <v>0.15</v>
      </c>
      <c r="G177" s="1483">
        <f>VLOOKUP(A177,CURVES!AW178:$BS$283,16)</f>
        <v>3.2393195403081334</v>
      </c>
      <c r="H177" s="1481">
        <f>Summary!$J$60</f>
        <v>0.04</v>
      </c>
      <c r="I177" s="17">
        <f>Summary!$J$55</f>
        <v>8.5</v>
      </c>
      <c r="J177" s="1483">
        <f t="shared" si="27"/>
        <v>29.149216092619135</v>
      </c>
      <c r="K177" s="1481">
        <f>Summary!$J$56</f>
        <v>3.75</v>
      </c>
      <c r="L177">
        <f>Summary!$O$23</f>
        <v>3.75</v>
      </c>
      <c r="M177" s="1481">
        <f>Summary!$J$57</f>
        <v>1.75</v>
      </c>
      <c r="N177" s="1483">
        <f t="shared" si="21"/>
        <v>10.066023247934787</v>
      </c>
      <c r="O177" s="1481">
        <f t="shared" si="22"/>
        <v>0.81602324793478687</v>
      </c>
      <c r="P177" s="1481">
        <f t="shared" si="23"/>
        <v>18178.145065109948</v>
      </c>
      <c r="Q177" s="1483">
        <f>IF(A177&lt;=Summary!$J$61,0.5*(P177),$Q$2*(P177))</f>
        <v>0</v>
      </c>
      <c r="R177" s="1481">
        <f>Summary!$J$58</f>
        <v>0.5</v>
      </c>
      <c r="S177" s="1481">
        <f t="shared" si="24"/>
        <v>37.149216092619135</v>
      </c>
      <c r="T177" s="1487">
        <f t="shared" si="25"/>
        <v>46023.77494010995</v>
      </c>
      <c r="U177" s="45">
        <f>Summary!$J$59</f>
        <v>0.12104878144800001</v>
      </c>
      <c r="V177" s="1487">
        <f>IF(A177&lt;=Summary!$J$61,(0.2*T177)+(R177*D177),(U177*T177)+(R177*D177))</f>
        <v>16709.37382413731</v>
      </c>
      <c r="W177" s="1536">
        <f t="shared" si="26"/>
        <v>873578.43210928293</v>
      </c>
    </row>
    <row r="178" spans="1:23">
      <c r="A178" s="18">
        <v>41791</v>
      </c>
      <c r="B178" s="20">
        <f t="shared" si="19"/>
        <v>2014</v>
      </c>
      <c r="C178" s="1483">
        <f>CALC!HH190</f>
        <v>42.522254480519905</v>
      </c>
      <c r="D178" s="820">
        <f>IF(Summary!$O$109=0,CALC!HE190,0)</f>
        <v>21557.906999999999</v>
      </c>
      <c r="E178" s="820">
        <f>SUM(CALC!GU190:HB190)*CALC!CY190/1000</f>
        <v>71665.268065243217</v>
      </c>
      <c r="F178" s="1481">
        <f>Summary!$J$54</f>
        <v>0.15</v>
      </c>
      <c r="G178" s="1483">
        <f>VLOOKUP(A178,CURVES!AW179:$BS$283,16)</f>
        <v>3.2784486502320576</v>
      </c>
      <c r="H178" s="1481">
        <f>Summary!$J$60</f>
        <v>0.04</v>
      </c>
      <c r="I178" s="17">
        <f>Summary!$J$55</f>
        <v>8.5</v>
      </c>
      <c r="J178" s="1483">
        <f t="shared" si="27"/>
        <v>29.481813526972488</v>
      </c>
      <c r="K178" s="1481">
        <f>Summary!$J$56</f>
        <v>3.75</v>
      </c>
      <c r="L178">
        <f>Summary!$O$23</f>
        <v>3.75</v>
      </c>
      <c r="M178" s="1481">
        <f>Summary!$J$57</f>
        <v>1.75</v>
      </c>
      <c r="N178" s="1483">
        <f t="shared" si="21"/>
        <v>13.040440953547417</v>
      </c>
      <c r="O178" s="1481">
        <f t="shared" si="22"/>
        <v>3.7904409535474173</v>
      </c>
      <c r="P178" s="1481">
        <f t="shared" si="23"/>
        <v>81713.973565566543</v>
      </c>
      <c r="Q178" s="1483">
        <f>IF(A178&lt;=Summary!$J$61,0.5*(P178),$Q$2*(P178))</f>
        <v>0</v>
      </c>
      <c r="R178" s="1481">
        <f>Summary!$J$58</f>
        <v>0.5</v>
      </c>
      <c r="S178" s="1481">
        <f t="shared" si="24"/>
        <v>37.481813526972488</v>
      </c>
      <c r="T178" s="1487">
        <f t="shared" si="25"/>
        <v>108661.35731556654</v>
      </c>
      <c r="U178" s="45">
        <f>Summary!$J$59</f>
        <v>0.12104878144800001</v>
      </c>
      <c r="V178" s="1487">
        <f>IF(A178&lt;=Summary!$J$61,(0.2*T178)+(R178*D178),(U178*T178)+(R178*D178))</f>
        <v>23932.278393535053</v>
      </c>
      <c r="W178" s="1536">
        <f t="shared" si="26"/>
        <v>916690.80752138142</v>
      </c>
    </row>
    <row r="179" spans="1:23">
      <c r="A179" s="18">
        <v>41821</v>
      </c>
      <c r="B179" s="20">
        <f t="shared" si="19"/>
        <v>2014</v>
      </c>
      <c r="C179" s="1483">
        <f>CALC!HH191</f>
        <v>57.712931371353925</v>
      </c>
      <c r="D179" s="820">
        <f>IF(Summary!$O$109=0,CALC!HE191,0)</f>
        <v>22276.5039</v>
      </c>
      <c r="E179" s="820">
        <f>SUM(CALC!GU191:HB191)*CALC!CY191/1000</f>
        <v>74066.54902468517</v>
      </c>
      <c r="F179" s="1481">
        <f>Summary!$J$54</f>
        <v>0.15</v>
      </c>
      <c r="G179" s="1483">
        <f>VLOOKUP(A179,CURVES!AW180:$BS$283,16)</f>
        <v>3.3679374808947613</v>
      </c>
      <c r="H179" s="1481">
        <f>Summary!$J$60</f>
        <v>0.04</v>
      </c>
      <c r="I179" s="17">
        <f>Summary!$J$55</f>
        <v>8.5</v>
      </c>
      <c r="J179" s="1483">
        <f t="shared" si="27"/>
        <v>30.242468587605472</v>
      </c>
      <c r="K179" s="1481">
        <f>Summary!$J$56</f>
        <v>3.75</v>
      </c>
      <c r="L179">
        <f>Summary!$O$23</f>
        <v>3.75</v>
      </c>
      <c r="M179" s="1481">
        <f>Summary!$J$57</f>
        <v>1.75</v>
      </c>
      <c r="N179" s="1483">
        <f t="shared" si="21"/>
        <v>27.470462783748452</v>
      </c>
      <c r="O179" s="1481">
        <f t="shared" si="22"/>
        <v>18.220462783748452</v>
      </c>
      <c r="P179" s="1481">
        <f t="shared" si="23"/>
        <v>405888.21026197728</v>
      </c>
      <c r="Q179" s="1483">
        <f>IF(A179&lt;=Summary!$J$61,0.5*(P179),$Q$2*(P179))</f>
        <v>0</v>
      </c>
      <c r="R179" s="1481">
        <f>Summary!$J$58</f>
        <v>0.5</v>
      </c>
      <c r="S179" s="1481">
        <f t="shared" si="24"/>
        <v>38.242468587605472</v>
      </c>
      <c r="T179" s="1487">
        <f t="shared" si="25"/>
        <v>433733.84013697726</v>
      </c>
      <c r="U179" s="45">
        <f>Summary!$J$59</f>
        <v>0.12104878144800001</v>
      </c>
      <c r="V179" s="1487">
        <f>IF(A179&lt;=Summary!$J$61,(0.2*T179)+(R179*D179),(U179*T179)+(R179*D179))</f>
        <v>63641.204771342731</v>
      </c>
      <c r="W179" s="1536">
        <f t="shared" si="26"/>
        <v>1285642.3407743981</v>
      </c>
    </row>
    <row r="180" spans="1:23">
      <c r="A180" s="18">
        <v>41852</v>
      </c>
      <c r="B180" s="20">
        <f t="shared" si="19"/>
        <v>2014</v>
      </c>
      <c r="C180" s="1483">
        <f>CALC!HH192</f>
        <v>67.782018873550584</v>
      </c>
      <c r="D180" s="820">
        <f>IF(Summary!$O$109=0,CALC!HE192,0)</f>
        <v>22276.503900000003</v>
      </c>
      <c r="E180" s="820">
        <f>SUM(CALC!GU192:HB192)*CALC!CY192/1000</f>
        <v>74078.987715285708</v>
      </c>
      <c r="F180" s="1481">
        <f>Summary!$J$54</f>
        <v>0.15</v>
      </c>
      <c r="G180" s="1483">
        <f>VLOOKUP(A180,CURVES!AW181:$BS$283,16)</f>
        <v>3.4950302062269887</v>
      </c>
      <c r="H180" s="1481">
        <f>Summary!$J$60</f>
        <v>0.04</v>
      </c>
      <c r="I180" s="17">
        <f>Summary!$J$55</f>
        <v>8.5</v>
      </c>
      <c r="J180" s="1483">
        <f t="shared" si="27"/>
        <v>31.322756752929404</v>
      </c>
      <c r="K180" s="1481">
        <f>Summary!$J$56</f>
        <v>3.75</v>
      </c>
      <c r="L180">
        <f>Summary!$O$23</f>
        <v>3.75</v>
      </c>
      <c r="M180" s="1481">
        <f>Summary!$J$57</f>
        <v>1.75</v>
      </c>
      <c r="N180" s="1483">
        <f t="shared" si="21"/>
        <v>36.459262120621176</v>
      </c>
      <c r="O180" s="1481">
        <f t="shared" si="22"/>
        <v>27.209262120621176</v>
      </c>
      <c r="P180" s="1481">
        <f t="shared" si="23"/>
        <v>606127.23374614003</v>
      </c>
      <c r="Q180" s="1483">
        <f>IF(A180&lt;=Summary!$J$61,0.5*(P180),$Q$2*(P180))</f>
        <v>0</v>
      </c>
      <c r="R180" s="1481">
        <f>Summary!$J$58</f>
        <v>0.5</v>
      </c>
      <c r="S180" s="1481">
        <f t="shared" si="24"/>
        <v>39.322756752929408</v>
      </c>
      <c r="T180" s="1487">
        <f t="shared" si="25"/>
        <v>633972.86362114002</v>
      </c>
      <c r="U180" s="45">
        <f>Summary!$J$59</f>
        <v>0.12104878144800001</v>
      </c>
      <c r="V180" s="1487">
        <f>IF(A180&lt;=Summary!$J$61,(0.2*T180)+(R180*D180),(U180*T180)+(R180*D180))</f>
        <v>87879.894562438101</v>
      </c>
      <c r="W180" s="1536">
        <f t="shared" si="26"/>
        <v>1509946.4077865235</v>
      </c>
    </row>
    <row r="181" spans="1:23">
      <c r="A181" s="18">
        <v>41883</v>
      </c>
      <c r="B181" s="20">
        <f t="shared" si="19"/>
        <v>2014</v>
      </c>
      <c r="C181" s="1483">
        <f>CALC!HH193</f>
        <v>61.104894413147484</v>
      </c>
      <c r="D181" s="820">
        <f>IF(Summary!$O$109=0,CALC!HE193,0)</f>
        <v>21557.906999999999</v>
      </c>
      <c r="E181" s="820">
        <f>SUM(CALC!GU193:HB193)*CALC!CY193/1000</f>
        <v>71701.380392793129</v>
      </c>
      <c r="F181" s="1481">
        <f>Summary!$J$54</f>
        <v>0.15</v>
      </c>
      <c r="G181" s="1483">
        <f>VLOOKUP(A181,CURVES!AW182:$BS$283,16)</f>
        <v>3.646346562587456</v>
      </c>
      <c r="H181" s="1481">
        <f>Summary!$J$60</f>
        <v>0.04</v>
      </c>
      <c r="I181" s="17">
        <f>Summary!$J$55</f>
        <v>8.5</v>
      </c>
      <c r="J181" s="1483">
        <f t="shared" si="27"/>
        <v>32.608945781993377</v>
      </c>
      <c r="K181" s="1481">
        <f>Summary!$J$56</f>
        <v>3.75</v>
      </c>
      <c r="L181">
        <f>Summary!$O$23</f>
        <v>3.75</v>
      </c>
      <c r="M181" s="1481">
        <f>Summary!$J$57</f>
        <v>1.75</v>
      </c>
      <c r="N181" s="1483">
        <f t="shared" si="21"/>
        <v>28.495948631154107</v>
      </c>
      <c r="O181" s="1481">
        <f t="shared" si="22"/>
        <v>19.245948631154107</v>
      </c>
      <c r="P181" s="1481">
        <f t="shared" si="23"/>
        <v>414902.37071719754</v>
      </c>
      <c r="Q181" s="1483">
        <f>IF(A181&lt;=Summary!$J$61,0.5*(P181),$Q$2*(P181))</f>
        <v>0</v>
      </c>
      <c r="R181" s="1481">
        <f>Summary!$J$58</f>
        <v>0.5</v>
      </c>
      <c r="S181" s="1481">
        <f t="shared" si="24"/>
        <v>40.608945781993377</v>
      </c>
      <c r="T181" s="1487">
        <f t="shared" si="25"/>
        <v>441849.75446719752</v>
      </c>
      <c r="U181" s="45">
        <f>Summary!$J$59</f>
        <v>0.12104878144800001</v>
      </c>
      <c r="V181" s="1487">
        <f>IF(A181&lt;=Summary!$J$61,(0.2*T181)+(R181*D181),(U181*T181)+(R181*D181))</f>
        <v>64264.327861352256</v>
      </c>
      <c r="W181" s="1536">
        <f t="shared" si="26"/>
        <v>1317293.6310034529</v>
      </c>
    </row>
    <row r="182" spans="1:23">
      <c r="A182" s="18">
        <v>41913</v>
      </c>
      <c r="B182" s="20">
        <f t="shared" si="19"/>
        <v>2014</v>
      </c>
      <c r="C182" s="1483">
        <f>CALC!HH194</f>
        <v>52.572337788703457</v>
      </c>
      <c r="D182" s="820">
        <f>IF(Summary!$O$109=0,CALC!HE194,0)</f>
        <v>20950.521524999996</v>
      </c>
      <c r="E182" s="820">
        <f>SUM(CALC!GU194:HB194)*CALC!CY194/1000</f>
        <v>94688.272067733065</v>
      </c>
      <c r="F182" s="1481">
        <f>Summary!$J$54</f>
        <v>0.15</v>
      </c>
      <c r="G182" s="1483">
        <f>VLOOKUP(A182,CURVES!AW183:$BS$283,16)</f>
        <v>3.8083880772885825</v>
      </c>
      <c r="H182" s="1481">
        <f>Summary!$J$60</f>
        <v>0.04</v>
      </c>
      <c r="I182" s="17">
        <f>Summary!$J$55</f>
        <v>8.5</v>
      </c>
      <c r="J182" s="1483">
        <f t="shared" si="27"/>
        <v>33.986298656952954</v>
      </c>
      <c r="K182" s="1481">
        <f>Summary!$J$56</f>
        <v>3.75</v>
      </c>
      <c r="L182">
        <f>Summary!$O$23</f>
        <v>3.75</v>
      </c>
      <c r="M182" s="1481">
        <f>Summary!$J$57</f>
        <v>1.75</v>
      </c>
      <c r="N182" s="1483">
        <f t="shared" si="21"/>
        <v>18.586039131750503</v>
      </c>
      <c r="O182" s="1481">
        <f t="shared" si="22"/>
        <v>9.3360391317505034</v>
      </c>
      <c r="P182" s="1481">
        <f t="shared" si="23"/>
        <v>195594.88878798121</v>
      </c>
      <c r="Q182" s="1483">
        <f>IF(A182&lt;=Summary!$J$61,0.5*(P182),$Q$2*(P182))</f>
        <v>0</v>
      </c>
      <c r="R182" s="1481">
        <f>Summary!$J$58</f>
        <v>0.5</v>
      </c>
      <c r="S182" s="1481">
        <f t="shared" si="24"/>
        <v>41.986298656952954</v>
      </c>
      <c r="T182" s="1487">
        <f t="shared" si="25"/>
        <v>221783.0406942312</v>
      </c>
      <c r="U182" s="45">
        <f>Summary!$J$59</f>
        <v>0.12104878144800001</v>
      </c>
      <c r="V182" s="1487">
        <f>IF(A182&lt;=Summary!$J$61,(0.2*T182)+(R182*D182),(U182*T182)+(R182*D182))</f>
        <v>37321.827584368883</v>
      </c>
      <c r="W182" s="1536">
        <f t="shared" si="26"/>
        <v>1101417.8944618024</v>
      </c>
    </row>
    <row r="183" spans="1:23">
      <c r="A183" s="18">
        <v>41944</v>
      </c>
      <c r="B183" s="20">
        <f t="shared" si="19"/>
        <v>2014</v>
      </c>
      <c r="C183" s="1483">
        <f>CALC!HH195</f>
        <v>53.252125178481428</v>
      </c>
      <c r="D183" s="820">
        <f>IF(Summary!$O$109=0,CALC!HE195,0)</f>
        <v>20274.698249999998</v>
      </c>
      <c r="E183" s="820">
        <f>SUM(CALC!GU195:HB195)*CALC!CY195/1000</f>
        <v>91649.192855000394</v>
      </c>
      <c r="F183" s="1481">
        <f>Summary!$J$54</f>
        <v>0.15</v>
      </c>
      <c r="G183" s="1483">
        <f>VLOOKUP(A183,CURVES!AW184:$BS$283,16)</f>
        <v>3.9681772207500905</v>
      </c>
      <c r="H183" s="1481">
        <f>Summary!$J$60</f>
        <v>0.04</v>
      </c>
      <c r="I183" s="17">
        <f>Summary!$J$55</f>
        <v>8.5</v>
      </c>
      <c r="J183" s="1483">
        <f t="shared" si="27"/>
        <v>35.344506376375769</v>
      </c>
      <c r="K183" s="1481">
        <f>Summary!$J$56</f>
        <v>3.75</v>
      </c>
      <c r="L183">
        <f>Summary!$O$23</f>
        <v>3.75</v>
      </c>
      <c r="M183" s="1481">
        <f>Summary!$J$57</f>
        <v>1.75</v>
      </c>
      <c r="N183" s="1483">
        <f t="shared" si="21"/>
        <v>17.907618802105659</v>
      </c>
      <c r="O183" s="1481">
        <f t="shared" si="22"/>
        <v>8.6576188021056595</v>
      </c>
      <c r="P183" s="1481">
        <f t="shared" si="23"/>
        <v>175530.60877621869</v>
      </c>
      <c r="Q183" s="1483">
        <f>IF(A183&lt;=Summary!$J$61,0.5*(P183),$Q$2*(P183))</f>
        <v>0</v>
      </c>
      <c r="R183" s="1481">
        <f>Summary!$J$58</f>
        <v>0.5</v>
      </c>
      <c r="S183" s="1481">
        <f t="shared" si="24"/>
        <v>43.344506376375769</v>
      </c>
      <c r="T183" s="1487">
        <f t="shared" si="25"/>
        <v>200873.98158871869</v>
      </c>
      <c r="U183" s="45">
        <f>Summary!$J$59</f>
        <v>0.12104878144800001</v>
      </c>
      <c r="V183" s="1487">
        <f>IF(A183&lt;=Summary!$J$61,(0.2*T183)+(R183*D183),(U183*T183)+(R183*D183))</f>
        <v>34452.899820922386</v>
      </c>
      <c r="W183" s="1536">
        <f t="shared" si="26"/>
        <v>1079670.7691649382</v>
      </c>
    </row>
    <row r="184" spans="1:23">
      <c r="A184" s="18">
        <v>41974</v>
      </c>
      <c r="B184" s="20">
        <f t="shared" si="19"/>
        <v>2014</v>
      </c>
      <c r="C184" s="1483">
        <f>CALC!HH196</f>
        <v>51.314126682374543</v>
      </c>
      <c r="D184" s="820">
        <f>IF(Summary!$O$109=0,CALC!HE196,0)</f>
        <v>20950.521524999996</v>
      </c>
      <c r="E184" s="820">
        <f>SUM(CALC!GU196:HB196)*CALC!CY196/1000</f>
        <v>94720.05983260108</v>
      </c>
      <c r="F184" s="1481">
        <f>Summary!$J$54</f>
        <v>0.15</v>
      </c>
      <c r="G184" s="1483">
        <f>VLOOKUP(A184,CURVES!AW185:$BS$283,16)</f>
        <v>4.1369640407555268</v>
      </c>
      <c r="H184" s="1481">
        <f>Summary!$J$60</f>
        <v>0.04</v>
      </c>
      <c r="I184" s="17">
        <f>Summary!$J$55</f>
        <v>8.5</v>
      </c>
      <c r="J184" s="1483">
        <f t="shared" si="27"/>
        <v>36.779194346421981</v>
      </c>
      <c r="K184" s="1481">
        <f>Summary!$J$56</f>
        <v>3.75</v>
      </c>
      <c r="L184">
        <f>Summary!$O$23</f>
        <v>3.75</v>
      </c>
      <c r="M184" s="1481">
        <f>Summary!$J$57</f>
        <v>1.75</v>
      </c>
      <c r="N184" s="1483">
        <f t="shared" si="21"/>
        <v>14.534932335952561</v>
      </c>
      <c r="O184" s="1481">
        <f t="shared" si="22"/>
        <v>5.2849323359525613</v>
      </c>
      <c r="P184" s="1481">
        <f t="shared" si="23"/>
        <v>110722.08866254265</v>
      </c>
      <c r="Q184" s="1483">
        <f>IF(A184&lt;=Summary!$J$61,0.5*(P184),$Q$2*(P184))</f>
        <v>0</v>
      </c>
      <c r="R184" s="1481">
        <f>Summary!$J$58</f>
        <v>0.5</v>
      </c>
      <c r="S184" s="1481">
        <f t="shared" si="24"/>
        <v>44.779194346421981</v>
      </c>
      <c r="T184" s="1487">
        <f t="shared" si="25"/>
        <v>136910.24056879265</v>
      </c>
      <c r="U184" s="45">
        <f>Summary!$J$59</f>
        <v>0.12104878144800001</v>
      </c>
      <c r="V184" s="1487">
        <f>IF(A184&lt;=Summary!$J$61,(0.2*T184)+(R184*D184),(U184*T184)+(R184*D184))</f>
        <v>27048.078551104885</v>
      </c>
      <c r="W184" s="1536">
        <f t="shared" si="26"/>
        <v>1075057.7155956645</v>
      </c>
    </row>
    <row r="185" spans="1:23">
      <c r="A185" s="18">
        <v>42005</v>
      </c>
      <c r="B185" s="20">
        <f t="shared" si="19"/>
        <v>2015</v>
      </c>
      <c r="C185" s="1483">
        <f>CALC!HH197</f>
        <v>50.987071214169269</v>
      </c>
      <c r="D185" s="820">
        <f>IF(Summary!$O$109=0,CALC!HE197,0)</f>
        <v>20950.521525</v>
      </c>
      <c r="E185" s="820">
        <f>SUM(CALC!GU197:HB197)*CALC!CY197/1000</f>
        <v>94735.953715035095</v>
      </c>
      <c r="F185" s="1481">
        <f>Summary!$J$54</f>
        <v>0.15</v>
      </c>
      <c r="G185" s="1483">
        <f>VLOOKUP(A185,CURVES!AW186:$BS$283,16)</f>
        <v>3.917762044991262</v>
      </c>
      <c r="H185" s="1481">
        <f>Summary!$J$60</f>
        <v>0.04</v>
      </c>
      <c r="I185" s="17">
        <f>Summary!$J$55</f>
        <v>8.5</v>
      </c>
      <c r="J185" s="1483">
        <f t="shared" si="27"/>
        <v>34.91597738242573</v>
      </c>
      <c r="K185" s="1481">
        <f>Summary!$J$56</f>
        <v>3.75</v>
      </c>
      <c r="L185">
        <f>Summary!$O$23</f>
        <v>3.75</v>
      </c>
      <c r="M185" s="1481">
        <f>Summary!$J$57</f>
        <v>1.75</v>
      </c>
      <c r="N185" s="1483">
        <f t="shared" si="21"/>
        <v>16.071093831743539</v>
      </c>
      <c r="O185" s="1481">
        <f t="shared" si="22"/>
        <v>6.8210938317435392</v>
      </c>
      <c r="P185" s="1481">
        <f t="shared" si="23"/>
        <v>142905.47314598775</v>
      </c>
      <c r="Q185" s="1483">
        <f>IF(A185&lt;=Summary!$J$61,0.5*(P185),$Q$2*(P185))</f>
        <v>0</v>
      </c>
      <c r="R185" s="1481">
        <f>Summary!$J$58</f>
        <v>0.5</v>
      </c>
      <c r="S185" s="1481">
        <f t="shared" si="24"/>
        <v>42.91597738242573</v>
      </c>
      <c r="T185" s="1487">
        <f t="shared" si="25"/>
        <v>169093.62505223774</v>
      </c>
      <c r="U185" s="45">
        <f>Summary!$J$59</f>
        <v>0.12104878144800001</v>
      </c>
      <c r="V185" s="1487">
        <f>IF(A185&lt;=Summary!$J$61,(0.2*T185)+(R185*D185),(U185*T185)+(R185*D185))</f>
        <v>30943.838025698387</v>
      </c>
      <c r="W185" s="1536">
        <f t="shared" si="26"/>
        <v>1068205.7329691611</v>
      </c>
    </row>
    <row r="186" spans="1:23">
      <c r="A186" s="18">
        <v>42036</v>
      </c>
      <c r="B186" s="20">
        <f t="shared" si="19"/>
        <v>2015</v>
      </c>
      <c r="C186" s="1483">
        <f>CALC!HH198</f>
        <v>42.771892766779992</v>
      </c>
      <c r="D186" s="820">
        <f>IF(Summary!$O$109=0,CALC!HE198,0)</f>
        <v>18923.051699999996</v>
      </c>
      <c r="E186" s="820">
        <f>SUM(CALC!GU198:HB198)*CALC!CY198/1000</f>
        <v>85582.313959004343</v>
      </c>
      <c r="F186" s="1481">
        <f>Summary!$J$54</f>
        <v>0.15</v>
      </c>
      <c r="G186" s="1483">
        <f>VLOOKUP(A186,CURVES!AW187:$BS$283,16)</f>
        <v>3.6185125414141934</v>
      </c>
      <c r="H186" s="1481">
        <f>Summary!$J$60</f>
        <v>0.04</v>
      </c>
      <c r="I186" s="17">
        <f>Summary!$J$55</f>
        <v>8.5</v>
      </c>
      <c r="J186" s="1483">
        <f t="shared" si="27"/>
        <v>32.372356602020645</v>
      </c>
      <c r="K186" s="1481">
        <f>Summary!$J$56</f>
        <v>3.75</v>
      </c>
      <c r="L186">
        <f>Summary!$O$23</f>
        <v>3.75</v>
      </c>
      <c r="M186" s="1481">
        <f>Summary!$J$57</f>
        <v>1.75</v>
      </c>
      <c r="N186" s="1483">
        <f t="shared" si="21"/>
        <v>10.399536164759347</v>
      </c>
      <c r="O186" s="1481">
        <f t="shared" si="22"/>
        <v>1.1495361647593469</v>
      </c>
      <c r="P186" s="1481">
        <f t="shared" si="23"/>
        <v>21752.732276760835</v>
      </c>
      <c r="Q186" s="1483">
        <f>IF(A186&lt;=Summary!$J$61,0.5*(P186),$Q$2*(P186))</f>
        <v>0</v>
      </c>
      <c r="R186" s="1481">
        <f>Summary!$J$58</f>
        <v>0.5</v>
      </c>
      <c r="S186" s="1481">
        <f t="shared" si="24"/>
        <v>40.372356602020645</v>
      </c>
      <c r="T186" s="1487">
        <f t="shared" si="25"/>
        <v>45406.546901760834</v>
      </c>
      <c r="U186" s="45">
        <f>Summary!$J$59</f>
        <v>0.12104878144800001</v>
      </c>
      <c r="V186" s="1487">
        <f>IF(A186&lt;=Summary!$J$61,(0.2*T186)+(R186*D186),(U186*T186)+(R186*D186))</f>
        <v>14957.933022219608</v>
      </c>
      <c r="W186" s="1536">
        <f t="shared" si="26"/>
        <v>809374.73813263362</v>
      </c>
    </row>
    <row r="187" spans="1:23">
      <c r="A187" s="18">
        <v>42064</v>
      </c>
      <c r="B187" s="20">
        <f t="shared" si="19"/>
        <v>2015</v>
      </c>
      <c r="C187" s="1483">
        <f>CALC!HH199</f>
        <v>41.263013658007104</v>
      </c>
      <c r="D187" s="820">
        <f>IF(Summary!$O$109=0,CALC!HE199,0)</f>
        <v>20950.521524999996</v>
      </c>
      <c r="E187" s="820">
        <f>SUM(CALC!GU199:HB199)*CALC!CY199/1000</f>
        <v>94767.741479903096</v>
      </c>
      <c r="F187" s="1481">
        <f>Summary!$J$54</f>
        <v>0.15</v>
      </c>
      <c r="G187" s="1483">
        <f>VLOOKUP(A187,CURVES!AW188:$BS$283,16)</f>
        <v>3.4242583279100214</v>
      </c>
      <c r="H187" s="1481">
        <f>Summary!$J$60</f>
        <v>0.04</v>
      </c>
      <c r="I187" s="17">
        <f>Summary!$J$55</f>
        <v>8.5</v>
      </c>
      <c r="J187" s="1483">
        <f t="shared" si="27"/>
        <v>30.721195787235182</v>
      </c>
      <c r="K187" s="1481">
        <f>Summary!$J$56</f>
        <v>3.75</v>
      </c>
      <c r="L187">
        <f>Summary!$O$23</f>
        <v>3.75</v>
      </c>
      <c r="M187" s="1481">
        <f>Summary!$J$57</f>
        <v>1.75</v>
      </c>
      <c r="N187" s="1483">
        <f t="shared" si="21"/>
        <v>10.541817870771922</v>
      </c>
      <c r="O187" s="1481">
        <f t="shared" si="22"/>
        <v>1.2918178707719221</v>
      </c>
      <c r="P187" s="1481">
        <f t="shared" si="23"/>
        <v>27064.258107986818</v>
      </c>
      <c r="Q187" s="1483">
        <f>IF(A187&lt;=Summary!$J$61,0.5*(P187),$Q$2*(P187))</f>
        <v>0</v>
      </c>
      <c r="R187" s="1481">
        <f>Summary!$J$58</f>
        <v>0.5</v>
      </c>
      <c r="S187" s="1481">
        <f t="shared" si="24"/>
        <v>38.721195787235182</v>
      </c>
      <c r="T187" s="1487">
        <f t="shared" si="25"/>
        <v>53252.410014236812</v>
      </c>
      <c r="U187" s="45">
        <f>Summary!$J$59</f>
        <v>0.12104878144800001</v>
      </c>
      <c r="V187" s="1487">
        <f>IF(A187&lt;=Summary!$J$61,(0.2*T187)+(R187*D187),(U187*T187)+(R187*D187))</f>
        <v>16921.400103892636</v>
      </c>
      <c r="W187" s="1536">
        <f t="shared" si="26"/>
        <v>864481.65582844662</v>
      </c>
    </row>
    <row r="188" spans="1:23">
      <c r="A188" s="18">
        <v>42095</v>
      </c>
      <c r="B188" s="20">
        <f t="shared" si="19"/>
        <v>2015</v>
      </c>
      <c r="C188" s="1483">
        <f>CALC!HH200</f>
        <v>39.16375064243126</v>
      </c>
      <c r="D188" s="820">
        <f>IF(Summary!$O$109=0,CALC!HE200,0)</f>
        <v>20274.698249999998</v>
      </c>
      <c r="E188" s="820">
        <f>SUM(CALC!GU200:HB200)*CALC!CY200/1000</f>
        <v>91726.098737745604</v>
      </c>
      <c r="F188" s="1481">
        <f>Summary!$J$54</f>
        <v>0.15</v>
      </c>
      <c r="G188" s="1483">
        <f>VLOOKUP(A188,CURVES!AW189:$BS$283,16)</f>
        <v>3.3215281335893314</v>
      </c>
      <c r="H188" s="1481">
        <f>Summary!$J$60</f>
        <v>0.04</v>
      </c>
      <c r="I188" s="17">
        <f>Summary!$J$55</f>
        <v>8.5</v>
      </c>
      <c r="J188" s="1483">
        <f t="shared" si="27"/>
        <v>29.847989135509316</v>
      </c>
      <c r="K188" s="1481">
        <f>Summary!$J$56</f>
        <v>3.75</v>
      </c>
      <c r="L188">
        <f>Summary!$O$23</f>
        <v>3.75</v>
      </c>
      <c r="M188" s="1481">
        <f>Summary!$J$57</f>
        <v>1.75</v>
      </c>
      <c r="N188" s="1483">
        <f t="shared" si="21"/>
        <v>9.3157615069219446</v>
      </c>
      <c r="O188" s="1481">
        <f t="shared" si="22"/>
        <v>6.5761506921944601E-2</v>
      </c>
      <c r="P188" s="1481">
        <f t="shared" si="23"/>
        <v>1333.294709307713</v>
      </c>
      <c r="Q188" s="1483">
        <f>IF(A188&lt;=Summary!$J$61,0.5*(P188),$Q$2*(P188))</f>
        <v>0</v>
      </c>
      <c r="R188" s="1481">
        <f>Summary!$J$58</f>
        <v>0.5</v>
      </c>
      <c r="S188" s="1481">
        <f t="shared" si="24"/>
        <v>37.847989135509316</v>
      </c>
      <c r="T188" s="1487">
        <f t="shared" si="25"/>
        <v>26676.667521807711</v>
      </c>
      <c r="U188" s="45">
        <f>Summary!$J$59</f>
        <v>0.12104878144800001</v>
      </c>
      <c r="V188" s="1487">
        <f>IF(A188&lt;=Summary!$J$61,(0.2*T188)+(R188*D188),(U188*T188)+(R188*D188))</f>
        <v>13366.527221608259</v>
      </c>
      <c r="W188" s="1536">
        <f t="shared" si="26"/>
        <v>794033.22661353741</v>
      </c>
    </row>
    <row r="189" spans="1:23">
      <c r="A189" s="18">
        <v>42125</v>
      </c>
      <c r="B189" s="20">
        <f t="shared" si="19"/>
        <v>2015</v>
      </c>
      <c r="C189" s="1483">
        <f>CALC!HH201</f>
        <v>41.348336272343623</v>
      </c>
      <c r="D189" s="820">
        <f>IF(Summary!$O$109=0,CALC!HE201,0)</f>
        <v>22276.503900000003</v>
      </c>
      <c r="E189" s="820">
        <f>SUM(CALC!GU201:HB201)*CALC!CY201/1000</f>
        <v>74190.935930690466</v>
      </c>
      <c r="F189" s="1481">
        <f>Summary!$J$54</f>
        <v>0.15</v>
      </c>
      <c r="G189" s="1483">
        <f>VLOOKUP(A189,CURVES!AW190:$BS$283,16)</f>
        <v>3.2964781958681941</v>
      </c>
      <c r="H189" s="1481">
        <f>Summary!$J$60</f>
        <v>0.04</v>
      </c>
      <c r="I189" s="17">
        <f>Summary!$J$55</f>
        <v>8.5</v>
      </c>
      <c r="J189" s="1483">
        <f t="shared" si="27"/>
        <v>29.63506466487965</v>
      </c>
      <c r="K189" s="1481">
        <f>Summary!$J$56</f>
        <v>3.75</v>
      </c>
      <c r="L189">
        <f>Summary!$O$23</f>
        <v>3.75</v>
      </c>
      <c r="M189" s="1481">
        <f>Summary!$J$57</f>
        <v>1.75</v>
      </c>
      <c r="N189" s="1483">
        <f t="shared" si="21"/>
        <v>11.713271607463973</v>
      </c>
      <c r="O189" s="1481">
        <f t="shared" si="22"/>
        <v>2.4632716074639731</v>
      </c>
      <c r="P189" s="1481">
        <f t="shared" si="23"/>
        <v>54873.079570430476</v>
      </c>
      <c r="Q189" s="1483">
        <f>IF(A189&lt;=Summary!$J$61,0.5*(P189),$Q$2*(P189))</f>
        <v>0</v>
      </c>
      <c r="R189" s="1481">
        <f>Summary!$J$58</f>
        <v>0.5</v>
      </c>
      <c r="S189" s="1481">
        <f t="shared" si="24"/>
        <v>37.63506466487965</v>
      </c>
      <c r="T189" s="1487">
        <f t="shared" si="25"/>
        <v>82718.709445430475</v>
      </c>
      <c r="U189" s="45">
        <f>Summary!$J$59</f>
        <v>0.12104878144800001</v>
      </c>
      <c r="V189" s="1487">
        <f>IF(A189&lt;=Summary!$J$61,(0.2*T189)+(R189*D189),(U189*T189)+(R189*D189))</f>
        <v>21151.25093132053</v>
      </c>
      <c r="W189" s="1536">
        <f t="shared" si="26"/>
        <v>921096.37422937434</v>
      </c>
    </row>
    <row r="190" spans="1:23">
      <c r="A190" s="18">
        <v>42156</v>
      </c>
      <c r="B190" s="20">
        <f t="shared" si="19"/>
        <v>2015</v>
      </c>
      <c r="C190" s="1483">
        <f>CALC!HH202</f>
        <v>43.633637597377763</v>
      </c>
      <c r="D190" s="820">
        <f>IF(Summary!$O$109=0,CALC!HE202,0)</f>
        <v>21557.906999999999</v>
      </c>
      <c r="E190" s="820">
        <f>SUM(CALC!GU202:HB202)*CALC!CY202/1000</f>
        <v>71809.71737544288</v>
      </c>
      <c r="F190" s="1481">
        <f>Summary!$J$54</f>
        <v>0.15</v>
      </c>
      <c r="G190" s="1483">
        <f>VLOOKUP(A190,CURVES!AW191:$BS$283,16)</f>
        <v>3.3362977493524668</v>
      </c>
      <c r="H190" s="1481">
        <f>Summary!$J$60</f>
        <v>0.04</v>
      </c>
      <c r="I190" s="17">
        <f>Summary!$J$55</f>
        <v>8.5</v>
      </c>
      <c r="J190" s="1483">
        <f t="shared" si="27"/>
        <v>29.973530869495967</v>
      </c>
      <c r="K190" s="1481">
        <f>Summary!$J$56</f>
        <v>3.75</v>
      </c>
      <c r="L190">
        <f>Summary!$O$23</f>
        <v>3.75</v>
      </c>
      <c r="M190" s="1481">
        <f>Summary!$J$57</f>
        <v>1.75</v>
      </c>
      <c r="N190" s="1483">
        <f t="shared" si="21"/>
        <v>13.660106727881796</v>
      </c>
      <c r="O190" s="1481">
        <f t="shared" si="22"/>
        <v>4.4101067278817965</v>
      </c>
      <c r="P190" s="1481">
        <f t="shared" si="23"/>
        <v>95072.670699750073</v>
      </c>
      <c r="Q190" s="1483">
        <f>IF(A190&lt;=Summary!$J$61,0.5*(P190),$Q$2*(P190))</f>
        <v>0</v>
      </c>
      <c r="R190" s="1481">
        <f>Summary!$J$58</f>
        <v>0.5</v>
      </c>
      <c r="S190" s="1481">
        <f t="shared" si="24"/>
        <v>37.973530869495967</v>
      </c>
      <c r="T190" s="1487">
        <f t="shared" si="25"/>
        <v>122020.05444975007</v>
      </c>
      <c r="U190" s="45">
        <f>Summary!$J$59</f>
        <v>0.12104878144800001</v>
      </c>
      <c r="V190" s="1487">
        <f>IF(A190&lt;=Summary!$J$61,(0.2*T190)+(R190*D190),(U190*T190)+(R190*D190))</f>
        <v>25549.332403360859</v>
      </c>
      <c r="W190" s="1536">
        <f t="shared" si="26"/>
        <v>940649.90139597328</v>
      </c>
    </row>
    <row r="191" spans="1:23">
      <c r="A191" s="18">
        <v>42186</v>
      </c>
      <c r="B191" s="20">
        <f t="shared" si="19"/>
        <v>2015</v>
      </c>
      <c r="C191" s="1483">
        <f>CALC!HH203</f>
        <v>59.021274627900461</v>
      </c>
      <c r="D191" s="820">
        <f>IF(Summary!$O$109=0,CALC!HE203,0)</f>
        <v>22276.5039</v>
      </c>
      <c r="E191" s="820">
        <f>SUM(CALC!GU203:HB203)*CALC!CY203/1000</f>
        <v>74215.813311891499</v>
      </c>
      <c r="F191" s="1481">
        <f>Summary!$J$54</f>
        <v>0.15</v>
      </c>
      <c r="G191" s="1483">
        <f>VLOOKUP(A191,CURVES!AW192:$BS$283,16)</f>
        <v>3.4273656342531589</v>
      </c>
      <c r="H191" s="1481">
        <f>Summary!$J$60</f>
        <v>0.04</v>
      </c>
      <c r="I191" s="17">
        <f>Summary!$J$55</f>
        <v>8.5</v>
      </c>
      <c r="J191" s="1483">
        <f t="shared" si="27"/>
        <v>30.747607891151851</v>
      </c>
      <c r="K191" s="1481">
        <f>Summary!$J$56</f>
        <v>3.75</v>
      </c>
      <c r="L191">
        <f>Summary!$O$23</f>
        <v>3.75</v>
      </c>
      <c r="M191" s="1481">
        <f>Summary!$J$57</f>
        <v>1.75</v>
      </c>
      <c r="N191" s="1483">
        <f t="shared" si="21"/>
        <v>28.273666736748609</v>
      </c>
      <c r="O191" s="1481">
        <f t="shared" si="22"/>
        <v>19.023666736748609</v>
      </c>
      <c r="P191" s="1481">
        <f t="shared" si="23"/>
        <v>423780.78625348065</v>
      </c>
      <c r="Q191" s="1483">
        <f>IF(A191&lt;=Summary!$J$61,0.5*(P191),$Q$2*(P191))</f>
        <v>0</v>
      </c>
      <c r="R191" s="1481">
        <f>Summary!$J$58</f>
        <v>0.5</v>
      </c>
      <c r="S191" s="1481">
        <f t="shared" si="24"/>
        <v>38.747607891151851</v>
      </c>
      <c r="T191" s="1487">
        <f t="shared" si="25"/>
        <v>451626.41612848063</v>
      </c>
      <c r="U191" s="45">
        <f>Summary!$J$59</f>
        <v>0.12104878144800001</v>
      </c>
      <c r="V191" s="1487">
        <f>IF(A191&lt;=Summary!$J$61,(0.2*T191)+(R191*D191),(U191*T191)+(R191*D191))</f>
        <v>65807.079292079958</v>
      </c>
      <c r="W191" s="1536">
        <f t="shared" si="26"/>
        <v>1314787.6544313957</v>
      </c>
    </row>
    <row r="192" spans="1:23">
      <c r="A192" s="18">
        <v>42217</v>
      </c>
      <c r="B192" s="20">
        <f t="shared" si="19"/>
        <v>2015</v>
      </c>
      <c r="C192" s="1483">
        <f>CALC!HH204</f>
        <v>73.009385765110437</v>
      </c>
      <c r="D192" s="820">
        <f>IF(Summary!$O$109=0,CALC!HE204,0)</f>
        <v>22276.503900000003</v>
      </c>
      <c r="E192" s="820">
        <f>SUM(CALC!GU204:HB204)*CALC!CY204/1000</f>
        <v>74228.252002492038</v>
      </c>
      <c r="F192" s="1481">
        <f>Summary!$J$54</f>
        <v>0.15</v>
      </c>
      <c r="G192" s="1483">
        <f>VLOOKUP(A192,CURVES!AW193:$BS$283,16)</f>
        <v>3.5567009445545628</v>
      </c>
      <c r="H192" s="1481">
        <f>Summary!$J$60</f>
        <v>0.04</v>
      </c>
      <c r="I192" s="17">
        <f>Summary!$J$55</f>
        <v>8.5</v>
      </c>
      <c r="J192" s="1483">
        <f t="shared" si="27"/>
        <v>31.846958028713782</v>
      </c>
      <c r="K192" s="1481">
        <f>Summary!$J$56</f>
        <v>3.75</v>
      </c>
      <c r="L192">
        <f>Summary!$O$23</f>
        <v>3.75</v>
      </c>
      <c r="M192" s="1481">
        <f>Summary!$J$57</f>
        <v>1.75</v>
      </c>
      <c r="N192" s="1483">
        <f t="shared" si="21"/>
        <v>41.162427736396651</v>
      </c>
      <c r="O192" s="1481">
        <f t="shared" si="22"/>
        <v>31.912427736396651</v>
      </c>
      <c r="P192" s="1481">
        <f t="shared" si="23"/>
        <v>710897.3209283083</v>
      </c>
      <c r="Q192" s="1483">
        <f>IF(A192&lt;=Summary!$J$61,0.5*(P192),$Q$2*(P192))</f>
        <v>0</v>
      </c>
      <c r="R192" s="1481">
        <f>Summary!$J$58</f>
        <v>0.5</v>
      </c>
      <c r="S192" s="1481">
        <f t="shared" si="24"/>
        <v>39.846958028713786</v>
      </c>
      <c r="T192" s="1487">
        <f t="shared" si="25"/>
        <v>738742.95080330828</v>
      </c>
      <c r="U192" s="45">
        <f>Summary!$J$59</f>
        <v>0.12104878144800001</v>
      </c>
      <c r="V192" s="1487">
        <f>IF(A192&lt;=Summary!$J$61,(0.2*T192)+(R192*D192),(U192*T192)+(R192*D192))</f>
        <v>100562.18594804029</v>
      </c>
      <c r="W192" s="1536">
        <f t="shared" si="26"/>
        <v>1626393.8667330875</v>
      </c>
    </row>
    <row r="193" spans="1:23">
      <c r="A193" s="18">
        <v>42248</v>
      </c>
      <c r="B193" s="20">
        <f t="shared" si="19"/>
        <v>2015</v>
      </c>
      <c r="C193" s="1483">
        <f>CALC!HH205</f>
        <v>63.533807757780096</v>
      </c>
      <c r="D193" s="820">
        <f>IF(Summary!$O$109=0,CALC!HE205,0)</f>
        <v>21557.906999999999</v>
      </c>
      <c r="E193" s="820">
        <f>SUM(CALC!GU205:HB205)*CALC!CY205/1000</f>
        <v>71845.829702992807</v>
      </c>
      <c r="F193" s="1481">
        <f>Summary!$J$54</f>
        <v>0.15</v>
      </c>
      <c r="G193" s="1483">
        <f>VLOOKUP(A193,CURVES!AW194:$BS$283,16)</f>
        <v>3.7106873183017646</v>
      </c>
      <c r="H193" s="1481">
        <f>Summary!$J$60</f>
        <v>0.04</v>
      </c>
      <c r="I193" s="17">
        <f>Summary!$J$55</f>
        <v>8.5</v>
      </c>
      <c r="J193" s="1483">
        <f t="shared" si="27"/>
        <v>33.155842205565001</v>
      </c>
      <c r="K193" s="1481">
        <f>Summary!$J$56</f>
        <v>3.75</v>
      </c>
      <c r="L193">
        <f>Summary!$O$23</f>
        <v>3.75</v>
      </c>
      <c r="M193" s="1481">
        <f>Summary!$J$57</f>
        <v>1.75</v>
      </c>
      <c r="N193" s="1483">
        <f t="shared" si="21"/>
        <v>30.377965552215095</v>
      </c>
      <c r="O193" s="1481">
        <f t="shared" si="22"/>
        <v>21.127965552215095</v>
      </c>
      <c r="P193" s="1481">
        <f t="shared" si="23"/>
        <v>455474.71647385665</v>
      </c>
      <c r="Q193" s="1483">
        <f>IF(A193&lt;=Summary!$J$61,0.5*(P193),$Q$2*(P193))</f>
        <v>0</v>
      </c>
      <c r="R193" s="1481">
        <f>Summary!$J$58</f>
        <v>0.5</v>
      </c>
      <c r="S193" s="1481">
        <f t="shared" si="24"/>
        <v>41.155842205565001</v>
      </c>
      <c r="T193" s="1487">
        <f t="shared" si="25"/>
        <v>482422.10022385663</v>
      </c>
      <c r="U193" s="45">
        <f>Summary!$J$59</f>
        <v>0.12104878144800001</v>
      </c>
      <c r="V193" s="1487">
        <f>IF(A193&lt;=Summary!$J$61,(0.2*T193)+(R193*D193),(U193*T193)+(R193*D193))</f>
        <v>69175.560875682771</v>
      </c>
      <c r="W193" s="1536">
        <f t="shared" si="26"/>
        <v>1369655.9189981017</v>
      </c>
    </row>
    <row r="194" spans="1:23">
      <c r="A194" s="18">
        <v>42278</v>
      </c>
      <c r="B194" s="20">
        <f t="shared" si="19"/>
        <v>2015</v>
      </c>
      <c r="C194" s="1483">
        <f>CALC!HH206</f>
        <v>55.573762352070908</v>
      </c>
      <c r="D194" s="820">
        <f>IF(Summary!$O$109=0,CALC!HE206,0)</f>
        <v>20950.521524999996</v>
      </c>
      <c r="E194" s="820">
        <f>SUM(CALC!GU206:HB206)*CALC!CY206/1000</f>
        <v>94878.998656941156</v>
      </c>
      <c r="F194" s="1481">
        <f>Summary!$J$54</f>
        <v>0.15</v>
      </c>
      <c r="G194" s="1483">
        <f>VLOOKUP(A194,CURVES!AW195:$BS$283,16)</f>
        <v>3.8755880986634654</v>
      </c>
      <c r="H194" s="1481">
        <f>Summary!$J$60</f>
        <v>0.04</v>
      </c>
      <c r="I194" s="17">
        <f>Summary!$J$55</f>
        <v>8.5</v>
      </c>
      <c r="J194" s="1483">
        <f t="shared" si="27"/>
        <v>34.557498838639461</v>
      </c>
      <c r="K194" s="1481">
        <f>Summary!$J$56</f>
        <v>3.75</v>
      </c>
      <c r="L194">
        <f>Summary!$O$23</f>
        <v>3.75</v>
      </c>
      <c r="M194" s="1481">
        <f>Summary!$J$57</f>
        <v>1.75</v>
      </c>
      <c r="N194" s="1483">
        <f t="shared" si="21"/>
        <v>21.016263513431447</v>
      </c>
      <c r="O194" s="1481">
        <f t="shared" si="22"/>
        <v>11.766263513431447</v>
      </c>
      <c r="P194" s="1481">
        <f t="shared" si="23"/>
        <v>246509.35700696762</v>
      </c>
      <c r="Q194" s="1483">
        <f>IF(A194&lt;=Summary!$J$61,0.5*(P194),$Q$2*(P194))</f>
        <v>0</v>
      </c>
      <c r="R194" s="1481">
        <f>Summary!$J$58</f>
        <v>0.5</v>
      </c>
      <c r="S194" s="1481">
        <f t="shared" si="24"/>
        <v>42.557498838639461</v>
      </c>
      <c r="T194" s="1487">
        <f t="shared" si="25"/>
        <v>272697.50891321764</v>
      </c>
      <c r="U194" s="45">
        <f>Summary!$J$59</f>
        <v>0.12104878144800001</v>
      </c>
      <c r="V194" s="1487">
        <f>IF(A194&lt;=Summary!$J$61,(0.2*T194)+(R194*D194),(U194*T194)+(R194*D194))</f>
        <v>43484.961920350121</v>
      </c>
      <c r="W194" s="1536">
        <f t="shared" si="26"/>
        <v>1164299.304382296</v>
      </c>
    </row>
    <row r="195" spans="1:23">
      <c r="A195" s="18">
        <v>42309</v>
      </c>
      <c r="B195" s="20">
        <f t="shared" si="19"/>
        <v>2015</v>
      </c>
      <c r="C195" s="1483">
        <f>CALC!HH207</f>
        <v>54.192215814120154</v>
      </c>
      <c r="D195" s="820">
        <f>IF(Summary!$O$109=0,CALC!HE207,0)</f>
        <v>20274.698249999998</v>
      </c>
      <c r="E195" s="820">
        <f>SUM(CALC!GU207:HB207)*CALC!CY207/1000</f>
        <v>91833.766973588878</v>
      </c>
      <c r="F195" s="1481">
        <f>Summary!$J$54</f>
        <v>0.15</v>
      </c>
      <c r="G195" s="1483">
        <f>VLOOKUP(A195,CURVES!AW196:$BS$283,16)</f>
        <v>4.0381967640954688</v>
      </c>
      <c r="H195" s="1481">
        <f>Summary!$J$60</f>
        <v>0.04</v>
      </c>
      <c r="I195" s="17">
        <f>Summary!$J$55</f>
        <v>8.5</v>
      </c>
      <c r="J195" s="1483">
        <f t="shared" si="27"/>
        <v>35.939672494811489</v>
      </c>
      <c r="K195" s="1481">
        <f>Summary!$J$56</f>
        <v>3.75</v>
      </c>
      <c r="L195">
        <f>Summary!$O$23</f>
        <v>3.75</v>
      </c>
      <c r="M195" s="1481">
        <f>Summary!$J$57</f>
        <v>1.75</v>
      </c>
      <c r="N195" s="1483">
        <f t="shared" si="21"/>
        <v>18.252543319308664</v>
      </c>
      <c r="O195" s="1481">
        <f t="shared" si="22"/>
        <v>9.0025433193086641</v>
      </c>
      <c r="P195" s="1481">
        <f t="shared" si="23"/>
        <v>182523.84928153653</v>
      </c>
      <c r="Q195" s="1483">
        <f>IF(A195&lt;=Summary!$J$61,0.5*(P195),$Q$2*(P195))</f>
        <v>0</v>
      </c>
      <c r="R195" s="1481">
        <f>Summary!$J$58</f>
        <v>0.5</v>
      </c>
      <c r="S195" s="1481">
        <f t="shared" si="24"/>
        <v>43.939672494811489</v>
      </c>
      <c r="T195" s="1487">
        <f t="shared" si="25"/>
        <v>207867.22209403655</v>
      </c>
      <c r="U195" s="45">
        <f>Summary!$J$59</f>
        <v>0.12104878144800001</v>
      </c>
      <c r="V195" s="1487">
        <f>IF(A195&lt;=Summary!$J$61,(0.2*T195)+(R195*D195),(U195*T195)+(R195*D195))</f>
        <v>35299.423062463909</v>
      </c>
      <c r="W195" s="1536">
        <f t="shared" si="26"/>
        <v>1098730.8231301641</v>
      </c>
    </row>
    <row r="196" spans="1:23">
      <c r="A196" s="18">
        <v>42339</v>
      </c>
      <c r="B196" s="20">
        <f t="shared" si="19"/>
        <v>2015</v>
      </c>
      <c r="C196" s="1483">
        <f>CALC!HH208</f>
        <v>53.399269433323326</v>
      </c>
      <c r="D196" s="820">
        <f>IF(Summary!$O$109=0,CALC!HE208,0)</f>
        <v>20950.521524999996</v>
      </c>
      <c r="E196" s="820">
        <f>SUM(CALC!GU208:HB208)*CALC!CY208/1000</f>
        <v>93493.426082399994</v>
      </c>
      <c r="F196" s="1481">
        <f>Summary!$J$54</f>
        <v>0.15</v>
      </c>
      <c r="G196" s="1483">
        <f>VLOOKUP(A196,CURVES!AW197:$BS$283,16)</f>
        <v>4.2099618724691004</v>
      </c>
      <c r="H196" s="1481">
        <f>Summary!$J$60</f>
        <v>0.04</v>
      </c>
      <c r="I196" s="17">
        <f>Summary!$J$55</f>
        <v>8.5</v>
      </c>
      <c r="J196" s="1483">
        <f t="shared" si="27"/>
        <v>37.399675915987359</v>
      </c>
      <c r="K196" s="1481">
        <f>Summary!$J$56</f>
        <v>3.75</v>
      </c>
      <c r="L196">
        <f>Summary!$O$23</f>
        <v>3.75</v>
      </c>
      <c r="M196" s="1481">
        <f>Summary!$J$57</f>
        <v>1.75</v>
      </c>
      <c r="N196" s="1483">
        <f t="shared" si="21"/>
        <v>15.999593517335967</v>
      </c>
      <c r="O196" s="1481">
        <f t="shared" si="22"/>
        <v>6.7495935173359669</v>
      </c>
      <c r="P196" s="1481">
        <f t="shared" si="23"/>
        <v>141407.50426994762</v>
      </c>
      <c r="Q196" s="1483">
        <f>IF(A196&lt;=Summary!$J$61,0.5*(P196),$Q$2*(P196))</f>
        <v>0</v>
      </c>
      <c r="R196" s="1481">
        <f>Summary!$J$58</f>
        <v>0.5</v>
      </c>
      <c r="S196" s="1481">
        <f t="shared" si="24"/>
        <v>45.399675915987359</v>
      </c>
      <c r="T196" s="1487">
        <f t="shared" si="25"/>
        <v>167595.6561761976</v>
      </c>
      <c r="U196" s="45">
        <f>Summary!$J$59</f>
        <v>0.12104878144800001</v>
      </c>
      <c r="V196" s="1487">
        <f>IF(A196&lt;=Summary!$J$61,(0.2*T196)+(R196*D196),(U196*T196)+(R196*D196))</f>
        <v>30762.510718606696</v>
      </c>
      <c r="W196" s="1536">
        <f t="shared" si="26"/>
        <v>1118742.5436821147</v>
      </c>
    </row>
    <row r="197" spans="1:23">
      <c r="A197" s="18">
        <v>42370</v>
      </c>
      <c r="B197" s="20">
        <f t="shared" si="19"/>
        <v>2016</v>
      </c>
      <c r="C197" s="1483">
        <f>CALC!HH209</f>
        <v>55.868098536082748</v>
      </c>
      <c r="D197" s="820">
        <f>IF(Summary!$O$109=0,CALC!HE209,0)</f>
        <v>20950.521525</v>
      </c>
      <c r="E197" s="820">
        <f>SUM(CALC!GU209:HB209)*CALC!CY209/1000</f>
        <v>93518.201840311842</v>
      </c>
      <c r="F197" s="1481">
        <f>Summary!$J$54</f>
        <v>0.15</v>
      </c>
      <c r="G197" s="1483">
        <f>VLOOKUP(A197,CURVES!AW198:$BS$283,16)</f>
        <v>3.9888826763916541</v>
      </c>
      <c r="H197" s="1481">
        <f>Summary!$J$60</f>
        <v>0.04</v>
      </c>
      <c r="I197" s="17">
        <f>Summary!$J$55</f>
        <v>8.5</v>
      </c>
      <c r="J197" s="1483">
        <f t="shared" si="27"/>
        <v>35.520502749329061</v>
      </c>
      <c r="K197" s="1481">
        <f>Summary!$J$56</f>
        <v>3.75</v>
      </c>
      <c r="L197">
        <f>Summary!$O$23</f>
        <v>3.75</v>
      </c>
      <c r="M197" s="1481">
        <f>Summary!$J$57</f>
        <v>1.75</v>
      </c>
      <c r="N197" s="1483">
        <f t="shared" si="21"/>
        <v>20.347595786753686</v>
      </c>
      <c r="O197" s="1481">
        <f t="shared" si="22"/>
        <v>11.097595786753686</v>
      </c>
      <c r="P197" s="1481">
        <f t="shared" si="23"/>
        <v>232500.41940613242</v>
      </c>
      <c r="Q197" s="1483">
        <f>IF(A197&lt;=Summary!$J$61,0.5*(P197),$Q$2*(P197))</f>
        <v>0</v>
      </c>
      <c r="R197" s="1481">
        <f>Summary!$J$58</f>
        <v>0.5</v>
      </c>
      <c r="S197" s="1481">
        <f t="shared" si="24"/>
        <v>43.520502749329061</v>
      </c>
      <c r="T197" s="1487">
        <f t="shared" si="25"/>
        <v>258688.57131238241</v>
      </c>
      <c r="U197" s="45">
        <f>Summary!$J$59</f>
        <v>0.12104878144800001</v>
      </c>
      <c r="V197" s="1487">
        <f>IF(A197&lt;=Summary!$J$61,(0.2*T197)+(R197*D197),(U197*T197)+(R197*D197))</f>
        <v>41789.197094387942</v>
      </c>
      <c r="W197" s="1536">
        <f t="shared" si="26"/>
        <v>1170465.8009410226</v>
      </c>
    </row>
    <row r="198" spans="1:23">
      <c r="A198" s="18">
        <v>42401</v>
      </c>
      <c r="B198" s="20">
        <f t="shared" ref="B198:B261" si="28">YEAR(A198)</f>
        <v>2016</v>
      </c>
      <c r="C198" s="1483">
        <f>CALC!HH210</f>
        <v>41.946288117762883</v>
      </c>
      <c r="D198" s="820">
        <f>IF(Summary!$O$109=0,CALC!HE210,0)</f>
        <v>19598.874974999999</v>
      </c>
      <c r="E198" s="820">
        <f>SUM(CALC!GU210:HB210)*CALC!CY210/1000</f>
        <v>87507.946785435022</v>
      </c>
      <c r="F198" s="1481">
        <f>Summary!$J$54</f>
        <v>0.15</v>
      </c>
      <c r="G198" s="1483">
        <f>VLOOKUP(A198,CURVES!AW199:$BS$283,16)</f>
        <v>3.6842007822313274</v>
      </c>
      <c r="H198" s="1481">
        <f>Summary!$J$60</f>
        <v>0.04</v>
      </c>
      <c r="I198" s="17">
        <f>Summary!$J$55</f>
        <v>8.5</v>
      </c>
      <c r="J198" s="1483">
        <f t="shared" si="27"/>
        <v>32.930706648966286</v>
      </c>
      <c r="K198" s="1481">
        <f>Summary!$J$56</f>
        <v>3.75</v>
      </c>
      <c r="L198">
        <f>Summary!$O$23</f>
        <v>3.75</v>
      </c>
      <c r="M198" s="1481">
        <f>Summary!$J$57</f>
        <v>1.75</v>
      </c>
      <c r="N198" s="1483">
        <f t="shared" ref="N198:N261" si="29">IF(C198&gt;0,C198-J198,0)</f>
        <v>9.0155814687965972</v>
      </c>
      <c r="O198" s="1481">
        <f t="shared" ref="O198:O261" si="30">IF(N198&gt;0,IF(N198-SUM(K198:M198)&gt;0,N198-SUM(K198:M198),0),0)</f>
        <v>0</v>
      </c>
      <c r="P198" s="1481">
        <f t="shared" ref="P198:P261" si="31">O198*D198</f>
        <v>0</v>
      </c>
      <c r="Q198" s="1483">
        <f>IF(A198&lt;=Summary!$J$61,0.5*(P198),$Q$2*(P198))</f>
        <v>0</v>
      </c>
      <c r="R198" s="1481">
        <f>Summary!$J$58</f>
        <v>0.5</v>
      </c>
      <c r="S198" s="1481">
        <f t="shared" ref="S198:S261" si="32">J198+(K198+L198+R198)</f>
        <v>40.930706648966286</v>
      </c>
      <c r="T198" s="1487">
        <f t="shared" ref="T198:T261" si="33">IF(D198*(C198-S198)-Q198&gt;0,D198*(C198-S198)-Q198,0)</f>
        <v>19904.254233871372</v>
      </c>
      <c r="U198" s="45">
        <f>Summary!$J$59</f>
        <v>0.12104878144800001</v>
      </c>
      <c r="V198" s="1487">
        <f>IF(A198&lt;=Summary!$J$61,(0.2*T198)+(R198*D198),(U198*T198)+(R198*D198))</f>
        <v>12208.823208141324</v>
      </c>
      <c r="W198" s="1536">
        <f t="shared" ref="W198:W261" si="34">C198*D198</f>
        <v>822100.05648536282</v>
      </c>
    </row>
    <row r="199" spans="1:23">
      <c r="A199" s="18">
        <v>42430</v>
      </c>
      <c r="B199" s="20">
        <f t="shared" si="28"/>
        <v>2016</v>
      </c>
      <c r="C199" s="1483">
        <f>CALC!HH211</f>
        <v>41.232276199367227</v>
      </c>
      <c r="D199" s="820">
        <f>IF(Summary!$O$109=0,CALC!HE211,0)</f>
        <v>20950.521524999996</v>
      </c>
      <c r="E199" s="820">
        <f>SUM(CALC!GU211:HB211)*CALC!CY211/1000</f>
        <v>93567.753356135523</v>
      </c>
      <c r="F199" s="1481">
        <f>Summary!$J$54</f>
        <v>0.15</v>
      </c>
      <c r="G199" s="1483">
        <f>VLOOKUP(A199,CURVES!AW200:$BS$283,16)</f>
        <v>3.4866092248723328</v>
      </c>
      <c r="H199" s="1481">
        <f>Summary!$J$60</f>
        <v>0.04</v>
      </c>
      <c r="I199" s="17">
        <f>Summary!$J$55</f>
        <v>8.5</v>
      </c>
      <c r="J199" s="1483">
        <f t="shared" si="27"/>
        <v>31.251178411414827</v>
      </c>
      <c r="K199" s="1481">
        <f>Summary!$J$56</f>
        <v>3.75</v>
      </c>
      <c r="L199">
        <f>Summary!$O$23</f>
        <v>3.75</v>
      </c>
      <c r="M199" s="1481">
        <f>Summary!$J$57</f>
        <v>1.75</v>
      </c>
      <c r="N199" s="1483">
        <f t="shared" si="29"/>
        <v>9.9810977879524003</v>
      </c>
      <c r="O199" s="1481">
        <f t="shared" si="30"/>
        <v>0.73109778795240032</v>
      </c>
      <c r="P199" s="1481">
        <f t="shared" si="31"/>
        <v>15316.879943376645</v>
      </c>
      <c r="Q199" s="1483">
        <f>IF(A199&lt;=Summary!$J$61,0.5*(P199),$Q$2*(P199))</f>
        <v>0</v>
      </c>
      <c r="R199" s="1481">
        <f>Summary!$J$58</f>
        <v>0.5</v>
      </c>
      <c r="S199" s="1481">
        <f t="shared" si="32"/>
        <v>39.251178411414827</v>
      </c>
      <c r="T199" s="1487">
        <f t="shared" si="33"/>
        <v>41505.031849626641</v>
      </c>
      <c r="U199" s="45">
        <f>Summary!$J$59</f>
        <v>0.12104878144800001</v>
      </c>
      <c r="V199" s="1487">
        <f>IF(A199&lt;=Summary!$J$61,(0.2*T199)+(R199*D199),(U199*T199)+(R199*D199))</f>
        <v>15499.394291857734</v>
      </c>
      <c r="W199" s="1536">
        <f t="shared" si="34"/>
        <v>863837.69003958814</v>
      </c>
    </row>
    <row r="200" spans="1:23">
      <c r="A200" s="18">
        <v>42461</v>
      </c>
      <c r="B200" s="20">
        <f t="shared" si="28"/>
        <v>2016</v>
      </c>
      <c r="C200" s="1483">
        <f>CALC!HH212</f>
        <v>40.959229579690685</v>
      </c>
      <c r="D200" s="820">
        <f>IF(Summary!$O$109=0,CALC!HE212,0)</f>
        <v>20274.698250000001</v>
      </c>
      <c r="E200" s="820">
        <f>SUM(CALC!GU212:HB212)*CALC!CY212/1000</f>
        <v>90573.415271658727</v>
      </c>
      <c r="F200" s="1481">
        <f>Summary!$J$54</f>
        <v>0.15</v>
      </c>
      <c r="G200" s="1483">
        <f>VLOOKUP(A200,CURVES!AW201:$BS$283,16)</f>
        <v>3.3820084591321913</v>
      </c>
      <c r="H200" s="1481">
        <f>Summary!$J$60</f>
        <v>0.04</v>
      </c>
      <c r="I200" s="17">
        <f>Summary!$J$55</f>
        <v>8.5</v>
      </c>
      <c r="J200" s="1483">
        <f t="shared" si="27"/>
        <v>30.362071902623626</v>
      </c>
      <c r="K200" s="1481">
        <f>Summary!$J$56</f>
        <v>3.75</v>
      </c>
      <c r="L200">
        <f>Summary!$O$23</f>
        <v>3.75</v>
      </c>
      <c r="M200" s="1481">
        <f>Summary!$J$57</f>
        <v>1.75</v>
      </c>
      <c r="N200" s="1483">
        <f t="shared" si="29"/>
        <v>10.597157677067059</v>
      </c>
      <c r="O200" s="1481">
        <f t="shared" si="30"/>
        <v>1.3471576770670595</v>
      </c>
      <c r="P200" s="1481">
        <f t="shared" si="31"/>
        <v>27313.215397705579</v>
      </c>
      <c r="Q200" s="1483">
        <f>IF(A200&lt;=Summary!$J$61,0.5*(P200),$Q$2*(P200))</f>
        <v>0</v>
      </c>
      <c r="R200" s="1481">
        <f>Summary!$J$58</f>
        <v>0.5</v>
      </c>
      <c r="S200" s="1481">
        <f t="shared" si="32"/>
        <v>38.362071902623626</v>
      </c>
      <c r="T200" s="1487">
        <f t="shared" si="33"/>
        <v>52656.588210205577</v>
      </c>
      <c r="U200" s="45">
        <f>Summary!$J$59</f>
        <v>0.12104878144800001</v>
      </c>
      <c r="V200" s="1487">
        <f>IF(A200&lt;=Summary!$J$61,(0.2*T200)+(R200*D200),(U200*T200)+(R200*D200))</f>
        <v>16511.364963054511</v>
      </c>
      <c r="W200" s="1536">
        <f t="shared" si="34"/>
        <v>830436.02028070297</v>
      </c>
    </row>
    <row r="201" spans="1:23">
      <c r="A201" s="18">
        <v>42491</v>
      </c>
      <c r="B201" s="20">
        <f t="shared" si="28"/>
        <v>2016</v>
      </c>
      <c r="C201" s="1483">
        <f>CALC!HH213</f>
        <v>44.985163175575998</v>
      </c>
      <c r="D201" s="820">
        <f>IF(Summary!$O$109=0,CALC!HE213,0)</f>
        <v>22276.5039</v>
      </c>
      <c r="E201" s="820">
        <f>SUM(CALC!GU213:HB213)*CALC!CY213/1000</f>
        <v>73265.716856315878</v>
      </c>
      <c r="F201" s="1481">
        <f>Summary!$J$54</f>
        <v>0.15</v>
      </c>
      <c r="G201" s="1483">
        <f>VLOOKUP(A201,CURVES!AW202:$BS$283,16)</f>
        <v>3.3565023975044461</v>
      </c>
      <c r="H201" s="1481">
        <f>Summary!$J$60</f>
        <v>0.04</v>
      </c>
      <c r="I201" s="17">
        <f>Summary!$J$55</f>
        <v>8.5</v>
      </c>
      <c r="J201" s="1483">
        <f t="shared" si="27"/>
        <v>30.145270378787792</v>
      </c>
      <c r="K201" s="1481">
        <f>Summary!$J$56</f>
        <v>3.75</v>
      </c>
      <c r="L201">
        <f>Summary!$O$23</f>
        <v>3.75</v>
      </c>
      <c r="M201" s="1481">
        <f>Summary!$J$57</f>
        <v>1.75</v>
      </c>
      <c r="N201" s="1483">
        <f t="shared" si="29"/>
        <v>14.839892796788206</v>
      </c>
      <c r="O201" s="1481">
        <f t="shared" si="30"/>
        <v>5.5898927967882059</v>
      </c>
      <c r="P201" s="1481">
        <f t="shared" si="31"/>
        <v>124523.26868823437</v>
      </c>
      <c r="Q201" s="1483">
        <f>IF(A201&lt;=Summary!$J$61,0.5*(P201),$Q$2*(P201))</f>
        <v>0</v>
      </c>
      <c r="R201" s="1481">
        <f>Summary!$J$58</f>
        <v>0.5</v>
      </c>
      <c r="S201" s="1481">
        <f t="shared" si="32"/>
        <v>38.145270378787792</v>
      </c>
      <c r="T201" s="1487">
        <f t="shared" si="33"/>
        <v>152368.89856323437</v>
      </c>
      <c r="U201" s="45">
        <f>Summary!$J$59</f>
        <v>0.12104878144800001</v>
      </c>
      <c r="V201" s="1487">
        <f>IF(A201&lt;=Summary!$J$61,(0.2*T201)+(R201*D201),(U201*T201)+(R201*D201))</f>
        <v>29582.321451653443</v>
      </c>
      <c r="W201" s="1536">
        <f t="shared" si="34"/>
        <v>1002112.1629228551</v>
      </c>
    </row>
    <row r="202" spans="1:23">
      <c r="A202" s="18">
        <v>42522</v>
      </c>
      <c r="B202" s="20">
        <f t="shared" si="28"/>
        <v>2016</v>
      </c>
      <c r="C202" s="1483">
        <f>CALC!HH214</f>
        <v>43.736507354551691</v>
      </c>
      <c r="D202" s="820">
        <f>IF(Summary!$O$109=0,CALC!HE214,0)</f>
        <v>21557.906999999999</v>
      </c>
      <c r="E202" s="820">
        <f>SUM(CALC!GU214:HB214)*CALC!CY214/1000</f>
        <v>70921.070883773282</v>
      </c>
      <c r="F202" s="1481">
        <f>Summary!$J$54</f>
        <v>0.15</v>
      </c>
      <c r="G202" s="1483">
        <f>VLOOKUP(A202,CURVES!AW203:$BS$283,16)</f>
        <v>3.3970470086913287</v>
      </c>
      <c r="H202" s="1481">
        <f>Summary!$J$60</f>
        <v>0.04</v>
      </c>
      <c r="I202" s="17">
        <f>Summary!$J$55</f>
        <v>8.5</v>
      </c>
      <c r="J202" s="1483">
        <f t="shared" si="27"/>
        <v>30.489899573876293</v>
      </c>
      <c r="K202" s="1481">
        <f>Summary!$J$56</f>
        <v>3.75</v>
      </c>
      <c r="L202">
        <f>Summary!$O$23</f>
        <v>3.75</v>
      </c>
      <c r="M202" s="1481">
        <f>Summary!$J$57</f>
        <v>1.75</v>
      </c>
      <c r="N202" s="1483">
        <f t="shared" si="29"/>
        <v>13.246607780675397</v>
      </c>
      <c r="O202" s="1481">
        <f t="shared" si="30"/>
        <v>3.9966077806753972</v>
      </c>
      <c r="P202" s="1481">
        <f t="shared" si="31"/>
        <v>86158.498851276614</v>
      </c>
      <c r="Q202" s="1483">
        <f>IF(A202&lt;=Summary!$J$61,0.5*(P202),$Q$2*(P202))</f>
        <v>0</v>
      </c>
      <c r="R202" s="1481">
        <f>Summary!$J$58</f>
        <v>0.5</v>
      </c>
      <c r="S202" s="1481">
        <f t="shared" si="32"/>
        <v>38.489899573876293</v>
      </c>
      <c r="T202" s="1487">
        <f t="shared" si="33"/>
        <v>113105.88260127661</v>
      </c>
      <c r="U202" s="45">
        <f>Summary!$J$59</f>
        <v>0.12104878144800001</v>
      </c>
      <c r="V202" s="1487">
        <f>IF(A202&lt;=Summary!$J$61,(0.2*T202)+(R202*D202),(U202*T202)+(R202*D202))</f>
        <v>24470.282763485076</v>
      </c>
      <c r="W202" s="1536">
        <f t="shared" si="34"/>
        <v>942867.55805424135</v>
      </c>
    </row>
    <row r="203" spans="1:23">
      <c r="A203" s="18">
        <v>42552</v>
      </c>
      <c r="B203" s="20">
        <f t="shared" si="28"/>
        <v>2016</v>
      </c>
      <c r="C203" s="1483">
        <f>CALC!HH215</f>
        <v>59.218842419891729</v>
      </c>
      <c r="D203" s="820">
        <f>IF(Summary!$O$109=0,CALC!HE215,0)</f>
        <v>22276.503900000003</v>
      </c>
      <c r="E203" s="820">
        <f>SUM(CALC!GU215:HB215)*CALC!CY215/1000</f>
        <v>73304.496303482229</v>
      </c>
      <c r="F203" s="1481">
        <f>Summary!$J$54</f>
        <v>0.15</v>
      </c>
      <c r="G203" s="1483">
        <f>VLOOKUP(A203,CURVES!AW204:$BS$283,16)</f>
        <v>3.4897731108654497</v>
      </c>
      <c r="H203" s="1481">
        <f>Summary!$J$60</f>
        <v>0.04</v>
      </c>
      <c r="I203" s="17">
        <f>Summary!$J$55</f>
        <v>8.5</v>
      </c>
      <c r="J203" s="1483">
        <f t="shared" si="27"/>
        <v>31.278071442356321</v>
      </c>
      <c r="K203" s="1481">
        <f>Summary!$J$56</f>
        <v>3.75</v>
      </c>
      <c r="L203">
        <f>Summary!$O$23</f>
        <v>3.75</v>
      </c>
      <c r="M203" s="1481">
        <f>Summary!$J$57</f>
        <v>1.75</v>
      </c>
      <c r="N203" s="1483">
        <f t="shared" si="29"/>
        <v>27.940770977535408</v>
      </c>
      <c r="O203" s="1481">
        <f t="shared" si="30"/>
        <v>18.690770977535408</v>
      </c>
      <c r="P203" s="1481">
        <f t="shared" si="31"/>
        <v>416365.03257507441</v>
      </c>
      <c r="Q203" s="1483">
        <f>IF(A203&lt;=Summary!$J$61,0.5*(P203),$Q$2*(P203))</f>
        <v>0</v>
      </c>
      <c r="R203" s="1481">
        <f>Summary!$J$58</f>
        <v>0.5</v>
      </c>
      <c r="S203" s="1481">
        <f t="shared" si="32"/>
        <v>39.278071442356321</v>
      </c>
      <c r="T203" s="1487">
        <f t="shared" si="33"/>
        <v>444210.66245007439</v>
      </c>
      <c r="U203" s="45">
        <f>Summary!$J$59</f>
        <v>0.12104878144800001</v>
      </c>
      <c r="V203" s="1487">
        <f>IF(A203&lt;=Summary!$J$61,(0.2*T203)+(R203*D203),(U203*T203)+(R203*D203))</f>
        <v>64909.411345790359</v>
      </c>
      <c r="W203" s="1536">
        <f t="shared" si="34"/>
        <v>1319188.7741202037</v>
      </c>
    </row>
    <row r="204" spans="1:23">
      <c r="A204" s="18">
        <v>42583</v>
      </c>
      <c r="B204" s="20">
        <f t="shared" si="28"/>
        <v>2016</v>
      </c>
      <c r="C204" s="1483">
        <f>CALC!HH216</f>
        <v>72.846405208413771</v>
      </c>
      <c r="D204" s="820">
        <f>IF(Summary!$O$109=0,CALC!HE216,0)</f>
        <v>22276.5039</v>
      </c>
      <c r="E204" s="820">
        <f>SUM(CALC!GU216:HB216)*CALC!CY216/1000</f>
        <v>73323.886027065397</v>
      </c>
      <c r="F204" s="1481">
        <f>Summary!$J$54</f>
        <v>0.15</v>
      </c>
      <c r="G204" s="1483">
        <f>VLOOKUP(A204,CURVES!AW205:$BS$283,16)</f>
        <v>3.6214634340875969</v>
      </c>
      <c r="H204" s="1481">
        <f>Summary!$J$60</f>
        <v>0.04</v>
      </c>
      <c r="I204" s="17">
        <f>Summary!$J$55</f>
        <v>8.5</v>
      </c>
      <c r="J204" s="1483">
        <f t="shared" si="27"/>
        <v>32.397439189744574</v>
      </c>
      <c r="K204" s="1481">
        <f>Summary!$J$56</f>
        <v>3.75</v>
      </c>
      <c r="L204">
        <f>Summary!$O$23</f>
        <v>3.75</v>
      </c>
      <c r="M204" s="1481">
        <f>Summary!$J$57</f>
        <v>1.75</v>
      </c>
      <c r="N204" s="1483">
        <f t="shared" si="29"/>
        <v>40.448966018669196</v>
      </c>
      <c r="O204" s="1481">
        <f t="shared" si="30"/>
        <v>31.198966018669196</v>
      </c>
      <c r="P204" s="1481">
        <f t="shared" si="31"/>
        <v>695003.88819085178</v>
      </c>
      <c r="Q204" s="1483">
        <f>IF(A204&lt;=Summary!$J$61,0.5*(P204),$Q$2*(P204))</f>
        <v>0</v>
      </c>
      <c r="R204" s="1481">
        <f>Summary!$J$58</f>
        <v>0.5</v>
      </c>
      <c r="S204" s="1481">
        <f t="shared" si="32"/>
        <v>40.397439189744574</v>
      </c>
      <c r="T204" s="1487">
        <f t="shared" si="33"/>
        <v>722849.51806585176</v>
      </c>
      <c r="U204" s="45">
        <f>Summary!$J$59</f>
        <v>0.12104878144800001</v>
      </c>
      <c r="V204" s="1487">
        <f>IF(A204&lt;=Summary!$J$61,(0.2*T204)+(R204*D204),(U204*T204)+(R204*D204))</f>
        <v>98638.305282145433</v>
      </c>
      <c r="W204" s="1536">
        <f t="shared" si="34"/>
        <v>1622763.2297262095</v>
      </c>
    </row>
    <row r="205" spans="1:23">
      <c r="A205" s="18">
        <v>42614</v>
      </c>
      <c r="B205" s="20">
        <f t="shared" si="28"/>
        <v>2016</v>
      </c>
      <c r="C205" s="1483">
        <f>CALC!HH217</f>
        <v>64.189687697408402</v>
      </c>
      <c r="D205" s="820">
        <f>IF(Summary!$O$109=0,CALC!HE217,0)</f>
        <v>21557.906999999999</v>
      </c>
      <c r="E205" s="820">
        <f>SUM(CALC!GU217:HB217)*CALC!CY217/1000</f>
        <v>70977.363629659929</v>
      </c>
      <c r="F205" s="1481">
        <f>Summary!$J$54</f>
        <v>0.15</v>
      </c>
      <c r="G205" s="1483">
        <f>VLOOKUP(A205,CURVES!AW206:$BS$283,16)</f>
        <v>3.7782536817262207</v>
      </c>
      <c r="H205" s="1481">
        <f>Summary!$J$60</f>
        <v>0.04</v>
      </c>
      <c r="I205" s="17">
        <f>Summary!$J$55</f>
        <v>8.5</v>
      </c>
      <c r="J205" s="1483">
        <f t="shared" si="27"/>
        <v>33.730156294672874</v>
      </c>
      <c r="K205" s="1481">
        <f>Summary!$J$56</f>
        <v>3.75</v>
      </c>
      <c r="L205">
        <f>Summary!$O$23</f>
        <v>3.75</v>
      </c>
      <c r="M205" s="1481">
        <f>Summary!$J$57</f>
        <v>1.75</v>
      </c>
      <c r="N205" s="1483">
        <f t="shared" si="29"/>
        <v>30.459531402735529</v>
      </c>
      <c r="O205" s="1481">
        <f t="shared" si="30"/>
        <v>21.209531402735529</v>
      </c>
      <c r="P205" s="1481">
        <f t="shared" si="31"/>
        <v>457233.10549375205</v>
      </c>
      <c r="Q205" s="1483">
        <f>IF(A205&lt;=Summary!$J$61,0.5*(P205),$Q$2*(P205))</f>
        <v>0</v>
      </c>
      <c r="R205" s="1481">
        <f>Summary!$J$58</f>
        <v>0.5</v>
      </c>
      <c r="S205" s="1481">
        <f t="shared" si="32"/>
        <v>41.730156294672874</v>
      </c>
      <c r="T205" s="1487">
        <f t="shared" si="33"/>
        <v>484180.48924375203</v>
      </c>
      <c r="U205" s="45">
        <f>Summary!$J$59</f>
        <v>0.12104878144800001</v>
      </c>
      <c r="V205" s="1487">
        <f>IF(A205&lt;=Summary!$J$61,(0.2*T205)+(R205*D205),(U205*T205)+(R205*D205))</f>
        <v>69388.411723852652</v>
      </c>
      <c r="W205" s="1536">
        <f t="shared" si="34"/>
        <v>1383795.3177397745</v>
      </c>
    </row>
    <row r="206" spans="1:23">
      <c r="A206" s="18">
        <v>42644</v>
      </c>
      <c r="B206" s="20">
        <f t="shared" si="28"/>
        <v>2016</v>
      </c>
      <c r="C206" s="1483">
        <f>CALC!HH218</f>
        <v>56.008765633958205</v>
      </c>
      <c r="D206" s="820">
        <f>IF(Summary!$O$109=0,CALC!HE218,0)</f>
        <v>20950.521525</v>
      </c>
      <c r="E206" s="820">
        <f>SUM(CALC!GU218:HB218)*CALC!CY218/1000</f>
        <v>93741.183661518371</v>
      </c>
      <c r="F206" s="1481">
        <f>Summary!$J$54</f>
        <v>0.15</v>
      </c>
      <c r="G206" s="1483">
        <f>VLOOKUP(A206,CURVES!AW207:$BS$283,16)</f>
        <v>3.9461570718739689</v>
      </c>
      <c r="H206" s="1481">
        <f>Summary!$J$60</f>
        <v>0.04</v>
      </c>
      <c r="I206" s="17">
        <f>Summary!$J$55</f>
        <v>8.5</v>
      </c>
      <c r="J206" s="1483">
        <f t="shared" si="27"/>
        <v>35.157335110928734</v>
      </c>
      <c r="K206" s="1481">
        <f>Summary!$J$56</f>
        <v>3.75</v>
      </c>
      <c r="L206">
        <f>Summary!$O$23</f>
        <v>3.75</v>
      </c>
      <c r="M206" s="1481">
        <f>Summary!$J$57</f>
        <v>1.75</v>
      </c>
      <c r="N206" s="1483">
        <f t="shared" si="29"/>
        <v>20.851430523029471</v>
      </c>
      <c r="O206" s="1481">
        <f t="shared" si="30"/>
        <v>11.601430523029471</v>
      </c>
      <c r="P206" s="1481">
        <f t="shared" si="31"/>
        <v>243056.01989352095</v>
      </c>
      <c r="Q206" s="1483">
        <f>IF(A206&lt;=Summary!$J$61,0.5*(P206),$Q$2*(P206))</f>
        <v>0</v>
      </c>
      <c r="R206" s="1481">
        <f>Summary!$J$58</f>
        <v>0.5</v>
      </c>
      <c r="S206" s="1481">
        <f t="shared" si="32"/>
        <v>43.157335110928734</v>
      </c>
      <c r="T206" s="1487">
        <f t="shared" si="33"/>
        <v>269244.17179977096</v>
      </c>
      <c r="U206" s="45">
        <f>Summary!$J$59</f>
        <v>0.12104878144800001</v>
      </c>
      <c r="V206" s="1487">
        <f>IF(A206&lt;=Summary!$J$61,(0.2*T206)+(R206*D206),(U206*T206)+(R206*D206))</f>
        <v>43066.939670838241</v>
      </c>
      <c r="W206" s="1536">
        <f t="shared" si="34"/>
        <v>1173412.8500029217</v>
      </c>
    </row>
    <row r="207" spans="1:23">
      <c r="A207" s="18">
        <v>42675</v>
      </c>
      <c r="B207" s="20">
        <f t="shared" si="28"/>
        <v>2016</v>
      </c>
      <c r="C207" s="1483">
        <f>CALC!HH219</f>
        <v>55.984586668876361</v>
      </c>
      <c r="D207" s="820">
        <f>IF(Summary!$O$109=0,CALC!HE219,0)</f>
        <v>20274.698250000001</v>
      </c>
      <c r="E207" s="820">
        <f>SUM(CALC!GU219:HB219)*CALC!CY219/1000</f>
        <v>90741.251051061481</v>
      </c>
      <c r="F207" s="1481">
        <f>Summary!$J$54</f>
        <v>0.15</v>
      </c>
      <c r="G207" s="1483">
        <f>VLOOKUP(A207,CURVES!AW208:$BS$283,16)</f>
        <v>4.1117266109237409</v>
      </c>
      <c r="H207" s="1481">
        <f>Summary!$J$60</f>
        <v>0.04</v>
      </c>
      <c r="I207" s="17">
        <f>Summary!$J$55</f>
        <v>8.5</v>
      </c>
      <c r="J207" s="1483">
        <f t="shared" si="27"/>
        <v>36.564676192851799</v>
      </c>
      <c r="K207" s="1481">
        <f>Summary!$J$56</f>
        <v>3.75</v>
      </c>
      <c r="L207">
        <f>Summary!$O$23</f>
        <v>3.75</v>
      </c>
      <c r="M207" s="1481">
        <f>Summary!$J$57</f>
        <v>1.75</v>
      </c>
      <c r="N207" s="1483">
        <f t="shared" si="29"/>
        <v>19.419910476024562</v>
      </c>
      <c r="O207" s="1481">
        <f t="shared" si="30"/>
        <v>10.169910476024562</v>
      </c>
      <c r="P207" s="1481">
        <f t="shared" si="31"/>
        <v>206191.86613091186</v>
      </c>
      <c r="Q207" s="1483">
        <f>IF(A207&lt;=Summary!$J$61,0.5*(P207),$Q$2*(P207))</f>
        <v>0</v>
      </c>
      <c r="R207" s="1481">
        <f>Summary!$J$58</f>
        <v>0.5</v>
      </c>
      <c r="S207" s="1481">
        <f t="shared" si="32"/>
        <v>44.564676192851799</v>
      </c>
      <c r="T207" s="1487">
        <f t="shared" si="33"/>
        <v>231535.23894341185</v>
      </c>
      <c r="U207" s="45">
        <f>Summary!$J$59</f>
        <v>0.12104878144800001</v>
      </c>
      <c r="V207" s="1487">
        <f>IF(A207&lt;=Summary!$J$61,(0.2*T207)+(R207*D207),(U207*T207)+(R207*D207))</f>
        <v>38164.407661371522</v>
      </c>
      <c r="W207" s="1536">
        <f t="shared" si="34"/>
        <v>1135070.601362441</v>
      </c>
    </row>
    <row r="208" spans="1:23">
      <c r="A208" s="18">
        <v>42705</v>
      </c>
      <c r="B208" s="20">
        <f t="shared" si="28"/>
        <v>2016</v>
      </c>
      <c r="C208" s="1483">
        <f>CALC!HH220</f>
        <v>56.892414610468485</v>
      </c>
      <c r="D208" s="820">
        <f>IF(Summary!$O$109=0,CALC!HE220,0)</f>
        <v>20950.521525</v>
      </c>
      <c r="E208" s="820">
        <f>SUM(CALC!GU220:HB220)*CALC!CY220/1000</f>
        <v>93790.735177342023</v>
      </c>
      <c r="F208" s="1481">
        <f>Summary!$J$54</f>
        <v>0.15</v>
      </c>
      <c r="G208" s="1483">
        <f>VLOOKUP(A208,CURVES!AW209:$BS$283,16)</f>
        <v>4.2866193187797572</v>
      </c>
      <c r="H208" s="1481">
        <f>Summary!$J$60</f>
        <v>0.04</v>
      </c>
      <c r="I208" s="17">
        <f>Summary!$J$55</f>
        <v>8.5</v>
      </c>
      <c r="J208" s="1483">
        <f t="shared" ref="J208:J271" si="35">I208*SUM(F208:H208)</f>
        <v>38.051264209627938</v>
      </c>
      <c r="K208" s="1481">
        <f>Summary!$J$56</f>
        <v>3.75</v>
      </c>
      <c r="L208">
        <f>Summary!$O$23</f>
        <v>3.75</v>
      </c>
      <c r="M208" s="1481">
        <f>Summary!$J$57</f>
        <v>1.75</v>
      </c>
      <c r="N208" s="1483">
        <f t="shared" si="29"/>
        <v>18.841150400840547</v>
      </c>
      <c r="O208" s="1481">
        <f t="shared" si="30"/>
        <v>9.5911504008405473</v>
      </c>
      <c r="P208" s="1481">
        <f t="shared" si="31"/>
        <v>200939.60292232226</v>
      </c>
      <c r="Q208" s="1483">
        <f>IF(A208&lt;=Summary!$J$61,0.5*(P208),$Q$2*(P208))</f>
        <v>0</v>
      </c>
      <c r="R208" s="1481">
        <f>Summary!$J$58</f>
        <v>0.5</v>
      </c>
      <c r="S208" s="1481">
        <f t="shared" si="32"/>
        <v>46.051264209627938</v>
      </c>
      <c r="T208" s="1487">
        <f t="shared" si="33"/>
        <v>227127.75482857227</v>
      </c>
      <c r="U208" s="45">
        <f>Summary!$J$59</f>
        <v>0.12104878144800001</v>
      </c>
      <c r="V208" s="1487">
        <f>IF(A208&lt;=Summary!$J$61,(0.2*T208)+(R208*D208),(U208*T208)+(R208*D208))</f>
        <v>37968.798717518774</v>
      </c>
      <c r="W208" s="1536">
        <f t="shared" si="34"/>
        <v>1191925.7569058444</v>
      </c>
    </row>
    <row r="209" spans="1:23">
      <c r="A209" s="18">
        <v>42736</v>
      </c>
      <c r="B209" s="20">
        <f t="shared" si="28"/>
        <v>2017</v>
      </c>
      <c r="C209" s="1483">
        <f>CALC!HH221</f>
        <v>54.353041581351128</v>
      </c>
      <c r="D209" s="820">
        <f>IF(Summary!$O$109=0,CALC!HE221,0)</f>
        <v>20950.521524999996</v>
      </c>
      <c r="E209" s="820">
        <f>SUM(CALC!GU221:HB221)*CALC!CY221/1000</f>
        <v>93815.510935253857</v>
      </c>
      <c r="F209" s="1481">
        <f>Summary!$J$54</f>
        <v>0.15</v>
      </c>
      <c r="G209" s="1483">
        <f>VLOOKUP(A209,CURVES!AW210:$BS$283,16)</f>
        <v>4.0712634959283882</v>
      </c>
      <c r="H209" s="1481">
        <f>Summary!$J$60</f>
        <v>0.04</v>
      </c>
      <c r="I209" s="17">
        <f>Summary!$J$55</f>
        <v>8.5</v>
      </c>
      <c r="J209" s="1483">
        <f t="shared" si="35"/>
        <v>36.220739715391304</v>
      </c>
      <c r="K209" s="1481">
        <f>Summary!$J$56</f>
        <v>3.75</v>
      </c>
      <c r="L209">
        <f>Summary!$O$23</f>
        <v>3.75</v>
      </c>
      <c r="M209" s="1481">
        <f>Summary!$J$57</f>
        <v>1.75</v>
      </c>
      <c r="N209" s="1483">
        <f t="shared" si="29"/>
        <v>18.132301865959825</v>
      </c>
      <c r="O209" s="1481">
        <f t="shared" si="30"/>
        <v>8.8823018659598247</v>
      </c>
      <c r="P209" s="1481">
        <f t="shared" si="31"/>
        <v>186088.85643433893</v>
      </c>
      <c r="Q209" s="1483">
        <f>IF(A209&lt;=Summary!$J$61,0.5*(P209),$Q$2*(P209))</f>
        <v>0</v>
      </c>
      <c r="R209" s="1481">
        <f>Summary!$J$58</f>
        <v>0.5</v>
      </c>
      <c r="S209" s="1481">
        <f t="shared" si="32"/>
        <v>44.220739715391304</v>
      </c>
      <c r="T209" s="1487">
        <f t="shared" si="33"/>
        <v>212277.00834058895</v>
      </c>
      <c r="U209" s="45">
        <f>Summary!$J$59</f>
        <v>0.12104878144800001</v>
      </c>
      <c r="V209" s="1487">
        <f>IF(A209&lt;=Summary!$J$61,(0.2*T209)+(R209*D209),(U209*T209)+(R209*D209))</f>
        <v>36171.133951555224</v>
      </c>
      <c r="W209" s="1536">
        <f t="shared" si="34"/>
        <v>1138724.5675993166</v>
      </c>
    </row>
    <row r="210" spans="1:23">
      <c r="A210" s="18">
        <v>42767</v>
      </c>
      <c r="B210" s="20">
        <f t="shared" si="28"/>
        <v>2017</v>
      </c>
      <c r="C210" s="1483">
        <f>CALC!HH222</f>
        <v>44.571588673023797</v>
      </c>
      <c r="D210" s="820">
        <f>IF(Summary!$O$109=0,CALC!HE222,0)</f>
        <v>18923.051699999996</v>
      </c>
      <c r="E210" s="820">
        <f>SUM(CALC!GU222:HB222)*CALC!CY222/1000</f>
        <v>84758.968626085145</v>
      </c>
      <c r="F210" s="1481">
        <f>Summary!$J$54</f>
        <v>0.15</v>
      </c>
      <c r="G210" s="1483">
        <f>VLOOKUP(A210,CURVES!AW211:$BS$283,16)</f>
        <v>3.760289126863376</v>
      </c>
      <c r="H210" s="1481">
        <f>Summary!$J$60</f>
        <v>0.04</v>
      </c>
      <c r="I210" s="17">
        <f>Summary!$J$55</f>
        <v>8.5</v>
      </c>
      <c r="J210" s="1483">
        <f t="shared" si="35"/>
        <v>33.577457578338695</v>
      </c>
      <c r="K210" s="1481">
        <f>Summary!$J$56</f>
        <v>3.75</v>
      </c>
      <c r="L210">
        <f>Summary!$O$23</f>
        <v>3.75</v>
      </c>
      <c r="M210" s="1481">
        <f>Summary!$J$57</f>
        <v>1.75</v>
      </c>
      <c r="N210" s="1483">
        <f t="shared" si="29"/>
        <v>10.994131094685102</v>
      </c>
      <c r="O210" s="1481">
        <f t="shared" si="30"/>
        <v>1.7441310946851019</v>
      </c>
      <c r="P210" s="1481">
        <f t="shared" si="31"/>
        <v>33004.282876303769</v>
      </c>
      <c r="Q210" s="1483">
        <f>IF(A210&lt;=Summary!$J$61,0.5*(P210),$Q$2*(P210))</f>
        <v>0</v>
      </c>
      <c r="R210" s="1481">
        <f>Summary!$J$58</f>
        <v>0.5</v>
      </c>
      <c r="S210" s="1481">
        <f t="shared" si="32"/>
        <v>41.577457578338695</v>
      </c>
      <c r="T210" s="1487">
        <f t="shared" si="33"/>
        <v>56658.097501303768</v>
      </c>
      <c r="U210" s="45">
        <f>Summary!$J$59</f>
        <v>0.12104878144800001</v>
      </c>
      <c r="V210" s="1487">
        <f>IF(A210&lt;=Summary!$J$61,(0.2*T210)+(R210*D210),(U210*T210)+(R210*D210))</f>
        <v>16319.919511694792</v>
      </c>
      <c r="W210" s="1536">
        <f t="shared" si="34"/>
        <v>843430.47681076359</v>
      </c>
    </row>
    <row r="211" spans="1:23">
      <c r="A211" s="18">
        <v>42795</v>
      </c>
      <c r="B211" s="20">
        <f t="shared" si="28"/>
        <v>2017</v>
      </c>
      <c r="C211" s="1483">
        <f>CALC!HH223</f>
        <v>41.444842675347836</v>
      </c>
      <c r="D211" s="820">
        <f>IF(Summary!$O$109=0,CALC!HE223,0)</f>
        <v>20950.521524999996</v>
      </c>
      <c r="E211" s="820">
        <f>SUM(CALC!GU223:HB223)*CALC!CY223/1000</f>
        <v>93865.062451077538</v>
      </c>
      <c r="F211" s="1481">
        <f>Summary!$J$54</f>
        <v>0.15</v>
      </c>
      <c r="G211" s="1483">
        <f>VLOOKUP(A211,CURVES!AW212:$BS$283,16)</f>
        <v>3.5584238580472385</v>
      </c>
      <c r="H211" s="1481">
        <f>Summary!$J$60</f>
        <v>0.04</v>
      </c>
      <c r="I211" s="17">
        <f>Summary!$J$55</f>
        <v>8.5</v>
      </c>
      <c r="J211" s="1483">
        <f t="shared" si="35"/>
        <v>31.861602793401527</v>
      </c>
      <c r="K211" s="1481">
        <f>Summary!$J$56</f>
        <v>3.75</v>
      </c>
      <c r="L211">
        <f>Summary!$O$23</f>
        <v>3.75</v>
      </c>
      <c r="M211" s="1481">
        <f>Summary!$J$57</f>
        <v>1.75</v>
      </c>
      <c r="N211" s="1483">
        <f t="shared" si="29"/>
        <v>9.5832398819463087</v>
      </c>
      <c r="O211" s="1481">
        <f t="shared" si="30"/>
        <v>0.33323988194630871</v>
      </c>
      <c r="P211" s="1481">
        <f t="shared" si="31"/>
        <v>6981.549319704598</v>
      </c>
      <c r="Q211" s="1483">
        <f>IF(A211&lt;=Summary!$J$61,0.5*(P211),$Q$2*(P211))</f>
        <v>0</v>
      </c>
      <c r="R211" s="1481">
        <f>Summary!$J$58</f>
        <v>0.5</v>
      </c>
      <c r="S211" s="1481">
        <f t="shared" si="32"/>
        <v>39.861602793401531</v>
      </c>
      <c r="T211" s="1487">
        <f t="shared" si="33"/>
        <v>33169.701225954523</v>
      </c>
      <c r="U211" s="45">
        <f>Summary!$J$59</f>
        <v>0.12104878144800001</v>
      </c>
      <c r="V211" s="1487">
        <f>IF(A211&lt;=Summary!$J$61,(0.2*T211)+(R211*D211),(U211*T211)+(R211*D211))</f>
        <v>14490.412676896025</v>
      </c>
      <c r="W211" s="1536">
        <f t="shared" si="34"/>
        <v>868291.06857011328</v>
      </c>
    </row>
    <row r="212" spans="1:23">
      <c r="A212" s="18">
        <v>42826</v>
      </c>
      <c r="B212" s="20">
        <f t="shared" si="28"/>
        <v>2017</v>
      </c>
      <c r="C212" s="1483">
        <f>CALC!HH224</f>
        <v>42.203709545683424</v>
      </c>
      <c r="D212" s="820">
        <f>IF(Summary!$O$109=0,CALC!HE224,0)</f>
        <v>20274.698250000001</v>
      </c>
      <c r="E212" s="820">
        <f>SUM(CALC!GU224:HB224)*CALC!CY224/1000</f>
        <v>90861.133750634879</v>
      </c>
      <c r="F212" s="1481">
        <f>Summary!$J$54</f>
        <v>0.15</v>
      </c>
      <c r="G212" s="1483">
        <f>VLOOKUP(A212,CURVES!AW213:$BS$283,16)</f>
        <v>3.4516686020453684</v>
      </c>
      <c r="H212" s="1481">
        <f>Summary!$J$60</f>
        <v>0.04</v>
      </c>
      <c r="I212" s="17">
        <f>Summary!$J$55</f>
        <v>8.5</v>
      </c>
      <c r="J212" s="1483">
        <f t="shared" si="35"/>
        <v>30.954183117385632</v>
      </c>
      <c r="K212" s="1481">
        <f>Summary!$J$56</f>
        <v>3.75</v>
      </c>
      <c r="L212">
        <f>Summary!$O$23</f>
        <v>3.75</v>
      </c>
      <c r="M212" s="1481">
        <f>Summary!$J$57</f>
        <v>1.75</v>
      </c>
      <c r="N212" s="1483">
        <f t="shared" si="29"/>
        <v>11.249526428297791</v>
      </c>
      <c r="O212" s="1481">
        <f t="shared" si="30"/>
        <v>1.9995264282977914</v>
      </c>
      <c r="P212" s="1481">
        <f t="shared" si="31"/>
        <v>40539.794976637982</v>
      </c>
      <c r="Q212" s="1483">
        <f>IF(A212&lt;=Summary!$J$61,0.5*(P212),$Q$2*(P212))</f>
        <v>0</v>
      </c>
      <c r="R212" s="1481">
        <f>Summary!$J$58</f>
        <v>0.5</v>
      </c>
      <c r="S212" s="1481">
        <f t="shared" si="32"/>
        <v>38.954183117385632</v>
      </c>
      <c r="T212" s="1487">
        <f t="shared" si="33"/>
        <v>65883.16778913798</v>
      </c>
      <c r="U212" s="45">
        <f>Summary!$J$59</f>
        <v>0.12104878144800001</v>
      </c>
      <c r="V212" s="1487">
        <f>IF(A212&lt;=Summary!$J$61,(0.2*T212)+(R212*D212),(U212*T212)+(R212*D212))</f>
        <v>18112.426303809276</v>
      </c>
      <c r="W212" s="1536">
        <f t="shared" si="34"/>
        <v>855667.47606937611</v>
      </c>
    </row>
    <row r="213" spans="1:23">
      <c r="A213" s="18">
        <v>42856</v>
      </c>
      <c r="B213" s="20">
        <f t="shared" si="28"/>
        <v>2017</v>
      </c>
      <c r="C213" s="1483">
        <f>CALC!HH225</f>
        <v>43.845525668045909</v>
      </c>
      <c r="D213" s="820">
        <f>IF(Summary!$O$109=0,CALC!HE225,0)</f>
        <v>22276.5039</v>
      </c>
      <c r="E213" s="820">
        <f>SUM(CALC!GU225:HB225)*CALC!CY225/1000</f>
        <v>73498.393539313984</v>
      </c>
      <c r="F213" s="1481">
        <f>Summary!$J$54</f>
        <v>0.15</v>
      </c>
      <c r="G213" s="1483">
        <f>VLOOKUP(A213,CURVES!AW214:$BS$283,16)</f>
        <v>3.4256371851680401</v>
      </c>
      <c r="H213" s="1481">
        <f>Summary!$J$60</f>
        <v>0.04</v>
      </c>
      <c r="I213" s="17">
        <f>Summary!$J$55</f>
        <v>8.5</v>
      </c>
      <c r="J213" s="1483">
        <f t="shared" si="35"/>
        <v>30.73291607392834</v>
      </c>
      <c r="K213" s="1481">
        <f>Summary!$J$56</f>
        <v>3.75</v>
      </c>
      <c r="L213">
        <f>Summary!$O$23</f>
        <v>3.75</v>
      </c>
      <c r="M213" s="1481">
        <f>Summary!$J$57</f>
        <v>1.75</v>
      </c>
      <c r="N213" s="1483">
        <f t="shared" si="29"/>
        <v>13.112609594117568</v>
      </c>
      <c r="O213" s="1481">
        <f t="shared" si="30"/>
        <v>3.8626095941175684</v>
      </c>
      <c r="P213" s="1481">
        <f t="shared" si="31"/>
        <v>86045.437687537429</v>
      </c>
      <c r="Q213" s="1483">
        <f>IF(A213&lt;=Summary!$J$61,0.5*(P213),$Q$2*(P213))</f>
        <v>0</v>
      </c>
      <c r="R213" s="1481">
        <f>Summary!$J$58</f>
        <v>0.5</v>
      </c>
      <c r="S213" s="1481">
        <f t="shared" si="32"/>
        <v>38.732916073928337</v>
      </c>
      <c r="T213" s="1487">
        <f t="shared" si="33"/>
        <v>113891.06756253752</v>
      </c>
      <c r="U213" s="45">
        <f>Summary!$J$59</f>
        <v>0.12104878144800001</v>
      </c>
      <c r="V213" s="1487">
        <f>IF(A213&lt;=Summary!$J$61,(0.2*T213)+(R213*D213),(U213*T213)+(R213*D213))</f>
        <v>24924.626896257007</v>
      </c>
      <c r="W213" s="1536">
        <f t="shared" si="34"/>
        <v>976725.02354177483</v>
      </c>
    </row>
    <row r="214" spans="1:23">
      <c r="A214" s="18">
        <v>42887</v>
      </c>
      <c r="B214" s="20">
        <f t="shared" si="28"/>
        <v>2017</v>
      </c>
      <c r="C214" s="1483">
        <f>CALC!HH226</f>
        <v>45.220844497327427</v>
      </c>
      <c r="D214" s="820">
        <f>IF(Summary!$O$109=0,CALC!HE226,0)</f>
        <v>21557.906999999999</v>
      </c>
      <c r="E214" s="820">
        <f>SUM(CALC!GU226:HB226)*CALC!CY226/1000</f>
        <v>71146.241867319841</v>
      </c>
      <c r="F214" s="1481">
        <f>Summary!$J$54</f>
        <v>0.15</v>
      </c>
      <c r="G214" s="1483">
        <f>VLOOKUP(A214,CURVES!AW215:$BS$283,16)</f>
        <v>3.4670169046770241</v>
      </c>
      <c r="H214" s="1481">
        <f>Summary!$J$60</f>
        <v>0.04</v>
      </c>
      <c r="I214" s="17">
        <f>Summary!$J$55</f>
        <v>8.5</v>
      </c>
      <c r="J214" s="1483">
        <f t="shared" si="35"/>
        <v>31.084643689754703</v>
      </c>
      <c r="K214" s="1481">
        <f>Summary!$J$56</f>
        <v>3.75</v>
      </c>
      <c r="L214">
        <f>Summary!$O$23</f>
        <v>3.75</v>
      </c>
      <c r="M214" s="1481">
        <f>Summary!$J$57</f>
        <v>1.75</v>
      </c>
      <c r="N214" s="1483">
        <f t="shared" si="29"/>
        <v>14.136200807572724</v>
      </c>
      <c r="O214" s="1481">
        <f t="shared" si="30"/>
        <v>4.8862008075727239</v>
      </c>
      <c r="P214" s="1481">
        <f t="shared" si="31"/>
        <v>105336.26259297767</v>
      </c>
      <c r="Q214" s="1483">
        <f>IF(A214&lt;=Summary!$J$61,0.5*(P214),$Q$2*(P214))</f>
        <v>0</v>
      </c>
      <c r="R214" s="1481">
        <f>Summary!$J$58</f>
        <v>0.5</v>
      </c>
      <c r="S214" s="1481">
        <f t="shared" si="32"/>
        <v>39.084643689754699</v>
      </c>
      <c r="T214" s="1487">
        <f t="shared" si="33"/>
        <v>132283.64634297774</v>
      </c>
      <c r="U214" s="45">
        <f>Summary!$J$59</f>
        <v>0.12104878144800001</v>
      </c>
      <c r="V214" s="1487">
        <f>IF(A214&lt;=Summary!$J$61,(0.2*T214)+(R214*D214),(U214*T214)+(R214*D214))</f>
        <v>26791.727695315636</v>
      </c>
      <c r="W214" s="1536">
        <f t="shared" si="34"/>
        <v>974866.76013484644</v>
      </c>
    </row>
    <row r="215" spans="1:23">
      <c r="A215" s="18">
        <v>42917</v>
      </c>
      <c r="B215" s="20">
        <f t="shared" si="28"/>
        <v>2017</v>
      </c>
      <c r="C215" s="1483">
        <f>CALC!HH227</f>
        <v>60.135877170435734</v>
      </c>
      <c r="D215" s="820">
        <f>IF(Summary!$O$109=0,CALC!HE227,0)</f>
        <v>22276.503900000003</v>
      </c>
      <c r="E215" s="820">
        <f>SUM(CALC!GU227:HB227)*CALC!CY227/1000</f>
        <v>73537.172986480335</v>
      </c>
      <c r="F215" s="1481">
        <f>Summary!$J$54</f>
        <v>0.15</v>
      </c>
      <c r="G215" s="1483">
        <f>VLOOKUP(A215,CURVES!AW216:$BS$283,16)</f>
        <v>3.5616529114558442</v>
      </c>
      <c r="H215" s="1481">
        <f>Summary!$J$60</f>
        <v>0.04</v>
      </c>
      <c r="I215" s="17">
        <f>Summary!$J$55</f>
        <v>8.5</v>
      </c>
      <c r="J215" s="1483">
        <f t="shared" si="35"/>
        <v>31.889049747374674</v>
      </c>
      <c r="K215" s="1481">
        <f>Summary!$J$56</f>
        <v>3.75</v>
      </c>
      <c r="L215">
        <f>Summary!$O$23</f>
        <v>3.75</v>
      </c>
      <c r="M215" s="1481">
        <f>Summary!$J$57</f>
        <v>1.75</v>
      </c>
      <c r="N215" s="1483">
        <f t="shared" si="29"/>
        <v>28.24682742306106</v>
      </c>
      <c r="O215" s="1481">
        <f t="shared" si="30"/>
        <v>18.99682742306106</v>
      </c>
      <c r="P215" s="1481">
        <f t="shared" si="31"/>
        <v>423182.90017744672</v>
      </c>
      <c r="Q215" s="1483">
        <f>IF(A215&lt;=Summary!$J$61,0.5*(P215),$Q$2*(P215))</f>
        <v>0</v>
      </c>
      <c r="R215" s="1481">
        <f>Summary!$J$58</f>
        <v>0.5</v>
      </c>
      <c r="S215" s="1481">
        <f t="shared" si="32"/>
        <v>39.889049747374671</v>
      </c>
      <c r="T215" s="1487">
        <f t="shared" si="33"/>
        <v>451028.53005244682</v>
      </c>
      <c r="U215" s="45">
        <f>Summary!$J$59</f>
        <v>0.12104878144800001</v>
      </c>
      <c r="V215" s="1487">
        <f>IF(A215&lt;=Summary!$J$61,(0.2*T215)+(R215*D215),(U215*T215)+(R215*D215))</f>
        <v>65734.705911131343</v>
      </c>
      <c r="W215" s="1536">
        <f t="shared" si="34"/>
        <v>1339617.1023171328</v>
      </c>
    </row>
    <row r="216" spans="1:23">
      <c r="A216" s="18">
        <v>42948</v>
      </c>
      <c r="B216" s="20">
        <f t="shared" si="28"/>
        <v>2017</v>
      </c>
      <c r="C216" s="1483">
        <f>CALC!HH228</f>
        <v>73.818241513759091</v>
      </c>
      <c r="D216" s="820">
        <f>IF(Summary!$O$109=0,CALC!HE228,0)</f>
        <v>22276.5039</v>
      </c>
      <c r="E216" s="820">
        <f>SUM(CALC!GU228:HB228)*CALC!CY228/1000</f>
        <v>73556.562710063532</v>
      </c>
      <c r="F216" s="1481">
        <f>Summary!$J$54</f>
        <v>0.15</v>
      </c>
      <c r="G216" s="1483">
        <f>VLOOKUP(A216,CURVES!AW217:$BS$283,16)</f>
        <v>3.6960556958816793</v>
      </c>
      <c r="H216" s="1481">
        <f>Summary!$J$60</f>
        <v>0.04</v>
      </c>
      <c r="I216" s="17">
        <f>Summary!$J$55</f>
        <v>8.5</v>
      </c>
      <c r="J216" s="1483">
        <f t="shared" si="35"/>
        <v>33.031473414994274</v>
      </c>
      <c r="K216" s="1481">
        <f>Summary!$J$56</f>
        <v>3.75</v>
      </c>
      <c r="L216">
        <f>Summary!$O$23</f>
        <v>3.75</v>
      </c>
      <c r="M216" s="1481">
        <f>Summary!$J$57</f>
        <v>1.75</v>
      </c>
      <c r="N216" s="1483">
        <f t="shared" si="29"/>
        <v>40.786768098764817</v>
      </c>
      <c r="O216" s="1481">
        <f t="shared" si="30"/>
        <v>31.536768098764817</v>
      </c>
      <c r="P216" s="1481">
        <f t="shared" si="31"/>
        <v>702528.93754553003</v>
      </c>
      <c r="Q216" s="1483">
        <f>IF(A216&lt;=Summary!$J$61,0.5*(P216),$Q$2*(P216))</f>
        <v>0</v>
      </c>
      <c r="R216" s="1481">
        <f>Summary!$J$58</f>
        <v>0.5</v>
      </c>
      <c r="S216" s="1481">
        <f t="shared" si="32"/>
        <v>41.031473414994274</v>
      </c>
      <c r="T216" s="1487">
        <f t="shared" si="33"/>
        <v>730374.56742053002</v>
      </c>
      <c r="U216" s="45">
        <f>Summary!$J$59</f>
        <v>0.12104878144800001</v>
      </c>
      <c r="V216" s="1487">
        <f>IF(A216&lt;=Summary!$J$61,(0.2*T216)+(R216*D216),(U216*T216)+(R216*D216))</f>
        <v>99549.203336865292</v>
      </c>
      <c r="W216" s="1536">
        <f t="shared" si="34"/>
        <v>1644412.3449723963</v>
      </c>
    </row>
    <row r="217" spans="1:23">
      <c r="A217" s="18">
        <v>42979</v>
      </c>
      <c r="B217" s="20">
        <f t="shared" si="28"/>
        <v>2017</v>
      </c>
      <c r="C217" s="1483">
        <f>CALC!HH229</f>
        <v>63.873622468929426</v>
      </c>
      <c r="D217" s="820">
        <f>IF(Summary!$O$109=0,CALC!HE229,0)</f>
        <v>21557.906999999999</v>
      </c>
      <c r="E217" s="820">
        <f>SUM(CALC!GU229:HB229)*CALC!CY229/1000</f>
        <v>71202.534613206488</v>
      </c>
      <c r="F217" s="1481">
        <f>Summary!$J$54</f>
        <v>0.15</v>
      </c>
      <c r="G217" s="1483">
        <f>VLOOKUP(A217,CURVES!AW218:$BS$283,16)</f>
        <v>3.856075394655591</v>
      </c>
      <c r="H217" s="1481">
        <f>Summary!$J$60</f>
        <v>0.04</v>
      </c>
      <c r="I217" s="17">
        <f>Summary!$J$55</f>
        <v>8.5</v>
      </c>
      <c r="J217" s="1483">
        <f t="shared" si="35"/>
        <v>34.391640854572522</v>
      </c>
      <c r="K217" s="1481">
        <f>Summary!$J$56</f>
        <v>3.75</v>
      </c>
      <c r="L217">
        <f>Summary!$O$23</f>
        <v>3.75</v>
      </c>
      <c r="M217" s="1481">
        <f>Summary!$J$57</f>
        <v>1.75</v>
      </c>
      <c r="N217" s="1483">
        <f t="shared" si="29"/>
        <v>29.481981614356904</v>
      </c>
      <c r="O217" s="1481">
        <f t="shared" si="30"/>
        <v>20.231981614356904</v>
      </c>
      <c r="P217" s="1481">
        <f t="shared" si="31"/>
        <v>436159.17806801602</v>
      </c>
      <c r="Q217" s="1483">
        <f>IF(A217&lt;=Summary!$J$61,0.5*(P217),$Q$2*(P217))</f>
        <v>0</v>
      </c>
      <c r="R217" s="1481">
        <f>Summary!$J$58</f>
        <v>0.5</v>
      </c>
      <c r="S217" s="1481">
        <f t="shared" si="32"/>
        <v>42.391640854572522</v>
      </c>
      <c r="T217" s="1487">
        <f t="shared" si="33"/>
        <v>463106.56181801599</v>
      </c>
      <c r="U217" s="45">
        <f>Summary!$J$59</f>
        <v>0.12104878144800001</v>
      </c>
      <c r="V217" s="1487">
        <f>IF(A217&lt;=Summary!$J$61,(0.2*T217)+(R217*D217),(U217*T217)+(R217*D217))</f>
        <v>66837.438488643718</v>
      </c>
      <c r="W217" s="1536">
        <f t="shared" si="34"/>
        <v>1376981.6129382909</v>
      </c>
    </row>
    <row r="218" spans="1:23">
      <c r="A218" s="18">
        <v>43009</v>
      </c>
      <c r="B218" s="20">
        <f t="shared" si="28"/>
        <v>2017</v>
      </c>
      <c r="C218" s="1483">
        <f>CALC!HH230</f>
        <v>55.776153996240737</v>
      </c>
      <c r="D218" s="820">
        <f>IF(Summary!$O$109=0,CALC!HE230,0)</f>
        <v>20950.521524999996</v>
      </c>
      <c r="E218" s="820">
        <f>SUM(CALC!GU230:HB230)*CALC!CY230/1000</f>
        <v>94038.492756460386</v>
      </c>
      <c r="F218" s="1481">
        <f>Summary!$J$54</f>
        <v>0.15</v>
      </c>
      <c r="G218" s="1483">
        <f>VLOOKUP(A218,CURVES!AW219:$BS$283,16)</f>
        <v>4.0274371363404899</v>
      </c>
      <c r="H218" s="1481">
        <f>Summary!$J$60</f>
        <v>0.04</v>
      </c>
      <c r="I218" s="17">
        <f>Summary!$J$55</f>
        <v>8.5</v>
      </c>
      <c r="J218" s="1483">
        <f t="shared" si="35"/>
        <v>35.848215658894169</v>
      </c>
      <c r="K218" s="1481">
        <f>Summary!$J$56</f>
        <v>3.75</v>
      </c>
      <c r="L218">
        <f>Summary!$O$23</f>
        <v>3.75</v>
      </c>
      <c r="M218" s="1481">
        <f>Summary!$J$57</f>
        <v>1.75</v>
      </c>
      <c r="N218" s="1483">
        <f t="shared" si="29"/>
        <v>19.927938337346568</v>
      </c>
      <c r="O218" s="1481">
        <f t="shared" si="30"/>
        <v>10.677938337346568</v>
      </c>
      <c r="P218" s="1481">
        <f t="shared" si="31"/>
        <v>223708.37697920194</v>
      </c>
      <c r="Q218" s="1483">
        <f>IF(A218&lt;=Summary!$J$61,0.5*(P218),$Q$2*(P218))</f>
        <v>0</v>
      </c>
      <c r="R218" s="1481">
        <f>Summary!$J$58</f>
        <v>0.5</v>
      </c>
      <c r="S218" s="1481">
        <f t="shared" si="32"/>
        <v>43.848215658894169</v>
      </c>
      <c r="T218" s="1487">
        <f t="shared" si="33"/>
        <v>249896.52888545193</v>
      </c>
      <c r="U218" s="45">
        <f>Summary!$J$59</f>
        <v>0.12104878144800001</v>
      </c>
      <c r="V218" s="1487">
        <f>IF(A218&lt;=Summary!$J$61,(0.2*T218)+(R218*D218),(U218*T218)+(R218*D218))</f>
        <v>40724.931072168889</v>
      </c>
      <c r="W218" s="1536">
        <f t="shared" si="34"/>
        <v>1168539.5148799561</v>
      </c>
    </row>
    <row r="219" spans="1:23">
      <c r="A219" s="18">
        <v>43040</v>
      </c>
      <c r="B219" s="20">
        <f t="shared" si="28"/>
        <v>2017</v>
      </c>
      <c r="C219" s="1483">
        <f>CALC!HH231</f>
        <v>58.540263708227265</v>
      </c>
      <c r="D219" s="820">
        <f>IF(Summary!$O$109=0,CALC!HE231,0)</f>
        <v>20274.698250000001</v>
      </c>
      <c r="E219" s="820">
        <f>SUM(CALC!GU231:HB231)*CALC!CY231/1000</f>
        <v>91028.969530037648</v>
      </c>
      <c r="F219" s="1481">
        <f>Summary!$J$54</f>
        <v>0.15</v>
      </c>
      <c r="G219" s="1483">
        <f>VLOOKUP(A219,CURVES!AW220:$BS$283,16)</f>
        <v>4.1964169559651472</v>
      </c>
      <c r="H219" s="1481">
        <f>Summary!$J$60</f>
        <v>0.04</v>
      </c>
      <c r="I219" s="17">
        <f>Summary!$J$55</f>
        <v>8.5</v>
      </c>
      <c r="J219" s="1483">
        <f t="shared" si="35"/>
        <v>37.284544125703754</v>
      </c>
      <c r="K219" s="1481">
        <f>Summary!$J$56</f>
        <v>3.75</v>
      </c>
      <c r="L219">
        <f>Summary!$O$23</f>
        <v>3.75</v>
      </c>
      <c r="M219" s="1481">
        <f>Summary!$J$57</f>
        <v>1.75</v>
      </c>
      <c r="N219" s="1483">
        <f t="shared" si="29"/>
        <v>21.255719582523511</v>
      </c>
      <c r="O219" s="1481">
        <f t="shared" si="30"/>
        <v>12.005719582523511</v>
      </c>
      <c r="P219" s="1481">
        <f t="shared" si="31"/>
        <v>243412.34180978019</v>
      </c>
      <c r="Q219" s="1483">
        <f>IF(A219&lt;=Summary!$J$61,0.5*(P219),$Q$2*(P219))</f>
        <v>0</v>
      </c>
      <c r="R219" s="1481">
        <f>Summary!$J$58</f>
        <v>0.5</v>
      </c>
      <c r="S219" s="1481">
        <f t="shared" si="32"/>
        <v>45.284544125703754</v>
      </c>
      <c r="T219" s="1487">
        <f t="shared" si="33"/>
        <v>268755.71462228015</v>
      </c>
      <c r="U219" s="45">
        <f>Summary!$J$59</f>
        <v>0.12104878144800001</v>
      </c>
      <c r="V219" s="1487">
        <f>IF(A219&lt;=Summary!$J$61,(0.2*T219)+(R219*D219),(U219*T219)+(R219*D219))</f>
        <v>42669.900887213451</v>
      </c>
      <c r="W219" s="1536">
        <f t="shared" si="34"/>
        <v>1186886.182159734</v>
      </c>
    </row>
    <row r="220" spans="1:23">
      <c r="A220" s="18">
        <v>43070</v>
      </c>
      <c r="B220" s="20">
        <f t="shared" si="28"/>
        <v>2017</v>
      </c>
      <c r="C220" s="1483">
        <f>CALC!HH232</f>
        <v>56.55102799697503</v>
      </c>
      <c r="D220" s="820">
        <f>IF(Summary!$O$109=0,CALC!HE232,0)</f>
        <v>20950.521525</v>
      </c>
      <c r="E220" s="820">
        <f>SUM(CALC!GU232:HB232)*CALC!CY232/1000</f>
        <v>94088.044272284067</v>
      </c>
      <c r="F220" s="1481">
        <f>Summary!$J$54</f>
        <v>0.15</v>
      </c>
      <c r="G220" s="1483">
        <f>VLOOKUP(A220,CURVES!AW221:$BS$283,16)</f>
        <v>4.3749119762254471</v>
      </c>
      <c r="H220" s="1481">
        <f>Summary!$J$60</f>
        <v>0.04</v>
      </c>
      <c r="I220" s="17">
        <f>Summary!$J$55</f>
        <v>8.5</v>
      </c>
      <c r="J220" s="1483">
        <f t="shared" si="35"/>
        <v>38.801751797916303</v>
      </c>
      <c r="K220" s="1481">
        <f>Summary!$J$56</f>
        <v>3.75</v>
      </c>
      <c r="L220">
        <f>Summary!$O$23</f>
        <v>3.75</v>
      </c>
      <c r="M220" s="1481">
        <f>Summary!$J$57</f>
        <v>1.75</v>
      </c>
      <c r="N220" s="1483">
        <f t="shared" si="29"/>
        <v>17.749276199058727</v>
      </c>
      <c r="O220" s="1481">
        <f t="shared" si="30"/>
        <v>8.4992761990587269</v>
      </c>
      <c r="P220" s="1481">
        <f t="shared" si="31"/>
        <v>178064.26895530004</v>
      </c>
      <c r="Q220" s="1483">
        <f>IF(A220&lt;=Summary!$J$61,0.5*(P220),$Q$2*(P220))</f>
        <v>0</v>
      </c>
      <c r="R220" s="1481">
        <f>Summary!$J$58</f>
        <v>0.5</v>
      </c>
      <c r="S220" s="1481">
        <f t="shared" si="32"/>
        <v>46.801751797916303</v>
      </c>
      <c r="T220" s="1487">
        <f t="shared" si="33"/>
        <v>204252.42086155005</v>
      </c>
      <c r="U220" s="45">
        <f>Summary!$J$59</f>
        <v>0.12104878144800001</v>
      </c>
      <c r="V220" s="1487">
        <f>IF(A220&lt;=Summary!$J$61,(0.2*T220)+(R220*D220),(U220*T220)+(R220*D220))</f>
        <v>35199.767415594688</v>
      </c>
      <c r="W220" s="1536">
        <f t="shared" si="34"/>
        <v>1184773.5293115031</v>
      </c>
    </row>
    <row r="221" spans="1:23">
      <c r="A221" s="18">
        <v>43101</v>
      </c>
      <c r="B221" s="20">
        <f t="shared" si="28"/>
        <v>2018</v>
      </c>
      <c r="C221" s="1483">
        <f>CALC!HH233</f>
        <v>53.891432857558925</v>
      </c>
      <c r="D221" s="820">
        <f>IF(Summary!$O$109=0,CALC!HE233,0)</f>
        <v>20950.521524999996</v>
      </c>
      <c r="E221" s="820">
        <f>SUM(CALC!GU233:HB233)*CALC!CY233/1000</f>
        <v>94112.820030195886</v>
      </c>
      <c r="F221" s="1481">
        <f>Summary!$J$54</f>
        <v>0.15</v>
      </c>
      <c r="G221" s="1483">
        <f>VLOOKUP(A221,CURVES!AW222:$BS$283,16)</f>
        <v>4.1545292111481888</v>
      </c>
      <c r="H221" s="1481">
        <f>Summary!$J$60</f>
        <v>0.04</v>
      </c>
      <c r="I221" s="17">
        <f>Summary!$J$55</f>
        <v>8.5</v>
      </c>
      <c r="J221" s="1483">
        <f t="shared" si="35"/>
        <v>36.928498294759606</v>
      </c>
      <c r="K221" s="1481">
        <f>Summary!$J$56</f>
        <v>3.75</v>
      </c>
      <c r="L221">
        <f>Summary!$O$23</f>
        <v>3.75</v>
      </c>
      <c r="M221" s="1481">
        <f>Summary!$J$57</f>
        <v>1.75</v>
      </c>
      <c r="N221" s="1483">
        <f t="shared" si="29"/>
        <v>16.962934562799319</v>
      </c>
      <c r="O221" s="1481">
        <f t="shared" si="30"/>
        <v>7.7129345627993189</v>
      </c>
      <c r="P221" s="1481">
        <f t="shared" si="31"/>
        <v>161590.00157884357</v>
      </c>
      <c r="Q221" s="1483">
        <f>IF(A221&lt;=Summary!$J$61,0.5*(P221),$Q$2*(P221))</f>
        <v>0</v>
      </c>
      <c r="R221" s="1481">
        <f>Summary!$J$58</f>
        <v>0.5</v>
      </c>
      <c r="S221" s="1481">
        <f t="shared" si="32"/>
        <v>44.928498294759606</v>
      </c>
      <c r="T221" s="1487">
        <f t="shared" si="33"/>
        <v>187778.15348509356</v>
      </c>
      <c r="U221" s="45">
        <f>Summary!$J$59</f>
        <v>0.12104878144800001</v>
      </c>
      <c r="V221" s="1487">
        <f>IF(A221&lt;=Summary!$J$61,(0.2*T221)+(R221*D221),(U221*T221)+(R221*D221))</f>
        <v>33205.57742442609</v>
      </c>
      <c r="W221" s="1536">
        <f t="shared" si="34"/>
        <v>1129053.6240953803</v>
      </c>
    </row>
    <row r="222" spans="1:23">
      <c r="A222" s="18">
        <v>43132</v>
      </c>
      <c r="B222" s="20">
        <f t="shared" si="28"/>
        <v>2018</v>
      </c>
      <c r="C222" s="1483">
        <f>CALC!HH234</f>
        <v>42.222799694250256</v>
      </c>
      <c r="D222" s="820">
        <f>IF(Summary!$O$109=0,CALC!HE234,0)</f>
        <v>18923.051699999996</v>
      </c>
      <c r="E222" s="820">
        <f>SUM(CALC!GU234:HB234)*CALC!CY234/1000</f>
        <v>85027.505873129558</v>
      </c>
      <c r="F222" s="1481">
        <f>Summary!$J$54</f>
        <v>0.15</v>
      </c>
      <c r="G222" s="1483">
        <f>VLOOKUP(A222,CURVES!AW223:$BS$283,16)</f>
        <v>3.8371947763981322</v>
      </c>
      <c r="H222" s="1481">
        <f>Summary!$J$60</f>
        <v>0.04</v>
      </c>
      <c r="I222" s="17">
        <f>Summary!$J$55</f>
        <v>8.5</v>
      </c>
      <c r="J222" s="1483">
        <f t="shared" si="35"/>
        <v>34.231155599384124</v>
      </c>
      <c r="K222" s="1481">
        <f>Summary!$J$56</f>
        <v>3.75</v>
      </c>
      <c r="L222">
        <f>Summary!$O$23</f>
        <v>3.75</v>
      </c>
      <c r="M222" s="1481">
        <f>Summary!$J$57</f>
        <v>1.75</v>
      </c>
      <c r="N222" s="1483">
        <f t="shared" si="29"/>
        <v>7.9916440948661318</v>
      </c>
      <c r="O222" s="1481">
        <f t="shared" si="30"/>
        <v>0</v>
      </c>
      <c r="P222" s="1481">
        <f t="shared" si="31"/>
        <v>0</v>
      </c>
      <c r="Q222" s="1483">
        <f>IF(A222&lt;=Summary!$J$61,0.5*(P222),$Q$2*(P222))</f>
        <v>0</v>
      </c>
      <c r="R222" s="1481">
        <f>Summary!$J$58</f>
        <v>0.5</v>
      </c>
      <c r="S222" s="1481">
        <f t="shared" si="32"/>
        <v>42.231155599384124</v>
      </c>
      <c r="T222" s="1487">
        <f t="shared" si="33"/>
        <v>0</v>
      </c>
      <c r="U222" s="45">
        <f>Summary!$J$59</f>
        <v>0.12104878144800001</v>
      </c>
      <c r="V222" s="1487">
        <f>IF(A222&lt;=Summary!$J$61,(0.2*T222)+(R222*D222),(U222*T222)+(R222*D222))</f>
        <v>9461.5258499999982</v>
      </c>
      <c r="W222" s="1536">
        <f t="shared" si="34"/>
        <v>798984.22153304168</v>
      </c>
    </row>
    <row r="223" spans="1:23">
      <c r="A223" s="18">
        <v>43160</v>
      </c>
      <c r="B223" s="20">
        <f t="shared" si="28"/>
        <v>2018</v>
      </c>
      <c r="C223" s="1483">
        <f>CALC!HH235</f>
        <v>42.041034666217094</v>
      </c>
      <c r="D223" s="820">
        <f>IF(Summary!$O$109=0,CALC!HE235,0)</f>
        <v>20950.521524999996</v>
      </c>
      <c r="E223" s="820">
        <f>SUM(CALC!GU235:HB235)*CALC!CY235/1000</f>
        <v>94162.371546019567</v>
      </c>
      <c r="F223" s="1481">
        <f>Summary!$J$54</f>
        <v>0.15</v>
      </c>
      <c r="G223" s="1483">
        <f>VLOOKUP(A223,CURVES!AW224:$BS$283,16)</f>
        <v>3.6312009474917879</v>
      </c>
      <c r="H223" s="1481">
        <f>Summary!$J$60</f>
        <v>0.04</v>
      </c>
      <c r="I223" s="17">
        <f>Summary!$J$55</f>
        <v>8.5</v>
      </c>
      <c r="J223" s="1483">
        <f t="shared" si="35"/>
        <v>32.480208053680194</v>
      </c>
      <c r="K223" s="1481">
        <f>Summary!$J$56</f>
        <v>3.75</v>
      </c>
      <c r="L223">
        <f>Summary!$O$23</f>
        <v>3.75</v>
      </c>
      <c r="M223" s="1481">
        <f>Summary!$J$57</f>
        <v>1.75</v>
      </c>
      <c r="N223" s="1483">
        <f t="shared" si="29"/>
        <v>9.5608266125368999</v>
      </c>
      <c r="O223" s="1481">
        <f t="shared" si="30"/>
        <v>0.31082661253689992</v>
      </c>
      <c r="P223" s="1481">
        <f t="shared" si="31"/>
        <v>6511.9796364971553</v>
      </c>
      <c r="Q223" s="1483">
        <f>IF(A223&lt;=Summary!$J$61,0.5*(P223),$Q$2*(P223))</f>
        <v>0</v>
      </c>
      <c r="R223" s="1481">
        <f>Summary!$J$58</f>
        <v>0.5</v>
      </c>
      <c r="S223" s="1481">
        <f t="shared" si="32"/>
        <v>40.480208053680194</v>
      </c>
      <c r="T223" s="1487">
        <f t="shared" si="33"/>
        <v>32700.131542747153</v>
      </c>
      <c r="U223" s="45">
        <f>Summary!$J$59</f>
        <v>0.12104878144800001</v>
      </c>
      <c r="V223" s="1487">
        <f>IF(A223&lt;=Summary!$J$61,(0.2*T223)+(R223*D223),(U223*T223)+(R223*D223))</f>
        <v>14433.571838938849</v>
      </c>
      <c r="W223" s="1536">
        <f t="shared" si="34"/>
        <v>880781.60170785221</v>
      </c>
    </row>
    <row r="224" spans="1:23">
      <c r="A224" s="18">
        <v>43191</v>
      </c>
      <c r="B224" s="20">
        <f t="shared" si="28"/>
        <v>2018</v>
      </c>
      <c r="C224" s="1483">
        <f>CALC!HH236</f>
        <v>41.554211633757539</v>
      </c>
      <c r="D224" s="820">
        <f>IF(Summary!$O$109=0,CALC!HE236,0)</f>
        <v>20274.698250000001</v>
      </c>
      <c r="E224" s="820">
        <f>SUM(CALC!GU236:HB236)*CALC!CY236/1000</f>
        <v>91148.852229611046</v>
      </c>
      <c r="F224" s="1481">
        <f>Summary!$J$54</f>
        <v>0.15</v>
      </c>
      <c r="G224" s="1483">
        <f>VLOOKUP(A224,CURVES!AW225:$BS$283,16)</f>
        <v>3.5222623268530282</v>
      </c>
      <c r="H224" s="1481">
        <f>Summary!$J$60</f>
        <v>0.04</v>
      </c>
      <c r="I224" s="17">
        <f>Summary!$J$55</f>
        <v>8.5</v>
      </c>
      <c r="J224" s="1483">
        <f t="shared" si="35"/>
        <v>31.55422977825074</v>
      </c>
      <c r="K224" s="1481">
        <f>Summary!$J$56</f>
        <v>3.75</v>
      </c>
      <c r="L224">
        <f>Summary!$O$23</f>
        <v>3.75</v>
      </c>
      <c r="M224" s="1481">
        <f>Summary!$J$57</f>
        <v>1.75</v>
      </c>
      <c r="N224" s="1483">
        <f t="shared" si="29"/>
        <v>9.9999818555067996</v>
      </c>
      <c r="O224" s="1481">
        <f t="shared" si="30"/>
        <v>0.74998185550679963</v>
      </c>
      <c r="P224" s="1481">
        <f t="shared" si="31"/>
        <v>15205.655813375464</v>
      </c>
      <c r="Q224" s="1483">
        <f>IF(A224&lt;=Summary!$J$61,0.5*(P224),$Q$2*(P224))</f>
        <v>0</v>
      </c>
      <c r="R224" s="1481">
        <f>Summary!$J$58</f>
        <v>0.5</v>
      </c>
      <c r="S224" s="1481">
        <f t="shared" si="32"/>
        <v>39.554229778250743</v>
      </c>
      <c r="T224" s="1487">
        <f t="shared" si="33"/>
        <v>40549.028625875391</v>
      </c>
      <c r="U224" s="45">
        <f>Summary!$J$59</f>
        <v>0.12104878144800001</v>
      </c>
      <c r="V224" s="1487">
        <f>IF(A224&lt;=Summary!$J$61,(0.2*T224)+(R224*D224),(U224*T224)+(R224*D224))</f>
        <v>15045.759629062286</v>
      </c>
      <c r="W224" s="1536">
        <f t="shared" si="34"/>
        <v>842499.10189107363</v>
      </c>
    </row>
    <row r="225" spans="1:23">
      <c r="A225" s="18">
        <v>43221</v>
      </c>
      <c r="B225" s="20">
        <f t="shared" si="28"/>
        <v>2018</v>
      </c>
      <c r="C225" s="1483">
        <f>CALC!HH237</f>
        <v>44.518700136238522</v>
      </c>
      <c r="D225" s="820">
        <f>IF(Summary!$O$109=0,CALC!HE237,0)</f>
        <v>22276.5039</v>
      </c>
      <c r="E225" s="820">
        <f>SUM(CALC!GU237:HB237)*CALC!CY237/1000</f>
        <v>73731.07022231209</v>
      </c>
      <c r="F225" s="1481">
        <f>Summary!$J$54</f>
        <v>0.15</v>
      </c>
      <c r="G225" s="1483">
        <f>VLOOKUP(A225,CURVES!AW226:$BS$283,16)</f>
        <v>3.4956985139402561</v>
      </c>
      <c r="H225" s="1481">
        <f>Summary!$J$60</f>
        <v>0.04</v>
      </c>
      <c r="I225" s="17">
        <f>Summary!$J$55</f>
        <v>8.5</v>
      </c>
      <c r="J225" s="1483">
        <f t="shared" si="35"/>
        <v>31.328437368492175</v>
      </c>
      <c r="K225" s="1481">
        <f>Summary!$J$56</f>
        <v>3.75</v>
      </c>
      <c r="L225">
        <f>Summary!$O$23</f>
        <v>3.75</v>
      </c>
      <c r="M225" s="1481">
        <f>Summary!$J$57</f>
        <v>1.75</v>
      </c>
      <c r="N225" s="1483">
        <f t="shared" si="29"/>
        <v>13.190262767746347</v>
      </c>
      <c r="O225" s="1481">
        <f t="shared" si="30"/>
        <v>3.9402627677463471</v>
      </c>
      <c r="P225" s="1481">
        <f t="shared" si="31"/>
        <v>87775.278912726295</v>
      </c>
      <c r="Q225" s="1483">
        <f>IF(A225&lt;=Summary!$J$61,0.5*(P225),$Q$2*(P225))</f>
        <v>0</v>
      </c>
      <c r="R225" s="1481">
        <f>Summary!$J$58</f>
        <v>0.5</v>
      </c>
      <c r="S225" s="1481">
        <f t="shared" si="32"/>
        <v>39.328437368492175</v>
      </c>
      <c r="T225" s="1487">
        <f t="shared" si="33"/>
        <v>115620.90878772629</v>
      </c>
      <c r="U225" s="45">
        <f>Summary!$J$59</f>
        <v>0.12104878144800001</v>
      </c>
      <c r="V225" s="1487">
        <f>IF(A225&lt;=Summary!$J$61,(0.2*T225)+(R225*D225),(U225*T225)+(R225*D225))</f>
        <v>25134.022068664621</v>
      </c>
      <c r="W225" s="1536">
        <f t="shared" si="34"/>
        <v>991720.99720784789</v>
      </c>
    </row>
    <row r="226" spans="1:23">
      <c r="A226" s="18">
        <v>43252</v>
      </c>
      <c r="B226" s="20">
        <f t="shared" si="28"/>
        <v>2018</v>
      </c>
      <c r="C226" s="1483">
        <f>CALC!HH238</f>
        <v>46.294949515407033</v>
      </c>
      <c r="D226" s="820">
        <f>IF(Summary!$O$109=0,CALC!HE238,0)</f>
        <v>21557.906999999999</v>
      </c>
      <c r="E226" s="820">
        <f>SUM(CALC!GU238:HB238)*CALC!CY238/1000</f>
        <v>71371.412850866414</v>
      </c>
      <c r="F226" s="1481">
        <f>Summary!$J$54</f>
        <v>0.15</v>
      </c>
      <c r="G226" s="1483">
        <f>VLOOKUP(A226,CURVES!AW227:$BS$283,16)</f>
        <v>3.5379245338530239</v>
      </c>
      <c r="H226" s="1481">
        <f>Summary!$J$60</f>
        <v>0.04</v>
      </c>
      <c r="I226" s="17">
        <f>Summary!$J$55</f>
        <v>8.5</v>
      </c>
      <c r="J226" s="1483">
        <f t="shared" si="35"/>
        <v>31.687358537750704</v>
      </c>
      <c r="K226" s="1481">
        <f>Summary!$J$56</f>
        <v>3.75</v>
      </c>
      <c r="L226">
        <f>Summary!$O$23</f>
        <v>3.75</v>
      </c>
      <c r="M226" s="1481">
        <f>Summary!$J$57</f>
        <v>1.75</v>
      </c>
      <c r="N226" s="1483">
        <f t="shared" si="29"/>
        <v>14.607590977656329</v>
      </c>
      <c r="O226" s="1481">
        <f t="shared" si="30"/>
        <v>5.3575909776563293</v>
      </c>
      <c r="P226" s="1481">
        <f t="shared" si="31"/>
        <v>115498.44804035423</v>
      </c>
      <c r="Q226" s="1483">
        <f>IF(A226&lt;=Summary!$J$61,0.5*(P226),$Q$2*(P226))</f>
        <v>0</v>
      </c>
      <c r="R226" s="1481">
        <f>Summary!$J$58</f>
        <v>0.5</v>
      </c>
      <c r="S226" s="1481">
        <f t="shared" si="32"/>
        <v>39.687358537750704</v>
      </c>
      <c r="T226" s="1487">
        <f t="shared" si="33"/>
        <v>142445.83179035422</v>
      </c>
      <c r="U226" s="45">
        <f>Summary!$J$59</f>
        <v>0.12104878144800001</v>
      </c>
      <c r="V226" s="1487">
        <f>IF(A226&lt;=Summary!$J$61,(0.2*T226)+(R226*D226),(U226*T226)+(R226*D226))</f>
        <v>28021.84786056916</v>
      </c>
      <c r="W226" s="1536">
        <f t="shared" si="34"/>
        <v>998022.2162228399</v>
      </c>
    </row>
    <row r="227" spans="1:23">
      <c r="A227" s="18">
        <v>43282</v>
      </c>
      <c r="B227" s="20">
        <f t="shared" si="28"/>
        <v>2018</v>
      </c>
      <c r="C227" s="1483">
        <f>CALC!HH239</f>
        <v>61.405237933057975</v>
      </c>
      <c r="D227" s="820">
        <f>IF(Summary!$O$109=0,CALC!HE239,0)</f>
        <v>22276.5039</v>
      </c>
      <c r="E227" s="820">
        <f>SUM(CALC!GU239:HB239)*CALC!CY239/1000</f>
        <v>73769.849669478455</v>
      </c>
      <c r="F227" s="1481">
        <f>Summary!$J$54</f>
        <v>0.15</v>
      </c>
      <c r="G227" s="1483">
        <f>VLOOKUP(A227,CURVES!AW228:$BS$283,16)</f>
        <v>3.6344960416864582</v>
      </c>
      <c r="H227" s="1481">
        <f>Summary!$J$60</f>
        <v>0.04</v>
      </c>
      <c r="I227" s="17">
        <f>Summary!$J$55</f>
        <v>8.5</v>
      </c>
      <c r="J227" s="1483">
        <f t="shared" si="35"/>
        <v>32.508216354334891</v>
      </c>
      <c r="K227" s="1481">
        <f>Summary!$J$56</f>
        <v>3.75</v>
      </c>
      <c r="L227">
        <f>Summary!$O$23</f>
        <v>3.75</v>
      </c>
      <c r="M227" s="1481">
        <f>Summary!$J$57</f>
        <v>1.75</v>
      </c>
      <c r="N227" s="1483">
        <f t="shared" si="29"/>
        <v>28.897021578723084</v>
      </c>
      <c r="O227" s="1481">
        <f t="shared" si="30"/>
        <v>19.647021578723084</v>
      </c>
      <c r="P227" s="1481">
        <f t="shared" si="31"/>
        <v>437666.95282180893</v>
      </c>
      <c r="Q227" s="1483">
        <f>IF(A227&lt;=Summary!$J$61,0.5*(P227),$Q$2*(P227))</f>
        <v>0</v>
      </c>
      <c r="R227" s="1481">
        <f>Summary!$J$58</f>
        <v>0.5</v>
      </c>
      <c r="S227" s="1481">
        <f t="shared" si="32"/>
        <v>40.508216354334891</v>
      </c>
      <c r="T227" s="1487">
        <f t="shared" si="33"/>
        <v>465512.58269680891</v>
      </c>
      <c r="U227" s="45">
        <f>Summary!$J$59</f>
        <v>0.12104878144800001</v>
      </c>
      <c r="V227" s="1487">
        <f>IF(A227&lt;=Summary!$J$61,(0.2*T227)+(R227*D227),(U227*T227)+(R227*D227))</f>
        <v>67487.982834160051</v>
      </c>
      <c r="W227" s="1536">
        <f t="shared" si="34"/>
        <v>1367894.022296194</v>
      </c>
    </row>
    <row r="228" spans="1:23">
      <c r="A228" s="18">
        <v>43313</v>
      </c>
      <c r="B228" s="20">
        <f t="shared" si="28"/>
        <v>2018</v>
      </c>
      <c r="C228" s="1483">
        <f>CALC!HH240</f>
        <v>72.553233549014351</v>
      </c>
      <c r="D228" s="820">
        <f>IF(Summary!$O$109=0,CALC!HE240,0)</f>
        <v>22276.5039</v>
      </c>
      <c r="E228" s="820">
        <f>SUM(CALC!GU240:HB240)*CALC!CY240/1000</f>
        <v>73789.239393061638</v>
      </c>
      <c r="F228" s="1481">
        <f>Summary!$J$54</f>
        <v>0.15</v>
      </c>
      <c r="G228" s="1483">
        <f>VLOOKUP(A228,CURVES!AW229:$BS$283,16)</f>
        <v>3.7716476395909444</v>
      </c>
      <c r="H228" s="1481">
        <f>Summary!$J$60</f>
        <v>0.04</v>
      </c>
      <c r="I228" s="17">
        <f>Summary!$J$55</f>
        <v>8.5</v>
      </c>
      <c r="J228" s="1483">
        <f t="shared" si="35"/>
        <v>33.674004936523026</v>
      </c>
      <c r="K228" s="1481">
        <f>Summary!$J$56</f>
        <v>3.75</v>
      </c>
      <c r="L228">
        <f>Summary!$O$23</f>
        <v>3.75</v>
      </c>
      <c r="M228" s="1481">
        <f>Summary!$J$57</f>
        <v>1.75</v>
      </c>
      <c r="N228" s="1483">
        <f t="shared" si="29"/>
        <v>38.879228612491325</v>
      </c>
      <c r="O228" s="1481">
        <f t="shared" si="30"/>
        <v>29.629228612491325</v>
      </c>
      <c r="P228" s="1481">
        <f t="shared" si="31"/>
        <v>660035.62674015458</v>
      </c>
      <c r="Q228" s="1483">
        <f>IF(A228&lt;=Summary!$J$61,0.5*(P228),$Q$2*(P228))</f>
        <v>0</v>
      </c>
      <c r="R228" s="1481">
        <f>Summary!$J$58</f>
        <v>0.5</v>
      </c>
      <c r="S228" s="1481">
        <f t="shared" si="32"/>
        <v>41.674004936523026</v>
      </c>
      <c r="T228" s="1487">
        <f t="shared" si="33"/>
        <v>687881.25661515456</v>
      </c>
      <c r="U228" s="45">
        <f>Summary!$J$59</f>
        <v>0.12104878144800001</v>
      </c>
      <c r="V228" s="1487">
        <f>IF(A228&lt;=Summary!$J$61,(0.2*T228)+(R228*D228),(U228*T228)+(R228*D228))</f>
        <v>94405.439844183464</v>
      </c>
      <c r="W228" s="1536">
        <f t="shared" si="34"/>
        <v>1616232.3901122289</v>
      </c>
    </row>
    <row r="229" spans="1:23">
      <c r="A229" s="18">
        <v>43344</v>
      </c>
      <c r="B229" s="20">
        <f t="shared" si="28"/>
        <v>2018</v>
      </c>
      <c r="C229" s="1483">
        <f>CALC!HH241</f>
        <v>65.778244994508626</v>
      </c>
      <c r="D229" s="820">
        <f>IF(Summary!$O$109=0,CALC!HE241,0)</f>
        <v>21557.906999999999</v>
      </c>
      <c r="E229" s="820">
        <f>SUM(CALC!GU241:HB241)*CALC!CY241/1000</f>
        <v>71427.705596753032</v>
      </c>
      <c r="F229" s="1481">
        <f>Summary!$J$54</f>
        <v>0.15</v>
      </c>
      <c r="G229" s="1483">
        <f>VLOOKUP(A229,CURVES!AW230:$BS$283,16)</f>
        <v>3.934940070449378</v>
      </c>
      <c r="H229" s="1481">
        <f>Summary!$J$60</f>
        <v>0.04</v>
      </c>
      <c r="I229" s="17">
        <f>Summary!$J$55</f>
        <v>8.5</v>
      </c>
      <c r="J229" s="1483">
        <f t="shared" si="35"/>
        <v>35.061990598819719</v>
      </c>
      <c r="K229" s="1481">
        <f>Summary!$J$56</f>
        <v>3.75</v>
      </c>
      <c r="L229">
        <f>Summary!$O$23</f>
        <v>3.75</v>
      </c>
      <c r="M229" s="1481">
        <f>Summary!$J$57</f>
        <v>1.75</v>
      </c>
      <c r="N229" s="1483">
        <f t="shared" si="29"/>
        <v>30.716254395688907</v>
      </c>
      <c r="O229" s="1481">
        <f t="shared" si="30"/>
        <v>21.466254395688907</v>
      </c>
      <c r="P229" s="1481">
        <f t="shared" si="31"/>
        <v>462767.51590060262</v>
      </c>
      <c r="Q229" s="1483">
        <f>IF(A229&lt;=Summary!$J$61,0.5*(P229),$Q$2*(P229))</f>
        <v>0</v>
      </c>
      <c r="R229" s="1481">
        <f>Summary!$J$58</f>
        <v>0.5</v>
      </c>
      <c r="S229" s="1481">
        <f t="shared" si="32"/>
        <v>43.061990598819719</v>
      </c>
      <c r="T229" s="1487">
        <f t="shared" si="33"/>
        <v>489714.89965060266</v>
      </c>
      <c r="U229" s="45">
        <f>Summary!$J$59</f>
        <v>0.12104878144800001</v>
      </c>
      <c r="V229" s="1487">
        <f>IF(A229&lt;=Summary!$J$61,(0.2*T229)+(R229*D229),(U229*T229)+(R229*D229))</f>
        <v>70058.345359635059</v>
      </c>
      <c r="W229" s="1536">
        <f t="shared" si="34"/>
        <v>1418041.2882148323</v>
      </c>
    </row>
    <row r="230" spans="1:23">
      <c r="A230" s="18">
        <v>43374</v>
      </c>
      <c r="B230" s="20">
        <f t="shared" si="28"/>
        <v>2018</v>
      </c>
      <c r="C230" s="1483">
        <f>CALC!HH242</f>
        <v>54.80554771118296</v>
      </c>
      <c r="D230" s="820">
        <f>IF(Summary!$O$109=0,CALC!HE242,0)</f>
        <v>20950.521524999996</v>
      </c>
      <c r="E230" s="820">
        <f>SUM(CALC!GU242:HB242)*CALC!CY242/1000</f>
        <v>94335.801851402415</v>
      </c>
      <c r="F230" s="1481">
        <f>Summary!$J$54</f>
        <v>0.15</v>
      </c>
      <c r="G230" s="1483">
        <f>VLOOKUP(A230,CURVES!AW231:$BS$283,16)</f>
        <v>4.1098065123328711</v>
      </c>
      <c r="H230" s="1481">
        <f>Summary!$J$60</f>
        <v>0.04</v>
      </c>
      <c r="I230" s="17">
        <f>Summary!$J$55</f>
        <v>8.5</v>
      </c>
      <c r="J230" s="1483">
        <f t="shared" si="35"/>
        <v>36.548355354829411</v>
      </c>
      <c r="K230" s="1481">
        <f>Summary!$J$56</f>
        <v>3.75</v>
      </c>
      <c r="L230">
        <f>Summary!$O$23</f>
        <v>3.75</v>
      </c>
      <c r="M230" s="1481">
        <f>Summary!$J$57</f>
        <v>1.75</v>
      </c>
      <c r="N230" s="1483">
        <f t="shared" si="29"/>
        <v>18.257192356353549</v>
      </c>
      <c r="O230" s="1481">
        <f t="shared" si="30"/>
        <v>9.0071923563535492</v>
      </c>
      <c r="P230" s="1481">
        <f t="shared" si="31"/>
        <v>188705.37734160048</v>
      </c>
      <c r="Q230" s="1483">
        <f>IF(A230&lt;=Summary!$J$61,0.5*(P230),$Q$2*(P230))</f>
        <v>0</v>
      </c>
      <c r="R230" s="1481">
        <f>Summary!$J$58</f>
        <v>0.5</v>
      </c>
      <c r="S230" s="1481">
        <f t="shared" si="32"/>
        <v>44.548355354829411</v>
      </c>
      <c r="T230" s="1487">
        <f t="shared" si="33"/>
        <v>214893.52924785047</v>
      </c>
      <c r="U230" s="45">
        <f>Summary!$J$59</f>
        <v>0.12104878144800001</v>
      </c>
      <c r="V230" s="1487">
        <f>IF(A230&lt;=Summary!$J$61,(0.2*T230)+(R230*D230),(U230*T230)+(R230*D230))</f>
        <v>36487.860619012448</v>
      </c>
      <c r="W230" s="1536">
        <f t="shared" si="34"/>
        <v>1148204.8070125529</v>
      </c>
    </row>
    <row r="231" spans="1:23">
      <c r="A231" s="18">
        <v>43405</v>
      </c>
      <c r="B231" s="20">
        <f t="shared" si="28"/>
        <v>2018</v>
      </c>
      <c r="C231" s="1483">
        <f>CALC!HH243</f>
        <v>56.932392193617964</v>
      </c>
      <c r="D231" s="820">
        <f>IF(Summary!$O$109=0,CALC!HE243,0)</f>
        <v>20274.698250000001</v>
      </c>
      <c r="E231" s="820">
        <f>SUM(CALC!GU243:HB243)*CALC!CY243/1000</f>
        <v>91316.688009013786</v>
      </c>
      <c r="F231" s="1481">
        <f>Summary!$J$54</f>
        <v>0.15</v>
      </c>
      <c r="G231" s="1483">
        <f>VLOOKUP(A231,CURVES!AW232:$BS$283,16)</f>
        <v>4.2822423169491231</v>
      </c>
      <c r="H231" s="1481">
        <f>Summary!$J$60</f>
        <v>0.04</v>
      </c>
      <c r="I231" s="17">
        <f>Summary!$J$55</f>
        <v>8.5</v>
      </c>
      <c r="J231" s="1483">
        <f t="shared" si="35"/>
        <v>38.014059694067548</v>
      </c>
      <c r="K231" s="1481">
        <f>Summary!$J$56</f>
        <v>3.75</v>
      </c>
      <c r="L231">
        <f>Summary!$O$23</f>
        <v>3.75</v>
      </c>
      <c r="M231" s="1481">
        <f>Summary!$J$57</f>
        <v>1.75</v>
      </c>
      <c r="N231" s="1483">
        <f t="shared" si="29"/>
        <v>18.918332499550417</v>
      </c>
      <c r="O231" s="1481">
        <f t="shared" si="30"/>
        <v>9.6683324995504165</v>
      </c>
      <c r="P231" s="1481">
        <f t="shared" si="31"/>
        <v>196022.52400905296</v>
      </c>
      <c r="Q231" s="1483">
        <f>IF(A231&lt;=Summary!$J$61,0.5*(P231),$Q$2*(P231))</f>
        <v>0</v>
      </c>
      <c r="R231" s="1481">
        <f>Summary!$J$58</f>
        <v>0.5</v>
      </c>
      <c r="S231" s="1481">
        <f t="shared" si="32"/>
        <v>46.014059694067548</v>
      </c>
      <c r="T231" s="1487">
        <f t="shared" si="33"/>
        <v>221365.89682155297</v>
      </c>
      <c r="U231" s="45">
        <f>Summary!$J$59</f>
        <v>0.12104878144800001</v>
      </c>
      <c r="V231" s="1487">
        <f>IF(A231&lt;=Summary!$J$61,(0.2*T231)+(R231*D231),(U231*T231)+(R231*D231))</f>
        <v>36933.421189392684</v>
      </c>
      <c r="W231" s="1536">
        <f t="shared" si="34"/>
        <v>1154287.0723762598</v>
      </c>
    </row>
    <row r="232" spans="1:23">
      <c r="A232" s="18">
        <v>43435</v>
      </c>
      <c r="B232" s="20">
        <f t="shared" si="28"/>
        <v>2018</v>
      </c>
      <c r="C232" s="1483">
        <f>CALC!HH244</f>
        <v>58.926497018828094</v>
      </c>
      <c r="D232" s="820">
        <f>IF(Summary!$O$109=0,CALC!HE244,0)</f>
        <v>20950.521525</v>
      </c>
      <c r="E232" s="820">
        <f>SUM(CALC!GU244:HB244)*CALC!CY244/1000</f>
        <v>94385.353367226096</v>
      </c>
      <c r="F232" s="1481">
        <f>Summary!$J$54</f>
        <v>0.15</v>
      </c>
      <c r="G232" s="1483">
        <f>VLOOKUP(A232,CURVES!AW233:$BS$283,16)</f>
        <v>4.464387927631785</v>
      </c>
      <c r="H232" s="1481">
        <f>Summary!$J$60</f>
        <v>0.04</v>
      </c>
      <c r="I232" s="17">
        <f>Summary!$J$55</f>
        <v>8.5</v>
      </c>
      <c r="J232" s="1483">
        <f t="shared" si="35"/>
        <v>39.562297384870178</v>
      </c>
      <c r="K232" s="1481">
        <f>Summary!$J$56</f>
        <v>3.75</v>
      </c>
      <c r="L232">
        <f>Summary!$O$23</f>
        <v>3.75</v>
      </c>
      <c r="M232" s="1481">
        <f>Summary!$J$57</f>
        <v>1.75</v>
      </c>
      <c r="N232" s="1483">
        <f t="shared" si="29"/>
        <v>19.364199633957917</v>
      </c>
      <c r="O232" s="1481">
        <f t="shared" si="30"/>
        <v>10.114199633957917</v>
      </c>
      <c r="P232" s="1481">
        <f t="shared" si="31"/>
        <v>211897.75713938245</v>
      </c>
      <c r="Q232" s="1483">
        <f>IF(A232&lt;=Summary!$J$61,0.5*(P232),$Q$2*(P232))</f>
        <v>0</v>
      </c>
      <c r="R232" s="1481">
        <f>Summary!$J$58</f>
        <v>0.5</v>
      </c>
      <c r="S232" s="1481">
        <f t="shared" si="32"/>
        <v>47.562297384870178</v>
      </c>
      <c r="T232" s="1487">
        <f t="shared" si="33"/>
        <v>238085.90904563246</v>
      </c>
      <c r="U232" s="45">
        <f>Summary!$J$59</f>
        <v>0.12104878144800001</v>
      </c>
      <c r="V232" s="1487">
        <f>IF(A232&lt;=Summary!$J$61,(0.2*T232)+(R232*D232),(U232*T232)+(R232*D232))</f>
        <v>39295.269932413175</v>
      </c>
      <c r="W232" s="1536">
        <f t="shared" si="34"/>
        <v>1234540.8441858063</v>
      </c>
    </row>
    <row r="233" spans="1:23">
      <c r="A233" s="18">
        <v>43466</v>
      </c>
      <c r="B233" s="20">
        <f t="shared" si="28"/>
        <v>2019</v>
      </c>
      <c r="C233" s="1483">
        <f>CALC!HH245</f>
        <v>58.87257903805812</v>
      </c>
      <c r="D233" s="820">
        <f>IF(Summary!$O$109=0,CALC!HE245,0)</f>
        <v>20950.521524999996</v>
      </c>
      <c r="E233" s="820">
        <f>SUM(CALC!GU245:HB245)*CALC!CY245/1000</f>
        <v>94410.12912513793</v>
      </c>
      <c r="F233" s="1481">
        <f>Summary!$J$54</f>
        <v>0.15</v>
      </c>
      <c r="G233" s="1483">
        <f>VLOOKUP(A233,CURVES!AW234:$BS$283,16)</f>
        <v>4.2552611917118242</v>
      </c>
      <c r="H233" s="1481">
        <f>Summary!$J$60</f>
        <v>0.04</v>
      </c>
      <c r="I233" s="17">
        <f>Summary!$J$55</f>
        <v>8.5</v>
      </c>
      <c r="J233" s="1483">
        <f t="shared" si="35"/>
        <v>37.784720129550507</v>
      </c>
      <c r="K233" s="1481">
        <f>Summary!$J$56</f>
        <v>3.75</v>
      </c>
      <c r="L233">
        <f>Summary!$O$23</f>
        <v>3.75</v>
      </c>
      <c r="M233" s="1481">
        <f>Summary!$J$57</f>
        <v>1.75</v>
      </c>
      <c r="N233" s="1483">
        <f t="shared" si="29"/>
        <v>21.087858908507613</v>
      </c>
      <c r="O233" s="1481">
        <f t="shared" si="30"/>
        <v>11.837858908507613</v>
      </c>
      <c r="P233" s="1481">
        <f t="shared" si="31"/>
        <v>248009.31787260171</v>
      </c>
      <c r="Q233" s="1483">
        <f>IF(A233&lt;=Summary!$J$61,0.5*(P233),$Q$2*(P233))</f>
        <v>0</v>
      </c>
      <c r="R233" s="1481">
        <f>Summary!$J$58</f>
        <v>0.5</v>
      </c>
      <c r="S233" s="1481">
        <f t="shared" si="32"/>
        <v>45.784720129550507</v>
      </c>
      <c r="T233" s="1487">
        <f t="shared" si="33"/>
        <v>274197.46977885172</v>
      </c>
      <c r="U233" s="45">
        <f>Summary!$J$59</f>
        <v>0.12104878144800001</v>
      </c>
      <c r="V233" s="1487">
        <f>IF(A233&lt;=Summary!$J$61,(0.2*T233)+(R233*D233),(U233*T233)+(R233*D233))</f>
        <v>43666.5303553548</v>
      </c>
      <c r="W233" s="1536">
        <f t="shared" si="34"/>
        <v>1233411.2343691003</v>
      </c>
    </row>
    <row r="234" spans="1:23">
      <c r="A234" s="18">
        <v>43497</v>
      </c>
      <c r="B234" s="20">
        <f t="shared" si="28"/>
        <v>2019</v>
      </c>
      <c r="C234" s="1483">
        <f>CALC!HH246</f>
        <v>45.974727708169446</v>
      </c>
      <c r="D234" s="820">
        <f>IF(Summary!$O$109=0,CALC!HE246,0)</f>
        <v>18923.051699999996</v>
      </c>
      <c r="E234" s="820">
        <f>SUM(CALC!GU246:HB246)*CALC!CY246/1000</f>
        <v>85296.04312017397</v>
      </c>
      <c r="F234" s="1481">
        <f>Summary!$J$54</f>
        <v>0.15</v>
      </c>
      <c r="G234" s="1483">
        <f>VLOOKUP(A234,CURVES!AW235:$BS$283,16)</f>
        <v>3.9302325696089291</v>
      </c>
      <c r="H234" s="1481">
        <f>Summary!$J$60</f>
        <v>0.04</v>
      </c>
      <c r="I234" s="17">
        <f>Summary!$J$55</f>
        <v>8.5</v>
      </c>
      <c r="J234" s="1483">
        <f t="shared" si="35"/>
        <v>35.021976841675901</v>
      </c>
      <c r="K234" s="1481">
        <f>Summary!$J$56</f>
        <v>3.75</v>
      </c>
      <c r="L234">
        <f>Summary!$O$23</f>
        <v>3.75</v>
      </c>
      <c r="M234" s="1481">
        <f>Summary!$J$57</f>
        <v>1.75</v>
      </c>
      <c r="N234" s="1483">
        <f t="shared" si="29"/>
        <v>10.952750866493545</v>
      </c>
      <c r="O234" s="1481">
        <f t="shared" si="30"/>
        <v>1.7027508664935453</v>
      </c>
      <c r="P234" s="1481">
        <f t="shared" si="31"/>
        <v>32221.242678877152</v>
      </c>
      <c r="Q234" s="1483">
        <f>IF(A234&lt;=Summary!$J$61,0.5*(P234),$Q$2*(P234))</f>
        <v>0</v>
      </c>
      <c r="R234" s="1481">
        <f>Summary!$J$58</f>
        <v>0.5</v>
      </c>
      <c r="S234" s="1481">
        <f t="shared" si="32"/>
        <v>43.021976841675901</v>
      </c>
      <c r="T234" s="1487">
        <f t="shared" si="33"/>
        <v>55875.057303877147</v>
      </c>
      <c r="U234" s="45">
        <f>Summary!$J$59</f>
        <v>0.12104878144800001</v>
      </c>
      <c r="V234" s="1487">
        <f>IF(A234&lt;=Summary!$J$61,(0.2*T234)+(R234*D234),(U234*T234)+(R234*D234))</f>
        <v>16225.133449971499</v>
      </c>
      <c r="W234" s="1536">
        <f t="shared" si="34"/>
        <v>869982.14931511274</v>
      </c>
    </row>
    <row r="235" spans="1:23">
      <c r="A235" s="18">
        <v>43525</v>
      </c>
      <c r="B235" s="20">
        <f t="shared" si="28"/>
        <v>2019</v>
      </c>
      <c r="C235" s="1483">
        <f>CALC!HH247</f>
        <v>42.204269690244921</v>
      </c>
      <c r="D235" s="820">
        <f>IF(Summary!$O$109=0,CALC!HE247,0)</f>
        <v>20950.521525</v>
      </c>
      <c r="E235" s="820">
        <f>SUM(CALC!GU247:HB247)*CALC!CY247/1000</f>
        <v>94459.680640961611</v>
      </c>
      <c r="F235" s="1481">
        <f>Summary!$J$54</f>
        <v>0.15</v>
      </c>
      <c r="G235" s="1483">
        <f>VLOOKUP(A235,CURVES!AW236:$BS$283,16)</f>
        <v>3.7192441515891077</v>
      </c>
      <c r="H235" s="1481">
        <f>Summary!$J$60</f>
        <v>0.04</v>
      </c>
      <c r="I235" s="17">
        <f>Summary!$J$55</f>
        <v>8.5</v>
      </c>
      <c r="J235" s="1483">
        <f t="shared" si="35"/>
        <v>33.228575288507415</v>
      </c>
      <c r="K235" s="1481">
        <f>Summary!$J$56</f>
        <v>3.75</v>
      </c>
      <c r="L235">
        <f>Summary!$O$23</f>
        <v>3.75</v>
      </c>
      <c r="M235" s="1481">
        <f>Summary!$J$57</f>
        <v>1.75</v>
      </c>
      <c r="N235" s="1483">
        <f t="shared" si="29"/>
        <v>8.9756944017375062</v>
      </c>
      <c r="O235" s="1481">
        <f t="shared" si="30"/>
        <v>0</v>
      </c>
      <c r="P235" s="1481">
        <f t="shared" si="31"/>
        <v>0</v>
      </c>
      <c r="Q235" s="1483">
        <f>IF(A235&lt;=Summary!$J$61,0.5*(P235),$Q$2*(P235))</f>
        <v>0</v>
      </c>
      <c r="R235" s="1481">
        <f>Summary!$J$58</f>
        <v>0.5</v>
      </c>
      <c r="S235" s="1481">
        <f t="shared" si="32"/>
        <v>41.228575288507415</v>
      </c>
      <c r="T235" s="1487">
        <f t="shared" si="33"/>
        <v>20441.30656542362</v>
      </c>
      <c r="U235" s="45">
        <f>Summary!$J$59</f>
        <v>0.12104878144800001</v>
      </c>
      <c r="V235" s="1487">
        <f>IF(A235&lt;=Summary!$J$61,(0.2*T235)+(R235*D235),(U235*T235)+(R235*D235))</f>
        <v>12949.656013449532</v>
      </c>
      <c r="W235" s="1536">
        <f t="shared" si="34"/>
        <v>884201.46059238131</v>
      </c>
    </row>
    <row r="236" spans="1:23">
      <c r="A236" s="18">
        <v>43556</v>
      </c>
      <c r="B236" s="20">
        <f t="shared" si="28"/>
        <v>2019</v>
      </c>
      <c r="C236" s="1483">
        <f>CALC!HH248</f>
        <v>41.962509741096412</v>
      </c>
      <c r="D236" s="820">
        <f>IF(Summary!$O$109=0,CALC!HE248,0)</f>
        <v>20274.698249999998</v>
      </c>
      <c r="E236" s="820">
        <f>SUM(CALC!GU248:HB248)*CALC!CY248/1000</f>
        <v>91436.570708587184</v>
      </c>
      <c r="F236" s="1481">
        <f>Summary!$J$54</f>
        <v>0.15</v>
      </c>
      <c r="G236" s="1483">
        <f>VLOOKUP(A236,CURVES!AW237:$BS$283,16)</f>
        <v>3.6076641719758178</v>
      </c>
      <c r="H236" s="1481">
        <f>Summary!$J$60</f>
        <v>0.04</v>
      </c>
      <c r="I236" s="17">
        <f>Summary!$J$55</f>
        <v>8.5</v>
      </c>
      <c r="J236" s="1483">
        <f t="shared" si="35"/>
        <v>32.280145461794447</v>
      </c>
      <c r="K236" s="1481">
        <f>Summary!$J$56</f>
        <v>3.75</v>
      </c>
      <c r="L236">
        <f>Summary!$O$23</f>
        <v>3.75</v>
      </c>
      <c r="M236" s="1481">
        <f>Summary!$J$57</f>
        <v>1.75</v>
      </c>
      <c r="N236" s="1483">
        <f t="shared" si="29"/>
        <v>9.6823642793019644</v>
      </c>
      <c r="O236" s="1481">
        <f t="shared" si="30"/>
        <v>0.43236427930196442</v>
      </c>
      <c r="P236" s="1481">
        <f t="shared" si="31"/>
        <v>8766.055296926048</v>
      </c>
      <c r="Q236" s="1483">
        <f>IF(A236&lt;=Summary!$J$61,0.5*(P236),$Q$2*(P236))</f>
        <v>0</v>
      </c>
      <c r="R236" s="1481">
        <f>Summary!$J$58</f>
        <v>0.5</v>
      </c>
      <c r="S236" s="1481">
        <f t="shared" si="32"/>
        <v>40.280145461794447</v>
      </c>
      <c r="T236" s="1487">
        <f t="shared" si="33"/>
        <v>34109.428109426044</v>
      </c>
      <c r="U236" s="45">
        <f>Summary!$J$59</f>
        <v>0.12104878144800001</v>
      </c>
      <c r="V236" s="1487">
        <f>IF(A236&lt;=Summary!$J$61,(0.2*T236)+(R236*D236),(U236*T236)+(R236*D236))</f>
        <v>14266.25383353418</v>
      </c>
      <c r="W236" s="1536">
        <f t="shared" si="34"/>
        <v>850777.22281341522</v>
      </c>
    </row>
    <row r="237" spans="1:23">
      <c r="A237" s="18">
        <v>43586</v>
      </c>
      <c r="B237" s="20">
        <f t="shared" si="28"/>
        <v>2019</v>
      </c>
      <c r="C237" s="1483">
        <f>CALC!HH249</f>
        <v>46.087052329554368</v>
      </c>
      <c r="D237" s="820">
        <f>IF(Summary!$O$109=0,CALC!HE249,0)</f>
        <v>22276.5039</v>
      </c>
      <c r="E237" s="820">
        <f>SUM(CALC!GU249:HB249)*CALC!CY249/1000</f>
        <v>73963.74690531021</v>
      </c>
      <c r="F237" s="1481">
        <f>Summary!$J$54</f>
        <v>0.15</v>
      </c>
      <c r="G237" s="1483">
        <f>VLOOKUP(A237,CURVES!AW238:$BS$283,16)</f>
        <v>3.5804562847648449</v>
      </c>
      <c r="H237" s="1481">
        <f>Summary!$J$60</f>
        <v>0.04</v>
      </c>
      <c r="I237" s="17">
        <f>Summary!$J$55</f>
        <v>8.5</v>
      </c>
      <c r="J237" s="1483">
        <f t="shared" si="35"/>
        <v>32.048878420501183</v>
      </c>
      <c r="K237" s="1481">
        <f>Summary!$J$56</f>
        <v>3.75</v>
      </c>
      <c r="L237">
        <f>Summary!$O$23</f>
        <v>3.75</v>
      </c>
      <c r="M237" s="1481">
        <f>Summary!$J$57</f>
        <v>1.75</v>
      </c>
      <c r="N237" s="1483">
        <f t="shared" si="29"/>
        <v>14.038173909053185</v>
      </c>
      <c r="O237" s="1481">
        <f t="shared" si="30"/>
        <v>4.7881739090531852</v>
      </c>
      <c r="P237" s="1481">
        <f t="shared" si="31"/>
        <v>106663.77475890152</v>
      </c>
      <c r="Q237" s="1483">
        <f>IF(A237&lt;=Summary!$J$61,0.5*(P237),$Q$2*(P237))</f>
        <v>0</v>
      </c>
      <c r="R237" s="1481">
        <f>Summary!$J$58</f>
        <v>0.5</v>
      </c>
      <c r="S237" s="1481">
        <f t="shared" si="32"/>
        <v>40.048878420501183</v>
      </c>
      <c r="T237" s="1487">
        <f t="shared" si="33"/>
        <v>134509.40463390152</v>
      </c>
      <c r="U237" s="45">
        <f>Summary!$J$59</f>
        <v>0.12104878144800001</v>
      </c>
      <c r="V237" s="1487">
        <f>IF(A237&lt;=Summary!$J$61,(0.2*T237)+(R237*D237),(U237*T237)+(R237*D237))</f>
        <v>27420.451474229743</v>
      </c>
      <c r="W237" s="1536">
        <f t="shared" si="34"/>
        <v>1026658.400958822</v>
      </c>
    </row>
    <row r="238" spans="1:23">
      <c r="A238" s="18">
        <v>43617</v>
      </c>
      <c r="B238" s="20">
        <f t="shared" si="28"/>
        <v>2019</v>
      </c>
      <c r="C238" s="1483">
        <f>CALC!HH250</f>
        <v>46.720122174753364</v>
      </c>
      <c r="D238" s="820">
        <f>IF(Summary!$O$109=0,CALC!HE250,0)</f>
        <v>21557.906999999999</v>
      </c>
      <c r="E238" s="820">
        <f>SUM(CALC!GU250:HB250)*CALC!CY250/1000</f>
        <v>71596.583834412973</v>
      </c>
      <c r="F238" s="1481">
        <f>Summary!$J$54</f>
        <v>0.15</v>
      </c>
      <c r="G238" s="1483">
        <f>VLOOKUP(A238,CURVES!AW239:$BS$283,16)</f>
        <v>3.623706129616842</v>
      </c>
      <c r="H238" s="1481">
        <f>Summary!$J$60</f>
        <v>0.04</v>
      </c>
      <c r="I238" s="17">
        <f>Summary!$J$55</f>
        <v>8.5</v>
      </c>
      <c r="J238" s="1483">
        <f t="shared" si="35"/>
        <v>32.416502101743156</v>
      </c>
      <c r="K238" s="1481">
        <f>Summary!$J$56</f>
        <v>3.75</v>
      </c>
      <c r="L238">
        <f>Summary!$O$23</f>
        <v>3.75</v>
      </c>
      <c r="M238" s="1481">
        <f>Summary!$J$57</f>
        <v>1.75</v>
      </c>
      <c r="N238" s="1483">
        <f t="shared" si="29"/>
        <v>14.303620073010208</v>
      </c>
      <c r="O238" s="1481">
        <f t="shared" si="30"/>
        <v>5.0536200730102081</v>
      </c>
      <c r="P238" s="1481">
        <f t="shared" si="31"/>
        <v>108945.47154728728</v>
      </c>
      <c r="Q238" s="1483">
        <f>IF(A238&lt;=Summary!$J$61,0.5*(P238),$Q$2*(P238))</f>
        <v>0</v>
      </c>
      <c r="R238" s="1481">
        <f>Summary!$J$58</f>
        <v>0.5</v>
      </c>
      <c r="S238" s="1481">
        <f t="shared" si="32"/>
        <v>40.416502101743156</v>
      </c>
      <c r="T238" s="1487">
        <f t="shared" si="33"/>
        <v>135892.85529728729</v>
      </c>
      <c r="U238" s="45">
        <f>Summary!$J$59</f>
        <v>0.12104878144800001</v>
      </c>
      <c r="V238" s="1487">
        <f>IF(A238&lt;=Summary!$J$61,(0.2*T238)+(R238*D238),(U238*T238)+(R238*D238))</f>
        <v>27228.618041226018</v>
      </c>
      <c r="W238" s="1536">
        <f t="shared" si="34"/>
        <v>1007188.0488719707</v>
      </c>
    </row>
    <row r="239" spans="1:23">
      <c r="A239" s="18">
        <v>43647</v>
      </c>
      <c r="B239" s="20">
        <f t="shared" si="28"/>
        <v>2019</v>
      </c>
      <c r="C239" s="1483">
        <f>CALC!HH251</f>
        <v>63.235691833782433</v>
      </c>
      <c r="D239" s="820">
        <f>IF(Summary!$O$109=0,CALC!HE251,0)</f>
        <v>22276.5039</v>
      </c>
      <c r="E239" s="820">
        <f>SUM(CALC!GU251:HB251)*CALC!CY251/1000</f>
        <v>74002.526352476561</v>
      </c>
      <c r="F239" s="1481">
        <f>Summary!$J$54</f>
        <v>0.15</v>
      </c>
      <c r="G239" s="1483">
        <f>VLOOKUP(A239,CURVES!AW240:$BS$283,16)</f>
        <v>3.7226191396411807</v>
      </c>
      <c r="H239" s="1481">
        <f>Summary!$J$60</f>
        <v>0.04</v>
      </c>
      <c r="I239" s="17">
        <f>Summary!$J$55</f>
        <v>8.5</v>
      </c>
      <c r="J239" s="1483">
        <f t="shared" si="35"/>
        <v>33.257262686950035</v>
      </c>
      <c r="K239" s="1481">
        <f>Summary!$J$56</f>
        <v>3.75</v>
      </c>
      <c r="L239">
        <f>Summary!$O$23</f>
        <v>3.75</v>
      </c>
      <c r="M239" s="1481">
        <f>Summary!$J$57</f>
        <v>1.75</v>
      </c>
      <c r="N239" s="1483">
        <f t="shared" si="29"/>
        <v>29.978429146832397</v>
      </c>
      <c r="O239" s="1481">
        <f t="shared" si="30"/>
        <v>20.728429146832397</v>
      </c>
      <c r="P239" s="1481">
        <f t="shared" si="31"/>
        <v>461756.93273028557</v>
      </c>
      <c r="Q239" s="1483">
        <f>IF(A239&lt;=Summary!$J$61,0.5*(P239),$Q$2*(P239))</f>
        <v>0</v>
      </c>
      <c r="R239" s="1481">
        <f>Summary!$J$58</f>
        <v>0.5</v>
      </c>
      <c r="S239" s="1481">
        <f t="shared" si="32"/>
        <v>41.257262686950035</v>
      </c>
      <c r="T239" s="1487">
        <f t="shared" si="33"/>
        <v>489602.56260528555</v>
      </c>
      <c r="U239" s="45">
        <f>Summary!$J$59</f>
        <v>0.12104878144800001</v>
      </c>
      <c r="V239" s="1487">
        <f>IF(A239&lt;=Summary!$J$61,(0.2*T239)+(R239*D239),(U239*T239)+(R239*D239))</f>
        <v>70404.045547187954</v>
      </c>
      <c r="W239" s="1536">
        <f t="shared" si="34"/>
        <v>1408670.1357544526</v>
      </c>
    </row>
    <row r="240" spans="1:23">
      <c r="A240" s="18">
        <v>43678</v>
      </c>
      <c r="B240" s="20">
        <f t="shared" si="28"/>
        <v>2019</v>
      </c>
      <c r="C240" s="1483">
        <f>CALC!HH252</f>
        <v>76.32853530920967</v>
      </c>
      <c r="D240" s="820">
        <f>IF(Summary!$O$109=0,CALC!HE252,0)</f>
        <v>22276.503900000003</v>
      </c>
      <c r="E240" s="820">
        <f>SUM(CALC!GU252:HB252)*CALC!CY252/1000</f>
        <v>74021.916076059759</v>
      </c>
      <c r="F240" s="1481">
        <f>Summary!$J$54</f>
        <v>0.15</v>
      </c>
      <c r="G240" s="1483">
        <f>VLOOKUP(A240,CURVES!AW241:$BS$283,16)</f>
        <v>3.8630961569595716</v>
      </c>
      <c r="H240" s="1481">
        <f>Summary!$J$60</f>
        <v>0.04</v>
      </c>
      <c r="I240" s="17">
        <f>Summary!$J$55</f>
        <v>8.5</v>
      </c>
      <c r="J240" s="1483">
        <f t="shared" si="35"/>
        <v>34.451317334156357</v>
      </c>
      <c r="K240" s="1481">
        <f>Summary!$J$56</f>
        <v>3.75</v>
      </c>
      <c r="L240">
        <f>Summary!$O$23</f>
        <v>3.75</v>
      </c>
      <c r="M240" s="1481">
        <f>Summary!$J$57</f>
        <v>1.75</v>
      </c>
      <c r="N240" s="1483">
        <f t="shared" si="29"/>
        <v>41.877217975053313</v>
      </c>
      <c r="O240" s="1481">
        <f t="shared" si="30"/>
        <v>32.627217975053313</v>
      </c>
      <c r="P240" s="1481">
        <f t="shared" si="31"/>
        <v>726820.34846742533</v>
      </c>
      <c r="Q240" s="1483">
        <f>IF(A240&lt;=Summary!$J$61,0.5*(P240),$Q$2*(P240))</f>
        <v>0</v>
      </c>
      <c r="R240" s="1481">
        <f>Summary!$J$58</f>
        <v>0.5</v>
      </c>
      <c r="S240" s="1481">
        <f t="shared" si="32"/>
        <v>42.451317334156357</v>
      </c>
      <c r="T240" s="1487">
        <f t="shared" si="33"/>
        <v>754665.97834242531</v>
      </c>
      <c r="U240" s="45">
        <f>Summary!$J$59</f>
        <v>0.12104878144800001</v>
      </c>
      <c r="V240" s="1487">
        <f>IF(A240&lt;=Summary!$J$61,(0.2*T240)+(R240*D240),(U240*T240)+(R240*D240))</f>
        <v>102489.64902861335</v>
      </c>
      <c r="W240" s="1536">
        <f t="shared" si="34"/>
        <v>1700332.9144968973</v>
      </c>
    </row>
    <row r="241" spans="1:23">
      <c r="A241" s="18">
        <v>43709</v>
      </c>
      <c r="B241" s="20">
        <f t="shared" si="28"/>
        <v>2019</v>
      </c>
      <c r="C241" s="1483">
        <f>CALC!HH253</f>
        <v>67.286175504539372</v>
      </c>
      <c r="D241" s="820">
        <f>IF(Summary!$O$109=0,CALC!HE253,0)</f>
        <v>21557.906999999999</v>
      </c>
      <c r="E241" s="820">
        <f>SUM(CALC!GU253:HB253)*CALC!CY253/1000</f>
        <v>71652.876580299591</v>
      </c>
      <c r="F241" s="1481">
        <f>Summary!$J$54</f>
        <v>0.15</v>
      </c>
      <c r="G241" s="1483">
        <f>VLOOKUP(A241,CURVES!AW242:$BS$283,16)</f>
        <v>4.0303478258292058</v>
      </c>
      <c r="H241" s="1481">
        <f>Summary!$J$60</f>
        <v>0.04</v>
      </c>
      <c r="I241" s="17">
        <f>Summary!$J$55</f>
        <v>8.5</v>
      </c>
      <c r="J241" s="1483">
        <f t="shared" si="35"/>
        <v>35.872956519548254</v>
      </c>
      <c r="K241" s="1481">
        <f>Summary!$J$56</f>
        <v>3.75</v>
      </c>
      <c r="L241">
        <f>Summary!$O$23</f>
        <v>3.75</v>
      </c>
      <c r="M241" s="1481">
        <f>Summary!$J$57</f>
        <v>1.75</v>
      </c>
      <c r="N241" s="1483">
        <f t="shared" si="29"/>
        <v>31.413218984991119</v>
      </c>
      <c r="O241" s="1481">
        <f t="shared" si="30"/>
        <v>22.163218984991119</v>
      </c>
      <c r="P241" s="1481">
        <f t="shared" si="31"/>
        <v>477792.61369907291</v>
      </c>
      <c r="Q241" s="1483">
        <f>IF(A241&lt;=Summary!$J$61,0.5*(P241),$Q$2*(P241))</f>
        <v>0</v>
      </c>
      <c r="R241" s="1481">
        <f>Summary!$J$58</f>
        <v>0.5</v>
      </c>
      <c r="S241" s="1481">
        <f t="shared" si="32"/>
        <v>43.872956519548254</v>
      </c>
      <c r="T241" s="1487">
        <f t="shared" si="33"/>
        <v>504739.99744907289</v>
      </c>
      <c r="U241" s="45">
        <f>Summary!$J$59</f>
        <v>0.12104878144800001</v>
      </c>
      <c r="V241" s="1487">
        <f>IF(A241&lt;=Summary!$J$61,(0.2*T241)+(R241*D241),(U241*T241)+(R241*D241))</f>
        <v>71877.11513927691</v>
      </c>
      <c r="W241" s="1536">
        <f t="shared" si="34"/>
        <v>1450549.1139125379</v>
      </c>
    </row>
    <row r="242" spans="1:23">
      <c r="A242" s="18">
        <v>43739</v>
      </c>
      <c r="B242" s="20">
        <f t="shared" si="28"/>
        <v>2019</v>
      </c>
      <c r="C242" s="1483">
        <f>CALC!HH254</f>
        <v>57.099730849049131</v>
      </c>
      <c r="D242" s="820">
        <f>IF(Summary!$O$109=0,CALC!HE254,0)</f>
        <v>20950.521524999996</v>
      </c>
      <c r="E242" s="820">
        <f>SUM(CALC!GU254:HB254)*CALC!CY254/1000</f>
        <v>94633.11094634443</v>
      </c>
      <c r="F242" s="1481">
        <f>Summary!$J$54</f>
        <v>0.15</v>
      </c>
      <c r="G242" s="1483">
        <f>VLOOKUP(A242,CURVES!AW243:$BS$283,16)</f>
        <v>4.2094541327202126</v>
      </c>
      <c r="H242" s="1481">
        <f>Summary!$J$60</f>
        <v>0.04</v>
      </c>
      <c r="I242" s="17">
        <f>Summary!$J$55</f>
        <v>8.5</v>
      </c>
      <c r="J242" s="1483">
        <f t="shared" si="35"/>
        <v>37.395360128121808</v>
      </c>
      <c r="K242" s="1481">
        <f>Summary!$J$56</f>
        <v>3.75</v>
      </c>
      <c r="L242">
        <f>Summary!$O$23</f>
        <v>3.75</v>
      </c>
      <c r="M242" s="1481">
        <f>Summary!$J$57</f>
        <v>1.75</v>
      </c>
      <c r="N242" s="1483">
        <f t="shared" si="29"/>
        <v>19.704370720927322</v>
      </c>
      <c r="O242" s="1481">
        <f t="shared" si="30"/>
        <v>10.454370720927322</v>
      </c>
      <c r="P242" s="1481">
        <f t="shared" si="31"/>
        <v>219024.5188191176</v>
      </c>
      <c r="Q242" s="1483">
        <f>IF(A242&lt;=Summary!$J$61,0.5*(P242),$Q$2*(P242))</f>
        <v>0</v>
      </c>
      <c r="R242" s="1481">
        <f>Summary!$J$58</f>
        <v>0.5</v>
      </c>
      <c r="S242" s="1481">
        <f t="shared" si="32"/>
        <v>45.395360128121808</v>
      </c>
      <c r="T242" s="1487">
        <f t="shared" si="33"/>
        <v>245212.67072536758</v>
      </c>
      <c r="U242" s="45">
        <f>Summary!$J$59</f>
        <v>0.12104878144800001</v>
      </c>
      <c r="V242" s="1487">
        <f>IF(A242&lt;=Summary!$J$61,(0.2*T242)+(R242*D242),(U242*T242)+(R242*D242))</f>
        <v>40157.955749415407</v>
      </c>
      <c r="W242" s="1536">
        <f t="shared" si="34"/>
        <v>1196269.1402247101</v>
      </c>
    </row>
    <row r="243" spans="1:23">
      <c r="A243" s="18">
        <v>43770</v>
      </c>
      <c r="B243" s="20">
        <f t="shared" si="28"/>
        <v>2019</v>
      </c>
      <c r="C243" s="1483">
        <f>CALC!HH255</f>
        <v>61.657599447714524</v>
      </c>
      <c r="D243" s="820">
        <f>IF(Summary!$O$109=0,CALC!HE255,0)</f>
        <v>20274.698250000001</v>
      </c>
      <c r="E243" s="820">
        <f>SUM(CALC!GU255:HB255)*CALC!CY255/1000</f>
        <v>91604.406487989952</v>
      </c>
      <c r="F243" s="1481">
        <f>Summary!$J$54</f>
        <v>0.15</v>
      </c>
      <c r="G243" s="1483">
        <f>VLOOKUP(A243,CURVES!AW244:$BS$283,16)</f>
        <v>4.386070868372518</v>
      </c>
      <c r="H243" s="1481">
        <f>Summary!$J$60</f>
        <v>0.04</v>
      </c>
      <c r="I243" s="17">
        <f>Summary!$J$55</f>
        <v>8.5</v>
      </c>
      <c r="J243" s="1483">
        <f t="shared" si="35"/>
        <v>38.896602381166403</v>
      </c>
      <c r="K243" s="1481">
        <f>Summary!$J$56</f>
        <v>3.75</v>
      </c>
      <c r="L243">
        <f>Summary!$O$23</f>
        <v>3.75</v>
      </c>
      <c r="M243" s="1481">
        <f>Summary!$J$57</f>
        <v>1.75</v>
      </c>
      <c r="N243" s="1483">
        <f t="shared" si="29"/>
        <v>22.760997066548121</v>
      </c>
      <c r="O243" s="1481">
        <f t="shared" si="30"/>
        <v>13.510997066548121</v>
      </c>
      <c r="P243" s="1481">
        <f t="shared" si="31"/>
        <v>273931.38858089835</v>
      </c>
      <c r="Q243" s="1483">
        <f>IF(A243&lt;=Summary!$J$61,0.5*(P243),$Q$2*(P243))</f>
        <v>0</v>
      </c>
      <c r="R243" s="1481">
        <f>Summary!$J$58</f>
        <v>0.5</v>
      </c>
      <c r="S243" s="1481">
        <f t="shared" si="32"/>
        <v>46.896602381166403</v>
      </c>
      <c r="T243" s="1487">
        <f t="shared" si="33"/>
        <v>299274.76139339834</v>
      </c>
      <c r="U243" s="45">
        <f>Summary!$J$59</f>
        <v>0.12104878144800001</v>
      </c>
      <c r="V243" s="1487">
        <f>IF(A243&lt;=Summary!$J$61,(0.2*T243)+(R243*D243),(U243*T243)+(R243*D243))</f>
        <v>46364.194309811828</v>
      </c>
      <c r="W243" s="1536">
        <f t="shared" si="34"/>
        <v>1250089.2236217787</v>
      </c>
    </row>
    <row r="244" spans="1:23">
      <c r="A244" s="18">
        <v>43800</v>
      </c>
      <c r="B244" s="20">
        <f t="shared" si="28"/>
        <v>2019</v>
      </c>
      <c r="C244" s="1483">
        <f>CALC!HH256</f>
        <v>60.428324114710257</v>
      </c>
      <c r="D244" s="820">
        <f>IF(Summary!$O$109=0,CALC!HE256,0)</f>
        <v>20950.521524999996</v>
      </c>
      <c r="E244" s="820">
        <f>SUM(CALC!GU256:HB256)*CALC!CY256/1000</f>
        <v>94682.662462168126</v>
      </c>
      <c r="F244" s="1481">
        <f>Summary!$J$54</f>
        <v>0.15</v>
      </c>
      <c r="G244" s="1483">
        <f>VLOOKUP(A244,CURVES!AW245:$BS$283,16)</f>
        <v>4.5726328370063527</v>
      </c>
      <c r="H244" s="1481">
        <f>Summary!$J$60</f>
        <v>0.04</v>
      </c>
      <c r="I244" s="17">
        <f>Summary!$J$55</f>
        <v>8.5</v>
      </c>
      <c r="J244" s="1483">
        <f t="shared" si="35"/>
        <v>40.482379114554</v>
      </c>
      <c r="K244" s="1481">
        <f>Summary!$J$56</f>
        <v>3.75</v>
      </c>
      <c r="L244">
        <f>Summary!$O$23</f>
        <v>3.75</v>
      </c>
      <c r="M244" s="1481">
        <f>Summary!$J$57</f>
        <v>1.75</v>
      </c>
      <c r="N244" s="1483">
        <f t="shared" si="29"/>
        <v>19.945945000156257</v>
      </c>
      <c r="O244" s="1481">
        <f t="shared" si="30"/>
        <v>10.695945000156257</v>
      </c>
      <c r="P244" s="1481">
        <f t="shared" si="31"/>
        <v>224085.62595598976</v>
      </c>
      <c r="Q244" s="1483">
        <f>IF(A244&lt;=Summary!$J$61,0.5*(P244),$Q$2*(P244))</f>
        <v>0</v>
      </c>
      <c r="R244" s="1481">
        <f>Summary!$J$58</f>
        <v>0.5</v>
      </c>
      <c r="S244" s="1481">
        <f t="shared" si="32"/>
        <v>48.482379114554</v>
      </c>
      <c r="T244" s="1487">
        <f t="shared" si="33"/>
        <v>250273.77786223975</v>
      </c>
      <c r="U244" s="45">
        <f>Summary!$J$59</f>
        <v>0.12104878144800001</v>
      </c>
      <c r="V244" s="1487">
        <f>IF(A244&lt;=Summary!$J$61,(0.2*T244)+(R244*D244),(U244*T244)+(R244*D244))</f>
        <v>40770.59660111156</v>
      </c>
      <c r="W244" s="1536">
        <f t="shared" si="34"/>
        <v>1266004.9050849136</v>
      </c>
    </row>
    <row r="245" spans="1:23">
      <c r="A245" s="18">
        <v>43831</v>
      </c>
      <c r="B245" s="20">
        <f t="shared" si="28"/>
        <v>2020</v>
      </c>
      <c r="C245" s="1483">
        <f>CALC!HH257</f>
        <v>56.639810172602395</v>
      </c>
      <c r="D245" s="820">
        <f>IF(Summary!$O$109=0,CALC!HE257,0)</f>
        <v>20950.521524999996</v>
      </c>
      <c r="E245" s="820">
        <f>SUM(CALC!GU257:HB257)*CALC!CY257/1000</f>
        <v>94707.438220079959</v>
      </c>
      <c r="F245" s="1481">
        <f>Summary!$J$54</f>
        <v>0.15</v>
      </c>
      <c r="G245" s="1483">
        <f>VLOOKUP(A245,CURVES!AW246:$BS$283,16)</f>
        <v>4.3685917403178136</v>
      </c>
      <c r="H245" s="1481">
        <f>Summary!$J$60</f>
        <v>0.04</v>
      </c>
      <c r="I245" s="17">
        <f>Summary!$J$55</f>
        <v>8.5</v>
      </c>
      <c r="J245" s="1483">
        <f t="shared" si="35"/>
        <v>38.748029792701416</v>
      </c>
      <c r="K245" s="1481">
        <f>Summary!$J$56</f>
        <v>3.75</v>
      </c>
      <c r="L245">
        <f>Summary!$O$23</f>
        <v>3.75</v>
      </c>
      <c r="M245" s="1481">
        <f>Summary!$J$57</f>
        <v>1.75</v>
      </c>
      <c r="N245" s="1483">
        <f t="shared" si="29"/>
        <v>17.891780379900979</v>
      </c>
      <c r="O245" s="1481">
        <f t="shared" si="30"/>
        <v>8.6417803799009789</v>
      </c>
      <c r="P245" s="1481">
        <f t="shared" si="31"/>
        <v>181049.80586343812</v>
      </c>
      <c r="Q245" s="1483">
        <f>IF(A245&lt;=Summary!$J$61,0.5*(P245),$Q$2*(P245))</f>
        <v>0</v>
      </c>
      <c r="R245" s="1481">
        <f>Summary!$J$58</f>
        <v>0.5</v>
      </c>
      <c r="S245" s="1481">
        <f t="shared" si="32"/>
        <v>46.748029792701416</v>
      </c>
      <c r="T245" s="1487">
        <f t="shared" si="33"/>
        <v>207237.9577696881</v>
      </c>
      <c r="U245" s="45">
        <f>Summary!$J$59</f>
        <v>0.12104878144800001</v>
      </c>
      <c r="V245" s="1487">
        <f>IF(A245&lt;=Summary!$J$61,(0.2*T245)+(R245*D245),(U245*T245)+(R245*D245))</f>
        <v>35561.163020292828</v>
      </c>
      <c r="W245" s="1536">
        <f t="shared" si="34"/>
        <v>1186633.5621930202</v>
      </c>
    </row>
    <row r="246" spans="1:23">
      <c r="A246" s="18">
        <v>43862</v>
      </c>
      <c r="B246" s="20">
        <f t="shared" si="28"/>
        <v>2020</v>
      </c>
      <c r="C246" s="1483">
        <f>CALC!HH258</f>
        <v>43.97541430467566</v>
      </c>
      <c r="D246" s="820">
        <f>IF(Summary!$O$109=0,CALC!HE258,0)</f>
        <v>19598.874974999999</v>
      </c>
      <c r="E246" s="820">
        <f>SUM(CALC!GU258:HB258)*CALC!CY258/1000</f>
        <v>88620.458237476196</v>
      </c>
      <c r="F246" s="1481">
        <f>Summary!$J$54</f>
        <v>0.15</v>
      </c>
      <c r="G246" s="1483">
        <f>VLOOKUP(A246,CURVES!AW247:$BS$283,16)</f>
        <v>4.0349066173807708</v>
      </c>
      <c r="H246" s="1481">
        <f>Summary!$J$60</f>
        <v>0.04</v>
      </c>
      <c r="I246" s="17">
        <f>Summary!$J$55</f>
        <v>8.5</v>
      </c>
      <c r="J246" s="1483">
        <f t="shared" si="35"/>
        <v>35.911706247736554</v>
      </c>
      <c r="K246" s="1481">
        <f>Summary!$J$56</f>
        <v>3.75</v>
      </c>
      <c r="L246">
        <f>Summary!$O$23</f>
        <v>3.75</v>
      </c>
      <c r="M246" s="1481">
        <f>Summary!$J$57</f>
        <v>1.75</v>
      </c>
      <c r="N246" s="1483">
        <f t="shared" si="29"/>
        <v>8.063708056939106</v>
      </c>
      <c r="O246" s="1481">
        <f t="shared" si="30"/>
        <v>0</v>
      </c>
      <c r="P246" s="1481">
        <f t="shared" si="31"/>
        <v>0</v>
      </c>
      <c r="Q246" s="1483">
        <f>IF(A246&lt;=Summary!$J$61,0.5*(P246),$Q$2*(P246))</f>
        <v>0</v>
      </c>
      <c r="R246" s="1481">
        <f>Summary!$J$58</f>
        <v>0.5</v>
      </c>
      <c r="S246" s="1481">
        <f t="shared" si="32"/>
        <v>43.911706247736554</v>
      </c>
      <c r="T246" s="1487">
        <f t="shared" si="33"/>
        <v>1248.6062428497191</v>
      </c>
      <c r="U246" s="45">
        <f>Summary!$J$59</f>
        <v>0.12104878144800001</v>
      </c>
      <c r="V246" s="1487">
        <f>IF(A246&lt;=Summary!$J$61,(0.2*T246)+(R246*D246),(U246*T246)+(R246*D246))</f>
        <v>9950.5797517053234</v>
      </c>
      <c r="W246" s="1536">
        <f t="shared" si="34"/>
        <v>861868.64693116478</v>
      </c>
    </row>
    <row r="247" spans="1:23">
      <c r="A247" s="18">
        <v>43891</v>
      </c>
      <c r="B247" s="20">
        <f t="shared" si="28"/>
        <v>2020</v>
      </c>
      <c r="C247" s="1483">
        <f>CALC!HH259</f>
        <v>44.477583149327664</v>
      </c>
      <c r="D247" s="820">
        <f>IF(Summary!$O$109=0,CALC!HE259,0)</f>
        <v>20950.521524999996</v>
      </c>
      <c r="E247" s="820">
        <f>SUM(CALC!GU259:HB259)*CALC!CY259/1000</f>
        <v>94756.989735903626</v>
      </c>
      <c r="F247" s="1481">
        <f>Summary!$J$54</f>
        <v>0.15</v>
      </c>
      <c r="G247" s="1483">
        <f>VLOOKUP(A247,CURVES!AW248:$BS$283,16)</f>
        <v>3.8185059569793256</v>
      </c>
      <c r="H247" s="1481">
        <f>Summary!$J$60</f>
        <v>0.04</v>
      </c>
      <c r="I247" s="17">
        <f>Summary!$J$55</f>
        <v>8.5</v>
      </c>
      <c r="J247" s="1483">
        <f t="shared" si="35"/>
        <v>34.072300634324264</v>
      </c>
      <c r="K247" s="1481">
        <f>Summary!$J$56</f>
        <v>3.75</v>
      </c>
      <c r="L247">
        <f>Summary!$O$23</f>
        <v>3.75</v>
      </c>
      <c r="M247" s="1481">
        <f>Summary!$J$57</f>
        <v>1.75</v>
      </c>
      <c r="N247" s="1483">
        <f t="shared" si="29"/>
        <v>10.4052825150034</v>
      </c>
      <c r="O247" s="1481">
        <f t="shared" si="30"/>
        <v>1.1552825150033996</v>
      </c>
      <c r="P247" s="1481">
        <f t="shared" si="31"/>
        <v>24203.771198034854</v>
      </c>
      <c r="Q247" s="1483">
        <f>IF(A247&lt;=Summary!$J$61,0.5*(P247),$Q$2*(P247))</f>
        <v>0</v>
      </c>
      <c r="R247" s="1481">
        <f>Summary!$J$58</f>
        <v>0.5</v>
      </c>
      <c r="S247" s="1481">
        <f t="shared" si="32"/>
        <v>42.072300634324264</v>
      </c>
      <c r="T247" s="1487">
        <f t="shared" si="33"/>
        <v>50391.923104284848</v>
      </c>
      <c r="U247" s="45">
        <f>Summary!$J$59</f>
        <v>0.12104878144800001</v>
      </c>
      <c r="V247" s="1487">
        <f>IF(A247&lt;=Summary!$J$61,(0.2*T247)+(R247*D247),(U247*T247)+(R247*D247))</f>
        <v>16575.141649094996</v>
      </c>
      <c r="W247" s="1536">
        <f t="shared" si="34"/>
        <v>931828.56314996642</v>
      </c>
    </row>
    <row r="248" spans="1:23">
      <c r="A248" s="18">
        <v>43922</v>
      </c>
      <c r="B248" s="20">
        <f t="shared" si="28"/>
        <v>2020</v>
      </c>
      <c r="C248" s="1483">
        <f>CALC!HH260</f>
        <v>43.656283881301583</v>
      </c>
      <c r="D248" s="820">
        <f>IF(Summary!$O$109=0,CALC!HE260,0)</f>
        <v>20274.698249999998</v>
      </c>
      <c r="E248" s="820">
        <f>SUM(CALC!GU260:HB260)*CALC!CY260/1000</f>
        <v>91724.28918756335</v>
      </c>
      <c r="F248" s="1481">
        <f>Summary!$J$54</f>
        <v>0.15</v>
      </c>
      <c r="G248" s="1483">
        <f>VLOOKUP(A248,CURVES!AW249:$BS$283,16)</f>
        <v>3.70394805234407</v>
      </c>
      <c r="H248" s="1481">
        <f>Summary!$J$60</f>
        <v>0.04</v>
      </c>
      <c r="I248" s="17">
        <f>Summary!$J$55</f>
        <v>8.5</v>
      </c>
      <c r="J248" s="1483">
        <f t="shared" si="35"/>
        <v>33.098558444924592</v>
      </c>
      <c r="K248" s="1481">
        <f>Summary!$J$56</f>
        <v>3.75</v>
      </c>
      <c r="L248">
        <f>Summary!$O$23</f>
        <v>3.75</v>
      </c>
      <c r="M248" s="1481">
        <f>Summary!$J$57</f>
        <v>1.75</v>
      </c>
      <c r="N248" s="1483">
        <f t="shared" si="29"/>
        <v>10.557725436376991</v>
      </c>
      <c r="O248" s="1481">
        <f t="shared" si="30"/>
        <v>1.307725436376991</v>
      </c>
      <c r="P248" s="1481">
        <f t="shared" si="31"/>
        <v>26513.738616393064</v>
      </c>
      <c r="Q248" s="1483">
        <f>IF(A248&lt;=Summary!$J$61,0.5*(P248),$Q$2*(P248))</f>
        <v>0</v>
      </c>
      <c r="R248" s="1481">
        <f>Summary!$J$58</f>
        <v>0.5</v>
      </c>
      <c r="S248" s="1481">
        <f t="shared" si="32"/>
        <v>41.098558444924592</v>
      </c>
      <c r="T248" s="1487">
        <f t="shared" si="33"/>
        <v>51857.111428893062</v>
      </c>
      <c r="U248" s="45">
        <f>Summary!$J$59</f>
        <v>0.12104878144800001</v>
      </c>
      <c r="V248" s="1487">
        <f>IF(A248&lt;=Summary!$J$61,(0.2*T248)+(R248*D248),(U248*T248)+(R248*D248))</f>
        <v>16414.589272880658</v>
      </c>
      <c r="W248" s="1536">
        <f t="shared" si="34"/>
        <v>885117.98240972834</v>
      </c>
    </row>
    <row r="249" spans="1:23">
      <c r="A249" s="18">
        <v>43952</v>
      </c>
      <c r="B249" s="20">
        <f t="shared" si="28"/>
        <v>2020</v>
      </c>
      <c r="C249" s="1483">
        <f>CALC!HH261</f>
        <v>47.113318409819016</v>
      </c>
      <c r="D249" s="820">
        <f>IF(Summary!$O$109=0,CALC!HE261,0)</f>
        <v>22276.503900000003</v>
      </c>
      <c r="E249" s="820">
        <f>SUM(CALC!GU261:HB261)*CALC!CY261/1000</f>
        <v>74196.423588308346</v>
      </c>
      <c r="F249" s="1481">
        <f>Summary!$J$54</f>
        <v>0.15</v>
      </c>
      <c r="G249" s="1483">
        <f>VLOOKUP(A249,CURVES!AW250:$BS$283,16)</f>
        <v>3.6760140218912607</v>
      </c>
      <c r="H249" s="1481">
        <f>Summary!$J$60</f>
        <v>0.04</v>
      </c>
      <c r="I249" s="17">
        <f>Summary!$J$55</f>
        <v>8.5</v>
      </c>
      <c r="J249" s="1483">
        <f t="shared" si="35"/>
        <v>32.861119186075719</v>
      </c>
      <c r="K249" s="1481">
        <f>Summary!$J$56</f>
        <v>3.75</v>
      </c>
      <c r="L249">
        <f>Summary!$O$23</f>
        <v>3.75</v>
      </c>
      <c r="M249" s="1481">
        <f>Summary!$J$57</f>
        <v>1.75</v>
      </c>
      <c r="N249" s="1483">
        <f t="shared" si="29"/>
        <v>14.252199223743297</v>
      </c>
      <c r="O249" s="1481">
        <f t="shared" si="30"/>
        <v>5.0021992237432968</v>
      </c>
      <c r="P249" s="1481">
        <f t="shared" si="31"/>
        <v>111431.51051629454</v>
      </c>
      <c r="Q249" s="1483">
        <f>IF(A249&lt;=Summary!$J$61,0.5*(P249),$Q$2*(P249))</f>
        <v>0</v>
      </c>
      <c r="R249" s="1481">
        <f>Summary!$J$58</f>
        <v>0.5</v>
      </c>
      <c r="S249" s="1481">
        <f t="shared" si="32"/>
        <v>40.861119186075719</v>
      </c>
      <c r="T249" s="1487">
        <f t="shared" si="33"/>
        <v>139277.14039129455</v>
      </c>
      <c r="U249" s="45">
        <f>Summary!$J$59</f>
        <v>0.12104878144800001</v>
      </c>
      <c r="V249" s="1487">
        <f>IF(A249&lt;=Summary!$J$61,(0.2*T249)+(R249*D249),(U249*T249)+(R249*D249))</f>
        <v>27997.580077928229</v>
      </c>
      <c r="W249" s="1536">
        <f t="shared" si="34"/>
        <v>1049520.0212982753</v>
      </c>
    </row>
    <row r="250" spans="1:23">
      <c r="A250" s="18">
        <v>43983</v>
      </c>
      <c r="B250" s="20">
        <f t="shared" si="28"/>
        <v>2020</v>
      </c>
      <c r="C250" s="1483">
        <f>CALC!HH262</f>
        <v>48.457683445150465</v>
      </c>
      <c r="D250" s="820">
        <f>IF(Summary!$O$109=0,CALC!HE262,0)</f>
        <v>21557.906999999999</v>
      </c>
      <c r="E250" s="820">
        <f>SUM(CALC!GU262:HB262)*CALC!CY262/1000</f>
        <v>71821.754817959518</v>
      </c>
      <c r="F250" s="1481">
        <f>Summary!$J$54</f>
        <v>0.15</v>
      </c>
      <c r="G250" s="1483">
        <f>VLOOKUP(A250,CURVES!AW251:$BS$283,16)</f>
        <v>3.72041814904038</v>
      </c>
      <c r="H250" s="1481">
        <f>Summary!$J$60</f>
        <v>0.04</v>
      </c>
      <c r="I250" s="17">
        <f>Summary!$J$55</f>
        <v>8.5</v>
      </c>
      <c r="J250" s="1483">
        <f t="shared" si="35"/>
        <v>33.238554266843231</v>
      </c>
      <c r="K250" s="1481">
        <f>Summary!$J$56</f>
        <v>3.75</v>
      </c>
      <c r="L250">
        <f>Summary!$O$23</f>
        <v>3.75</v>
      </c>
      <c r="M250" s="1481">
        <f>Summary!$J$57</f>
        <v>1.75</v>
      </c>
      <c r="N250" s="1483">
        <f t="shared" si="29"/>
        <v>15.219129178307234</v>
      </c>
      <c r="O250" s="1481">
        <f t="shared" si="30"/>
        <v>5.9691291783072344</v>
      </c>
      <c r="P250" s="1481">
        <f t="shared" si="31"/>
        <v>128681.93169693377</v>
      </c>
      <c r="Q250" s="1483">
        <f>IF(A250&lt;=Summary!$J$61,0.5*(P250),$Q$2*(P250))</f>
        <v>0</v>
      </c>
      <c r="R250" s="1481">
        <f>Summary!$J$58</f>
        <v>0.5</v>
      </c>
      <c r="S250" s="1481">
        <f t="shared" si="32"/>
        <v>41.238554266843231</v>
      </c>
      <c r="T250" s="1487">
        <f t="shared" si="33"/>
        <v>155629.31544693376</v>
      </c>
      <c r="U250" s="45">
        <f>Summary!$J$59</f>
        <v>0.12104878144800001</v>
      </c>
      <c r="V250" s="1487">
        <f>IF(A250&lt;=Summary!$J$61,(0.2*T250)+(R250*D250),(U250*T250)+(R250*D250))</f>
        <v>29617.692492437734</v>
      </c>
      <c r="W250" s="1536">
        <f t="shared" si="34"/>
        <v>1044646.2331459933</v>
      </c>
    </row>
    <row r="251" spans="1:23">
      <c r="A251" s="18">
        <v>44013</v>
      </c>
      <c r="B251" s="20">
        <f t="shared" si="28"/>
        <v>2020</v>
      </c>
      <c r="C251" s="1483">
        <f>CALC!HH263</f>
        <v>63.709189226232816</v>
      </c>
      <c r="D251" s="820">
        <f>IF(Summary!$O$109=0,CALC!HE263,0)</f>
        <v>22276.5039</v>
      </c>
      <c r="E251" s="820">
        <f>SUM(CALC!GU263:HB263)*CALC!CY263/1000</f>
        <v>74235.203035474668</v>
      </c>
      <c r="F251" s="1481">
        <f>Summary!$J$54</f>
        <v>0.15</v>
      </c>
      <c r="G251" s="1483">
        <f>VLOOKUP(A251,CURVES!AW252:$BS$283,16)</f>
        <v>3.8219710190877305</v>
      </c>
      <c r="H251" s="1481">
        <f>Summary!$J$60</f>
        <v>0.04</v>
      </c>
      <c r="I251" s="17">
        <f>Summary!$J$55</f>
        <v>8.5</v>
      </c>
      <c r="J251" s="1483">
        <f t="shared" si="35"/>
        <v>34.101753662245706</v>
      </c>
      <c r="K251" s="1481">
        <f>Summary!$J$56</f>
        <v>3.75</v>
      </c>
      <c r="L251">
        <f>Summary!$O$23</f>
        <v>3.75</v>
      </c>
      <c r="M251" s="1481">
        <f>Summary!$J$57</f>
        <v>1.75</v>
      </c>
      <c r="N251" s="1483">
        <f t="shared" si="29"/>
        <v>29.60743556398711</v>
      </c>
      <c r="O251" s="1481">
        <f t="shared" si="30"/>
        <v>20.35743556398711</v>
      </c>
      <c r="P251" s="1481">
        <f t="shared" si="31"/>
        <v>453492.49273515755</v>
      </c>
      <c r="Q251" s="1483">
        <f>IF(A251&lt;=Summary!$J$61,0.5*(P251),$Q$2*(P251))</f>
        <v>0</v>
      </c>
      <c r="R251" s="1481">
        <f>Summary!$J$58</f>
        <v>0.5</v>
      </c>
      <c r="S251" s="1481">
        <f t="shared" si="32"/>
        <v>42.101753662245706</v>
      </c>
      <c r="T251" s="1487">
        <f t="shared" si="33"/>
        <v>481338.12261015753</v>
      </c>
      <c r="U251" s="45">
        <f>Summary!$J$59</f>
        <v>0.12104878144800001</v>
      </c>
      <c r="V251" s="1487">
        <f>IF(A251&lt;=Summary!$J$61,(0.2*T251)+(R251*D251),(U251*T251)+(R251*D251))</f>
        <v>69403.645156427592</v>
      </c>
      <c r="W251" s="1536">
        <f t="shared" si="34"/>
        <v>1419218.0022640133</v>
      </c>
    </row>
    <row r="252" spans="1:23">
      <c r="A252" s="18">
        <v>44044</v>
      </c>
      <c r="B252" s="20">
        <f t="shared" si="28"/>
        <v>2020</v>
      </c>
      <c r="C252" s="1483">
        <f>CALC!HH264</f>
        <v>77.049474091728527</v>
      </c>
      <c r="D252" s="820">
        <f>IF(Summary!$O$109=0,CALC!HE264,0)</f>
        <v>22276.503900000003</v>
      </c>
      <c r="E252" s="820">
        <f>SUM(CALC!GU264:HB264)*CALC!CY264/1000</f>
        <v>74254.592759057865</v>
      </c>
      <c r="F252" s="1481">
        <f>Summary!$J$54</f>
        <v>0.15</v>
      </c>
      <c r="G252" s="1483">
        <f>VLOOKUP(A252,CURVES!AW253:$BS$283,16)</f>
        <v>3.9661971859070753</v>
      </c>
      <c r="H252" s="1481">
        <f>Summary!$J$60</f>
        <v>0.04</v>
      </c>
      <c r="I252" s="17">
        <f>Summary!$J$55</f>
        <v>8.5</v>
      </c>
      <c r="J252" s="1483">
        <f t="shared" si="35"/>
        <v>35.327676080210139</v>
      </c>
      <c r="K252" s="1481">
        <f>Summary!$J$56</f>
        <v>3.75</v>
      </c>
      <c r="L252">
        <f>Summary!$O$23</f>
        <v>3.75</v>
      </c>
      <c r="M252" s="1481">
        <f>Summary!$J$57</f>
        <v>1.75</v>
      </c>
      <c r="N252" s="1483">
        <f t="shared" si="29"/>
        <v>41.721798011518388</v>
      </c>
      <c r="O252" s="1481">
        <f t="shared" si="30"/>
        <v>32.471798011518388</v>
      </c>
      <c r="P252" s="1481">
        <f t="shared" si="31"/>
        <v>723358.13504360174</v>
      </c>
      <c r="Q252" s="1483">
        <f>IF(A252&lt;=Summary!$J$61,0.5*(P252),$Q$2*(P252))</f>
        <v>0</v>
      </c>
      <c r="R252" s="1481">
        <f>Summary!$J$58</f>
        <v>0.5</v>
      </c>
      <c r="S252" s="1481">
        <f t="shared" si="32"/>
        <v>43.327676080210139</v>
      </c>
      <c r="T252" s="1487">
        <f t="shared" si="33"/>
        <v>751203.76491860172</v>
      </c>
      <c r="U252" s="45">
        <f>Summary!$J$59</f>
        <v>0.12104878144800001</v>
      </c>
      <c r="V252" s="1487">
        <f>IF(A252&lt;=Summary!$J$61,(0.2*T252)+(R252*D252),(U252*T252)+(R252*D252))</f>
        <v>102070.5523125466</v>
      </c>
      <c r="W252" s="1536">
        <f t="shared" si="34"/>
        <v>1716392.9100973397</v>
      </c>
    </row>
    <row r="253" spans="1:23">
      <c r="A253" s="18">
        <v>44075</v>
      </c>
      <c r="B253" s="20">
        <f t="shared" si="28"/>
        <v>2020</v>
      </c>
      <c r="C253" s="1483">
        <f>CALC!HH265</f>
        <v>67.114462224833872</v>
      </c>
      <c r="D253" s="820">
        <f>IF(Summary!$O$109=0,CALC!HE265,0)</f>
        <v>21557.906999999999</v>
      </c>
      <c r="E253" s="820">
        <f>SUM(CALC!GU265:HB265)*CALC!CY265/1000</f>
        <v>71878.04756384615</v>
      </c>
      <c r="F253" s="1481">
        <f>Summary!$J$54</f>
        <v>0.15</v>
      </c>
      <c r="G253" s="1483">
        <f>VLOOKUP(A253,CURVES!AW254:$BS$283,16)</f>
        <v>4.1379125850213176</v>
      </c>
      <c r="H253" s="1481">
        <f>Summary!$J$60</f>
        <v>0.04</v>
      </c>
      <c r="I253" s="17">
        <f>Summary!$J$55</f>
        <v>8.5</v>
      </c>
      <c r="J253" s="1483">
        <f t="shared" si="35"/>
        <v>36.787256972681206</v>
      </c>
      <c r="K253" s="1481">
        <f>Summary!$J$56</f>
        <v>3.75</v>
      </c>
      <c r="L253">
        <f>Summary!$O$23</f>
        <v>3.75</v>
      </c>
      <c r="M253" s="1481">
        <f>Summary!$J$57</f>
        <v>1.75</v>
      </c>
      <c r="N253" s="1483">
        <f t="shared" si="29"/>
        <v>30.327205252152666</v>
      </c>
      <c r="O253" s="1481">
        <f t="shared" si="30"/>
        <v>21.077205252152666</v>
      </c>
      <c r="P253" s="1481">
        <f t="shared" si="31"/>
        <v>454380.43064581871</v>
      </c>
      <c r="Q253" s="1483">
        <f>IF(A253&lt;=Summary!$J$61,0.5*(P253),$Q$2*(P253))</f>
        <v>0</v>
      </c>
      <c r="R253" s="1481">
        <f>Summary!$J$58</f>
        <v>0.5</v>
      </c>
      <c r="S253" s="1481">
        <f t="shared" si="32"/>
        <v>44.787256972681206</v>
      </c>
      <c r="T253" s="1487">
        <f t="shared" si="33"/>
        <v>481327.81439581868</v>
      </c>
      <c r="U253" s="45">
        <f>Summary!$J$59</f>
        <v>0.12104878144800001</v>
      </c>
      <c r="V253" s="1487">
        <f>IF(A253&lt;=Summary!$J$61,(0.2*T253)+(R253*D253),(U253*T253)+(R253*D253))</f>
        <v>69043.098909642969</v>
      </c>
      <c r="W253" s="1536">
        <f t="shared" si="34"/>
        <v>1446847.3349979816</v>
      </c>
    </row>
    <row r="254" spans="1:23">
      <c r="A254" s="18">
        <v>44105</v>
      </c>
      <c r="B254" s="20">
        <f t="shared" si="28"/>
        <v>2020</v>
      </c>
      <c r="C254" s="1483">
        <f>CALC!HH266</f>
        <v>57.672570654599511</v>
      </c>
      <c r="D254" s="820">
        <f>IF(Summary!$O$109=0,CALC!HE266,0)</f>
        <v>20950.521524999996</v>
      </c>
      <c r="E254" s="820">
        <f>SUM(CALC!GU266:HB266)*CALC!CY266/1000</f>
        <v>94930.420041286474</v>
      </c>
      <c r="F254" s="1481">
        <f>Summary!$J$54</f>
        <v>0.15</v>
      </c>
      <c r="G254" s="1483">
        <f>VLOOKUP(A254,CURVES!AW255:$BS$283,16)</f>
        <v>4.3217990070793197</v>
      </c>
      <c r="H254" s="1481">
        <f>Summary!$J$60</f>
        <v>0.04</v>
      </c>
      <c r="I254" s="17">
        <f>Summary!$J$55</f>
        <v>8.5</v>
      </c>
      <c r="J254" s="1483">
        <f t="shared" si="35"/>
        <v>38.35029156017422</v>
      </c>
      <c r="K254" s="1481">
        <f>Summary!$J$56</f>
        <v>3.75</v>
      </c>
      <c r="L254">
        <f>Summary!$O$23</f>
        <v>3.75</v>
      </c>
      <c r="M254" s="1481">
        <f>Summary!$J$57</f>
        <v>1.75</v>
      </c>
      <c r="N254" s="1483">
        <f t="shared" si="29"/>
        <v>19.322279094425291</v>
      </c>
      <c r="O254" s="1481">
        <f t="shared" si="30"/>
        <v>10.072279094425291</v>
      </c>
      <c r="P254" s="1481">
        <f t="shared" si="31"/>
        <v>211019.49997356453</v>
      </c>
      <c r="Q254" s="1483">
        <f>IF(A254&lt;=Summary!$J$61,0.5*(P254),$Q$2*(P254))</f>
        <v>0</v>
      </c>
      <c r="R254" s="1481">
        <f>Summary!$J$58</f>
        <v>0.5</v>
      </c>
      <c r="S254" s="1481">
        <f t="shared" si="32"/>
        <v>46.35029156017422</v>
      </c>
      <c r="T254" s="1487">
        <f t="shared" si="33"/>
        <v>237207.65187981451</v>
      </c>
      <c r="U254" s="45">
        <f>Summary!$J$59</f>
        <v>0.12104878144800001</v>
      </c>
      <c r="V254" s="1487">
        <f>IF(A254&lt;=Summary!$J$61,(0.2*T254)+(R254*D254),(U254*T254)+(R254*D254))</f>
        <v>39188.957972692937</v>
      </c>
      <c r="W254" s="1536">
        <f t="shared" si="34"/>
        <v>1208270.4329012702</v>
      </c>
    </row>
    <row r="255" spans="1:23">
      <c r="A255" s="18">
        <v>44136</v>
      </c>
      <c r="B255" s="20">
        <f t="shared" si="28"/>
        <v>2020</v>
      </c>
      <c r="C255" s="1483">
        <f>CALC!HH267</f>
        <v>58.350262148135954</v>
      </c>
      <c r="D255" s="820">
        <f>IF(Summary!$O$109=0,CALC!HE267,0)</f>
        <v>20274.698249999998</v>
      </c>
      <c r="E255" s="820">
        <f>SUM(CALC!GU267:HB267)*CALC!CY267/1000</f>
        <v>91892.124966966105</v>
      </c>
      <c r="F255" s="1481">
        <f>Summary!$J$54</f>
        <v>0.15</v>
      </c>
      <c r="G255" s="1483">
        <f>VLOOKUP(A255,CURVES!AW256:$BS$283,16)</f>
        <v>4.5031294144693321</v>
      </c>
      <c r="H255" s="1481">
        <f>Summary!$J$60</f>
        <v>0.04</v>
      </c>
      <c r="I255" s="17">
        <f>Summary!$J$55</f>
        <v>8.5</v>
      </c>
      <c r="J255" s="1483">
        <f t="shared" si="35"/>
        <v>39.891600022989323</v>
      </c>
      <c r="K255" s="1481">
        <f>Summary!$J$56</f>
        <v>3.75</v>
      </c>
      <c r="L255">
        <f>Summary!$O$23</f>
        <v>3.75</v>
      </c>
      <c r="M255" s="1481">
        <f>Summary!$J$57</f>
        <v>1.75</v>
      </c>
      <c r="N255" s="1483">
        <f t="shared" si="29"/>
        <v>18.458662125146631</v>
      </c>
      <c r="O255" s="1481">
        <f t="shared" si="30"/>
        <v>9.2086621251466312</v>
      </c>
      <c r="P255" s="1481">
        <f t="shared" si="31"/>
        <v>186702.84587355168</v>
      </c>
      <c r="Q255" s="1483">
        <f>IF(A255&lt;=Summary!$J$61,0.5*(P255),$Q$2*(P255))</f>
        <v>0</v>
      </c>
      <c r="R255" s="1481">
        <f>Summary!$J$58</f>
        <v>0.5</v>
      </c>
      <c r="S255" s="1481">
        <f t="shared" si="32"/>
        <v>47.891600022989323</v>
      </c>
      <c r="T255" s="1487">
        <f t="shared" si="33"/>
        <v>212046.21868605167</v>
      </c>
      <c r="U255" s="45">
        <f>Summary!$J$59</f>
        <v>0.12104878144800001</v>
      </c>
      <c r="V255" s="1487">
        <f>IF(A255&lt;=Summary!$J$61,(0.2*T255)+(R255*D255),(U255*T255)+(R255*D255))</f>
        <v>35805.285507602683</v>
      </c>
      <c r="W255" s="1536">
        <f t="shared" si="34"/>
        <v>1183033.9578618531</v>
      </c>
    </row>
    <row r="256" spans="1:23">
      <c r="A256" s="18">
        <v>44166</v>
      </c>
      <c r="B256" s="20">
        <f t="shared" si="28"/>
        <v>2020</v>
      </c>
      <c r="C256" s="1483">
        <f>CALC!HH268</f>
        <v>60.596341233213053</v>
      </c>
      <c r="D256" s="820">
        <f>IF(Summary!$O$109=0,CALC!HE268,0)</f>
        <v>20950.521524999996</v>
      </c>
      <c r="E256" s="820">
        <f>SUM(CALC!GU268:HB268)*CALC!CY268/1000</f>
        <v>94979.971557110155</v>
      </c>
      <c r="F256" s="1481">
        <f>Summary!$J$54</f>
        <v>0.15</v>
      </c>
      <c r="G256" s="1483">
        <f>VLOOKUP(A256,CURVES!AW257:$BS$283,16)</f>
        <v>4.6946704802177877</v>
      </c>
      <c r="H256" s="1481">
        <f>Summary!$J$60</f>
        <v>0.04</v>
      </c>
      <c r="I256" s="17">
        <f>Summary!$J$55</f>
        <v>8.5</v>
      </c>
      <c r="J256" s="1483">
        <f t="shared" si="35"/>
        <v>41.519699081851201</v>
      </c>
      <c r="K256" s="1481">
        <f>Summary!$J$56</f>
        <v>3.75</v>
      </c>
      <c r="L256">
        <f>Summary!$O$23</f>
        <v>3.75</v>
      </c>
      <c r="M256" s="1481">
        <f>Summary!$J$57</f>
        <v>1.75</v>
      </c>
      <c r="N256" s="1483">
        <f t="shared" si="29"/>
        <v>19.076642151361852</v>
      </c>
      <c r="O256" s="1481">
        <f t="shared" si="30"/>
        <v>9.8266421513618525</v>
      </c>
      <c r="P256" s="1481">
        <f t="shared" si="31"/>
        <v>205873.27791057876</v>
      </c>
      <c r="Q256" s="1483">
        <f>IF(A256&lt;=Summary!$J$61,0.5*(P256),$Q$2*(P256))</f>
        <v>0</v>
      </c>
      <c r="R256" s="1481">
        <f>Summary!$J$58</f>
        <v>0.5</v>
      </c>
      <c r="S256" s="1481">
        <f t="shared" si="32"/>
        <v>49.519699081851201</v>
      </c>
      <c r="T256" s="1487">
        <f t="shared" si="33"/>
        <v>232061.42981682875</v>
      </c>
      <c r="U256" s="45">
        <f>Summary!$J$59</f>
        <v>0.12104878144800001</v>
      </c>
      <c r="V256" s="1487">
        <f>IF(A256&lt;=Summary!$J$61,(0.2*T256)+(R256*D256),(U256*T256)+(R256*D256))</f>
        <v>38566.014062907692</v>
      </c>
      <c r="W256" s="1536">
        <f t="shared" si="34"/>
        <v>1269524.9513426749</v>
      </c>
    </row>
    <row r="257" spans="1:23">
      <c r="A257" s="18">
        <v>44197</v>
      </c>
      <c r="B257" s="20">
        <f t="shared" si="28"/>
        <v>2021</v>
      </c>
      <c r="C257" s="1483">
        <f>CALC!HH269</f>
        <v>59.46341419606388</v>
      </c>
      <c r="D257" s="820">
        <f>IF(Summary!$O$109=0,CALC!HE269,0)</f>
        <v>20950.521525</v>
      </c>
      <c r="E257" s="820">
        <f>SUM(CALC!GU269:HB269)*CALC!CY269/1000</f>
        <v>95004.747315022003</v>
      </c>
      <c r="F257" s="1481">
        <f>Summary!$J$54</f>
        <v>0.15</v>
      </c>
      <c r="G257" s="1483">
        <f>VLOOKUP(A257,CURVES!AW258:$BS$283,16)</f>
        <v>4.4767110867385771</v>
      </c>
      <c r="H257" s="1481">
        <f>Summary!$J$60</f>
        <v>0.04</v>
      </c>
      <c r="I257" s="17">
        <f>Summary!$J$55</f>
        <v>8.5</v>
      </c>
      <c r="J257" s="1483">
        <f t="shared" si="35"/>
        <v>39.667044237277906</v>
      </c>
      <c r="K257" s="1481">
        <f>Summary!$J$56</f>
        <v>3.75</v>
      </c>
      <c r="L257">
        <f>Summary!$O$23</f>
        <v>3.75</v>
      </c>
      <c r="M257" s="1481">
        <f>Summary!$J$57</f>
        <v>1.75</v>
      </c>
      <c r="N257" s="1483">
        <f t="shared" si="29"/>
        <v>19.796369958785974</v>
      </c>
      <c r="O257" s="1481">
        <f t="shared" si="30"/>
        <v>10.546369958785974</v>
      </c>
      <c r="P257" s="1481">
        <f t="shared" si="31"/>
        <v>220951.95083215891</v>
      </c>
      <c r="Q257" s="1483">
        <f>IF(A257&lt;=Summary!$J$61,0.5*(P257),$Q$2*(P257))</f>
        <v>0</v>
      </c>
      <c r="R257" s="1481">
        <f>Summary!$J$58</f>
        <v>0.5</v>
      </c>
      <c r="S257" s="1481">
        <f t="shared" si="32"/>
        <v>47.667044237277906</v>
      </c>
      <c r="T257" s="1487">
        <f t="shared" si="33"/>
        <v>247140.1027384089</v>
      </c>
      <c r="U257" s="45">
        <f>Summary!$J$59</f>
        <v>0.12104878144800001</v>
      </c>
      <c r="V257" s="1487">
        <f>IF(A257&lt;=Summary!$J$61,(0.2*T257)+(R257*D257),(U257*T257)+(R257*D257))</f>
        <v>40391.269045917928</v>
      </c>
      <c r="W257" s="1536">
        <f t="shared" si="34"/>
        <v>1245789.5390646269</v>
      </c>
    </row>
    <row r="258" spans="1:23">
      <c r="A258" s="18">
        <v>44228</v>
      </c>
      <c r="B258" s="20">
        <f t="shared" si="28"/>
        <v>2021</v>
      </c>
      <c r="C258" s="1483">
        <f>CALC!HH270</f>
        <v>45.439343703283434</v>
      </c>
      <c r="D258" s="820">
        <f>IF(Summary!$O$109=0,CALC!HE270,0)</f>
        <v>18923.051699999996</v>
      </c>
      <c r="E258" s="820">
        <f>SUM(CALC!GU270:HB270)*CALC!CY270/1000</f>
        <v>85833.11761426281</v>
      </c>
      <c r="F258" s="1481">
        <f>Summary!$J$54</f>
        <v>0.15</v>
      </c>
      <c r="G258" s="1483">
        <f>VLOOKUP(A258,CURVES!AW259:$BS$283,16)</f>
        <v>4.134767509007208</v>
      </c>
      <c r="H258" s="1481">
        <f>Summary!$J$60</f>
        <v>0.04</v>
      </c>
      <c r="I258" s="17">
        <f>Summary!$J$55</f>
        <v>8.5</v>
      </c>
      <c r="J258" s="1483">
        <f t="shared" si="35"/>
        <v>36.760523826561268</v>
      </c>
      <c r="K258" s="1481">
        <f>Summary!$J$56</f>
        <v>3.75</v>
      </c>
      <c r="L258">
        <f>Summary!$O$23</f>
        <v>3.75</v>
      </c>
      <c r="M258" s="1481">
        <f>Summary!$J$57</f>
        <v>1.75</v>
      </c>
      <c r="N258" s="1483">
        <f t="shared" si="29"/>
        <v>8.6788198767221658</v>
      </c>
      <c r="O258" s="1481">
        <f t="shared" si="30"/>
        <v>0</v>
      </c>
      <c r="P258" s="1481">
        <f t="shared" si="31"/>
        <v>0</v>
      </c>
      <c r="Q258" s="1483">
        <f>IF(A258&lt;=Summary!$J$61,0.5*(P258),$Q$2*(P258))</f>
        <v>0</v>
      </c>
      <c r="R258" s="1481">
        <f>Summary!$J$58</f>
        <v>0.5</v>
      </c>
      <c r="S258" s="1481">
        <f t="shared" si="32"/>
        <v>44.760523826561268</v>
      </c>
      <c r="T258" s="1487">
        <f t="shared" si="33"/>
        <v>12845.343622201168</v>
      </c>
      <c r="U258" s="45">
        <f>Summary!$J$59</f>
        <v>0.12104878144800001</v>
      </c>
      <c r="V258" s="1487">
        <f>IF(A258&lt;=Summary!$J$61,(0.2*T258)+(R258*D258),(U258*T258)+(R258*D258))</f>
        <v>11016.439042748289</v>
      </c>
      <c r="W258" s="1536">
        <f t="shared" si="34"/>
        <v>859851.05011130171</v>
      </c>
    </row>
    <row r="259" spans="1:23">
      <c r="A259" s="18">
        <v>44256</v>
      </c>
      <c r="B259" s="20">
        <f t="shared" si="28"/>
        <v>2021</v>
      </c>
      <c r="C259" s="1483">
        <f>CALC!HH271</f>
        <v>44.010730226302861</v>
      </c>
      <c r="D259" s="820">
        <f>IF(Summary!$O$109=0,CALC!HE271,0)</f>
        <v>20950.521524999996</v>
      </c>
      <c r="E259" s="820">
        <f>SUM(CALC!GU271:HB271)*CALC!CY271/1000</f>
        <v>95054.298830845655</v>
      </c>
      <c r="F259" s="1481">
        <f>Summary!$J$54</f>
        <v>0.15</v>
      </c>
      <c r="G259" s="1483">
        <f>VLOOKUP(A259,CURVES!AW260:$BS$283,16)</f>
        <v>3.9127989511282024</v>
      </c>
      <c r="H259" s="1481">
        <f>Summary!$J$60</f>
        <v>0.04</v>
      </c>
      <c r="I259" s="17">
        <f>Summary!$J$55</f>
        <v>8.5</v>
      </c>
      <c r="J259" s="1483">
        <f t="shared" si="35"/>
        <v>34.873791084589726</v>
      </c>
      <c r="K259" s="1481">
        <f>Summary!$J$56</f>
        <v>3.75</v>
      </c>
      <c r="L259">
        <f>Summary!$O$23</f>
        <v>3.75</v>
      </c>
      <c r="M259" s="1481">
        <f>Summary!$J$57</f>
        <v>1.75</v>
      </c>
      <c r="N259" s="1483">
        <f t="shared" si="29"/>
        <v>9.1369391417131354</v>
      </c>
      <c r="O259" s="1481">
        <f t="shared" si="30"/>
        <v>0</v>
      </c>
      <c r="P259" s="1481">
        <f t="shared" si="31"/>
        <v>0</v>
      </c>
      <c r="Q259" s="1483">
        <f>IF(A259&lt;=Summary!$J$61,0.5*(P259),$Q$2*(P259))</f>
        <v>0</v>
      </c>
      <c r="R259" s="1481">
        <f>Summary!$J$58</f>
        <v>0.5</v>
      </c>
      <c r="S259" s="1481">
        <f t="shared" si="32"/>
        <v>42.873791084589726</v>
      </c>
      <c r="T259" s="1487">
        <f t="shared" si="33"/>
        <v>23819.467961076065</v>
      </c>
      <c r="U259" s="45">
        <f>Summary!$J$59</f>
        <v>0.12104878144800001</v>
      </c>
      <c r="V259" s="1487">
        <f>IF(A259&lt;=Summary!$J$61,(0.2*T259)+(R259*D259),(U259*T259)+(R259*D259))</f>
        <v>13358.578333927933</v>
      </c>
      <c r="W259" s="1536">
        <f t="shared" si="34"/>
        <v>922047.75093712611</v>
      </c>
    </row>
    <row r="260" spans="1:23">
      <c r="A260" s="18">
        <v>44287</v>
      </c>
      <c r="B260" s="20">
        <f t="shared" si="28"/>
        <v>2021</v>
      </c>
      <c r="C260" s="1483">
        <f>CALC!HH272</f>
        <v>43.425860087548593</v>
      </c>
      <c r="D260" s="820">
        <f>IF(Summary!$O$109=0,CALC!HE272,0)</f>
        <v>20274.698249999998</v>
      </c>
      <c r="E260" s="820">
        <f>SUM(CALC!GU272:HB272)*CALC!CY272/1000</f>
        <v>92012.007666539517</v>
      </c>
      <c r="F260" s="1481">
        <f>Summary!$J$54</f>
        <v>0.15</v>
      </c>
      <c r="G260" s="1483">
        <f>VLOOKUP(A260,CURVES!AW261:$BS$283,16)</f>
        <v>3.7954121893553179</v>
      </c>
      <c r="H260" s="1481">
        <f>Summary!$J$60</f>
        <v>0.04</v>
      </c>
      <c r="I260" s="17">
        <f>Summary!$J$55</f>
        <v>8.5</v>
      </c>
      <c r="J260" s="1483">
        <f t="shared" si="35"/>
        <v>33.876003609520204</v>
      </c>
      <c r="K260" s="1481">
        <f>Summary!$J$56</f>
        <v>3.75</v>
      </c>
      <c r="L260">
        <f>Summary!$O$23</f>
        <v>3.75</v>
      </c>
      <c r="M260" s="1481">
        <f>Summary!$J$57</f>
        <v>1.75</v>
      </c>
      <c r="N260" s="1483">
        <f t="shared" si="29"/>
        <v>9.5498564780283886</v>
      </c>
      <c r="O260" s="1481">
        <f t="shared" si="30"/>
        <v>0.29985647802838855</v>
      </c>
      <c r="P260" s="1481">
        <f t="shared" si="31"/>
        <v>6079.4996103333324</v>
      </c>
      <c r="Q260" s="1483">
        <f>IF(A260&lt;=Summary!$J$61,0.5*(P260),$Q$2*(P260))</f>
        <v>0</v>
      </c>
      <c r="R260" s="1481">
        <f>Summary!$J$58</f>
        <v>0.5</v>
      </c>
      <c r="S260" s="1481">
        <f t="shared" si="32"/>
        <v>41.876003609520204</v>
      </c>
      <c r="T260" s="1487">
        <f t="shared" si="33"/>
        <v>31422.87242283333</v>
      </c>
      <c r="U260" s="45">
        <f>Summary!$J$59</f>
        <v>0.12104878144800001</v>
      </c>
      <c r="V260" s="1487">
        <f>IF(A260&lt;=Summary!$J$61,(0.2*T260)+(R260*D260),(U260*T260)+(R260*D260))</f>
        <v>13941.049541379936</v>
      </c>
      <c r="W260" s="1536">
        <f t="shared" si="34"/>
        <v>880446.20952176617</v>
      </c>
    </row>
    <row r="261" spans="1:23">
      <c r="A261" s="18">
        <v>44317</v>
      </c>
      <c r="B261" s="20">
        <f t="shared" si="28"/>
        <v>2021</v>
      </c>
      <c r="C261" s="1483">
        <f>CALC!HH273</f>
        <v>49.143564393956126</v>
      </c>
      <c r="D261" s="820">
        <f>IF(Summary!$O$109=0,CALC!HE273,0)</f>
        <v>22276.503900000003</v>
      </c>
      <c r="E261" s="820">
        <f>SUM(CALC!GU273:HB273)*CALC!CY273/1000</f>
        <v>74429.100271306452</v>
      </c>
      <c r="F261" s="1481">
        <f>Summary!$J$54</f>
        <v>0.15</v>
      </c>
      <c r="G261" s="1483">
        <f>VLOOKUP(A261,CURVES!AW262:$BS$283,16)</f>
        <v>3.7667883646741598</v>
      </c>
      <c r="H261" s="1481">
        <f>Summary!$J$60</f>
        <v>0.04</v>
      </c>
      <c r="I261" s="17">
        <f>Summary!$J$55</f>
        <v>8.5</v>
      </c>
      <c r="J261" s="1483">
        <f t="shared" si="35"/>
        <v>33.632701099730355</v>
      </c>
      <c r="K261" s="1481">
        <f>Summary!$J$56</f>
        <v>3.75</v>
      </c>
      <c r="L261">
        <f>Summary!$O$23</f>
        <v>3.75</v>
      </c>
      <c r="M261" s="1481">
        <f>Summary!$J$57</f>
        <v>1.75</v>
      </c>
      <c r="N261" s="1483">
        <f t="shared" si="29"/>
        <v>15.510863294225771</v>
      </c>
      <c r="O261" s="1481">
        <f t="shared" si="30"/>
        <v>6.2608632942257714</v>
      </c>
      <c r="P261" s="1481">
        <f t="shared" si="31"/>
        <v>139470.14559118726</v>
      </c>
      <c r="Q261" s="1483">
        <f>IF(A261&lt;=Summary!$J$61,0.5*(P261),$Q$2*(P261))</f>
        <v>0</v>
      </c>
      <c r="R261" s="1481">
        <f>Summary!$J$58</f>
        <v>0.5</v>
      </c>
      <c r="S261" s="1481">
        <f t="shared" si="32"/>
        <v>41.632701099730355</v>
      </c>
      <c r="T261" s="1487">
        <f t="shared" si="33"/>
        <v>167315.77546618728</v>
      </c>
      <c r="U261" s="45">
        <f>Summary!$J$59</f>
        <v>0.12104878144800001</v>
      </c>
      <c r="V261" s="1487">
        <f>IF(A261&lt;=Summary!$J$61,(0.2*T261)+(R261*D261),(U261*T261)+(R261*D261))</f>
        <v>31391.622687209147</v>
      </c>
      <c r="W261" s="1536">
        <f t="shared" si="34"/>
        <v>1094746.803881865</v>
      </c>
    </row>
    <row r="262" spans="1:23">
      <c r="A262" s="18">
        <v>44348</v>
      </c>
      <c r="B262" s="20">
        <f t="shared" ref="B262:B281" si="36">YEAR(A262)</f>
        <v>2021</v>
      </c>
      <c r="C262" s="1483">
        <f>CALC!HH274</f>
        <v>50.253159133814449</v>
      </c>
      <c r="D262" s="820">
        <f>IF(Summary!$O$109=0,CALC!HE274,0)</f>
        <v>21557.906999999999</v>
      </c>
      <c r="E262" s="820">
        <f>SUM(CALC!GU274:HB274)*CALC!CY274/1000</f>
        <v>72046.925801506077</v>
      </c>
      <c r="F262" s="1481">
        <f>Summary!$J$54</f>
        <v>0.15</v>
      </c>
      <c r="G262" s="1483">
        <f>VLOOKUP(A262,CURVES!AW263:$BS$283,16)</f>
        <v>3.8122889934782811</v>
      </c>
      <c r="H262" s="1481">
        <f>Summary!$J$60</f>
        <v>0.04</v>
      </c>
      <c r="I262" s="17">
        <f>Summary!$J$55</f>
        <v>8.5</v>
      </c>
      <c r="J262" s="1483">
        <f t="shared" si="35"/>
        <v>34.019456444565392</v>
      </c>
      <c r="K262" s="1481">
        <f>Summary!$J$56</f>
        <v>3.75</v>
      </c>
      <c r="L262">
        <f>Summary!$O$23</f>
        <v>3.75</v>
      </c>
      <c r="M262" s="1481">
        <f>Summary!$J$57</f>
        <v>1.75</v>
      </c>
      <c r="N262" s="1483">
        <f t="shared" ref="N262:N281" si="37">IF(C262&gt;0,C262-J262,0)</f>
        <v>16.233702689249057</v>
      </c>
      <c r="O262" s="1481">
        <f t="shared" ref="O262:O281" si="38">IF(N262&gt;0,IF(N262-SUM(K262:M262)&gt;0,N262-SUM(K262:M262),0),0)</f>
        <v>6.983702689249057</v>
      </c>
      <c r="P262" s="1481">
        <f t="shared" ref="P262:P281" si="39">O262*D262</f>
        <v>150554.01309048108</v>
      </c>
      <c r="Q262" s="1483">
        <f>IF(A262&lt;=Summary!$J$61,0.5*(P262),$Q$2*(P262))</f>
        <v>0</v>
      </c>
      <c r="R262" s="1481">
        <f>Summary!$J$58</f>
        <v>0.5</v>
      </c>
      <c r="S262" s="1481">
        <f t="shared" ref="S262:S281" si="40">J262+(K262+L262+R262)</f>
        <v>42.019456444565392</v>
      </c>
      <c r="T262" s="1487">
        <f t="shared" ref="T262:T281" si="41">IF(D262*(C262-S262)-Q262&gt;0,D262*(C262-S262)-Q262,0)</f>
        <v>177501.39684048106</v>
      </c>
      <c r="U262" s="45">
        <f>Summary!$J$59</f>
        <v>0.12104878144800001</v>
      </c>
      <c r="V262" s="1487">
        <f>IF(A262&lt;=Summary!$J$61,(0.2*T262)+(R262*D262),(U262*T262)+(R262*D262))</f>
        <v>32265.281292858112</v>
      </c>
      <c r="W262" s="1536">
        <f t="shared" ref="W262:W281" si="42">C262*D262</f>
        <v>1083352.9310629724</v>
      </c>
    </row>
    <row r="263" spans="1:23">
      <c r="A263" s="18">
        <v>44378</v>
      </c>
      <c r="B263" s="20">
        <f t="shared" si="36"/>
        <v>2021</v>
      </c>
      <c r="C263" s="1483">
        <f>CALC!HH275</f>
        <v>64.974355225921315</v>
      </c>
      <c r="D263" s="820">
        <f>IF(Summary!$O$109=0,CALC!HE275,0)</f>
        <v>22276.503900000003</v>
      </c>
      <c r="E263" s="820">
        <f>SUM(CALC!GU275:HB275)*CALC!CY275/1000</f>
        <v>74467.879718472788</v>
      </c>
      <c r="F263" s="1481">
        <f>Summary!$J$54</f>
        <v>0.15</v>
      </c>
      <c r="G263" s="1483">
        <f>VLOOKUP(A263,CURVES!AW264:$BS$283,16)</f>
        <v>3.9163495783986875</v>
      </c>
      <c r="H263" s="1481">
        <f>Summary!$J$60</f>
        <v>0.04</v>
      </c>
      <c r="I263" s="17">
        <f>Summary!$J$55</f>
        <v>8.5</v>
      </c>
      <c r="J263" s="1483">
        <f t="shared" si="35"/>
        <v>34.903971416388849</v>
      </c>
      <c r="K263" s="1481">
        <f>Summary!$J$56</f>
        <v>3.75</v>
      </c>
      <c r="L263">
        <f>Summary!$O$23</f>
        <v>3.75</v>
      </c>
      <c r="M263" s="1481">
        <f>Summary!$J$57</f>
        <v>1.75</v>
      </c>
      <c r="N263" s="1483">
        <f t="shared" si="37"/>
        <v>30.070383809532466</v>
      </c>
      <c r="O263" s="1481">
        <f t="shared" si="38"/>
        <v>20.820383809532466</v>
      </c>
      <c r="P263" s="1481">
        <f t="shared" si="39"/>
        <v>463805.36113254691</v>
      </c>
      <c r="Q263" s="1483">
        <f>IF(A263&lt;=Summary!$J$61,0.5*(P263),$Q$2*(P263))</f>
        <v>0</v>
      </c>
      <c r="R263" s="1481">
        <f>Summary!$J$58</f>
        <v>0.5</v>
      </c>
      <c r="S263" s="1481">
        <f t="shared" si="40"/>
        <v>42.903971416388849</v>
      </c>
      <c r="T263" s="1487">
        <f t="shared" si="41"/>
        <v>491650.99100754689</v>
      </c>
      <c r="U263" s="45">
        <f>Summary!$J$59</f>
        <v>0.12104878144800001</v>
      </c>
      <c r="V263" s="1487">
        <f>IF(A263&lt;=Summary!$J$61,(0.2*T263)+(R263*D263),(U263*T263)+(R263*D263))</f>
        <v>70652.005309165164</v>
      </c>
      <c r="W263" s="1536">
        <f t="shared" si="42"/>
        <v>1447401.4775902217</v>
      </c>
    </row>
    <row r="264" spans="1:23">
      <c r="A264" s="18">
        <v>44409</v>
      </c>
      <c r="B264" s="20">
        <f t="shared" si="36"/>
        <v>2021</v>
      </c>
      <c r="C264" s="1483">
        <f>CALC!HH276</f>
        <v>78.562172357521831</v>
      </c>
      <c r="D264" s="820">
        <f>IF(Summary!$O$109=0,CALC!HE276,0)</f>
        <v>22276.5039</v>
      </c>
      <c r="E264" s="820">
        <f>SUM(CALC!GU276:HB276)*CALC!CY276/1000</f>
        <v>74487.269442055956</v>
      </c>
      <c r="F264" s="1481">
        <f>Summary!$J$54</f>
        <v>0.15</v>
      </c>
      <c r="G264" s="1483">
        <f>VLOOKUP(A264,CURVES!AW265:$BS$283,16)</f>
        <v>4.0641372211610394</v>
      </c>
      <c r="H264" s="1481">
        <f>Summary!$J$60</f>
        <v>0.04</v>
      </c>
      <c r="I264" s="17">
        <f>Summary!$J$55</f>
        <v>8.5</v>
      </c>
      <c r="J264" s="1483">
        <f t="shared" si="35"/>
        <v>36.160166379868841</v>
      </c>
      <c r="K264" s="1481">
        <f>Summary!$J$56</f>
        <v>3.75</v>
      </c>
      <c r="L264">
        <f>Summary!$O$23</f>
        <v>3.75</v>
      </c>
      <c r="M264" s="1481">
        <f>Summary!$J$57</f>
        <v>1.75</v>
      </c>
      <c r="N264" s="1483">
        <f t="shared" si="37"/>
        <v>42.402005977652991</v>
      </c>
      <c r="O264" s="1481">
        <f t="shared" si="38"/>
        <v>33.152005977652991</v>
      </c>
      <c r="P264" s="1481">
        <f t="shared" si="39"/>
        <v>738510.79045401013</v>
      </c>
      <c r="Q264" s="1483">
        <f>IF(A264&lt;=Summary!$J$61,0.5*(P264),$Q$2*(P264))</f>
        <v>0</v>
      </c>
      <c r="R264" s="1481">
        <f>Summary!$J$58</f>
        <v>0.5</v>
      </c>
      <c r="S264" s="1481">
        <f t="shared" si="40"/>
        <v>44.160166379868841</v>
      </c>
      <c r="T264" s="1487">
        <f t="shared" si="41"/>
        <v>766356.42032901011</v>
      </c>
      <c r="U264" s="45">
        <f>Summary!$J$59</f>
        <v>0.12104878144800001</v>
      </c>
      <c r="V264" s="1487">
        <f>IF(A264&lt;=Summary!$J$61,(0.2*T264)+(R264*D264),(U264*T264)+(R264*D264))</f>
        <v>103904.76278567797</v>
      </c>
      <c r="W264" s="1536">
        <f t="shared" si="42"/>
        <v>1750090.5389148071</v>
      </c>
    </row>
    <row r="265" spans="1:23">
      <c r="A265" s="18">
        <v>44440</v>
      </c>
      <c r="B265" s="20">
        <f t="shared" si="36"/>
        <v>2021</v>
      </c>
      <c r="C265" s="1483">
        <f>CALC!HH277</f>
        <v>69.851253201144999</v>
      </c>
      <c r="D265" s="820">
        <f>IF(Summary!$O$109=0,CALC!HE277,0)</f>
        <v>21557.906999999999</v>
      </c>
      <c r="E265" s="820">
        <f>SUM(CALC!GU277:HB277)*CALC!CY277/1000</f>
        <v>72103.218547392738</v>
      </c>
      <c r="F265" s="1481">
        <f>Summary!$J$54</f>
        <v>0.15</v>
      </c>
      <c r="G265" s="1483">
        <f>VLOOKUP(A265,CURVES!AW266:$BS$283,16)</f>
        <v>4.2400929067397701</v>
      </c>
      <c r="H265" s="1481">
        <f>Summary!$J$60</f>
        <v>0.04</v>
      </c>
      <c r="I265" s="17">
        <f>Summary!$J$55</f>
        <v>8.5</v>
      </c>
      <c r="J265" s="1483">
        <f t="shared" si="35"/>
        <v>37.655789707288051</v>
      </c>
      <c r="K265" s="1481">
        <f>Summary!$J$56</f>
        <v>3.75</v>
      </c>
      <c r="L265">
        <f>Summary!$O$23</f>
        <v>3.75</v>
      </c>
      <c r="M265" s="1481">
        <f>Summary!$J$57</f>
        <v>1.75</v>
      </c>
      <c r="N265" s="1483">
        <f t="shared" si="37"/>
        <v>32.195463493856948</v>
      </c>
      <c r="O265" s="1481">
        <f t="shared" si="38"/>
        <v>22.945463493856948</v>
      </c>
      <c r="P265" s="1481">
        <f t="shared" si="39"/>
        <v>494656.16807246313</v>
      </c>
      <c r="Q265" s="1483">
        <f>IF(A265&lt;=Summary!$J$61,0.5*(P265),$Q$2*(P265))</f>
        <v>0</v>
      </c>
      <c r="R265" s="1481">
        <f>Summary!$J$58</f>
        <v>0.5</v>
      </c>
      <c r="S265" s="1481">
        <f t="shared" si="40"/>
        <v>45.655789707288051</v>
      </c>
      <c r="T265" s="1487">
        <f t="shared" si="41"/>
        <v>521603.55182246317</v>
      </c>
      <c r="U265" s="45">
        <f>Summary!$J$59</f>
        <v>0.12104878144800001</v>
      </c>
      <c r="V265" s="1487">
        <f>IF(A265&lt;=Summary!$J$61,(0.2*T265)+(R265*D265),(U265*T265)+(R265*D265))</f>
        <v>73918.427847057887</v>
      </c>
      <c r="W265" s="1536">
        <f t="shared" si="42"/>
        <v>1505846.8203437361</v>
      </c>
    </row>
    <row r="266" spans="1:23">
      <c r="A266" s="18">
        <v>44470</v>
      </c>
      <c r="B266" s="20">
        <f t="shared" si="36"/>
        <v>2021</v>
      </c>
      <c r="C266" s="1483">
        <f>CALC!HH278</f>
        <v>59.490337699438292</v>
      </c>
      <c r="D266" s="820">
        <f>IF(Summary!$O$109=0,CALC!HE278,0)</f>
        <v>20950.521525</v>
      </c>
      <c r="E266" s="820">
        <f>SUM(CALC!GU278:HB278)*CALC!CY278/1000</f>
        <v>95227.729136228532</v>
      </c>
      <c r="F266" s="1481">
        <f>Summary!$J$54</f>
        <v>0.15</v>
      </c>
      <c r="G266" s="1483">
        <f>VLOOKUP(A266,CURVES!AW267:$BS$283,16)</f>
        <v>4.4285201627036317</v>
      </c>
      <c r="H266" s="1481">
        <f>Summary!$J$60</f>
        <v>0.04</v>
      </c>
      <c r="I266" s="17">
        <f>Summary!$J$55</f>
        <v>8.5</v>
      </c>
      <c r="J266" s="1483">
        <f t="shared" si="35"/>
        <v>39.257421382980873</v>
      </c>
      <c r="K266" s="1481">
        <f>Summary!$J$56</f>
        <v>3.75</v>
      </c>
      <c r="L266">
        <f>Summary!$O$23</f>
        <v>3.75</v>
      </c>
      <c r="M266" s="1481">
        <f>Summary!$J$57</f>
        <v>1.75</v>
      </c>
      <c r="N266" s="1483">
        <f t="shared" si="37"/>
        <v>20.23291631645742</v>
      </c>
      <c r="O266" s="1481">
        <f t="shared" si="38"/>
        <v>10.98291631645742</v>
      </c>
      <c r="P266" s="1481">
        <f t="shared" si="39"/>
        <v>230097.82469521489</v>
      </c>
      <c r="Q266" s="1483">
        <f>IF(A266&lt;=Summary!$J$61,0.5*(P266),$Q$2*(P266))</f>
        <v>0</v>
      </c>
      <c r="R266" s="1481">
        <f>Summary!$J$58</f>
        <v>0.5</v>
      </c>
      <c r="S266" s="1481">
        <f t="shared" si="40"/>
        <v>47.257421382980873</v>
      </c>
      <c r="T266" s="1487">
        <f t="shared" si="41"/>
        <v>256285.97660146488</v>
      </c>
      <c r="U266" s="45">
        <f>Summary!$J$59</f>
        <v>0.12104878144800001</v>
      </c>
      <c r="V266" s="1487">
        <f>IF(A266&lt;=Summary!$J$61,(0.2*T266)+(R266*D266),(U266*T266)+(R266*D266))</f>
        <v>41498.365932317967</v>
      </c>
      <c r="W266" s="1536">
        <f t="shared" si="42"/>
        <v>1246353.6005016009</v>
      </c>
    </row>
    <row r="267" spans="1:23">
      <c r="A267" s="18">
        <v>44501</v>
      </c>
      <c r="B267" s="20">
        <f t="shared" si="36"/>
        <v>2021</v>
      </c>
      <c r="C267" s="1483">
        <f>CALC!HH279</f>
        <v>61.152882073216489</v>
      </c>
      <c r="D267" s="820">
        <f>IF(Summary!$O$109=0,CALC!HE279,0)</f>
        <v>20274.698250000001</v>
      </c>
      <c r="E267" s="820">
        <f>SUM(CALC!GU279:HB279)*CALC!CY279/1000</f>
        <v>92179.843445942286</v>
      </c>
      <c r="F267" s="1481">
        <f>Summary!$J$54</f>
        <v>0.15</v>
      </c>
      <c r="G267" s="1483">
        <f>VLOOKUP(A267,CURVES!AW268:$BS$283,16)</f>
        <v>4.6143282865711548</v>
      </c>
      <c r="H267" s="1481">
        <f>Summary!$J$60</f>
        <v>0.04</v>
      </c>
      <c r="I267" s="17">
        <f>Summary!$J$55</f>
        <v>8.5</v>
      </c>
      <c r="J267" s="1483">
        <f t="shared" si="35"/>
        <v>40.836790435854816</v>
      </c>
      <c r="K267" s="1481">
        <f>Summary!$J$56</f>
        <v>3.75</v>
      </c>
      <c r="L267">
        <f>Summary!$O$23</f>
        <v>3.75</v>
      </c>
      <c r="M267" s="1481">
        <f>Summary!$J$57</f>
        <v>1.75</v>
      </c>
      <c r="N267" s="1483">
        <f t="shared" si="37"/>
        <v>20.316091637361673</v>
      </c>
      <c r="O267" s="1481">
        <f t="shared" si="38"/>
        <v>11.066091637361673</v>
      </c>
      <c r="P267" s="1481">
        <f t="shared" si="39"/>
        <v>224361.66875435636</v>
      </c>
      <c r="Q267" s="1483">
        <f>IF(A267&lt;=Summary!$J$61,0.5*(P267),$Q$2*(P267))</f>
        <v>0</v>
      </c>
      <c r="R267" s="1481">
        <f>Summary!$J$58</f>
        <v>0.5</v>
      </c>
      <c r="S267" s="1481">
        <f t="shared" si="40"/>
        <v>48.836790435854816</v>
      </c>
      <c r="T267" s="1487">
        <f t="shared" si="41"/>
        <v>249705.04156685635</v>
      </c>
      <c r="U267" s="45">
        <f>Summary!$J$59</f>
        <v>0.12104878144800001</v>
      </c>
      <c r="V267" s="1487">
        <f>IF(A267&lt;=Summary!$J$61,(0.2*T267)+(R267*D267),(U267*T267)+(R267*D267))</f>
        <v>40363.840128090153</v>
      </c>
      <c r="W267" s="1536">
        <f t="shared" si="42"/>
        <v>1239856.2311522989</v>
      </c>
    </row>
    <row r="268" spans="1:23">
      <c r="A268" s="18">
        <v>44531</v>
      </c>
      <c r="B268" s="20">
        <f t="shared" si="36"/>
        <v>2021</v>
      </c>
      <c r="C268" s="1483">
        <f>CALC!HH280</f>
        <v>63.176389544518329</v>
      </c>
      <c r="D268" s="820">
        <f>IF(Summary!$O$109=0,CALC!HE280,0)</f>
        <v>20950.521525</v>
      </c>
      <c r="E268" s="820">
        <f>SUM(CALC!GU280:HB280)*CALC!CY280/1000</f>
        <v>95277.280652052199</v>
      </c>
      <c r="F268" s="1481">
        <f>Summary!$J$54</f>
        <v>0.15</v>
      </c>
      <c r="G268" s="1483">
        <f>VLOOKUP(A268,CURVES!AW269:$BS$283,16)</f>
        <v>4.8105992076073516</v>
      </c>
      <c r="H268" s="1481">
        <f>Summary!$J$60</f>
        <v>0.04</v>
      </c>
      <c r="I268" s="17">
        <f>Summary!$J$55</f>
        <v>8.5</v>
      </c>
      <c r="J268" s="1483">
        <f t="shared" si="35"/>
        <v>42.505093264662491</v>
      </c>
      <c r="K268" s="1481">
        <f>Summary!$J$56</f>
        <v>3.75</v>
      </c>
      <c r="L268">
        <f>Summary!$O$23</f>
        <v>3.75</v>
      </c>
      <c r="M268" s="1481">
        <f>Summary!$J$57</f>
        <v>1.75</v>
      </c>
      <c r="N268" s="1483">
        <f t="shared" si="37"/>
        <v>20.671296279855838</v>
      </c>
      <c r="O268" s="1481">
        <f t="shared" si="38"/>
        <v>11.421296279855838</v>
      </c>
      <c r="P268" s="1481">
        <f t="shared" si="39"/>
        <v>239282.11355452216</v>
      </c>
      <c r="Q268" s="1483">
        <f>IF(A268&lt;=Summary!$J$61,0.5*(P268),$Q$2*(P268))</f>
        <v>0</v>
      </c>
      <c r="R268" s="1481">
        <f>Summary!$J$58</f>
        <v>0.5</v>
      </c>
      <c r="S268" s="1481">
        <f t="shared" si="40"/>
        <v>50.505093264662491</v>
      </c>
      <c r="T268" s="1487">
        <f t="shared" si="41"/>
        <v>265470.26546077215</v>
      </c>
      <c r="U268" s="45">
        <f>Summary!$J$59</f>
        <v>0.12104878144800001</v>
      </c>
      <c r="V268" s="1487">
        <f>IF(A268&lt;=Summary!$J$61,(0.2*T268)+(R268*D268),(U268*T268)+(R268*D268))</f>
        <v>42610.112907203555</v>
      </c>
      <c r="W268" s="1536">
        <f t="shared" si="42"/>
        <v>1323578.3090242161</v>
      </c>
    </row>
    <row r="269" spans="1:23">
      <c r="A269" s="18">
        <v>44562</v>
      </c>
      <c r="B269" s="20">
        <f t="shared" si="36"/>
        <v>2022</v>
      </c>
      <c r="C269" s="1483">
        <f>CALC!HH281</f>
        <v>0</v>
      </c>
      <c r="D269" s="820">
        <f>IF(Summary!$O$109=0,CALC!HE281,0)</f>
        <v>0</v>
      </c>
      <c r="E269" s="820">
        <f>SUM(CALC!GU281:HB281)*CALC!CY281/1000</f>
        <v>0</v>
      </c>
      <c r="F269" s="1481">
        <f>Summary!$J$54</f>
        <v>0.15</v>
      </c>
      <c r="G269" s="1483">
        <f>VLOOKUP(A269,CURVES!AW270:$BS$283,16)</f>
        <v>4.851</v>
      </c>
      <c r="H269" s="1481">
        <f>Summary!$J$60</f>
        <v>0.04</v>
      </c>
      <c r="I269" s="17">
        <f>Summary!$J$55</f>
        <v>8.5</v>
      </c>
      <c r="J269" s="1483">
        <f t="shared" si="35"/>
        <v>42.848500000000001</v>
      </c>
      <c r="K269" s="1481">
        <f>Summary!$J$56</f>
        <v>3.75</v>
      </c>
      <c r="L269">
        <f>Summary!$O$23</f>
        <v>3.75</v>
      </c>
      <c r="M269" s="1481">
        <f>Summary!$J$57</f>
        <v>1.75</v>
      </c>
      <c r="N269" s="1483">
        <f t="shared" si="37"/>
        <v>0</v>
      </c>
      <c r="O269" s="1481">
        <f t="shared" si="38"/>
        <v>0</v>
      </c>
      <c r="P269" s="1481">
        <f t="shared" si="39"/>
        <v>0</v>
      </c>
      <c r="Q269" s="1483">
        <f>IF(A269&lt;=Summary!$J$61,0.5*(P269),$Q$2*(P269))</f>
        <v>0</v>
      </c>
      <c r="R269" s="1481">
        <f>Summary!$J$58</f>
        <v>0.5</v>
      </c>
      <c r="S269" s="1481">
        <f t="shared" si="40"/>
        <v>50.848500000000001</v>
      </c>
      <c r="T269" s="1487">
        <f t="shared" si="41"/>
        <v>0</v>
      </c>
      <c r="U269" s="45">
        <f>Summary!$J$59</f>
        <v>0.12104878144800001</v>
      </c>
      <c r="V269" s="1487">
        <f>IF(A269&lt;=Summary!$J$61,(0.2*T269)+(R269*D269),(U269*T269)+(R269*D269))</f>
        <v>0</v>
      </c>
      <c r="W269" s="1536">
        <f t="shared" si="42"/>
        <v>0</v>
      </c>
    </row>
    <row r="270" spans="1:23">
      <c r="A270" s="18">
        <v>44593</v>
      </c>
      <c r="B270" s="20">
        <f t="shared" si="36"/>
        <v>2022</v>
      </c>
      <c r="C270" s="1483">
        <f>CALC!HH282</f>
        <v>0</v>
      </c>
      <c r="D270" s="820">
        <f>IF(Summary!$O$109=0,CALC!HE282,0)</f>
        <v>0</v>
      </c>
      <c r="E270" s="820">
        <f>SUM(CALC!GU282:HB282)*CALC!CY282/1000</f>
        <v>0</v>
      </c>
      <c r="F270" s="1481">
        <f>Summary!$J$54</f>
        <v>0.15</v>
      </c>
      <c r="G270" s="1483">
        <f>VLOOKUP(A270,CURVES!AW271:$BS$283,16)</f>
        <v>4.8</v>
      </c>
      <c r="H270" s="1481">
        <f>Summary!$J$60</f>
        <v>0.04</v>
      </c>
      <c r="I270" s="17">
        <f>Summary!$J$55</f>
        <v>8.5</v>
      </c>
      <c r="J270" s="1483">
        <f t="shared" si="35"/>
        <v>42.414999999999999</v>
      </c>
      <c r="K270" s="1481">
        <f>Summary!$J$56</f>
        <v>3.75</v>
      </c>
      <c r="L270">
        <f>Summary!$O$23</f>
        <v>3.75</v>
      </c>
      <c r="M270" s="1481">
        <f>Summary!$J$57</f>
        <v>1.75</v>
      </c>
      <c r="N270" s="1483">
        <f t="shared" si="37"/>
        <v>0</v>
      </c>
      <c r="O270" s="1481">
        <f t="shared" si="38"/>
        <v>0</v>
      </c>
      <c r="P270" s="1481">
        <f t="shared" si="39"/>
        <v>0</v>
      </c>
      <c r="Q270" s="1483">
        <f>IF(A270&lt;=Summary!$J$61,0.5*(P270),$Q$2*(P270))</f>
        <v>0</v>
      </c>
      <c r="R270" s="1481">
        <f>Summary!$J$58</f>
        <v>0.5</v>
      </c>
      <c r="S270" s="1481">
        <f t="shared" si="40"/>
        <v>50.414999999999999</v>
      </c>
      <c r="T270" s="1487">
        <f t="shared" si="41"/>
        <v>0</v>
      </c>
      <c r="U270" s="45">
        <f>Summary!$J$59</f>
        <v>0.12104878144800001</v>
      </c>
      <c r="V270" s="1487">
        <f>IF(A270&lt;=Summary!$J$61,(0.2*T270)+(R270*D270),(U270*T270)+(R270*D270))</f>
        <v>0</v>
      </c>
      <c r="W270" s="1536">
        <f t="shared" si="42"/>
        <v>0</v>
      </c>
    </row>
    <row r="271" spans="1:23">
      <c r="A271" s="18">
        <v>44621</v>
      </c>
      <c r="B271" s="20">
        <f t="shared" si="36"/>
        <v>2022</v>
      </c>
      <c r="C271" s="1483">
        <f>CALC!HH283</f>
        <v>0</v>
      </c>
      <c r="D271" s="820">
        <f>IF(Summary!$O$109=0,CALC!HE283,0)</f>
        <v>0</v>
      </c>
      <c r="E271" s="820">
        <f>SUM(CALC!GU283:HB283)*CALC!CY283/1000</f>
        <v>0</v>
      </c>
      <c r="F271" s="1481">
        <f>Summary!$J$54</f>
        <v>0.15</v>
      </c>
      <c r="G271" s="1483">
        <f>VLOOKUP(A271,CURVES!AW272:$BS$283,16)</f>
        <v>4.6989999999999998</v>
      </c>
      <c r="H271" s="1481">
        <f>Summary!$J$60</f>
        <v>0.04</v>
      </c>
      <c r="I271" s="17">
        <f>Summary!$J$55</f>
        <v>8.5</v>
      </c>
      <c r="J271" s="1483">
        <f t="shared" si="35"/>
        <v>41.5565</v>
      </c>
      <c r="K271" s="1481">
        <f>Summary!$J$56</f>
        <v>3.75</v>
      </c>
      <c r="L271">
        <f>Summary!$O$23</f>
        <v>3.75</v>
      </c>
      <c r="M271" s="1481">
        <f>Summary!$J$57</f>
        <v>1.75</v>
      </c>
      <c r="N271" s="1483">
        <f t="shared" si="37"/>
        <v>0</v>
      </c>
      <c r="O271" s="1481">
        <f t="shared" si="38"/>
        <v>0</v>
      </c>
      <c r="P271" s="1481">
        <f t="shared" si="39"/>
        <v>0</v>
      </c>
      <c r="Q271" s="1483">
        <f>IF(A271&lt;=Summary!$J$61,0.5*(P271),$Q$2*(P271))</f>
        <v>0</v>
      </c>
      <c r="R271" s="1481">
        <f>Summary!$J$58</f>
        <v>0.5</v>
      </c>
      <c r="S271" s="1481">
        <f t="shared" si="40"/>
        <v>49.5565</v>
      </c>
      <c r="T271" s="1487">
        <f t="shared" si="41"/>
        <v>0</v>
      </c>
      <c r="U271" s="45">
        <f>Summary!$J$59</f>
        <v>0.12104878144800001</v>
      </c>
      <c r="V271" s="1487">
        <f>IF(A271&lt;=Summary!$J$61,(0.2*T271)+(R271*D271),(U271*T271)+(R271*D271))</f>
        <v>0</v>
      </c>
      <c r="W271" s="1536">
        <f t="shared" si="42"/>
        <v>0</v>
      </c>
    </row>
    <row r="272" spans="1:23">
      <c r="A272" s="18">
        <v>44652</v>
      </c>
      <c r="B272" s="20">
        <f t="shared" si="36"/>
        <v>2022</v>
      </c>
      <c r="C272" s="1483">
        <f>CALC!HH284</f>
        <v>0</v>
      </c>
      <c r="D272" s="820">
        <f>IF(Summary!$O$109=0,CALC!HE284,0)</f>
        <v>0</v>
      </c>
      <c r="E272" s="820">
        <f>SUM(CALC!GU284:HB284)*CALC!CY284/1000</f>
        <v>0</v>
      </c>
      <c r="F272" s="1481">
        <f>Summary!$J$54</f>
        <v>0.15</v>
      </c>
      <c r="G272" s="1483">
        <f>VLOOKUP(A272,CURVES!AW273:$BS$283,16)</f>
        <v>4.601</v>
      </c>
      <c r="H272" s="1481">
        <f>Summary!$J$60</f>
        <v>0.04</v>
      </c>
      <c r="I272" s="17">
        <f>Summary!$J$55</f>
        <v>8.5</v>
      </c>
      <c r="J272" s="1483">
        <f t="shared" ref="J272:J281" si="43">I272*SUM(F272:H272)</f>
        <v>40.723500000000001</v>
      </c>
      <c r="K272" s="1481">
        <f>Summary!$J$56</f>
        <v>3.75</v>
      </c>
      <c r="L272">
        <f>Summary!$O$23</f>
        <v>3.75</v>
      </c>
      <c r="M272" s="1481">
        <f>Summary!$J$57</f>
        <v>1.75</v>
      </c>
      <c r="N272" s="1483">
        <f t="shared" si="37"/>
        <v>0</v>
      </c>
      <c r="O272" s="1481">
        <f t="shared" si="38"/>
        <v>0</v>
      </c>
      <c r="P272" s="1481">
        <f t="shared" si="39"/>
        <v>0</v>
      </c>
      <c r="Q272" s="1483">
        <f>IF(A272&lt;=Summary!$J$61,0.5*(P272),$Q$2*(P272))</f>
        <v>0</v>
      </c>
      <c r="R272" s="1481">
        <f>Summary!$J$58</f>
        <v>0.5</v>
      </c>
      <c r="S272" s="1481">
        <f t="shared" si="40"/>
        <v>48.723500000000001</v>
      </c>
      <c r="T272" s="1487">
        <f t="shared" si="41"/>
        <v>0</v>
      </c>
      <c r="U272" s="45">
        <f>Summary!$J$59</f>
        <v>0.12104878144800001</v>
      </c>
      <c r="V272" s="1487">
        <f>IF(A272&lt;=Summary!$J$61,(0.2*T272)+(R272*D272),(U272*T272)+(R272*D272))</f>
        <v>0</v>
      </c>
      <c r="W272" s="1536">
        <f t="shared" si="42"/>
        <v>0</v>
      </c>
    </row>
    <row r="273" spans="1:23">
      <c r="A273" s="18">
        <v>44682</v>
      </c>
      <c r="B273" s="20">
        <f t="shared" si="36"/>
        <v>2022</v>
      </c>
      <c r="C273" s="1483">
        <f>CALC!HH285</f>
        <v>0</v>
      </c>
      <c r="D273" s="820">
        <f>IF(Summary!$O$109=0,CALC!HE285,0)</f>
        <v>0</v>
      </c>
      <c r="E273" s="820">
        <f>SUM(CALC!GU285:HB285)*CALC!CY285/1000</f>
        <v>0</v>
      </c>
      <c r="F273" s="1481">
        <f>Summary!$J$54</f>
        <v>0.15</v>
      </c>
      <c r="G273" s="1483">
        <f>VLOOKUP(A273,CURVES!AW274:$BS$283,16)</f>
        <v>4.5919999999999996</v>
      </c>
      <c r="H273" s="1481">
        <f>Summary!$J$60</f>
        <v>0.04</v>
      </c>
      <c r="I273" s="17">
        <f>Summary!$J$55</f>
        <v>8.5</v>
      </c>
      <c r="J273" s="1483">
        <f t="shared" si="43"/>
        <v>40.646999999999998</v>
      </c>
      <c r="K273" s="1481">
        <f>Summary!$J$56</f>
        <v>3.75</v>
      </c>
      <c r="L273">
        <f>Summary!$O$23</f>
        <v>3.75</v>
      </c>
      <c r="M273" s="1481">
        <f>Summary!$J$57</f>
        <v>1.75</v>
      </c>
      <c r="N273" s="1483">
        <f t="shared" si="37"/>
        <v>0</v>
      </c>
      <c r="O273" s="1481">
        <f t="shared" si="38"/>
        <v>0</v>
      </c>
      <c r="P273" s="1481">
        <f t="shared" si="39"/>
        <v>0</v>
      </c>
      <c r="Q273" s="1483">
        <f>IF(A273&lt;=Summary!$J$61,0.5*(P273),$Q$2*(P273))</f>
        <v>0</v>
      </c>
      <c r="R273" s="1481">
        <f>Summary!$J$58</f>
        <v>0.5</v>
      </c>
      <c r="S273" s="1481">
        <f t="shared" si="40"/>
        <v>48.646999999999998</v>
      </c>
      <c r="T273" s="1487">
        <f t="shared" si="41"/>
        <v>0</v>
      </c>
      <c r="U273" s="45">
        <f>Summary!$J$59</f>
        <v>0.12104878144800001</v>
      </c>
      <c r="V273" s="1487">
        <f>IF(A273&lt;=Summary!$J$61,(0.2*T273)+(R273*D273),(U273*T273)+(R273*D273))</f>
        <v>0</v>
      </c>
      <c r="W273" s="1536">
        <f t="shared" si="42"/>
        <v>0</v>
      </c>
    </row>
    <row r="274" spans="1:23">
      <c r="A274" s="18">
        <v>44713</v>
      </c>
      <c r="B274" s="20">
        <f t="shared" si="36"/>
        <v>2022</v>
      </c>
      <c r="C274" s="1483">
        <f>CALC!HH286</f>
        <v>0</v>
      </c>
      <c r="D274" s="820">
        <f>IF(Summary!$O$109=0,CALC!HE286,0)</f>
        <v>0</v>
      </c>
      <c r="E274" s="820">
        <f>SUM(CALC!GU286:HB286)*CALC!CY286/1000</f>
        <v>0</v>
      </c>
      <c r="F274" s="1481">
        <f>Summary!$J$54</f>
        <v>0.15</v>
      </c>
      <c r="G274" s="1483">
        <f>VLOOKUP(A274,CURVES!AW275:$BS$283,16)</f>
        <v>4.5910000000000002</v>
      </c>
      <c r="H274" s="1481">
        <f>Summary!$J$60</f>
        <v>0.04</v>
      </c>
      <c r="I274" s="17">
        <f>Summary!$J$55</f>
        <v>8.5</v>
      </c>
      <c r="J274" s="1483">
        <f t="shared" si="43"/>
        <v>40.638500000000008</v>
      </c>
      <c r="K274" s="1481">
        <f>Summary!$J$56</f>
        <v>3.75</v>
      </c>
      <c r="L274">
        <f>Summary!$O$23</f>
        <v>3.75</v>
      </c>
      <c r="M274" s="1481">
        <f>Summary!$J$57</f>
        <v>1.75</v>
      </c>
      <c r="N274" s="1483">
        <f t="shared" si="37"/>
        <v>0</v>
      </c>
      <c r="O274" s="1481">
        <f t="shared" si="38"/>
        <v>0</v>
      </c>
      <c r="P274" s="1481">
        <f t="shared" si="39"/>
        <v>0</v>
      </c>
      <c r="Q274" s="1483">
        <f>IF(A274&lt;=Summary!$J$61,0.5*(P274),$Q$2*(P274))</f>
        <v>0</v>
      </c>
      <c r="R274" s="1481">
        <f>Summary!$J$58</f>
        <v>0.5</v>
      </c>
      <c r="S274" s="1481">
        <f t="shared" si="40"/>
        <v>48.638500000000008</v>
      </c>
      <c r="T274" s="1487">
        <f t="shared" si="41"/>
        <v>0</v>
      </c>
      <c r="U274" s="45">
        <f>Summary!$J$59</f>
        <v>0.12104878144800001</v>
      </c>
      <c r="V274" s="1487">
        <f>IF(A274&lt;=Summary!$J$61,(0.2*T274)+(R274*D274),(U274*T274)+(R274*D274))</f>
        <v>0</v>
      </c>
      <c r="W274" s="1536">
        <f t="shared" si="42"/>
        <v>0</v>
      </c>
    </row>
    <row r="275" spans="1:23">
      <c r="A275" s="18">
        <v>44743</v>
      </c>
      <c r="B275" s="20">
        <f t="shared" si="36"/>
        <v>2022</v>
      </c>
      <c r="C275" s="1483">
        <f>CALC!HH287</f>
        <v>0</v>
      </c>
      <c r="D275" s="820">
        <f>IF(Summary!$O$109=0,CALC!HE287,0)</f>
        <v>0</v>
      </c>
      <c r="E275" s="820">
        <f>SUM(CALC!GU287:HB287)*CALC!CY287/1000</f>
        <v>0</v>
      </c>
      <c r="F275" s="1481">
        <f>Summary!$J$54</f>
        <v>0.15</v>
      </c>
      <c r="G275" s="1483">
        <f>VLOOKUP(A275,CURVES!AW276:$BS$283,16)</f>
        <v>4.6559999999999997</v>
      </c>
      <c r="H275" s="1481">
        <f>Summary!$J$60</f>
        <v>0.04</v>
      </c>
      <c r="I275" s="17">
        <f>Summary!$J$55</f>
        <v>8.5</v>
      </c>
      <c r="J275" s="1483">
        <f t="shared" si="43"/>
        <v>41.191000000000003</v>
      </c>
      <c r="K275" s="1481">
        <f>Summary!$J$56</f>
        <v>3.75</v>
      </c>
      <c r="L275">
        <f>Summary!$O$23</f>
        <v>3.75</v>
      </c>
      <c r="M275" s="1481">
        <f>Summary!$J$57</f>
        <v>1.75</v>
      </c>
      <c r="N275" s="1483">
        <f t="shared" si="37"/>
        <v>0</v>
      </c>
      <c r="O275" s="1481">
        <f t="shared" si="38"/>
        <v>0</v>
      </c>
      <c r="P275" s="1481">
        <f t="shared" si="39"/>
        <v>0</v>
      </c>
      <c r="Q275" s="1483">
        <f>IF(A275&lt;=Summary!$J$61,0.5*(P275),$Q$2*(P275))</f>
        <v>0</v>
      </c>
      <c r="R275" s="1481">
        <f>Summary!$J$58</f>
        <v>0.5</v>
      </c>
      <c r="S275" s="1481">
        <f t="shared" si="40"/>
        <v>49.191000000000003</v>
      </c>
      <c r="T275" s="1487">
        <f t="shared" si="41"/>
        <v>0</v>
      </c>
      <c r="U275" s="45">
        <f>Summary!$J$59</f>
        <v>0.12104878144800001</v>
      </c>
      <c r="V275" s="1487">
        <f>IF(A275&lt;=Summary!$J$61,(0.2*T275)+(R275*D275),(U275*T275)+(R275*D275))</f>
        <v>0</v>
      </c>
      <c r="W275" s="1536">
        <f t="shared" si="42"/>
        <v>0</v>
      </c>
    </row>
    <row r="276" spans="1:23">
      <c r="A276" s="18">
        <v>44774</v>
      </c>
      <c r="B276" s="20">
        <f t="shared" si="36"/>
        <v>2022</v>
      </c>
      <c r="C276" s="1483">
        <f>CALC!HH288</f>
        <v>53.756345177664969</v>
      </c>
      <c r="D276" s="820">
        <f>IF(Summary!$O$109=0,CALC!HE288,0)</f>
        <v>16972.574400000001</v>
      </c>
      <c r="E276" s="820">
        <f>SUM(CALC!GU288:HB288)*CALC!CY288/1000</f>
        <v>33208.864944468485</v>
      </c>
      <c r="F276" s="1481">
        <f>Summary!$J$54</f>
        <v>0.15</v>
      </c>
      <c r="G276" s="1483">
        <f>VLOOKUP(A276,CURVES!AW277:$BS$283,16)</f>
        <v>4.6509999999999998</v>
      </c>
      <c r="H276" s="1481">
        <f>Summary!$J$60</f>
        <v>0.04</v>
      </c>
      <c r="I276" s="17">
        <f>Summary!$J$55</f>
        <v>8.5</v>
      </c>
      <c r="J276" s="1483">
        <f t="shared" si="43"/>
        <v>41.148499999999999</v>
      </c>
      <c r="K276" s="1481">
        <f>Summary!$J$56</f>
        <v>3.75</v>
      </c>
      <c r="L276">
        <f>Summary!$O$23</f>
        <v>3.75</v>
      </c>
      <c r="M276" s="1481">
        <f>Summary!$J$57</f>
        <v>1.75</v>
      </c>
      <c r="N276" s="1483">
        <f t="shared" si="37"/>
        <v>12.60784517766497</v>
      </c>
      <c r="O276" s="1481">
        <f t="shared" si="38"/>
        <v>3.35784517766497</v>
      </c>
      <c r="P276" s="1481">
        <f t="shared" si="39"/>
        <v>56991.277101599924</v>
      </c>
      <c r="Q276" s="1483">
        <f>IF(A276&lt;=Summary!$J$61,0.5*(P276),$Q$2*(P276))</f>
        <v>0</v>
      </c>
      <c r="R276" s="1481">
        <f>Summary!$J$58</f>
        <v>0.5</v>
      </c>
      <c r="S276" s="1481">
        <f t="shared" si="40"/>
        <v>49.148499999999999</v>
      </c>
      <c r="T276" s="1487">
        <f t="shared" si="41"/>
        <v>78206.995101599925</v>
      </c>
      <c r="U276" s="45">
        <f>Summary!$J$59</f>
        <v>0.12104878144800001</v>
      </c>
      <c r="V276" s="1487">
        <f>IF(A276&lt;=Summary!$J$61,(0.2*T276)+(R276*D276),(U276*T276)+(R276*D276))</f>
        <v>17953.148657758378</v>
      </c>
      <c r="W276" s="1536">
        <f t="shared" si="42"/>
        <v>912383.56799999997</v>
      </c>
    </row>
    <row r="277" spans="1:23">
      <c r="A277" s="18">
        <v>44805</v>
      </c>
      <c r="B277" s="20">
        <f t="shared" si="36"/>
        <v>2022</v>
      </c>
      <c r="C277" s="1483">
        <f>CALC!HH289</f>
        <v>69.120220872613004</v>
      </c>
      <c r="D277" s="820">
        <f>IF(Summary!$O$109=0,CALC!HE289,0)</f>
        <v>21557.906999999999</v>
      </c>
      <c r="E277" s="820">
        <f>SUM(CALC!GU289:HB289)*CALC!CY289/1000</f>
        <v>72328.389530939297</v>
      </c>
      <c r="F277" s="1481">
        <f>Summary!$J$54</f>
        <v>0.15</v>
      </c>
      <c r="G277" s="1483">
        <f>VLOOKUP(A277,CURVES!AW278:$BS$283,16)</f>
        <v>4.6219999999999999</v>
      </c>
      <c r="H277" s="1481">
        <f>Summary!$J$60</f>
        <v>0.04</v>
      </c>
      <c r="I277" s="17">
        <f>Summary!$J$55</f>
        <v>8.5</v>
      </c>
      <c r="J277" s="1483">
        <f t="shared" si="43"/>
        <v>40.902000000000001</v>
      </c>
      <c r="K277" s="1481">
        <f>Summary!$J$56</f>
        <v>3.75</v>
      </c>
      <c r="L277">
        <f>Summary!$O$23</f>
        <v>3.75</v>
      </c>
      <c r="M277" s="1481">
        <f>Summary!$J$57</f>
        <v>1.75</v>
      </c>
      <c r="N277" s="1483">
        <f t="shared" si="37"/>
        <v>28.218220872613003</v>
      </c>
      <c r="O277" s="1481">
        <f t="shared" si="38"/>
        <v>18.968220872613003</v>
      </c>
      <c r="P277" s="1481">
        <f t="shared" si="39"/>
        <v>408915.14152724994</v>
      </c>
      <c r="Q277" s="1483">
        <f>IF(A277&lt;=Summary!$J$61,0.5*(P277),$Q$2*(P277))</f>
        <v>0</v>
      </c>
      <c r="R277" s="1481">
        <f>Summary!$J$58</f>
        <v>0.5</v>
      </c>
      <c r="S277" s="1481">
        <f t="shared" si="40"/>
        <v>48.902000000000001</v>
      </c>
      <c r="T277" s="1487">
        <f t="shared" si="41"/>
        <v>435862.52527724992</v>
      </c>
      <c r="U277" s="45">
        <f>Summary!$J$59</f>
        <v>0.12104878144800001</v>
      </c>
      <c r="V277" s="1487">
        <f>IF(A277&lt;=Summary!$J$61,(0.2*T277)+(R277*D277),(U277*T277)+(R277*D277))</f>
        <v>63539.581063659207</v>
      </c>
      <c r="W277" s="1536">
        <f t="shared" si="42"/>
        <v>1490087.2933912498</v>
      </c>
    </row>
    <row r="278" spans="1:23">
      <c r="A278" s="18">
        <v>44835</v>
      </c>
      <c r="B278" s="20">
        <f t="shared" si="36"/>
        <v>2022</v>
      </c>
      <c r="C278" s="1483">
        <f>CALC!HH290</f>
        <v>50.710659898477161</v>
      </c>
      <c r="D278" s="820">
        <f>IF(Summary!$O$109=0,CALC!HE290,0)</f>
        <v>14320.60965</v>
      </c>
      <c r="E278" s="820">
        <f>SUM(CALC!GU290:HB290)*CALC!CY290/1000</f>
        <v>95525.038231170562</v>
      </c>
      <c r="F278" s="1481">
        <f>Summary!$J$54</f>
        <v>0.15</v>
      </c>
      <c r="G278" s="1483">
        <f>VLOOKUP(A278,CURVES!AW279:$BS$283,16)</f>
        <v>4.6210000000000004</v>
      </c>
      <c r="H278" s="1481">
        <f>Summary!$J$60</f>
        <v>0.04</v>
      </c>
      <c r="I278" s="17">
        <f>Summary!$J$55</f>
        <v>8.5</v>
      </c>
      <c r="J278" s="1483">
        <f t="shared" si="43"/>
        <v>40.89350000000001</v>
      </c>
      <c r="K278" s="1481">
        <f>Summary!$J$56</f>
        <v>3.75</v>
      </c>
      <c r="L278">
        <f>Summary!$O$23</f>
        <v>3.75</v>
      </c>
      <c r="M278" s="1481">
        <f>Summary!$J$57</f>
        <v>1.75</v>
      </c>
      <c r="N278" s="1483">
        <f t="shared" si="37"/>
        <v>9.8171598984771506</v>
      </c>
      <c r="O278" s="1481">
        <f t="shared" si="38"/>
        <v>0.56715989847715065</v>
      </c>
      <c r="P278" s="1481">
        <f t="shared" si="39"/>
        <v>8122.0755152249039</v>
      </c>
      <c r="Q278" s="1483">
        <f>IF(A278&lt;=Summary!$J$61,0.5*(P278),$Q$2*(P278))</f>
        <v>0</v>
      </c>
      <c r="R278" s="1481">
        <f>Summary!$J$58</f>
        <v>0.5</v>
      </c>
      <c r="S278" s="1481">
        <f t="shared" si="40"/>
        <v>48.89350000000001</v>
      </c>
      <c r="T278" s="1487">
        <f t="shared" si="41"/>
        <v>26022.837577724906</v>
      </c>
      <c r="U278" s="45">
        <f>Summary!$J$59</f>
        <v>0.12104878144800001</v>
      </c>
      <c r="V278" s="1487">
        <f>IF(A278&lt;=Summary!$J$61,(0.2*T278)+(R278*D278),(U278*T278)+(R278*D278))</f>
        <v>10310.337603602824</v>
      </c>
      <c r="W278" s="1536">
        <f t="shared" si="42"/>
        <v>726207.56550000003</v>
      </c>
    </row>
    <row r="279" spans="1:23">
      <c r="A279" s="18">
        <v>44866</v>
      </c>
      <c r="B279" s="20">
        <f t="shared" si="36"/>
        <v>2022</v>
      </c>
      <c r="C279" s="1483">
        <f>CALC!HH291</f>
        <v>0</v>
      </c>
      <c r="D279" s="820">
        <f>IF(Summary!$O$109=0,CALC!HE291,0)</f>
        <v>0</v>
      </c>
      <c r="E279" s="820">
        <f>SUM(CALC!GU291:HB291)*CALC!CY291/1000</f>
        <v>0</v>
      </c>
      <c r="F279" s="1481">
        <f>Summary!$J$54</f>
        <v>0.15</v>
      </c>
      <c r="G279" s="1483">
        <f>VLOOKUP(A279,CURVES!AW280:$BS$283,16)</f>
        <v>4.6379999999999999</v>
      </c>
      <c r="H279" s="1481">
        <f>Summary!$J$60</f>
        <v>0.04</v>
      </c>
      <c r="I279" s="17">
        <f>Summary!$J$55</f>
        <v>8.5</v>
      </c>
      <c r="J279" s="1483">
        <f t="shared" si="43"/>
        <v>41.038000000000004</v>
      </c>
      <c r="K279" s="1481">
        <f>Summary!$J$56</f>
        <v>3.75</v>
      </c>
      <c r="L279">
        <f>Summary!$O$23</f>
        <v>3.75</v>
      </c>
      <c r="M279" s="1481">
        <f>Summary!$J$57</f>
        <v>1.75</v>
      </c>
      <c r="N279" s="1483">
        <f t="shared" si="37"/>
        <v>0</v>
      </c>
      <c r="O279" s="1481">
        <f t="shared" si="38"/>
        <v>0</v>
      </c>
      <c r="P279" s="1481">
        <f t="shared" si="39"/>
        <v>0</v>
      </c>
      <c r="Q279" s="1483">
        <f>IF(A279&lt;=Summary!$J$61,0.5*(P279),$Q$2*(P279))</f>
        <v>0</v>
      </c>
      <c r="R279" s="1481">
        <f>Summary!$J$58</f>
        <v>0.5</v>
      </c>
      <c r="S279" s="1481">
        <f t="shared" si="40"/>
        <v>49.038000000000004</v>
      </c>
      <c r="T279" s="1487">
        <f t="shared" si="41"/>
        <v>0</v>
      </c>
      <c r="U279" s="45">
        <f>Summary!$J$59</f>
        <v>0.12104878144800001</v>
      </c>
      <c r="V279" s="1487">
        <f>IF(A279&lt;=Summary!$J$61,(0.2*T279)+(R279*D279),(U279*T279)+(R279*D279))</f>
        <v>0</v>
      </c>
      <c r="W279" s="1536">
        <f t="shared" si="42"/>
        <v>0</v>
      </c>
    </row>
    <row r="280" spans="1:23">
      <c r="A280" s="18">
        <v>44896</v>
      </c>
      <c r="B280" s="20">
        <f t="shared" si="36"/>
        <v>2022</v>
      </c>
      <c r="C280" s="1483">
        <f>CALC!HH292</f>
        <v>0</v>
      </c>
      <c r="D280" s="820">
        <f>IF(Summary!$O$109=0,CALC!HE292,0)</f>
        <v>0</v>
      </c>
      <c r="E280" s="820">
        <f>SUM(CALC!GU292:HB292)*CALC!CY292/1000</f>
        <v>0</v>
      </c>
      <c r="F280" s="1481">
        <f>Summary!$J$54</f>
        <v>0.15</v>
      </c>
      <c r="G280" s="1483">
        <f>VLOOKUP(A280,CURVES!AW281:$BS$283,16)</f>
        <v>4.6900000000000004</v>
      </c>
      <c r="H280" s="1481">
        <f>Summary!$J$60</f>
        <v>0.04</v>
      </c>
      <c r="I280" s="17">
        <f>Summary!$J$55</f>
        <v>8.5</v>
      </c>
      <c r="J280" s="1483">
        <f t="shared" si="43"/>
        <v>41.480000000000004</v>
      </c>
      <c r="K280" s="1481">
        <f>Summary!$J$56</f>
        <v>3.75</v>
      </c>
      <c r="L280">
        <f>Summary!$O$23</f>
        <v>3.75</v>
      </c>
      <c r="M280" s="1481">
        <f>Summary!$J$57</f>
        <v>1.75</v>
      </c>
      <c r="N280" s="1483">
        <f t="shared" si="37"/>
        <v>0</v>
      </c>
      <c r="O280" s="1481">
        <f t="shared" si="38"/>
        <v>0</v>
      </c>
      <c r="P280" s="1481">
        <f t="shared" si="39"/>
        <v>0</v>
      </c>
      <c r="Q280" s="1483">
        <f>IF(A280&lt;=Summary!$J$61,0.5*(P280),$Q$2*(P280))</f>
        <v>0</v>
      </c>
      <c r="R280" s="1481">
        <f>Summary!$J$58</f>
        <v>0.5</v>
      </c>
      <c r="S280" s="1481">
        <f t="shared" si="40"/>
        <v>49.480000000000004</v>
      </c>
      <c r="T280" s="1487">
        <f t="shared" si="41"/>
        <v>0</v>
      </c>
      <c r="U280" s="45">
        <f>Summary!$J$59</f>
        <v>0.12104878144800001</v>
      </c>
      <c r="V280" s="1487">
        <f>IF(A280&lt;=Summary!$J$61,(0.2*T280)+(R280*D280),(U280*T280)+(R280*D280))</f>
        <v>0</v>
      </c>
      <c r="W280" s="1536">
        <f t="shared" si="42"/>
        <v>0</v>
      </c>
    </row>
    <row r="281" spans="1:23">
      <c r="A281" s="18">
        <v>44927</v>
      </c>
      <c r="B281" s="20">
        <f t="shared" si="36"/>
        <v>2023</v>
      </c>
      <c r="C281" s="1483">
        <f>CALC!HH293</f>
        <v>0</v>
      </c>
      <c r="D281" s="820">
        <f>IF(Summary!$O$109=0,CALC!HE293,0)</f>
        <v>0</v>
      </c>
      <c r="E281" s="820">
        <f>SUM(CALC!GU293:HB293)*CALC!CY293/1000</f>
        <v>0</v>
      </c>
      <c r="F281" s="1481">
        <f>Summary!$J$54</f>
        <v>0.15</v>
      </c>
      <c r="G281" s="1483">
        <f>VLOOKUP(A281,CURVES!AW282:$BS$283,16)</f>
        <v>4.9480000000000004</v>
      </c>
      <c r="H281" s="1481">
        <f>Summary!$J$60</f>
        <v>0.04</v>
      </c>
      <c r="I281" s="17">
        <f>Summary!$J$55</f>
        <v>8.5</v>
      </c>
      <c r="J281" s="1483">
        <f t="shared" si="43"/>
        <v>43.673000000000009</v>
      </c>
      <c r="K281" s="1481">
        <f>Summary!$J$56</f>
        <v>3.75</v>
      </c>
      <c r="L281">
        <f>Summary!$O$23</f>
        <v>3.75</v>
      </c>
      <c r="M281" s="1481">
        <f>Summary!$J$57</f>
        <v>1.75</v>
      </c>
      <c r="N281" s="1483">
        <f t="shared" si="37"/>
        <v>0</v>
      </c>
      <c r="O281" s="1481">
        <f t="shared" si="38"/>
        <v>0</v>
      </c>
      <c r="P281" s="1481">
        <f t="shared" si="39"/>
        <v>0</v>
      </c>
      <c r="Q281" s="1483">
        <f>IF(A281&lt;=Summary!$J$61,0.5*(P281),$Q$2*(P281))</f>
        <v>0</v>
      </c>
      <c r="R281" s="1481">
        <f>Summary!$J$58</f>
        <v>0.5</v>
      </c>
      <c r="S281" s="1481">
        <f t="shared" si="40"/>
        <v>51.673000000000009</v>
      </c>
      <c r="T281" s="1487">
        <f t="shared" si="41"/>
        <v>0</v>
      </c>
      <c r="U281" s="45">
        <f>Summary!$J$59</f>
        <v>0.12104878144800001</v>
      </c>
      <c r="V281" s="1487">
        <f>IF(A281&lt;=Summary!$J$61,(0.2*T281)+(R281*D281),(U281*T281)+(R281*D281))</f>
        <v>0</v>
      </c>
      <c r="W281" s="1536">
        <f t="shared" si="42"/>
        <v>0</v>
      </c>
    </row>
    <row r="282" spans="1:23">
      <c r="A282" s="18"/>
      <c r="B282" s="18"/>
      <c r="D282" s="820"/>
      <c r="E282" s="820"/>
      <c r="F282" s="1481"/>
      <c r="H282" s="1481"/>
      <c r="K282" s="1481"/>
      <c r="M282" s="1481"/>
    </row>
    <row r="283" spans="1:23">
      <c r="A283" s="18"/>
      <c r="B283" s="18"/>
      <c r="D283" s="820"/>
      <c r="E283" s="820"/>
      <c r="F283" s="1481"/>
      <c r="H283" s="1481"/>
      <c r="K283" s="1481"/>
      <c r="M283" s="1481"/>
    </row>
    <row r="284" spans="1:23">
      <c r="A284" s="18"/>
      <c r="B284" s="18"/>
      <c r="D284" s="820"/>
      <c r="E284" s="820"/>
      <c r="F284" s="1481"/>
      <c r="H284" s="1481"/>
      <c r="K284" s="1481"/>
      <c r="M284" s="1481"/>
    </row>
    <row r="285" spans="1:23">
      <c r="A285" s="18"/>
      <c r="B285" s="18"/>
      <c r="D285" s="820"/>
      <c r="E285" s="820"/>
      <c r="F285" s="1481"/>
      <c r="H285" s="1481"/>
      <c r="K285" s="1481"/>
      <c r="M285" s="1481"/>
    </row>
    <row r="286" spans="1:23">
      <c r="A286" s="18"/>
      <c r="B286" s="18"/>
      <c r="D286" s="820"/>
      <c r="E286" s="820"/>
      <c r="F286" s="1481"/>
      <c r="H286" s="1481"/>
      <c r="K286" s="1481"/>
      <c r="M286" s="1481"/>
    </row>
    <row r="287" spans="1:23">
      <c r="A287" s="18"/>
      <c r="B287" s="18"/>
      <c r="D287" s="820"/>
      <c r="E287" s="820"/>
      <c r="F287" s="1481"/>
      <c r="H287" s="1481"/>
      <c r="K287" s="1481"/>
      <c r="M287" s="1481"/>
    </row>
    <row r="288" spans="1:23">
      <c r="A288" s="18"/>
      <c r="B288" s="18"/>
      <c r="D288" s="820"/>
      <c r="E288" s="820"/>
      <c r="F288" s="1481"/>
      <c r="H288" s="1481"/>
      <c r="K288" s="1481"/>
      <c r="M288" s="1481"/>
    </row>
    <row r="289" spans="1:13">
      <c r="A289" s="18"/>
      <c r="B289" s="18"/>
      <c r="D289" s="820"/>
      <c r="E289" s="820"/>
      <c r="F289" s="1481"/>
      <c r="H289" s="1481"/>
      <c r="K289" s="1481"/>
      <c r="M289" s="1481"/>
    </row>
    <row r="290" spans="1:13">
      <c r="A290" s="18"/>
      <c r="B290" s="18"/>
      <c r="D290" s="820"/>
      <c r="E290" s="820"/>
      <c r="F290" s="1481"/>
      <c r="H290" s="1481"/>
      <c r="K290" s="1481"/>
      <c r="M290" s="1481"/>
    </row>
    <row r="291" spans="1:13">
      <c r="A291" s="18"/>
      <c r="B291" s="18"/>
      <c r="D291" s="820"/>
      <c r="E291" s="820"/>
      <c r="F291" s="1481"/>
      <c r="H291" s="1481"/>
      <c r="K291" s="1481"/>
      <c r="M291" s="1481"/>
    </row>
    <row r="292" spans="1:13">
      <c r="A292" s="18"/>
      <c r="B292" s="18"/>
      <c r="D292" s="820"/>
      <c r="E292" s="820"/>
      <c r="F292" s="1481"/>
      <c r="H292" s="1481"/>
      <c r="K292" s="1481"/>
      <c r="M292" s="1481"/>
    </row>
    <row r="293" spans="1:13">
      <c r="A293" s="18"/>
      <c r="B293" s="18"/>
      <c r="D293" s="820"/>
      <c r="E293" s="820"/>
      <c r="F293" s="1481"/>
      <c r="H293" s="1481"/>
      <c r="K293" s="1481"/>
      <c r="M293" s="1481"/>
    </row>
    <row r="294" spans="1:13">
      <c r="A294" s="18"/>
      <c r="B294" s="18"/>
      <c r="D294" s="820"/>
      <c r="E294" s="820"/>
      <c r="F294" s="1481"/>
      <c r="H294" s="1481"/>
      <c r="K294" s="1481"/>
      <c r="M294" s="1481"/>
    </row>
    <row r="295" spans="1:13">
      <c r="A295" s="18"/>
      <c r="B295" s="18"/>
      <c r="D295" s="820"/>
      <c r="E295" s="820"/>
      <c r="F295" s="1481"/>
      <c r="H295" s="1481"/>
      <c r="K295" s="1481"/>
      <c r="M295" s="1481"/>
    </row>
    <row r="296" spans="1:13">
      <c r="A296" s="18"/>
      <c r="B296" s="18"/>
      <c r="D296" s="820"/>
      <c r="E296" s="820"/>
      <c r="F296" s="1481"/>
      <c r="H296" s="1481"/>
      <c r="K296" s="1481"/>
      <c r="M296" s="1481"/>
    </row>
    <row r="297" spans="1:13">
      <c r="A297" s="18"/>
      <c r="B297" s="18"/>
      <c r="D297" s="820"/>
      <c r="E297" s="820"/>
      <c r="F297" s="1481"/>
      <c r="H297" s="1481"/>
      <c r="K297" s="1481"/>
      <c r="M297" s="1481"/>
    </row>
    <row r="298" spans="1:13">
      <c r="A298" s="18"/>
      <c r="B298" s="18"/>
      <c r="D298" s="820"/>
      <c r="E298" s="820"/>
      <c r="F298" s="1481"/>
      <c r="H298" s="1481"/>
      <c r="K298" s="1481"/>
      <c r="M298" s="1481"/>
    </row>
    <row r="299" spans="1:13">
      <c r="A299" s="18"/>
      <c r="B299" s="18"/>
      <c r="D299" s="820"/>
      <c r="E299" s="820"/>
      <c r="F299" s="1481"/>
      <c r="H299" s="1481"/>
      <c r="K299" s="1481"/>
      <c r="M299" s="1481"/>
    </row>
    <row r="300" spans="1:13">
      <c r="A300" s="18"/>
      <c r="B300" s="18"/>
      <c r="D300" s="820"/>
      <c r="E300" s="820"/>
      <c r="F300" s="1481"/>
      <c r="H300" s="1481"/>
      <c r="K300" s="1481"/>
      <c r="M300" s="1481"/>
    </row>
    <row r="301" spans="1:13">
      <c r="A301" s="18"/>
      <c r="B301" s="18"/>
      <c r="D301" s="820"/>
      <c r="E301" s="820"/>
      <c r="F301" s="1481"/>
      <c r="H301" s="1481"/>
      <c r="K301" s="1481"/>
      <c r="M301" s="1481"/>
    </row>
    <row r="302" spans="1:13">
      <c r="A302" s="18"/>
      <c r="B302" s="18"/>
      <c r="D302" s="820"/>
      <c r="E302" s="820"/>
      <c r="F302" s="1481"/>
      <c r="H302" s="1481"/>
      <c r="K302" s="1481"/>
      <c r="M302" s="1481"/>
    </row>
    <row r="303" spans="1:13">
      <c r="A303" s="18"/>
      <c r="B303" s="18"/>
      <c r="D303" s="820"/>
      <c r="E303" s="820"/>
      <c r="F303" s="1481"/>
      <c r="H303" s="1481"/>
      <c r="K303" s="1481"/>
      <c r="M303" s="1481"/>
    </row>
    <row r="304" spans="1:13">
      <c r="A304" s="18"/>
      <c r="B304" s="18"/>
      <c r="D304" s="820"/>
      <c r="E304" s="820"/>
      <c r="F304" s="1481"/>
      <c r="H304" s="1481"/>
      <c r="K304" s="1481"/>
      <c r="M304" s="1481"/>
    </row>
    <row r="305" spans="1:13">
      <c r="A305" s="18"/>
      <c r="B305" s="18"/>
      <c r="D305" s="820"/>
      <c r="E305" s="820"/>
      <c r="F305" s="1481"/>
      <c r="H305" s="1481"/>
      <c r="K305" s="1481"/>
      <c r="M305" s="1481"/>
    </row>
    <row r="306" spans="1:13">
      <c r="A306" s="18"/>
      <c r="B306" s="18"/>
      <c r="D306" s="820"/>
      <c r="E306" s="820"/>
      <c r="F306" s="1481"/>
      <c r="H306" s="1481"/>
      <c r="K306" s="1481"/>
      <c r="M306" s="1481"/>
    </row>
    <row r="307" spans="1:13">
      <c r="A307" s="18"/>
      <c r="B307" s="18"/>
      <c r="D307" s="820"/>
      <c r="E307" s="820"/>
      <c r="F307" s="1481"/>
      <c r="H307" s="1481"/>
      <c r="K307" s="1481"/>
      <c r="M307" s="1481"/>
    </row>
    <row r="308" spans="1:13">
      <c r="A308" s="18"/>
      <c r="B308" s="18"/>
      <c r="D308" s="820"/>
      <c r="E308" s="820"/>
      <c r="F308" s="1481"/>
      <c r="H308" s="1481"/>
      <c r="K308" s="1481"/>
      <c r="M308" s="1481"/>
    </row>
    <row r="309" spans="1:13">
      <c r="A309" s="18"/>
      <c r="B309" s="18"/>
      <c r="D309" s="820"/>
      <c r="E309" s="820"/>
      <c r="F309" s="1481"/>
      <c r="H309" s="1481"/>
      <c r="K309" s="1481"/>
      <c r="M309" s="1481"/>
    </row>
    <row r="310" spans="1:13">
      <c r="A310" s="18"/>
      <c r="B310" s="18"/>
      <c r="D310" s="820"/>
      <c r="E310" s="820"/>
      <c r="F310" s="1481"/>
      <c r="H310" s="1481"/>
      <c r="K310" s="1481"/>
      <c r="M310" s="1481"/>
    </row>
    <row r="311" spans="1:13">
      <c r="A311" s="18"/>
      <c r="B311" s="18"/>
      <c r="D311" s="820"/>
      <c r="E311" s="820"/>
      <c r="F311" s="1481"/>
      <c r="H311" s="1481"/>
      <c r="K311" s="1481"/>
      <c r="M311" s="1481"/>
    </row>
    <row r="312" spans="1:13">
      <c r="A312" s="18"/>
      <c r="B312" s="18"/>
      <c r="D312" s="820"/>
      <c r="E312" s="820"/>
      <c r="F312" s="1481"/>
      <c r="H312" s="1481"/>
      <c r="K312" s="1481"/>
      <c r="M312" s="1481"/>
    </row>
    <row r="313" spans="1:13">
      <c r="A313" s="18"/>
      <c r="B313" s="18"/>
      <c r="D313" s="820"/>
      <c r="E313" s="820"/>
      <c r="F313" s="1481"/>
      <c r="H313" s="1481"/>
      <c r="K313" s="1481"/>
      <c r="M313" s="1481"/>
    </row>
    <row r="314" spans="1:13">
      <c r="A314" s="18"/>
      <c r="B314" s="18"/>
      <c r="D314" s="820"/>
      <c r="E314" s="820"/>
      <c r="F314" s="1481"/>
      <c r="H314" s="1481"/>
      <c r="K314" s="1481"/>
      <c r="M314" s="1481"/>
    </row>
    <row r="315" spans="1:13">
      <c r="A315" s="18"/>
      <c r="B315" s="18"/>
      <c r="D315" s="820"/>
      <c r="E315" s="820"/>
      <c r="F315" s="1481"/>
      <c r="H315" s="1481"/>
      <c r="K315" s="1481"/>
      <c r="M315" s="1481"/>
    </row>
    <row r="316" spans="1:13">
      <c r="A316" s="18"/>
      <c r="B316" s="18"/>
      <c r="D316" s="820"/>
      <c r="E316" s="820"/>
      <c r="F316" s="1481"/>
      <c r="H316" s="1481"/>
      <c r="K316" s="1481"/>
      <c r="M316" s="1481"/>
    </row>
    <row r="317" spans="1:13">
      <c r="A317" s="18"/>
      <c r="B317" s="18"/>
      <c r="D317" s="820"/>
      <c r="E317" s="820"/>
      <c r="F317" s="1481"/>
      <c r="H317" s="1481"/>
      <c r="K317" s="1481"/>
      <c r="M317" s="1481"/>
    </row>
    <row r="318" spans="1:13">
      <c r="A318" s="18"/>
      <c r="B318" s="18"/>
      <c r="D318" s="820"/>
      <c r="E318" s="820"/>
      <c r="F318" s="1481"/>
      <c r="H318" s="1481"/>
      <c r="K318" s="1481"/>
      <c r="M318" s="1481"/>
    </row>
    <row r="319" spans="1:13">
      <c r="A319" s="18"/>
      <c r="B319" s="18"/>
      <c r="D319" s="820"/>
      <c r="E319" s="820"/>
      <c r="F319" s="1481"/>
      <c r="H319" s="1481"/>
      <c r="K319" s="1481"/>
      <c r="M319" s="1481"/>
    </row>
    <row r="320" spans="1:13">
      <c r="A320" s="18"/>
      <c r="B320" s="18"/>
      <c r="D320" s="820"/>
      <c r="E320" s="820"/>
      <c r="F320" s="1481"/>
      <c r="H320" s="1481"/>
      <c r="K320" s="1481"/>
      <c r="M320" s="1481"/>
    </row>
    <row r="321" spans="1:13">
      <c r="A321" s="18"/>
      <c r="B321" s="18"/>
      <c r="D321" s="820"/>
      <c r="E321" s="820"/>
      <c r="F321" s="1481"/>
      <c r="H321" s="1481"/>
      <c r="K321" s="1481"/>
      <c r="M321" s="1481"/>
    </row>
    <row r="322" spans="1:13">
      <c r="A322" s="18"/>
      <c r="B322" s="18"/>
      <c r="D322" s="820"/>
      <c r="E322" s="820"/>
      <c r="F322" s="1481"/>
      <c r="H322" s="1481"/>
      <c r="K322" s="1481"/>
      <c r="M322" s="1481"/>
    </row>
    <row r="323" spans="1:13">
      <c r="A323" s="18"/>
      <c r="B323" s="18"/>
      <c r="D323" s="820"/>
      <c r="E323" s="820"/>
      <c r="F323" s="1481"/>
      <c r="H323" s="1481"/>
      <c r="K323" s="1481"/>
      <c r="M323" s="1481"/>
    </row>
    <row r="324" spans="1:13">
      <c r="A324" s="18"/>
      <c r="B324" s="18"/>
      <c r="D324" s="820"/>
      <c r="E324" s="820"/>
      <c r="F324" s="1481"/>
      <c r="H324" s="1481"/>
      <c r="K324" s="1481"/>
      <c r="M324" s="1481"/>
    </row>
    <row r="325" spans="1:13">
      <c r="A325" s="18"/>
      <c r="B325" s="18"/>
      <c r="D325" s="820"/>
      <c r="E325" s="820"/>
      <c r="F325" s="1481"/>
      <c r="H325" s="1481"/>
      <c r="K325" s="1481"/>
      <c r="M325" s="1481"/>
    </row>
    <row r="326" spans="1:13">
      <c r="A326" s="18"/>
      <c r="B326" s="18"/>
      <c r="D326" s="820"/>
      <c r="E326" s="820"/>
      <c r="F326" s="1481"/>
      <c r="H326" s="1481"/>
      <c r="K326" s="1481"/>
      <c r="M326" s="1481"/>
    </row>
    <row r="327" spans="1:13">
      <c r="A327" s="18"/>
      <c r="B327" s="18"/>
      <c r="D327" s="820"/>
      <c r="E327" s="820"/>
      <c r="F327" s="1481"/>
      <c r="H327" s="1481"/>
      <c r="K327" s="1481"/>
      <c r="M327" s="1481"/>
    </row>
    <row r="328" spans="1:13">
      <c r="A328" s="18"/>
      <c r="B328" s="18"/>
      <c r="D328" s="820"/>
      <c r="E328" s="820"/>
      <c r="F328" s="1481"/>
      <c r="H328" s="1481"/>
      <c r="K328" s="1481"/>
      <c r="M328" s="1481"/>
    </row>
    <row r="329" spans="1:13">
      <c r="A329" s="18"/>
      <c r="B329" s="18"/>
      <c r="D329" s="820"/>
      <c r="E329" s="820"/>
      <c r="F329" s="1481"/>
      <c r="H329" s="1481"/>
      <c r="K329" s="1481"/>
      <c r="M329" s="1481"/>
    </row>
    <row r="330" spans="1:13">
      <c r="A330" s="18"/>
      <c r="B330" s="18"/>
      <c r="D330" s="820"/>
      <c r="E330" s="820"/>
      <c r="F330" s="1481"/>
      <c r="H330" s="1481"/>
      <c r="K330" s="1481"/>
      <c r="M330" s="1481"/>
    </row>
    <row r="331" spans="1:13">
      <c r="A331" s="18"/>
      <c r="B331" s="18"/>
      <c r="D331" s="820"/>
      <c r="E331" s="820"/>
      <c r="F331" s="1481"/>
      <c r="H331" s="1481"/>
      <c r="K331" s="1481"/>
      <c r="M331" s="1481"/>
    </row>
    <row r="332" spans="1:13">
      <c r="A332" s="18"/>
      <c r="B332" s="18"/>
      <c r="D332" s="820"/>
      <c r="E332" s="820"/>
      <c r="F332" s="1481"/>
      <c r="H332" s="1481"/>
      <c r="K332" s="1481"/>
      <c r="M332" s="1481"/>
    </row>
    <row r="333" spans="1:13">
      <c r="A333" s="18"/>
      <c r="B333" s="18"/>
      <c r="D333" s="820"/>
      <c r="E333" s="820"/>
      <c r="F333" s="1481"/>
      <c r="H333" s="1481"/>
      <c r="K333" s="1481"/>
      <c r="M333" s="1481"/>
    </row>
    <row r="334" spans="1:13">
      <c r="A334" s="18"/>
      <c r="B334" s="18"/>
      <c r="D334" s="820"/>
      <c r="E334" s="820"/>
      <c r="F334" s="1481"/>
      <c r="H334" s="1481"/>
      <c r="K334" s="1481"/>
      <c r="M334" s="1481"/>
    </row>
    <row r="335" spans="1:13">
      <c r="A335" s="18"/>
      <c r="B335" s="18"/>
      <c r="D335" s="820"/>
      <c r="E335" s="820"/>
      <c r="F335" s="1481"/>
      <c r="H335" s="1481"/>
      <c r="K335" s="1481"/>
      <c r="M335" s="1481"/>
    </row>
    <row r="336" spans="1:13">
      <c r="A336" s="18"/>
      <c r="B336" s="18"/>
      <c r="D336" s="820"/>
      <c r="E336" s="820"/>
      <c r="F336" s="1481"/>
      <c r="H336" s="1481"/>
      <c r="K336" s="1481"/>
      <c r="M336" s="1481"/>
    </row>
    <row r="337" spans="1:13">
      <c r="A337" s="18"/>
      <c r="B337" s="18"/>
      <c r="D337" s="820"/>
      <c r="E337" s="820"/>
      <c r="F337" s="1481"/>
      <c r="H337" s="1481"/>
      <c r="K337" s="1481"/>
      <c r="M337" s="1481"/>
    </row>
    <row r="338" spans="1:13">
      <c r="A338" s="18"/>
      <c r="B338" s="18"/>
      <c r="D338" s="820"/>
      <c r="E338" s="820"/>
      <c r="F338" s="1481"/>
      <c r="H338" s="1481"/>
      <c r="K338" s="1481"/>
      <c r="M338" s="1481"/>
    </row>
    <row r="339" spans="1:13">
      <c r="A339" s="18"/>
      <c r="B339" s="18"/>
      <c r="D339" s="820"/>
      <c r="E339" s="820"/>
      <c r="F339" s="1481"/>
      <c r="H339" s="1481"/>
      <c r="K339" s="1481"/>
      <c r="M339" s="1481"/>
    </row>
    <row r="340" spans="1:13">
      <c r="A340" s="18"/>
      <c r="B340" s="18"/>
      <c r="D340" s="820"/>
      <c r="E340" s="820"/>
      <c r="F340" s="1481"/>
      <c r="H340" s="1481"/>
      <c r="K340" s="1481"/>
      <c r="M340" s="1481"/>
    </row>
    <row r="341" spans="1:13">
      <c r="A341" s="18"/>
      <c r="B341" s="18"/>
      <c r="D341" s="820"/>
      <c r="E341" s="820"/>
      <c r="F341" s="1481"/>
      <c r="H341" s="1481"/>
      <c r="K341" s="1481"/>
      <c r="M341" s="1481"/>
    </row>
    <row r="342" spans="1:13">
      <c r="A342" s="18"/>
      <c r="B342" s="18"/>
      <c r="D342" s="820"/>
      <c r="E342" s="820"/>
      <c r="F342" s="1481"/>
      <c r="H342" s="1481"/>
      <c r="K342" s="1481"/>
      <c r="M342" s="1481"/>
    </row>
    <row r="343" spans="1:13">
      <c r="A343" s="18"/>
      <c r="B343" s="18"/>
      <c r="D343" s="820"/>
      <c r="E343" s="820"/>
      <c r="F343" s="1481"/>
      <c r="H343" s="1481"/>
      <c r="K343" s="1481"/>
      <c r="M343" s="1481"/>
    </row>
    <row r="344" spans="1:13">
      <c r="A344" s="18"/>
      <c r="B344" s="18"/>
      <c r="D344" s="820"/>
      <c r="E344" s="820"/>
      <c r="F344" s="1481"/>
      <c r="H344" s="1481"/>
      <c r="K344" s="1481"/>
      <c r="M344" s="1481"/>
    </row>
    <row r="345" spans="1:13">
      <c r="A345" s="18"/>
      <c r="B345" s="18"/>
      <c r="D345" s="820"/>
      <c r="E345" s="820"/>
      <c r="F345" s="1481"/>
      <c r="H345" s="1481"/>
      <c r="K345" s="1481"/>
      <c r="M345" s="1481"/>
    </row>
    <row r="346" spans="1:13">
      <c r="A346" s="18"/>
      <c r="B346" s="18"/>
      <c r="D346" s="820"/>
      <c r="E346" s="820"/>
      <c r="F346" s="1481"/>
      <c r="H346" s="1481"/>
      <c r="K346" s="1481"/>
      <c r="M346" s="1481"/>
    </row>
    <row r="347" spans="1:13">
      <c r="A347" s="18"/>
      <c r="B347" s="18"/>
      <c r="D347" s="820"/>
      <c r="E347" s="820"/>
      <c r="F347" s="1481"/>
      <c r="H347" s="1481"/>
      <c r="K347" s="1481"/>
      <c r="M347" s="1481"/>
    </row>
    <row r="348" spans="1:13">
      <c r="A348" s="18"/>
      <c r="B348" s="18"/>
      <c r="D348" s="820"/>
      <c r="E348" s="820"/>
      <c r="F348" s="1481"/>
      <c r="H348" s="1481"/>
      <c r="K348" s="1481"/>
      <c r="M348" s="1481"/>
    </row>
    <row r="349" spans="1:13">
      <c r="A349" s="18"/>
      <c r="B349" s="18"/>
      <c r="D349" s="820"/>
      <c r="E349" s="820"/>
      <c r="F349" s="1481"/>
      <c r="H349" s="1481"/>
      <c r="K349" s="1481"/>
      <c r="M349" s="1481"/>
    </row>
    <row r="350" spans="1:13">
      <c r="A350" s="18"/>
      <c r="B350" s="18"/>
      <c r="D350" s="820"/>
      <c r="E350" s="820"/>
      <c r="F350" s="1481"/>
      <c r="H350" s="1481"/>
      <c r="K350" s="1481"/>
      <c r="M350" s="1481"/>
    </row>
    <row r="351" spans="1:13">
      <c r="A351" s="18"/>
      <c r="B351" s="18"/>
      <c r="D351" s="820"/>
      <c r="E351" s="820"/>
      <c r="F351" s="1481"/>
      <c r="H351" s="1481"/>
      <c r="K351" s="1481"/>
      <c r="M351" s="1481"/>
    </row>
    <row r="352" spans="1:13">
      <c r="A352" s="18"/>
      <c r="B352" s="18"/>
      <c r="D352" s="820"/>
      <c r="E352" s="820"/>
      <c r="F352" s="1481"/>
      <c r="H352" s="1481"/>
      <c r="K352" s="1481"/>
      <c r="M352" s="1481"/>
    </row>
    <row r="353" spans="1:13">
      <c r="A353" s="18"/>
      <c r="B353" s="18"/>
      <c r="D353" s="820"/>
      <c r="E353" s="820"/>
      <c r="F353" s="1481"/>
      <c r="H353" s="1481"/>
      <c r="K353" s="1481"/>
      <c r="M353" s="1481"/>
    </row>
    <row r="354" spans="1:13">
      <c r="A354" s="18"/>
      <c r="B354" s="18"/>
      <c r="D354" s="820"/>
      <c r="E354" s="820"/>
      <c r="F354" s="1481"/>
      <c r="H354" s="1481"/>
      <c r="K354" s="1481"/>
      <c r="M354" s="1481"/>
    </row>
    <row r="355" spans="1:13">
      <c r="A355" s="18"/>
      <c r="B355" s="18"/>
      <c r="D355" s="820"/>
      <c r="E355" s="820"/>
      <c r="F355" s="1481"/>
      <c r="H355" s="1481"/>
      <c r="K355" s="1481"/>
      <c r="M355" s="1481"/>
    </row>
    <row r="356" spans="1:13">
      <c r="A356" s="18"/>
      <c r="B356" s="18"/>
      <c r="D356" s="820"/>
      <c r="E356" s="820"/>
      <c r="F356" s="1481"/>
      <c r="H356" s="1481"/>
      <c r="K356" s="1481"/>
      <c r="M356" s="1481"/>
    </row>
    <row r="357" spans="1:13">
      <c r="A357" s="18"/>
      <c r="B357" s="18"/>
      <c r="D357" s="820"/>
      <c r="E357" s="820"/>
      <c r="F357" s="1481"/>
      <c r="H357" s="1481"/>
      <c r="K357" s="1481"/>
      <c r="M357" s="1481"/>
    </row>
    <row r="358" spans="1:13">
      <c r="A358" s="18"/>
      <c r="B358" s="18"/>
      <c r="D358" s="820"/>
      <c r="E358" s="820"/>
      <c r="F358" s="1481"/>
      <c r="H358" s="1481"/>
      <c r="K358" s="1481"/>
      <c r="M358" s="1481"/>
    </row>
    <row r="359" spans="1:13">
      <c r="A359" s="18"/>
      <c r="B359" s="18"/>
      <c r="D359" s="820"/>
      <c r="E359" s="820"/>
      <c r="F359" s="1481"/>
      <c r="H359" s="1481"/>
      <c r="K359" s="1481"/>
      <c r="M359" s="1481"/>
    </row>
    <row r="360" spans="1:13">
      <c r="A360" s="18"/>
      <c r="B360" s="18"/>
      <c r="D360" s="820"/>
      <c r="E360" s="820"/>
      <c r="F360" s="1481"/>
      <c r="H360" s="1481"/>
      <c r="K360" s="1481"/>
      <c r="M360" s="1481"/>
    </row>
    <row r="361" spans="1:13">
      <c r="A361" s="18"/>
      <c r="B361" s="18"/>
      <c r="D361" s="820"/>
      <c r="E361" s="820"/>
      <c r="F361" s="1481"/>
      <c r="H361" s="1481"/>
      <c r="K361" s="1481"/>
      <c r="M361" s="1481"/>
    </row>
    <row r="362" spans="1:13">
      <c r="A362" s="18"/>
      <c r="B362" s="18"/>
      <c r="D362" s="820"/>
      <c r="E362" s="820"/>
      <c r="F362" s="1481"/>
      <c r="H362" s="1481"/>
      <c r="K362" s="1481"/>
      <c r="M362" s="1481"/>
    </row>
    <row r="363" spans="1:13">
      <c r="A363" s="18"/>
      <c r="B363" s="18"/>
      <c r="D363" s="820"/>
      <c r="E363" s="820"/>
      <c r="F363" s="1481"/>
      <c r="H363" s="1481"/>
      <c r="K363" s="1481"/>
      <c r="M363" s="1481"/>
    </row>
    <row r="364" spans="1:13">
      <c r="A364" s="18"/>
      <c r="B364" s="18"/>
      <c r="D364" s="820"/>
      <c r="E364" s="820"/>
      <c r="F364" s="1481"/>
      <c r="H364" s="1481"/>
      <c r="K364" s="1481"/>
      <c r="M364" s="1481"/>
    </row>
    <row r="365" spans="1:13">
      <c r="A365" s="18"/>
      <c r="B365" s="18"/>
      <c r="D365" s="820"/>
      <c r="E365" s="820"/>
      <c r="F365" s="1481"/>
      <c r="H365" s="1481"/>
      <c r="K365" s="1481"/>
      <c r="M365" s="1481"/>
    </row>
    <row r="366" spans="1:13">
      <c r="A366" s="18"/>
      <c r="B366" s="18"/>
      <c r="D366" s="820"/>
      <c r="E366" s="820"/>
      <c r="F366" s="1481"/>
      <c r="H366" s="1481"/>
      <c r="K366" s="1481"/>
      <c r="M366" s="1481"/>
    </row>
    <row r="367" spans="1:13">
      <c r="A367" s="18"/>
      <c r="B367" s="18"/>
      <c r="D367" s="820"/>
      <c r="E367" s="820"/>
      <c r="F367" s="1481"/>
      <c r="H367" s="1481"/>
      <c r="K367" s="1481"/>
      <c r="M367" s="1481"/>
    </row>
    <row r="368" spans="1:13">
      <c r="A368" s="18"/>
      <c r="B368" s="18"/>
      <c r="D368" s="820"/>
      <c r="E368" s="820"/>
      <c r="F368" s="1481"/>
      <c r="H368" s="1481"/>
      <c r="K368" s="1481"/>
      <c r="M368" s="1481"/>
    </row>
    <row r="369" spans="1:13">
      <c r="A369" s="18"/>
      <c r="B369" s="18"/>
      <c r="D369" s="820"/>
      <c r="E369" s="820"/>
      <c r="F369" s="1481"/>
      <c r="H369" s="1481"/>
      <c r="K369" s="1481"/>
      <c r="M369" s="1481"/>
    </row>
    <row r="370" spans="1:13">
      <c r="A370" s="18"/>
      <c r="B370" s="18"/>
      <c r="D370" s="820"/>
      <c r="E370" s="820"/>
      <c r="F370" s="1481"/>
      <c r="H370" s="1481"/>
      <c r="K370" s="1481"/>
      <c r="M370" s="1481"/>
    </row>
    <row r="371" spans="1:13">
      <c r="A371" s="18"/>
      <c r="B371" s="18"/>
      <c r="D371" s="820"/>
      <c r="E371" s="820"/>
      <c r="F371" s="1481"/>
      <c r="H371" s="1481"/>
      <c r="K371" s="1481"/>
      <c r="M371" s="1481"/>
    </row>
    <row r="372" spans="1:13">
      <c r="A372" s="18"/>
      <c r="B372" s="18"/>
      <c r="D372" s="820"/>
      <c r="E372" s="820"/>
      <c r="F372" s="1481"/>
      <c r="H372" s="1481"/>
      <c r="K372" s="1481"/>
      <c r="M372" s="1481"/>
    </row>
    <row r="373" spans="1:13">
      <c r="A373" s="18"/>
      <c r="B373" s="18"/>
      <c r="D373" s="820"/>
      <c r="E373" s="820"/>
      <c r="F373" s="1481"/>
      <c r="H373" s="1481"/>
      <c r="K373" s="1481"/>
      <c r="M373" s="1481"/>
    </row>
    <row r="374" spans="1:13">
      <c r="A374" s="18"/>
      <c r="B374" s="18"/>
      <c r="D374" s="820"/>
      <c r="E374" s="820"/>
      <c r="F374" s="1481"/>
      <c r="H374" s="1481"/>
      <c r="K374" s="1481"/>
      <c r="M374" s="1481"/>
    </row>
    <row r="375" spans="1:13">
      <c r="A375" s="18"/>
      <c r="B375" s="18"/>
      <c r="D375" s="820"/>
      <c r="E375" s="820"/>
      <c r="F375" s="1481"/>
      <c r="H375" s="1481"/>
      <c r="K375" s="1481"/>
      <c r="M375" s="1481"/>
    </row>
    <row r="376" spans="1:13">
      <c r="A376" s="18"/>
      <c r="B376" s="18"/>
      <c r="D376" s="820"/>
      <c r="E376" s="820"/>
      <c r="F376" s="1481"/>
      <c r="H376" s="1481"/>
      <c r="K376" s="1481"/>
      <c r="M376" s="1481"/>
    </row>
    <row r="377" spans="1:13">
      <c r="A377" s="18"/>
      <c r="B377" s="18"/>
      <c r="D377" s="820"/>
      <c r="E377" s="820"/>
      <c r="F377" s="1481"/>
      <c r="H377" s="1481"/>
      <c r="K377" s="1481"/>
      <c r="M377" s="1481"/>
    </row>
    <row r="378" spans="1:13">
      <c r="A378" s="18"/>
      <c r="B378" s="18"/>
      <c r="D378" s="820"/>
      <c r="E378" s="820"/>
      <c r="F378" s="1481"/>
      <c r="H378" s="1481"/>
      <c r="K378" s="1481"/>
      <c r="M378" s="1481"/>
    </row>
    <row r="379" spans="1:13">
      <c r="A379" s="18"/>
      <c r="B379" s="18"/>
      <c r="D379" s="820"/>
      <c r="E379" s="820"/>
      <c r="F379" s="1481"/>
      <c r="H379" s="1481"/>
      <c r="K379" s="1481"/>
      <c r="M379" s="1481"/>
    </row>
    <row r="380" spans="1:13">
      <c r="A380" s="18"/>
      <c r="B380" s="18"/>
      <c r="D380" s="820"/>
      <c r="E380" s="820"/>
      <c r="F380" s="1481"/>
      <c r="H380" s="1481"/>
      <c r="K380" s="1481"/>
      <c r="M380" s="1481"/>
    </row>
    <row r="381" spans="1:13">
      <c r="A381" s="18"/>
      <c r="B381" s="18"/>
      <c r="D381" s="820"/>
      <c r="E381" s="820"/>
      <c r="F381" s="1481"/>
      <c r="H381" s="1481"/>
      <c r="K381" s="1481"/>
      <c r="M381" s="1481"/>
    </row>
    <row r="382" spans="1:13">
      <c r="A382" s="18"/>
      <c r="B382" s="18"/>
      <c r="D382" s="820"/>
      <c r="E382" s="820"/>
      <c r="F382" s="1481"/>
      <c r="H382" s="1481"/>
      <c r="K382" s="1481"/>
      <c r="M382" s="1481"/>
    </row>
    <row r="383" spans="1:13">
      <c r="A383" s="18"/>
      <c r="B383" s="18"/>
      <c r="D383" s="820"/>
      <c r="E383" s="820"/>
      <c r="F383" s="1481"/>
      <c r="H383" s="1481"/>
      <c r="K383" s="1481"/>
      <c r="M383" s="1481"/>
    </row>
    <row r="384" spans="1:13">
      <c r="A384" s="18"/>
      <c r="B384" s="18"/>
      <c r="D384" s="820"/>
      <c r="E384" s="820"/>
      <c r="F384" s="1481"/>
      <c r="H384" s="1481"/>
      <c r="K384" s="1481"/>
      <c r="M384" s="1481"/>
    </row>
    <row r="385" spans="1:13">
      <c r="A385" s="18"/>
      <c r="B385" s="18"/>
      <c r="D385" s="820"/>
      <c r="E385" s="820"/>
      <c r="F385" s="1481"/>
      <c r="H385" s="1481"/>
      <c r="K385" s="1481"/>
      <c r="M385" s="1481"/>
    </row>
    <row r="386" spans="1:13">
      <c r="A386" s="18"/>
      <c r="B386" s="18"/>
      <c r="D386" s="820"/>
      <c r="E386" s="820"/>
      <c r="F386" s="1481"/>
      <c r="H386" s="1481"/>
      <c r="K386" s="1481"/>
      <c r="M386" s="1481"/>
    </row>
    <row r="387" spans="1:13">
      <c r="A387" s="18"/>
      <c r="B387" s="18"/>
      <c r="D387" s="820"/>
      <c r="E387" s="820"/>
      <c r="F387" s="1481"/>
      <c r="H387" s="1481"/>
      <c r="K387" s="1481"/>
      <c r="M387" s="1481"/>
    </row>
    <row r="388" spans="1:13">
      <c r="A388" s="18"/>
      <c r="B388" s="18"/>
      <c r="D388" s="820"/>
      <c r="E388" s="820"/>
      <c r="F388" s="1481"/>
      <c r="H388" s="1481"/>
      <c r="K388" s="1481"/>
      <c r="M388" s="1481"/>
    </row>
    <row r="389" spans="1:13">
      <c r="A389" s="18"/>
      <c r="B389" s="18"/>
      <c r="D389" s="820"/>
      <c r="E389" s="820"/>
      <c r="F389" s="1481"/>
      <c r="H389" s="1481"/>
      <c r="K389" s="1481"/>
      <c r="M389" s="1481"/>
    </row>
    <row r="390" spans="1:13">
      <c r="A390" s="18"/>
      <c r="B390" s="18"/>
      <c r="D390" s="820"/>
      <c r="E390" s="820"/>
      <c r="F390" s="1481"/>
      <c r="H390" s="1481"/>
      <c r="K390" s="1481"/>
      <c r="M390" s="1481"/>
    </row>
    <row r="391" spans="1:13">
      <c r="A391" s="18"/>
      <c r="B391" s="18"/>
      <c r="D391" s="820"/>
      <c r="E391" s="820"/>
      <c r="F391" s="1481"/>
      <c r="H391" s="1481"/>
      <c r="K391" s="1481"/>
      <c r="M391" s="1481"/>
    </row>
    <row r="392" spans="1:13">
      <c r="A392" s="18"/>
      <c r="B392" s="18"/>
      <c r="D392" s="820"/>
      <c r="E392" s="820"/>
      <c r="F392" s="1481"/>
      <c r="H392" s="1481"/>
      <c r="K392" s="1481"/>
      <c r="M392" s="1481"/>
    </row>
    <row r="393" spans="1:13">
      <c r="A393" s="18"/>
      <c r="B393" s="18"/>
      <c r="D393" s="820"/>
      <c r="E393" s="820"/>
      <c r="F393" s="1481"/>
      <c r="H393" s="1481"/>
      <c r="K393" s="1481"/>
      <c r="M393" s="1481"/>
    </row>
    <row r="394" spans="1:13">
      <c r="A394" s="18"/>
      <c r="B394" s="18"/>
      <c r="D394" s="820"/>
      <c r="E394" s="820"/>
      <c r="F394" s="1481"/>
      <c r="H394" s="1481"/>
      <c r="K394" s="1481"/>
      <c r="M394" s="1481"/>
    </row>
    <row r="395" spans="1:13">
      <c r="A395" s="18"/>
      <c r="B395" s="18"/>
      <c r="D395" s="820"/>
      <c r="E395" s="820"/>
      <c r="F395" s="1481"/>
      <c r="H395" s="1481"/>
      <c r="K395" s="1481"/>
      <c r="M395" s="1481"/>
    </row>
    <row r="396" spans="1:13">
      <c r="A396" s="18"/>
      <c r="B396" s="18"/>
      <c r="D396" s="820"/>
      <c r="E396" s="820"/>
      <c r="F396" s="1481"/>
      <c r="H396" s="1481"/>
      <c r="K396" s="1481"/>
      <c r="M396" s="1481"/>
    </row>
    <row r="397" spans="1:13">
      <c r="A397" s="18"/>
      <c r="B397" s="18"/>
      <c r="D397" s="820"/>
      <c r="E397" s="820"/>
      <c r="F397" s="1481"/>
      <c r="H397" s="1481"/>
      <c r="K397" s="1481"/>
      <c r="M397" s="1481"/>
    </row>
    <row r="398" spans="1:13">
      <c r="A398" s="18"/>
      <c r="B398" s="18"/>
      <c r="D398" s="820"/>
      <c r="E398" s="820"/>
      <c r="F398" s="1481"/>
      <c r="H398" s="1481"/>
      <c r="K398" s="1481"/>
      <c r="M398" s="1481"/>
    </row>
    <row r="399" spans="1:13">
      <c r="A399" s="18"/>
      <c r="B399" s="18"/>
      <c r="D399" s="820"/>
      <c r="E399" s="820"/>
      <c r="F399" s="1481"/>
      <c r="H399" s="1481"/>
      <c r="K399" s="1481"/>
      <c r="M399" s="1481"/>
    </row>
    <row r="400" spans="1:13">
      <c r="A400" s="18"/>
      <c r="B400" s="18"/>
      <c r="D400" s="820"/>
      <c r="E400" s="820"/>
      <c r="F400" s="1481"/>
      <c r="H400" s="1481"/>
      <c r="K400" s="1481"/>
      <c r="M400" s="1481"/>
    </row>
    <row r="401" spans="1:13">
      <c r="A401" s="18"/>
      <c r="B401" s="18"/>
      <c r="D401" s="820"/>
      <c r="E401" s="820"/>
      <c r="F401" s="1481"/>
      <c r="H401" s="1481"/>
      <c r="K401" s="1481"/>
      <c r="M401" s="1481"/>
    </row>
    <row r="402" spans="1:13">
      <c r="A402" s="18"/>
      <c r="B402" s="18"/>
      <c r="D402" s="820"/>
      <c r="E402" s="820"/>
      <c r="F402" s="1481"/>
      <c r="H402" s="1481"/>
      <c r="K402" s="1481"/>
      <c r="M402" s="1481"/>
    </row>
    <row r="403" spans="1:13">
      <c r="A403" s="18"/>
      <c r="B403" s="18"/>
      <c r="D403" s="820"/>
      <c r="E403" s="820"/>
      <c r="F403" s="1481"/>
      <c r="H403" s="1481"/>
      <c r="K403" s="1481"/>
      <c r="M403" s="1481"/>
    </row>
    <row r="404" spans="1:13">
      <c r="A404" s="18"/>
      <c r="B404" s="18"/>
      <c r="D404" s="820"/>
      <c r="E404" s="820"/>
      <c r="F404" s="1481"/>
      <c r="H404" s="1481"/>
      <c r="K404" s="1481"/>
      <c r="M404" s="1481"/>
    </row>
    <row r="405" spans="1:13">
      <c r="A405" s="18"/>
      <c r="B405" s="18"/>
      <c r="D405" s="820"/>
      <c r="E405" s="820"/>
      <c r="F405" s="1481"/>
      <c r="H405" s="1481"/>
      <c r="K405" s="1481"/>
      <c r="M405" s="1481"/>
    </row>
    <row r="406" spans="1:13">
      <c r="A406" s="18"/>
      <c r="B406" s="18"/>
      <c r="D406" s="820"/>
      <c r="E406" s="820"/>
      <c r="F406" s="1481"/>
      <c r="H406" s="1481"/>
      <c r="K406" s="1481"/>
      <c r="M406" s="1481"/>
    </row>
    <row r="407" spans="1:13">
      <c r="A407" s="18"/>
      <c r="B407" s="18"/>
      <c r="D407" s="820"/>
      <c r="E407" s="820"/>
      <c r="F407" s="1481"/>
      <c r="H407" s="1481"/>
      <c r="K407" s="1481"/>
      <c r="M407" s="1481"/>
    </row>
    <row r="408" spans="1:13">
      <c r="A408" s="18"/>
      <c r="B408" s="18"/>
      <c r="D408" s="820"/>
      <c r="E408" s="820"/>
      <c r="F408" s="1481"/>
      <c r="H408" s="1481"/>
      <c r="K408" s="1481"/>
      <c r="M408" s="1481"/>
    </row>
    <row r="409" spans="1:13">
      <c r="A409" s="18"/>
      <c r="B409" s="18"/>
      <c r="D409" s="820"/>
      <c r="E409" s="820"/>
      <c r="F409" s="1481"/>
      <c r="H409" s="1481"/>
      <c r="K409" s="1481"/>
      <c r="M409" s="1481"/>
    </row>
    <row r="410" spans="1:13">
      <c r="A410" s="18"/>
      <c r="B410" s="18"/>
      <c r="D410" s="820"/>
      <c r="E410" s="820"/>
      <c r="F410" s="1481"/>
      <c r="H410" s="1481"/>
      <c r="K410" s="1481"/>
      <c r="M410" s="1481"/>
    </row>
    <row r="411" spans="1:13">
      <c r="A411" s="18"/>
      <c r="B411" s="18"/>
      <c r="D411" s="820"/>
      <c r="E411" s="820"/>
      <c r="F411" s="1481"/>
      <c r="H411" s="1481"/>
      <c r="K411" s="1481"/>
      <c r="M411" s="1481"/>
    </row>
    <row r="412" spans="1:13">
      <c r="A412" s="18"/>
      <c r="B412" s="18"/>
      <c r="D412" s="820"/>
      <c r="E412" s="820"/>
      <c r="F412" s="1481"/>
      <c r="H412" s="1481"/>
      <c r="K412" s="1481"/>
      <c r="M412" s="1481"/>
    </row>
    <row r="413" spans="1:13">
      <c r="A413" s="18"/>
      <c r="B413" s="18"/>
      <c r="D413" s="820"/>
      <c r="E413" s="820"/>
      <c r="F413" s="1481"/>
      <c r="H413" s="1481"/>
      <c r="K413" s="1481"/>
      <c r="M413" s="1481"/>
    </row>
    <row r="414" spans="1:13">
      <c r="A414" s="18"/>
      <c r="B414" s="18"/>
      <c r="D414" s="820"/>
      <c r="E414" s="820"/>
      <c r="F414" s="1481"/>
      <c r="H414" s="1481"/>
      <c r="K414" s="1481"/>
      <c r="M414" s="1481"/>
    </row>
    <row r="415" spans="1:13">
      <c r="A415" s="18"/>
      <c r="B415" s="18"/>
      <c r="D415" s="820"/>
      <c r="E415" s="820"/>
      <c r="F415" s="1481"/>
      <c r="H415" s="1481"/>
      <c r="K415" s="1481"/>
      <c r="M415" s="1481"/>
    </row>
    <row r="416" spans="1:13">
      <c r="A416" s="18"/>
      <c r="B416" s="18"/>
      <c r="D416" s="820"/>
      <c r="E416" s="820"/>
      <c r="F416" s="1481"/>
      <c r="H416" s="1481"/>
      <c r="K416" s="1481"/>
      <c r="M416" s="1481"/>
    </row>
    <row r="417" spans="1:13">
      <c r="A417" s="18"/>
      <c r="B417" s="18"/>
      <c r="D417" s="820"/>
      <c r="E417" s="820"/>
      <c r="F417" s="1481"/>
      <c r="H417" s="1481"/>
      <c r="K417" s="1481"/>
      <c r="M417" s="1481"/>
    </row>
    <row r="418" spans="1:13">
      <c r="A418" s="18"/>
      <c r="B418" s="18"/>
      <c r="D418" s="820"/>
      <c r="E418" s="820"/>
      <c r="F418" s="1481"/>
      <c r="H418" s="1481"/>
      <c r="K418" s="1481"/>
      <c r="M418" s="1481"/>
    </row>
    <row r="419" spans="1:13">
      <c r="A419" s="18"/>
      <c r="B419" s="18"/>
      <c r="D419" s="820"/>
      <c r="E419" s="820"/>
      <c r="F419" s="1481"/>
      <c r="H419" s="1481"/>
      <c r="K419" s="1481"/>
      <c r="M419" s="1481"/>
    </row>
    <row r="420" spans="1:13">
      <c r="A420" s="18"/>
      <c r="B420" s="18"/>
      <c r="D420" s="820"/>
      <c r="E420" s="820"/>
      <c r="F420" s="1481"/>
      <c r="H420" s="1481"/>
      <c r="K420" s="1481"/>
      <c r="M420" s="1481"/>
    </row>
    <row r="421" spans="1:13">
      <c r="A421" s="18"/>
      <c r="B421" s="18"/>
      <c r="D421" s="820"/>
      <c r="E421" s="820"/>
      <c r="F421" s="1481"/>
      <c r="H421" s="1481"/>
      <c r="K421" s="1481"/>
      <c r="M421" s="1481"/>
    </row>
    <row r="422" spans="1:13">
      <c r="A422" s="18"/>
      <c r="B422" s="18"/>
      <c r="D422" s="820"/>
      <c r="E422" s="820"/>
      <c r="F422" s="1481"/>
      <c r="H422" s="1481"/>
      <c r="K422" s="1481"/>
      <c r="M422" s="1481"/>
    </row>
    <row r="423" spans="1:13">
      <c r="A423" s="18"/>
      <c r="B423" s="18"/>
      <c r="D423" s="820"/>
      <c r="E423" s="820"/>
      <c r="F423" s="1481"/>
      <c r="H423" s="1481"/>
      <c r="K423" s="1481"/>
      <c r="M423" s="1481"/>
    </row>
    <row r="424" spans="1:13">
      <c r="A424" s="18"/>
      <c r="B424" s="18"/>
      <c r="D424" s="820"/>
      <c r="E424" s="820"/>
      <c r="F424" s="1481"/>
      <c r="H424" s="1481"/>
      <c r="K424" s="1481"/>
      <c r="M424" s="1481"/>
    </row>
    <row r="425" spans="1:13">
      <c r="A425" s="18"/>
      <c r="B425" s="18"/>
      <c r="D425" s="820"/>
      <c r="E425" s="820"/>
      <c r="F425" s="1481"/>
      <c r="H425" s="1481"/>
      <c r="K425" s="1481"/>
      <c r="M425" s="1481"/>
    </row>
    <row r="426" spans="1:13">
      <c r="A426" s="18"/>
      <c r="B426" s="18"/>
      <c r="D426" s="820"/>
      <c r="E426" s="820"/>
      <c r="F426" s="1481"/>
      <c r="H426" s="1481"/>
      <c r="K426" s="1481"/>
      <c r="M426" s="1481"/>
    </row>
    <row r="427" spans="1:13">
      <c r="A427" s="18"/>
      <c r="B427" s="18"/>
      <c r="D427" s="820"/>
      <c r="E427" s="820"/>
      <c r="F427" s="1481"/>
      <c r="H427" s="1481"/>
      <c r="K427" s="1481"/>
      <c r="M427" s="1481"/>
    </row>
    <row r="428" spans="1:13">
      <c r="A428" s="18"/>
      <c r="B428" s="18"/>
      <c r="D428" s="820"/>
      <c r="E428" s="820"/>
      <c r="F428" s="1481"/>
      <c r="H428" s="1481"/>
      <c r="K428" s="1481"/>
      <c r="M428" s="1481"/>
    </row>
    <row r="429" spans="1:13">
      <c r="A429" s="18"/>
      <c r="B429" s="18"/>
      <c r="D429" s="820"/>
      <c r="E429" s="820"/>
      <c r="F429" s="1481"/>
      <c r="H429" s="1481"/>
      <c r="K429" s="1481"/>
      <c r="M429" s="1481"/>
    </row>
    <row r="430" spans="1:13">
      <c r="A430" s="18"/>
      <c r="B430" s="18"/>
      <c r="D430" s="820"/>
      <c r="E430" s="820"/>
      <c r="F430" s="1481"/>
      <c r="H430" s="1481"/>
      <c r="K430" s="1481"/>
      <c r="M430" s="1481"/>
    </row>
    <row r="431" spans="1:13">
      <c r="A431" s="18"/>
      <c r="B431" s="18"/>
      <c r="D431" s="820"/>
      <c r="E431" s="820"/>
      <c r="F431" s="1481"/>
      <c r="H431" s="1481"/>
      <c r="K431" s="1481"/>
      <c r="M431" s="1481"/>
    </row>
    <row r="432" spans="1:13">
      <c r="A432" s="18"/>
      <c r="B432" s="18"/>
      <c r="D432" s="820"/>
      <c r="E432" s="820"/>
      <c r="F432" s="1481"/>
      <c r="H432" s="1481"/>
      <c r="K432" s="1481"/>
      <c r="M432" s="1481"/>
    </row>
    <row r="433" spans="1:13">
      <c r="A433" s="18"/>
      <c r="B433" s="18"/>
      <c r="D433" s="820"/>
      <c r="E433" s="820"/>
      <c r="F433" s="1481"/>
      <c r="H433" s="1481"/>
      <c r="K433" s="1481"/>
      <c r="M433" s="1481"/>
    </row>
    <row r="434" spans="1:13">
      <c r="A434" s="18"/>
      <c r="B434" s="18"/>
      <c r="D434" s="820"/>
      <c r="E434" s="820"/>
      <c r="F434" s="1481"/>
      <c r="H434" s="1481"/>
      <c r="K434" s="1481"/>
      <c r="M434" s="1481"/>
    </row>
    <row r="435" spans="1:13">
      <c r="A435" s="18"/>
      <c r="B435" s="18"/>
      <c r="D435" s="820"/>
      <c r="E435" s="820"/>
      <c r="F435" s="1481"/>
      <c r="H435" s="1481"/>
      <c r="K435" s="1481"/>
      <c r="M435" s="1481"/>
    </row>
    <row r="436" spans="1:13">
      <c r="A436" s="18"/>
      <c r="B436" s="18"/>
      <c r="D436" s="820"/>
      <c r="E436" s="820"/>
      <c r="F436" s="1481"/>
      <c r="H436" s="1481"/>
      <c r="K436" s="1481"/>
      <c r="M436" s="1481"/>
    </row>
    <row r="437" spans="1:13">
      <c r="A437" s="18"/>
      <c r="B437" s="18"/>
      <c r="D437" s="820"/>
      <c r="E437" s="820"/>
      <c r="F437" s="1481"/>
      <c r="H437" s="1481"/>
      <c r="K437" s="1481"/>
      <c r="M437" s="1481"/>
    </row>
    <row r="438" spans="1:13">
      <c r="A438" s="18"/>
      <c r="B438" s="18"/>
      <c r="D438" s="820"/>
      <c r="E438" s="820"/>
      <c r="F438" s="1481"/>
      <c r="H438" s="1481"/>
      <c r="K438" s="1481"/>
      <c r="M438" s="1481"/>
    </row>
    <row r="439" spans="1:13">
      <c r="A439" s="18"/>
      <c r="B439" s="18"/>
      <c r="D439" s="820"/>
      <c r="E439" s="820"/>
      <c r="F439" s="1481"/>
      <c r="H439" s="1481"/>
      <c r="K439" s="1481"/>
      <c r="M439" s="1481"/>
    </row>
    <row r="440" spans="1:13">
      <c r="A440" s="18"/>
      <c r="B440" s="18"/>
      <c r="D440" s="820"/>
      <c r="E440" s="820"/>
      <c r="F440" s="1481"/>
      <c r="H440" s="1481"/>
      <c r="K440" s="1481"/>
      <c r="M440" s="1481"/>
    </row>
    <row r="441" spans="1:13">
      <c r="A441" s="18"/>
      <c r="B441" s="18"/>
      <c r="D441" s="820"/>
      <c r="E441" s="820"/>
      <c r="F441" s="1481"/>
      <c r="H441" s="1481"/>
      <c r="K441" s="1481"/>
      <c r="M441" s="1481"/>
    </row>
    <row r="442" spans="1:13">
      <c r="A442" s="18"/>
      <c r="B442" s="18"/>
      <c r="D442" s="820"/>
      <c r="E442" s="820"/>
      <c r="F442" s="1481"/>
      <c r="H442" s="1481"/>
      <c r="K442" s="1481"/>
      <c r="M442" s="1481"/>
    </row>
    <row r="443" spans="1:13">
      <c r="A443" s="18"/>
      <c r="B443" s="18"/>
      <c r="D443" s="820"/>
      <c r="E443" s="820"/>
      <c r="F443" s="1481"/>
      <c r="H443" s="1481"/>
      <c r="K443" s="1481"/>
      <c r="M443" s="1481"/>
    </row>
    <row r="444" spans="1:13">
      <c r="A444" s="18"/>
      <c r="B444" s="18"/>
      <c r="D444" s="820"/>
      <c r="E444" s="820"/>
      <c r="F444" s="1481"/>
      <c r="H444" s="1481"/>
      <c r="K444" s="1481"/>
      <c r="M444" s="1481"/>
    </row>
    <row r="445" spans="1:13">
      <c r="A445" s="18"/>
      <c r="B445" s="18"/>
      <c r="D445" s="820"/>
      <c r="E445" s="820"/>
      <c r="F445" s="1481"/>
      <c r="H445" s="1481"/>
      <c r="K445" s="1481"/>
      <c r="M445" s="1481"/>
    </row>
    <row r="446" spans="1:13">
      <c r="A446" s="18"/>
      <c r="B446" s="18"/>
      <c r="D446" s="820"/>
      <c r="E446" s="820"/>
      <c r="F446" s="1481"/>
      <c r="H446" s="1481"/>
      <c r="K446" s="1481"/>
      <c r="M446" s="1481"/>
    </row>
    <row r="447" spans="1:13">
      <c r="A447" s="18"/>
      <c r="B447" s="18"/>
      <c r="D447" s="820"/>
      <c r="E447" s="820"/>
      <c r="F447" s="1481"/>
      <c r="H447" s="1481"/>
      <c r="K447" s="1481"/>
      <c r="M447" s="1481"/>
    </row>
    <row r="448" spans="1:13">
      <c r="A448" s="18"/>
      <c r="B448" s="18"/>
      <c r="D448" s="820"/>
      <c r="E448" s="820"/>
      <c r="F448" s="1481"/>
      <c r="H448" s="1481"/>
      <c r="K448" s="1481"/>
      <c r="M448" s="1481"/>
    </row>
    <row r="449" spans="1:13">
      <c r="A449" s="18"/>
      <c r="B449" s="18"/>
      <c r="D449" s="820"/>
      <c r="E449" s="820"/>
      <c r="F449" s="1481"/>
      <c r="H449" s="1481"/>
      <c r="K449" s="1481"/>
      <c r="M449" s="1481"/>
    </row>
    <row r="450" spans="1:13">
      <c r="A450" s="18"/>
      <c r="B450" s="18"/>
      <c r="D450" s="820"/>
      <c r="E450" s="820"/>
      <c r="F450" s="1481"/>
      <c r="H450" s="1481"/>
      <c r="K450" s="1481"/>
      <c r="M450" s="1481"/>
    </row>
    <row r="451" spans="1:13">
      <c r="A451" s="18"/>
      <c r="B451" s="18"/>
      <c r="D451" s="820"/>
      <c r="E451" s="820"/>
      <c r="F451" s="1481"/>
      <c r="H451" s="1481"/>
      <c r="K451" s="1481"/>
      <c r="M451" s="1481"/>
    </row>
    <row r="452" spans="1:13">
      <c r="A452" s="18"/>
      <c r="B452" s="18"/>
      <c r="D452" s="820"/>
      <c r="E452" s="820"/>
      <c r="F452" s="1481"/>
      <c r="H452" s="1481"/>
      <c r="K452" s="1481"/>
      <c r="M452" s="1481"/>
    </row>
    <row r="453" spans="1:13">
      <c r="A453" s="18"/>
      <c r="B453" s="18"/>
      <c r="D453" s="820"/>
      <c r="E453" s="820"/>
      <c r="F453" s="1481"/>
      <c r="H453" s="1481"/>
      <c r="K453" s="1481"/>
      <c r="M453" s="1481"/>
    </row>
    <row r="454" spans="1:13">
      <c r="A454" s="18"/>
      <c r="B454" s="18"/>
      <c r="D454" s="820"/>
      <c r="E454" s="820"/>
      <c r="F454" s="1481"/>
      <c r="H454" s="1481"/>
      <c r="K454" s="1481"/>
      <c r="M454" s="1481"/>
    </row>
    <row r="455" spans="1:13">
      <c r="A455" s="18"/>
      <c r="B455" s="18"/>
      <c r="D455" s="820"/>
      <c r="E455" s="820"/>
      <c r="F455" s="1481"/>
      <c r="H455" s="1481"/>
      <c r="K455" s="1481"/>
      <c r="M455" s="1481"/>
    </row>
    <row r="456" spans="1:13">
      <c r="A456" s="18"/>
      <c r="B456" s="18"/>
      <c r="D456" s="820"/>
      <c r="E456" s="820"/>
      <c r="F456" s="1481"/>
      <c r="H456" s="1481"/>
      <c r="K456" s="1481"/>
      <c r="M456" s="1481"/>
    </row>
    <row r="457" spans="1:13">
      <c r="A457" s="18"/>
      <c r="B457" s="18"/>
      <c r="D457" s="820"/>
      <c r="E457" s="820"/>
      <c r="F457" s="1481"/>
      <c r="H457" s="1481"/>
      <c r="K457" s="1481"/>
      <c r="M457" s="1481"/>
    </row>
    <row r="458" spans="1:13">
      <c r="A458" s="18"/>
      <c r="B458" s="18"/>
      <c r="D458" s="820"/>
      <c r="E458" s="820"/>
      <c r="F458" s="1481"/>
      <c r="H458" s="1481"/>
      <c r="K458" s="1481"/>
      <c r="M458" s="1481"/>
    </row>
    <row r="459" spans="1:13">
      <c r="A459" s="18"/>
      <c r="B459" s="18"/>
      <c r="D459" s="820"/>
      <c r="E459" s="820"/>
      <c r="F459" s="1481"/>
      <c r="H459" s="1481"/>
      <c r="K459" s="1481"/>
      <c r="M459" s="1481"/>
    </row>
    <row r="460" spans="1:13">
      <c r="A460" s="18"/>
      <c r="B460" s="18"/>
      <c r="D460" s="820"/>
      <c r="E460" s="820"/>
      <c r="F460" s="1481"/>
      <c r="H460" s="1481"/>
      <c r="K460" s="1481"/>
      <c r="M460" s="1481"/>
    </row>
    <row r="461" spans="1:13">
      <c r="A461" s="18"/>
      <c r="B461" s="18"/>
      <c r="D461" s="820"/>
      <c r="E461" s="820"/>
      <c r="F461" s="1481"/>
      <c r="H461" s="1481"/>
      <c r="K461" s="1481"/>
      <c r="M461" s="1481"/>
    </row>
    <row r="462" spans="1:13">
      <c r="A462" s="18"/>
      <c r="B462" s="18"/>
      <c r="D462" s="820"/>
      <c r="E462" s="820"/>
      <c r="F462" s="1481"/>
      <c r="H462" s="1481"/>
      <c r="K462" s="1481"/>
      <c r="M462" s="1481"/>
    </row>
    <row r="463" spans="1:13">
      <c r="A463" s="18"/>
      <c r="B463" s="18"/>
      <c r="D463" s="820"/>
      <c r="E463" s="820"/>
      <c r="F463" s="1481"/>
      <c r="H463" s="1481"/>
      <c r="K463" s="1481"/>
      <c r="M463" s="1481"/>
    </row>
    <row r="464" spans="1:13">
      <c r="A464" s="18"/>
      <c r="B464" s="18"/>
      <c r="D464" s="820"/>
      <c r="E464" s="820"/>
      <c r="F464" s="1481"/>
      <c r="H464" s="1481"/>
      <c r="K464" s="1481"/>
      <c r="M464" s="1481"/>
    </row>
    <row r="465" spans="1:13">
      <c r="A465" s="18"/>
      <c r="B465" s="18"/>
      <c r="D465" s="820"/>
      <c r="E465" s="820"/>
      <c r="F465" s="1481"/>
      <c r="H465" s="1481"/>
      <c r="K465" s="1481"/>
      <c r="M465" s="1481"/>
    </row>
    <row r="466" spans="1:13">
      <c r="A466" s="18"/>
      <c r="B466" s="18"/>
      <c r="D466" s="820"/>
      <c r="E466" s="820"/>
      <c r="F466" s="1481"/>
      <c r="H466" s="1481"/>
      <c r="K466" s="1481"/>
      <c r="M466" s="1481"/>
    </row>
    <row r="467" spans="1:13">
      <c r="A467" s="18"/>
      <c r="B467" s="18"/>
      <c r="D467" s="820"/>
      <c r="E467" s="820"/>
      <c r="F467" s="1481"/>
      <c r="H467" s="1481"/>
      <c r="K467" s="1481"/>
      <c r="M467" s="1481"/>
    </row>
    <row r="468" spans="1:13">
      <c r="A468" s="18"/>
      <c r="B468" s="18"/>
      <c r="D468" s="820"/>
      <c r="E468" s="820"/>
      <c r="F468" s="1481"/>
      <c r="H468" s="1481"/>
      <c r="K468" s="1481"/>
      <c r="M468" s="1481"/>
    </row>
    <row r="469" spans="1:13">
      <c r="A469" s="18"/>
      <c r="B469" s="18"/>
      <c r="D469" s="820"/>
      <c r="E469" s="820"/>
      <c r="F469" s="1481"/>
      <c r="H469" s="1481"/>
      <c r="K469" s="1481"/>
      <c r="M469" s="1481"/>
    </row>
    <row r="470" spans="1:13">
      <c r="A470" s="18"/>
      <c r="B470" s="18"/>
      <c r="D470" s="820"/>
      <c r="E470" s="820"/>
      <c r="F470" s="1481"/>
      <c r="H470" s="1481"/>
      <c r="K470" s="1481"/>
      <c r="M470" s="1481"/>
    </row>
    <row r="471" spans="1:13">
      <c r="A471" s="18"/>
      <c r="B471" s="18"/>
      <c r="D471" s="820"/>
      <c r="E471" s="820"/>
      <c r="F471" s="1481"/>
      <c r="H471" s="1481"/>
      <c r="K471" s="1481"/>
      <c r="M471" s="1481"/>
    </row>
    <row r="472" spans="1:13">
      <c r="A472" s="18"/>
      <c r="B472" s="18"/>
      <c r="D472" s="820"/>
      <c r="E472" s="820"/>
      <c r="F472" s="1481"/>
      <c r="H472" s="1481"/>
      <c r="K472" s="1481"/>
      <c r="M472" s="1481"/>
    </row>
    <row r="473" spans="1:13">
      <c r="A473" s="18"/>
      <c r="B473" s="18"/>
      <c r="D473" s="820"/>
      <c r="E473" s="820"/>
      <c r="F473" s="1481"/>
      <c r="H473" s="1481"/>
      <c r="K473" s="1481"/>
      <c r="M473" s="1481"/>
    </row>
    <row r="474" spans="1:13">
      <c r="A474" s="18"/>
      <c r="B474" s="18"/>
      <c r="D474" s="820"/>
      <c r="E474" s="820"/>
      <c r="F474" s="1481"/>
      <c r="H474" s="1481"/>
      <c r="K474" s="1481"/>
      <c r="M474" s="1481"/>
    </row>
    <row r="475" spans="1:13">
      <c r="A475" s="18"/>
      <c r="B475" s="18"/>
      <c r="D475" s="820"/>
      <c r="E475" s="820"/>
      <c r="F475" s="1481"/>
      <c r="H475" s="1481"/>
      <c r="K475" s="1481"/>
      <c r="M475" s="1481"/>
    </row>
    <row r="476" spans="1:13">
      <c r="A476" s="18"/>
      <c r="B476" s="18"/>
      <c r="D476" s="820"/>
      <c r="E476" s="820"/>
      <c r="F476" s="1481"/>
      <c r="H476" s="1481"/>
      <c r="K476" s="1481"/>
      <c r="M476" s="1481"/>
    </row>
    <row r="477" spans="1:13">
      <c r="A477" s="18"/>
      <c r="B477" s="18"/>
      <c r="D477" s="820"/>
      <c r="E477" s="820"/>
      <c r="F477" s="1481"/>
      <c r="H477" s="1481"/>
      <c r="K477" s="1481"/>
      <c r="M477" s="1481"/>
    </row>
    <row r="478" spans="1:13">
      <c r="A478" s="18"/>
      <c r="B478" s="18"/>
      <c r="D478" s="820"/>
      <c r="E478" s="820"/>
      <c r="F478" s="1481"/>
      <c r="H478" s="1481"/>
      <c r="K478" s="1481"/>
      <c r="M478" s="1481"/>
    </row>
    <row r="479" spans="1:13">
      <c r="A479" s="18"/>
      <c r="B479" s="18"/>
      <c r="D479" s="820"/>
      <c r="E479" s="820"/>
      <c r="F479" s="1481"/>
      <c r="H479" s="1481"/>
      <c r="K479" s="1481"/>
      <c r="M479" s="1481"/>
    </row>
    <row r="480" spans="1:13">
      <c r="A480" s="18"/>
      <c r="B480" s="18"/>
      <c r="D480" s="820"/>
      <c r="E480" s="820"/>
      <c r="F480" s="1481"/>
      <c r="H480" s="1481"/>
      <c r="K480" s="1481"/>
      <c r="M480" s="1481"/>
    </row>
    <row r="481" spans="1:13">
      <c r="A481" s="18"/>
      <c r="B481" s="18"/>
      <c r="D481" s="820"/>
      <c r="E481" s="820"/>
      <c r="F481" s="1481"/>
      <c r="H481" s="1481"/>
      <c r="K481" s="1481"/>
      <c r="M481" s="1481"/>
    </row>
    <row r="482" spans="1:13">
      <c r="A482" s="18"/>
      <c r="B482" s="18"/>
      <c r="D482" s="820"/>
      <c r="E482" s="820"/>
      <c r="F482" s="1481"/>
      <c r="H482" s="1481"/>
      <c r="K482" s="1481"/>
      <c r="M482" s="1481"/>
    </row>
    <row r="483" spans="1:13">
      <c r="A483" s="18"/>
      <c r="B483" s="18"/>
      <c r="D483" s="820"/>
      <c r="E483" s="820"/>
      <c r="F483" s="1481"/>
      <c r="H483" s="1481"/>
      <c r="K483" s="1481"/>
      <c r="M483" s="1481"/>
    </row>
    <row r="484" spans="1:13">
      <c r="A484" s="18"/>
      <c r="B484" s="18"/>
      <c r="D484" s="820"/>
      <c r="E484" s="820"/>
      <c r="F484" s="1481"/>
      <c r="H484" s="1481"/>
      <c r="K484" s="1481"/>
      <c r="M484" s="1481"/>
    </row>
    <row r="485" spans="1:13">
      <c r="A485" s="18"/>
      <c r="B485" s="18"/>
      <c r="D485" s="820"/>
      <c r="E485" s="820"/>
      <c r="F485" s="1481"/>
      <c r="H485" s="1481"/>
      <c r="K485" s="1481"/>
      <c r="M485" s="1481"/>
    </row>
    <row r="486" spans="1:13">
      <c r="A486" s="18"/>
      <c r="B486" s="18"/>
      <c r="D486" s="820"/>
      <c r="E486" s="820"/>
      <c r="F486" s="1481"/>
      <c r="H486" s="1481"/>
      <c r="K486" s="1481"/>
      <c r="M486" s="1481"/>
    </row>
    <row r="487" spans="1:13">
      <c r="A487" s="18"/>
      <c r="B487" s="18"/>
      <c r="D487" s="820"/>
      <c r="E487" s="820"/>
      <c r="F487" s="1481"/>
      <c r="H487" s="1481"/>
      <c r="K487" s="1481"/>
      <c r="M487" s="1481"/>
    </row>
    <row r="488" spans="1:13">
      <c r="A488" s="18"/>
      <c r="B488" s="18"/>
      <c r="D488" s="820"/>
      <c r="E488" s="820"/>
      <c r="F488" s="1481"/>
      <c r="H488" s="1481"/>
      <c r="K488" s="1481"/>
      <c r="M488" s="1481"/>
    </row>
    <row r="489" spans="1:13">
      <c r="A489" s="18"/>
      <c r="B489" s="18"/>
      <c r="D489" s="820"/>
      <c r="E489" s="820"/>
      <c r="F489" s="1481"/>
      <c r="H489" s="1481"/>
      <c r="K489" s="1481"/>
      <c r="M489" s="1481"/>
    </row>
    <row r="490" spans="1:13">
      <c r="A490" s="18"/>
      <c r="B490" s="18"/>
      <c r="D490" s="820"/>
      <c r="E490" s="820"/>
      <c r="F490" s="1481"/>
      <c r="H490" s="1481"/>
      <c r="K490" s="1481"/>
      <c r="M490" s="1481"/>
    </row>
    <row r="491" spans="1:13">
      <c r="A491" s="18"/>
      <c r="B491" s="18"/>
      <c r="D491" s="820"/>
      <c r="E491" s="820"/>
      <c r="F491" s="1481"/>
      <c r="H491" s="1481"/>
      <c r="K491" s="1481"/>
      <c r="M491" s="1481"/>
    </row>
    <row r="492" spans="1:13">
      <c r="A492" s="18"/>
      <c r="B492" s="18"/>
      <c r="D492" s="820"/>
      <c r="E492" s="820"/>
      <c r="F492" s="1481"/>
      <c r="H492" s="1481"/>
      <c r="K492" s="1481"/>
      <c r="M492" s="1481"/>
    </row>
    <row r="493" spans="1:13">
      <c r="A493" s="18"/>
      <c r="B493" s="18"/>
      <c r="D493" s="820"/>
      <c r="E493" s="820"/>
      <c r="F493" s="1481"/>
      <c r="H493" s="1481"/>
      <c r="K493" s="1481"/>
      <c r="M493" s="1481"/>
    </row>
    <row r="494" spans="1:13">
      <c r="A494" s="18"/>
      <c r="B494" s="18"/>
      <c r="D494" s="820"/>
      <c r="E494" s="820"/>
      <c r="F494" s="1481"/>
      <c r="H494" s="1481"/>
      <c r="K494" s="1481"/>
      <c r="M494" s="1481"/>
    </row>
    <row r="495" spans="1:13">
      <c r="A495" s="18"/>
      <c r="B495" s="18"/>
      <c r="D495" s="820"/>
      <c r="E495" s="820"/>
      <c r="F495" s="1481"/>
      <c r="H495" s="1481"/>
      <c r="K495" s="1481"/>
      <c r="M495" s="1481"/>
    </row>
    <row r="496" spans="1:13">
      <c r="A496" s="18"/>
      <c r="B496" s="18"/>
      <c r="D496" s="820"/>
      <c r="E496" s="820"/>
      <c r="F496" s="1481"/>
      <c r="H496" s="1481"/>
      <c r="K496" s="1481"/>
      <c r="M496" s="1481"/>
    </row>
    <row r="497" spans="1:13">
      <c r="A497" s="18"/>
      <c r="B497" s="18"/>
      <c r="D497" s="820"/>
      <c r="E497" s="820"/>
      <c r="F497" s="1481"/>
      <c r="H497" s="1481"/>
      <c r="K497" s="1481"/>
      <c r="M497" s="1481"/>
    </row>
    <row r="498" spans="1:13">
      <c r="A498" s="18"/>
      <c r="B498" s="18"/>
      <c r="D498" s="820"/>
      <c r="E498" s="820"/>
      <c r="F498" s="1481"/>
      <c r="H498" s="1481"/>
      <c r="K498" s="1481"/>
      <c r="M498" s="1481"/>
    </row>
    <row r="499" spans="1:13">
      <c r="A499" s="18"/>
      <c r="B499" s="18"/>
      <c r="D499" s="820"/>
      <c r="E499" s="820"/>
      <c r="F499" s="1481"/>
      <c r="H499" s="1481"/>
      <c r="K499" s="1481"/>
      <c r="M499" s="1481"/>
    </row>
    <row r="500" spans="1:13">
      <c r="A500" s="18"/>
      <c r="B500" s="18"/>
      <c r="D500" s="820"/>
      <c r="E500" s="820"/>
      <c r="F500" s="1481"/>
      <c r="H500" s="1481"/>
      <c r="K500" s="1481"/>
      <c r="M500" s="1481"/>
    </row>
    <row r="501" spans="1:13">
      <c r="A501" s="18"/>
      <c r="B501" s="18"/>
      <c r="D501" s="820"/>
      <c r="E501" s="820"/>
      <c r="F501" s="1481"/>
      <c r="H501" s="1481"/>
      <c r="K501" s="1481"/>
      <c r="M501" s="1481"/>
    </row>
    <row r="502" spans="1:13">
      <c r="A502" s="18"/>
      <c r="B502" s="18"/>
      <c r="D502" s="820"/>
      <c r="E502" s="820"/>
      <c r="F502" s="1481"/>
      <c r="H502" s="1481"/>
      <c r="K502" s="1481"/>
      <c r="M502" s="1481"/>
    </row>
    <row r="503" spans="1:13">
      <c r="A503" s="18"/>
      <c r="B503" s="18"/>
      <c r="D503" s="820"/>
      <c r="E503" s="820"/>
      <c r="F503" s="1481"/>
      <c r="H503" s="1481"/>
      <c r="K503" s="1481"/>
      <c r="M503" s="1481"/>
    </row>
    <row r="504" spans="1:13">
      <c r="A504" s="18"/>
      <c r="B504" s="18"/>
      <c r="D504" s="820"/>
      <c r="E504" s="820"/>
      <c r="F504" s="1481"/>
      <c r="H504" s="1481"/>
      <c r="K504" s="1481"/>
      <c r="M504" s="1481"/>
    </row>
    <row r="505" spans="1:13">
      <c r="A505" s="18"/>
      <c r="B505" s="18"/>
      <c r="D505" s="820"/>
      <c r="E505" s="820"/>
      <c r="F505" s="1481"/>
      <c r="H505" s="1481"/>
      <c r="K505" s="1481"/>
      <c r="M505" s="1481"/>
    </row>
    <row r="506" spans="1:13">
      <c r="A506" s="18"/>
      <c r="B506" s="18"/>
      <c r="D506" s="820"/>
      <c r="E506" s="820"/>
      <c r="F506" s="1481"/>
      <c r="H506" s="1481"/>
      <c r="K506" s="1481"/>
      <c r="M506" s="1481"/>
    </row>
    <row r="507" spans="1:13">
      <c r="A507" s="18"/>
      <c r="B507" s="18"/>
      <c r="D507" s="820"/>
      <c r="E507" s="820"/>
      <c r="F507" s="1481"/>
      <c r="H507" s="1481"/>
      <c r="K507" s="1481"/>
      <c r="M507" s="1481"/>
    </row>
    <row r="508" spans="1:13">
      <c r="A508" s="18"/>
      <c r="B508" s="18"/>
      <c r="D508" s="820"/>
      <c r="E508" s="820"/>
      <c r="F508" s="1481"/>
      <c r="H508" s="1481"/>
      <c r="K508" s="1481"/>
      <c r="M508" s="1481"/>
    </row>
    <row r="509" spans="1:13">
      <c r="A509" s="18"/>
      <c r="B509" s="18"/>
      <c r="D509" s="820"/>
      <c r="E509" s="820"/>
      <c r="F509" s="1481"/>
      <c r="H509" s="1481"/>
      <c r="K509" s="1481"/>
      <c r="M509" s="1481"/>
    </row>
    <row r="510" spans="1:13">
      <c r="A510" s="18"/>
      <c r="B510" s="18"/>
      <c r="D510" s="820"/>
      <c r="E510" s="820"/>
      <c r="F510" s="1481"/>
      <c r="H510" s="1481"/>
      <c r="K510" s="1481"/>
      <c r="M510" s="1481"/>
    </row>
    <row r="511" spans="1:13">
      <c r="A511" s="18"/>
      <c r="B511" s="18"/>
      <c r="D511" s="820"/>
      <c r="E511" s="820"/>
      <c r="F511" s="1481"/>
      <c r="H511" s="1481"/>
      <c r="K511" s="1481"/>
      <c r="M511" s="1481"/>
    </row>
    <row r="512" spans="1:13">
      <c r="A512" s="18"/>
      <c r="B512" s="18"/>
      <c r="D512" s="820"/>
      <c r="E512" s="820"/>
      <c r="F512" s="1481"/>
      <c r="H512" s="1481"/>
      <c r="K512" s="1481"/>
      <c r="M512" s="1481"/>
    </row>
    <row r="513" spans="1:13">
      <c r="A513" s="18"/>
      <c r="B513" s="18"/>
      <c r="D513" s="820"/>
      <c r="E513" s="820"/>
      <c r="F513" s="1481"/>
      <c r="H513" s="1481"/>
      <c r="K513" s="1481"/>
      <c r="M513" s="1481"/>
    </row>
    <row r="514" spans="1:13">
      <c r="A514" s="18"/>
      <c r="B514" s="18"/>
      <c r="D514" s="820"/>
      <c r="E514" s="820"/>
      <c r="F514" s="1481"/>
      <c r="H514" s="1481"/>
      <c r="K514" s="1481"/>
      <c r="M514" s="1481"/>
    </row>
    <row r="515" spans="1:13">
      <c r="A515" s="18"/>
      <c r="B515" s="18"/>
      <c r="D515" s="820"/>
      <c r="E515" s="820"/>
      <c r="F515" s="1481"/>
      <c r="H515" s="1481"/>
      <c r="K515" s="1481"/>
      <c r="M515" s="1481"/>
    </row>
    <row r="516" spans="1:13">
      <c r="A516" s="18"/>
      <c r="B516" s="18"/>
      <c r="D516" s="820"/>
      <c r="E516" s="820"/>
      <c r="F516" s="1481"/>
      <c r="H516" s="1481"/>
      <c r="K516" s="1481"/>
      <c r="M516" s="1481"/>
    </row>
    <row r="517" spans="1:13">
      <c r="A517" s="18"/>
      <c r="B517" s="18"/>
      <c r="D517" s="820"/>
      <c r="E517" s="820"/>
      <c r="F517" s="1481"/>
      <c r="H517" s="1481"/>
      <c r="K517" s="1481"/>
      <c r="M517" s="1481"/>
    </row>
    <row r="518" spans="1:13">
      <c r="A518" s="18"/>
      <c r="B518" s="18"/>
      <c r="D518" s="820"/>
      <c r="E518" s="820"/>
      <c r="F518" s="1481"/>
      <c r="H518" s="1481"/>
      <c r="K518" s="1481"/>
      <c r="M518" s="1481"/>
    </row>
    <row r="519" spans="1:13">
      <c r="A519" s="18"/>
      <c r="B519" s="18"/>
      <c r="D519" s="820"/>
      <c r="E519" s="820"/>
      <c r="F519" s="1481"/>
      <c r="H519" s="1481"/>
      <c r="K519" s="1481"/>
      <c r="M519" s="1481"/>
    </row>
    <row r="520" spans="1:13">
      <c r="A520" s="18"/>
      <c r="B520" s="18"/>
      <c r="D520" s="820"/>
      <c r="E520" s="820"/>
      <c r="F520" s="1481"/>
      <c r="H520" s="1481"/>
      <c r="K520" s="1481"/>
      <c r="M520" s="1481"/>
    </row>
    <row r="521" spans="1:13">
      <c r="A521" s="18"/>
      <c r="B521" s="18"/>
      <c r="D521" s="820"/>
      <c r="E521" s="820"/>
      <c r="F521" s="1481"/>
      <c r="H521" s="1481"/>
      <c r="K521" s="1481"/>
      <c r="M521" s="1481"/>
    </row>
    <row r="522" spans="1:13">
      <c r="A522" s="18"/>
      <c r="B522" s="18"/>
      <c r="D522" s="820"/>
      <c r="E522" s="820"/>
      <c r="F522" s="1481"/>
      <c r="H522" s="1481"/>
      <c r="K522" s="1481"/>
      <c r="M522" s="1481"/>
    </row>
    <row r="523" spans="1:13">
      <c r="A523" s="18"/>
      <c r="B523" s="18"/>
      <c r="D523" s="820"/>
      <c r="E523" s="820"/>
      <c r="F523" s="1481"/>
      <c r="H523" s="1481"/>
      <c r="K523" s="1481"/>
      <c r="M523" s="1481"/>
    </row>
    <row r="524" spans="1:13">
      <c r="A524" s="18"/>
      <c r="B524" s="18"/>
      <c r="D524" s="820"/>
      <c r="E524" s="820"/>
      <c r="F524" s="1481"/>
      <c r="H524" s="1481"/>
      <c r="K524" s="1481"/>
      <c r="M524" s="1481"/>
    </row>
    <row r="525" spans="1:13">
      <c r="A525" s="18"/>
      <c r="B525" s="18"/>
      <c r="D525" s="820"/>
      <c r="E525" s="820"/>
      <c r="F525" s="1481"/>
      <c r="H525" s="1481"/>
      <c r="K525" s="1481"/>
      <c r="M525" s="1481"/>
    </row>
    <row r="526" spans="1:13">
      <c r="A526" s="18"/>
      <c r="B526" s="18"/>
      <c r="D526" s="820"/>
      <c r="E526" s="820"/>
      <c r="F526" s="1481"/>
      <c r="H526" s="1481"/>
      <c r="K526" s="1481"/>
      <c r="M526" s="1481"/>
    </row>
    <row r="527" spans="1:13">
      <c r="A527" s="18"/>
      <c r="B527" s="18"/>
      <c r="D527" s="820"/>
      <c r="E527" s="820"/>
      <c r="F527" s="1481"/>
      <c r="H527" s="1481"/>
      <c r="K527" s="1481"/>
      <c r="M527" s="1481"/>
    </row>
    <row r="528" spans="1:13">
      <c r="A528" s="18"/>
      <c r="B528" s="18"/>
      <c r="D528" s="820"/>
      <c r="E528" s="820"/>
      <c r="F528" s="1481"/>
      <c r="H528" s="1481"/>
      <c r="K528" s="1481"/>
      <c r="M528" s="1481"/>
    </row>
    <row r="529" spans="1:13">
      <c r="A529" s="18"/>
      <c r="B529" s="18"/>
      <c r="D529" s="820"/>
      <c r="E529" s="820"/>
      <c r="F529" s="1481"/>
      <c r="H529" s="1481"/>
      <c r="K529" s="1481"/>
      <c r="M529" s="1481"/>
    </row>
    <row r="530" spans="1:13">
      <c r="A530" s="18"/>
      <c r="B530" s="18"/>
      <c r="D530" s="820"/>
      <c r="E530" s="820"/>
      <c r="F530" s="1481"/>
      <c r="H530" s="1481"/>
      <c r="K530" s="1481"/>
      <c r="M530" s="1481"/>
    </row>
    <row r="531" spans="1:13">
      <c r="A531" s="18"/>
      <c r="B531" s="18"/>
      <c r="D531" s="820"/>
      <c r="E531" s="820"/>
      <c r="F531" s="1481"/>
      <c r="H531" s="1481"/>
      <c r="K531" s="1481"/>
      <c r="M531" s="1481"/>
    </row>
    <row r="532" spans="1:13">
      <c r="A532" s="18"/>
      <c r="B532" s="18"/>
      <c r="D532" s="820"/>
      <c r="E532" s="820"/>
      <c r="F532" s="1481"/>
      <c r="H532" s="1481"/>
      <c r="K532" s="1481"/>
      <c r="M532" s="1481"/>
    </row>
    <row r="533" spans="1:13">
      <c r="A533" s="18"/>
      <c r="B533" s="18"/>
      <c r="D533" s="820"/>
      <c r="E533" s="820"/>
      <c r="F533" s="1481"/>
      <c r="H533" s="1481"/>
      <c r="K533" s="1481"/>
      <c r="M533" s="1481"/>
    </row>
    <row r="534" spans="1:13">
      <c r="A534" s="18"/>
      <c r="B534" s="18"/>
      <c r="D534" s="820"/>
      <c r="E534" s="820"/>
      <c r="F534" s="1481"/>
      <c r="H534" s="1481"/>
      <c r="K534" s="1481"/>
      <c r="M534" s="1481"/>
    </row>
    <row r="535" spans="1:13">
      <c r="A535" s="18"/>
      <c r="B535" s="18"/>
      <c r="D535" s="820"/>
      <c r="E535" s="820"/>
      <c r="F535" s="1481"/>
      <c r="H535" s="1481"/>
      <c r="K535" s="1481"/>
      <c r="M535" s="1481"/>
    </row>
    <row r="536" spans="1:13">
      <c r="A536" s="18"/>
      <c r="B536" s="18"/>
      <c r="D536" s="820"/>
      <c r="E536" s="820"/>
      <c r="F536" s="1481"/>
      <c r="H536" s="1481"/>
      <c r="K536" s="1481"/>
      <c r="M536" s="1481"/>
    </row>
    <row r="537" spans="1:13">
      <c r="A537" s="18"/>
      <c r="B537" s="18"/>
      <c r="D537" s="820"/>
      <c r="E537" s="820"/>
      <c r="F537" s="1481"/>
      <c r="H537" s="1481"/>
      <c r="K537" s="1481"/>
      <c r="M537" s="1481"/>
    </row>
    <row r="538" spans="1:13">
      <c r="A538" s="18"/>
      <c r="B538" s="18"/>
      <c r="D538" s="820"/>
      <c r="E538" s="820"/>
      <c r="F538" s="1481"/>
      <c r="H538" s="1481"/>
      <c r="K538" s="1481"/>
      <c r="M538" s="1481"/>
    </row>
    <row r="539" spans="1:13">
      <c r="A539" s="18"/>
      <c r="B539" s="18"/>
      <c r="D539" s="820"/>
      <c r="E539" s="820"/>
      <c r="F539" s="1481"/>
      <c r="H539" s="1481"/>
      <c r="K539" s="1481"/>
      <c r="M539" s="1481"/>
    </row>
    <row r="540" spans="1:13">
      <c r="A540" s="18"/>
      <c r="B540" s="18"/>
      <c r="D540" s="820"/>
      <c r="E540" s="820"/>
      <c r="F540" s="1481"/>
      <c r="H540" s="1481"/>
      <c r="K540" s="1481"/>
      <c r="M540" s="1481"/>
    </row>
    <row r="541" spans="1:13">
      <c r="A541" s="18"/>
      <c r="B541" s="18"/>
      <c r="D541" s="820"/>
      <c r="E541" s="820"/>
      <c r="F541" s="1481"/>
      <c r="H541" s="1481"/>
      <c r="K541" s="1481"/>
      <c r="M541" s="1481"/>
    </row>
    <row r="542" spans="1:13">
      <c r="A542" s="18"/>
      <c r="B542" s="18"/>
      <c r="D542" s="820"/>
      <c r="E542" s="820"/>
      <c r="F542" s="1481"/>
      <c r="H542" s="1481"/>
      <c r="K542" s="1481"/>
      <c r="M542" s="1481"/>
    </row>
    <row r="543" spans="1:13">
      <c r="A543" s="18"/>
      <c r="B543" s="18"/>
      <c r="D543" s="820"/>
      <c r="E543" s="820"/>
      <c r="F543" s="1481"/>
      <c r="H543" s="1481"/>
      <c r="K543" s="1481"/>
      <c r="M543" s="1481"/>
    </row>
    <row r="544" spans="1:13">
      <c r="A544" s="18"/>
      <c r="B544" s="18"/>
      <c r="D544" s="820"/>
      <c r="E544" s="820"/>
      <c r="F544" s="1481"/>
      <c r="H544" s="1481"/>
      <c r="K544" s="1481"/>
      <c r="M544" s="1481"/>
    </row>
    <row r="545" spans="1:13">
      <c r="A545" s="18"/>
      <c r="B545" s="18"/>
      <c r="D545" s="820"/>
      <c r="E545" s="820"/>
      <c r="F545" s="1481"/>
      <c r="H545" s="1481"/>
      <c r="K545" s="1481"/>
      <c r="M545" s="1481"/>
    </row>
    <row r="546" spans="1:13">
      <c r="A546" s="18"/>
      <c r="B546" s="18"/>
      <c r="D546" s="820"/>
      <c r="E546" s="820"/>
      <c r="F546" s="1481"/>
      <c r="H546" s="1481"/>
      <c r="K546" s="1481"/>
      <c r="M546" s="1481"/>
    </row>
    <row r="547" spans="1:13">
      <c r="A547" s="18"/>
      <c r="B547" s="18"/>
      <c r="D547" s="820"/>
      <c r="E547" s="820"/>
      <c r="F547" s="1481"/>
      <c r="H547" s="1481"/>
      <c r="K547" s="1481"/>
      <c r="M547" s="1481"/>
    </row>
    <row r="548" spans="1:13">
      <c r="A548" s="18"/>
      <c r="B548" s="18"/>
      <c r="D548" s="820"/>
      <c r="E548" s="820"/>
      <c r="F548" s="1481"/>
      <c r="H548" s="1481"/>
      <c r="K548" s="1481"/>
      <c r="M548" s="1481"/>
    </row>
    <row r="549" spans="1:13">
      <c r="A549" s="18"/>
      <c r="B549" s="18"/>
      <c r="D549" s="820"/>
      <c r="E549" s="820"/>
      <c r="F549" s="1481"/>
      <c r="H549" s="1481"/>
      <c r="K549" s="1481"/>
      <c r="M549" s="1481"/>
    </row>
    <row r="550" spans="1:13">
      <c r="A550" s="18"/>
      <c r="B550" s="18"/>
      <c r="D550" s="820"/>
      <c r="E550" s="820"/>
      <c r="F550" s="1481"/>
      <c r="H550" s="1481"/>
      <c r="K550" s="1481"/>
      <c r="M550" s="1481"/>
    </row>
    <row r="551" spans="1:13">
      <c r="A551" s="18"/>
      <c r="B551" s="18"/>
      <c r="D551" s="820"/>
      <c r="E551" s="820"/>
      <c r="F551" s="1481"/>
      <c r="H551" s="1481"/>
      <c r="K551" s="1481"/>
      <c r="M551" s="1481"/>
    </row>
    <row r="552" spans="1:13">
      <c r="A552" s="18"/>
      <c r="B552" s="18"/>
      <c r="D552" s="820"/>
      <c r="E552" s="820"/>
      <c r="F552" s="1481"/>
      <c r="H552" s="1481"/>
      <c r="K552" s="1481"/>
      <c r="M552" s="1481"/>
    </row>
    <row r="553" spans="1:13">
      <c r="A553" s="18"/>
      <c r="B553" s="18"/>
      <c r="D553" s="820"/>
      <c r="E553" s="820"/>
      <c r="F553" s="1481"/>
      <c r="H553" s="1481"/>
      <c r="K553" s="1481"/>
      <c r="M553" s="1481"/>
    </row>
    <row r="554" spans="1:13">
      <c r="A554" s="18"/>
      <c r="B554" s="18"/>
      <c r="D554" s="820"/>
      <c r="E554" s="820"/>
      <c r="F554" s="1481"/>
      <c r="H554" s="1481"/>
      <c r="K554" s="1481"/>
      <c r="M554" s="1481"/>
    </row>
    <row r="555" spans="1:13">
      <c r="A555" s="18"/>
      <c r="B555" s="18"/>
      <c r="D555" s="820"/>
      <c r="E555" s="820"/>
      <c r="F555" s="1481"/>
      <c r="H555" s="1481"/>
      <c r="K555" s="1481"/>
      <c r="M555" s="1481"/>
    </row>
    <row r="556" spans="1:13">
      <c r="A556" s="18"/>
      <c r="B556" s="18"/>
      <c r="D556" s="820"/>
      <c r="E556" s="820"/>
      <c r="F556" s="1481"/>
      <c r="H556" s="1481"/>
      <c r="K556" s="1481"/>
      <c r="M556" s="1481"/>
    </row>
    <row r="557" spans="1:13">
      <c r="A557" s="18"/>
      <c r="B557" s="18"/>
      <c r="D557" s="820"/>
      <c r="E557" s="820"/>
      <c r="F557" s="1481"/>
      <c r="H557" s="1481"/>
      <c r="K557" s="1481"/>
      <c r="M557" s="1481"/>
    </row>
    <row r="558" spans="1:13">
      <c r="A558" s="18"/>
      <c r="B558" s="18"/>
      <c r="D558" s="820"/>
      <c r="E558" s="820"/>
      <c r="F558" s="1481"/>
      <c r="H558" s="1481"/>
      <c r="K558" s="1481"/>
      <c r="M558" s="1481"/>
    </row>
    <row r="559" spans="1:13">
      <c r="A559" s="18"/>
      <c r="B559" s="18"/>
      <c r="D559" s="820"/>
      <c r="E559" s="820"/>
      <c r="F559" s="1481"/>
      <c r="H559" s="1481"/>
      <c r="K559" s="1481"/>
      <c r="M559" s="1481"/>
    </row>
    <row r="560" spans="1:13">
      <c r="A560" s="18"/>
      <c r="B560" s="18"/>
      <c r="D560" s="820"/>
      <c r="E560" s="820"/>
      <c r="F560" s="1481"/>
      <c r="H560" s="1481"/>
      <c r="K560" s="1481"/>
      <c r="M560" s="1481"/>
    </row>
    <row r="561" spans="1:13">
      <c r="A561" s="18"/>
      <c r="B561" s="18"/>
      <c r="D561" s="820"/>
      <c r="E561" s="820"/>
      <c r="F561" s="1481"/>
      <c r="H561" s="1481"/>
      <c r="K561" s="1481"/>
      <c r="M561" s="1481"/>
    </row>
    <row r="562" spans="1:13">
      <c r="A562" s="18"/>
      <c r="B562" s="18"/>
      <c r="D562" s="820"/>
      <c r="E562" s="820"/>
      <c r="F562" s="1481"/>
      <c r="H562" s="1481"/>
      <c r="K562" s="1481"/>
      <c r="M562" s="1481"/>
    </row>
    <row r="563" spans="1:13">
      <c r="A563" s="18"/>
      <c r="B563" s="18"/>
      <c r="D563" s="820"/>
      <c r="E563" s="820"/>
      <c r="F563" s="1481"/>
      <c r="H563" s="1481"/>
      <c r="K563" s="1481"/>
      <c r="M563" s="1481"/>
    </row>
    <row r="564" spans="1:13">
      <c r="A564" s="18"/>
      <c r="B564" s="18"/>
      <c r="D564" s="820"/>
      <c r="E564" s="820"/>
      <c r="F564" s="1481"/>
      <c r="H564" s="1481"/>
      <c r="K564" s="1481"/>
      <c r="M564" s="1481"/>
    </row>
    <row r="565" spans="1:13">
      <c r="A565" s="18"/>
      <c r="B565" s="18"/>
      <c r="D565" s="820"/>
      <c r="E565" s="820"/>
      <c r="F565" s="1481"/>
      <c r="H565" s="1481"/>
      <c r="K565" s="1481"/>
      <c r="M565" s="1481"/>
    </row>
    <row r="566" spans="1:13">
      <c r="A566" s="18"/>
      <c r="B566" s="18"/>
      <c r="D566" s="820"/>
      <c r="E566" s="820"/>
      <c r="F566" s="1481"/>
      <c r="H566" s="1481"/>
      <c r="K566" s="1481"/>
      <c r="M566" s="1481"/>
    </row>
    <row r="567" spans="1:13">
      <c r="A567" s="18"/>
      <c r="B567" s="18"/>
      <c r="D567" s="820"/>
      <c r="E567" s="820"/>
      <c r="F567" s="1481"/>
      <c r="H567" s="1481"/>
      <c r="K567" s="1481"/>
      <c r="M567" s="1481"/>
    </row>
    <row r="568" spans="1:13">
      <c r="A568" s="18"/>
      <c r="B568" s="18"/>
      <c r="D568" s="820"/>
      <c r="E568" s="820"/>
      <c r="F568" s="1481"/>
      <c r="H568" s="1481"/>
      <c r="K568" s="1481"/>
      <c r="M568" s="1481"/>
    </row>
    <row r="569" spans="1:13">
      <c r="A569" s="18"/>
      <c r="B569" s="18"/>
      <c r="D569" s="820"/>
      <c r="E569" s="820"/>
      <c r="F569" s="1481"/>
      <c r="H569" s="1481"/>
      <c r="K569" s="1481"/>
      <c r="M569" s="1481"/>
    </row>
    <row r="570" spans="1:13">
      <c r="A570" s="18"/>
      <c r="B570" s="18"/>
      <c r="D570" s="820"/>
      <c r="E570" s="820"/>
      <c r="F570" s="1481"/>
      <c r="H570" s="1481"/>
      <c r="K570" s="1481"/>
      <c r="M570" s="1481"/>
    </row>
    <row r="571" spans="1:13">
      <c r="A571" s="18"/>
      <c r="B571" s="18"/>
      <c r="D571" s="820"/>
      <c r="E571" s="820"/>
      <c r="F571" s="1481"/>
      <c r="H571" s="1481"/>
      <c r="K571" s="1481"/>
      <c r="M571" s="1481"/>
    </row>
    <row r="572" spans="1:13">
      <c r="A572" s="18"/>
      <c r="B572" s="18"/>
      <c r="D572" s="820"/>
      <c r="E572" s="820"/>
      <c r="F572" s="1481"/>
      <c r="H572" s="1481"/>
      <c r="K572" s="1481"/>
      <c r="M572" s="1481"/>
    </row>
    <row r="573" spans="1:13">
      <c r="A573" s="18"/>
      <c r="B573" s="18"/>
      <c r="D573" s="820"/>
      <c r="E573" s="820"/>
      <c r="F573" s="1481"/>
      <c r="H573" s="1481"/>
      <c r="K573" s="1481"/>
      <c r="M573" s="1481"/>
    </row>
    <row r="574" spans="1:13">
      <c r="A574" s="18"/>
      <c r="B574" s="18"/>
      <c r="D574" s="820"/>
      <c r="E574" s="820"/>
      <c r="F574" s="1481"/>
      <c r="H574" s="1481"/>
      <c r="K574" s="1481"/>
      <c r="M574" s="1481"/>
    </row>
    <row r="575" spans="1:13">
      <c r="A575" s="18"/>
      <c r="B575" s="18"/>
      <c r="D575" s="820"/>
      <c r="E575" s="820"/>
      <c r="F575" s="1481"/>
      <c r="H575" s="1481"/>
      <c r="K575" s="1481"/>
      <c r="M575" s="1481"/>
    </row>
    <row r="576" spans="1:13">
      <c r="A576" s="18"/>
      <c r="B576" s="18"/>
      <c r="D576" s="820"/>
      <c r="E576" s="820"/>
      <c r="F576" s="1481"/>
      <c r="H576" s="1481"/>
      <c r="K576" s="1481"/>
      <c r="M576" s="1481"/>
    </row>
    <row r="577" spans="1:13">
      <c r="A577" s="18"/>
      <c r="B577" s="18"/>
      <c r="D577" s="820"/>
      <c r="E577" s="820"/>
      <c r="F577" s="1481"/>
      <c r="H577" s="1481"/>
      <c r="K577" s="1481"/>
      <c r="M577" s="1481"/>
    </row>
    <row r="578" spans="1:13">
      <c r="A578" s="18"/>
      <c r="B578" s="18"/>
      <c r="D578" s="820"/>
      <c r="E578" s="820"/>
      <c r="F578" s="1481"/>
      <c r="H578" s="1481"/>
      <c r="K578" s="1481"/>
      <c r="M578" s="1481"/>
    </row>
    <row r="579" spans="1:13">
      <c r="A579" s="18"/>
      <c r="B579" s="18"/>
      <c r="D579" s="820"/>
      <c r="E579" s="820"/>
      <c r="F579" s="1481"/>
      <c r="H579" s="1481"/>
      <c r="K579" s="1481"/>
      <c r="M579" s="1481"/>
    </row>
    <row r="580" spans="1:13">
      <c r="A580" s="18"/>
      <c r="B580" s="18"/>
      <c r="D580" s="820"/>
      <c r="E580" s="820"/>
      <c r="F580" s="1481"/>
      <c r="H580" s="1481"/>
      <c r="K580" s="1481"/>
      <c r="M580" s="1481"/>
    </row>
    <row r="581" spans="1:13">
      <c r="A581" s="18"/>
      <c r="B581" s="18"/>
      <c r="D581" s="820"/>
      <c r="E581" s="820"/>
      <c r="F581" s="1481"/>
      <c r="H581" s="1481"/>
      <c r="K581" s="1481"/>
      <c r="M581" s="1481"/>
    </row>
    <row r="582" spans="1:13">
      <c r="A582" s="18"/>
      <c r="B582" s="18"/>
      <c r="D582" s="820"/>
      <c r="E582" s="820"/>
      <c r="F582" s="1481"/>
      <c r="H582" s="1481"/>
      <c r="K582" s="1481"/>
      <c r="M582" s="1481"/>
    </row>
    <row r="583" spans="1:13">
      <c r="A583" s="18"/>
      <c r="B583" s="18"/>
      <c r="D583" s="820"/>
      <c r="E583" s="820"/>
      <c r="F583" s="1481"/>
      <c r="H583" s="1481"/>
      <c r="K583" s="1481"/>
      <c r="M583" s="1481"/>
    </row>
    <row r="584" spans="1:13">
      <c r="A584" s="18"/>
      <c r="B584" s="18"/>
      <c r="D584" s="820"/>
      <c r="E584" s="820"/>
      <c r="F584" s="1481"/>
      <c r="H584" s="1481"/>
      <c r="K584" s="1481"/>
      <c r="M584" s="1481"/>
    </row>
    <row r="585" spans="1:13">
      <c r="A585" s="18"/>
      <c r="B585" s="18"/>
      <c r="D585" s="820"/>
      <c r="E585" s="820"/>
      <c r="F585" s="1481"/>
      <c r="H585" s="1481"/>
      <c r="K585" s="1481"/>
      <c r="M585" s="1481"/>
    </row>
    <row r="586" spans="1:13">
      <c r="A586" s="18"/>
      <c r="B586" s="18"/>
      <c r="D586" s="820"/>
      <c r="E586" s="820"/>
      <c r="F586" s="1481"/>
      <c r="H586" s="1481"/>
      <c r="K586" s="1481"/>
      <c r="M586" s="1481"/>
    </row>
    <row r="587" spans="1:13">
      <c r="A587" s="18"/>
      <c r="B587" s="18"/>
      <c r="D587" s="820"/>
      <c r="E587" s="820"/>
      <c r="F587" s="1481"/>
      <c r="H587" s="1481"/>
      <c r="K587" s="1481"/>
      <c r="M587" s="1481"/>
    </row>
    <row r="588" spans="1:13">
      <c r="A588" s="18"/>
      <c r="B588" s="18"/>
      <c r="D588" s="820"/>
      <c r="E588" s="820"/>
      <c r="F588" s="1481"/>
      <c r="H588" s="1481"/>
      <c r="K588" s="1481"/>
      <c r="M588" s="1481"/>
    </row>
    <row r="589" spans="1:13">
      <c r="A589" s="18"/>
      <c r="B589" s="18"/>
      <c r="D589" s="820"/>
      <c r="E589" s="820"/>
      <c r="F589" s="1481"/>
      <c r="H589" s="1481"/>
      <c r="K589" s="1481"/>
      <c r="M589" s="1481"/>
    </row>
    <row r="590" spans="1:13">
      <c r="A590" s="18"/>
      <c r="B590" s="18"/>
      <c r="D590" s="820"/>
      <c r="E590" s="820"/>
      <c r="F590" s="1481"/>
      <c r="H590" s="1481"/>
      <c r="K590" s="1481"/>
      <c r="M590" s="1481"/>
    </row>
    <row r="591" spans="1:13">
      <c r="A591" s="18"/>
      <c r="B591" s="18"/>
      <c r="D591" s="820"/>
      <c r="E591" s="820"/>
      <c r="F591" s="1481"/>
      <c r="H591" s="1481"/>
      <c r="K591" s="1481"/>
      <c r="M591" s="1481"/>
    </row>
    <row r="592" spans="1:13">
      <c r="A592" s="18"/>
      <c r="B592" s="18"/>
      <c r="D592" s="820"/>
      <c r="E592" s="820"/>
      <c r="F592" s="1481"/>
      <c r="H592" s="1481"/>
      <c r="K592" s="1481"/>
      <c r="M592" s="1481"/>
    </row>
    <row r="593" spans="1:13">
      <c r="A593" s="18"/>
      <c r="B593" s="18"/>
      <c r="D593" s="820"/>
      <c r="E593" s="820"/>
      <c r="F593" s="1481"/>
      <c r="H593" s="1481"/>
      <c r="K593" s="1481"/>
      <c r="M593" s="1481"/>
    </row>
    <row r="594" spans="1:13">
      <c r="A594" s="18"/>
      <c r="B594" s="18"/>
      <c r="D594" s="820"/>
      <c r="E594" s="820"/>
      <c r="F594" s="1481"/>
      <c r="H594" s="1481"/>
      <c r="K594" s="1481"/>
      <c r="M594" s="1481"/>
    </row>
    <row r="595" spans="1:13">
      <c r="A595" s="18"/>
      <c r="B595" s="18"/>
      <c r="D595" s="820"/>
      <c r="E595" s="820"/>
      <c r="F595" s="1481"/>
      <c r="H595" s="1481"/>
      <c r="K595" s="1481"/>
      <c r="M595" s="1481"/>
    </row>
    <row r="596" spans="1:13">
      <c r="A596" s="18"/>
      <c r="B596" s="18"/>
      <c r="D596" s="820"/>
      <c r="E596" s="820"/>
      <c r="F596" s="1481"/>
      <c r="H596" s="1481"/>
      <c r="K596" s="1481"/>
      <c r="M596" s="1481"/>
    </row>
    <row r="597" spans="1:13">
      <c r="A597" s="18"/>
      <c r="B597" s="18"/>
      <c r="D597" s="820"/>
      <c r="E597" s="820"/>
      <c r="F597" s="1481"/>
      <c r="H597" s="1481"/>
      <c r="K597" s="1481"/>
      <c r="M597" s="1481"/>
    </row>
    <row r="598" spans="1:13">
      <c r="A598" s="18"/>
      <c r="B598" s="18"/>
      <c r="D598" s="820"/>
      <c r="E598" s="820"/>
      <c r="F598" s="1481"/>
      <c r="H598" s="1481"/>
      <c r="K598" s="1481"/>
      <c r="M598" s="1481"/>
    </row>
    <row r="599" spans="1:13">
      <c r="A599" s="18"/>
      <c r="B599" s="18"/>
      <c r="D599" s="820"/>
      <c r="E599" s="820"/>
      <c r="F599" s="1481"/>
      <c r="H599" s="1481"/>
      <c r="K599" s="1481"/>
      <c r="M599" s="1481"/>
    </row>
    <row r="600" spans="1:13">
      <c r="A600" s="18"/>
      <c r="B600" s="18"/>
      <c r="D600" s="820"/>
      <c r="E600" s="820"/>
      <c r="F600" s="1481"/>
      <c r="H600" s="1481"/>
      <c r="K600" s="1481"/>
      <c r="M600" s="1481"/>
    </row>
    <row r="601" spans="1:13">
      <c r="A601" s="18"/>
      <c r="B601" s="18"/>
      <c r="D601" s="820"/>
      <c r="E601" s="820"/>
      <c r="F601" s="1481"/>
      <c r="H601" s="1481"/>
      <c r="K601" s="1481"/>
      <c r="M601" s="1481"/>
    </row>
    <row r="602" spans="1:13">
      <c r="A602" s="18"/>
      <c r="B602" s="18"/>
      <c r="D602" s="820"/>
      <c r="E602" s="820"/>
      <c r="F602" s="1481"/>
      <c r="H602" s="1481"/>
      <c r="K602" s="1481"/>
      <c r="M602" s="1481"/>
    </row>
    <row r="603" spans="1:13">
      <c r="A603" s="18"/>
      <c r="B603" s="18"/>
      <c r="D603" s="820"/>
      <c r="E603" s="820"/>
      <c r="F603" s="1481"/>
      <c r="H603" s="1481"/>
      <c r="K603" s="1481"/>
      <c r="M603" s="1481"/>
    </row>
    <row r="604" spans="1:13">
      <c r="A604" s="18"/>
      <c r="B604" s="18"/>
      <c r="D604" s="820"/>
      <c r="E604" s="820"/>
      <c r="F604" s="1481"/>
      <c r="H604" s="1481"/>
      <c r="K604" s="1481"/>
      <c r="M604" s="1481"/>
    </row>
    <row r="605" spans="1:13">
      <c r="A605" s="18"/>
      <c r="B605" s="18"/>
      <c r="D605" s="820"/>
      <c r="E605" s="820"/>
      <c r="F605" s="1481"/>
      <c r="H605" s="1481"/>
      <c r="K605" s="1481"/>
      <c r="M605" s="1481"/>
    </row>
    <row r="606" spans="1:13">
      <c r="A606" s="18"/>
      <c r="B606" s="18"/>
      <c r="D606" s="820"/>
      <c r="E606" s="820"/>
      <c r="F606" s="1481"/>
      <c r="H606" s="1481"/>
      <c r="K606" s="1481"/>
      <c r="M606" s="1481"/>
    </row>
    <row r="607" spans="1:13">
      <c r="A607" s="18"/>
      <c r="B607" s="18"/>
      <c r="D607" s="820"/>
      <c r="E607" s="820"/>
      <c r="F607" s="1481"/>
      <c r="H607" s="1481"/>
      <c r="K607" s="1481"/>
      <c r="M607" s="1481"/>
    </row>
    <row r="608" spans="1:13">
      <c r="A608" s="18"/>
      <c r="B608" s="18"/>
      <c r="D608" s="820"/>
      <c r="E608" s="820"/>
      <c r="F608" s="1481"/>
      <c r="H608" s="1481"/>
      <c r="K608" s="1481"/>
      <c r="M608" s="1481"/>
    </row>
    <row r="609" spans="1:13">
      <c r="A609" s="18"/>
      <c r="B609" s="18"/>
      <c r="D609" s="820"/>
      <c r="E609" s="820"/>
      <c r="F609" s="1481"/>
      <c r="H609" s="1481"/>
      <c r="K609" s="1481"/>
      <c r="M609" s="1481"/>
    </row>
    <row r="610" spans="1:13">
      <c r="A610" s="18"/>
      <c r="B610" s="18"/>
      <c r="D610" s="820"/>
      <c r="E610" s="820"/>
      <c r="F610" s="1481"/>
      <c r="H610" s="1481"/>
      <c r="K610" s="1481"/>
      <c r="M610" s="1481"/>
    </row>
    <row r="611" spans="1:13">
      <c r="A611" s="18"/>
      <c r="B611" s="18"/>
      <c r="D611" s="820"/>
      <c r="E611" s="820"/>
      <c r="F611" s="1481"/>
      <c r="H611" s="1481"/>
      <c r="K611" s="1481"/>
      <c r="M611" s="1481"/>
    </row>
    <row r="612" spans="1:13">
      <c r="A612" s="18"/>
      <c r="B612" s="18"/>
      <c r="D612" s="820"/>
      <c r="E612" s="820"/>
      <c r="F612" s="1481"/>
      <c r="H612" s="1481"/>
      <c r="K612" s="1481"/>
      <c r="M612" s="1481"/>
    </row>
    <row r="613" spans="1:13">
      <c r="A613" s="18"/>
      <c r="B613" s="18"/>
      <c r="D613" s="820"/>
      <c r="E613" s="820"/>
      <c r="F613" s="1481"/>
      <c r="H613" s="1481"/>
      <c r="K613" s="1481"/>
      <c r="M613" s="1481"/>
    </row>
    <row r="614" spans="1:13">
      <c r="A614" s="18"/>
      <c r="B614" s="18"/>
      <c r="D614" s="820"/>
      <c r="E614" s="820"/>
      <c r="F614" s="1481"/>
      <c r="H614" s="1481"/>
      <c r="K614" s="1481"/>
      <c r="M614" s="1481"/>
    </row>
    <row r="615" spans="1:13">
      <c r="A615" s="18"/>
      <c r="B615" s="18"/>
      <c r="D615" s="820"/>
      <c r="E615" s="820"/>
      <c r="F615" s="1481"/>
      <c r="H615" s="1481"/>
      <c r="K615" s="1481"/>
      <c r="M615" s="1481"/>
    </row>
    <row r="616" spans="1:13">
      <c r="A616" s="18"/>
      <c r="B616" s="18"/>
      <c r="D616" s="820"/>
      <c r="E616" s="820"/>
      <c r="F616" s="1481"/>
      <c r="H616" s="1481"/>
      <c r="K616" s="1481"/>
      <c r="M616" s="1481"/>
    </row>
    <row r="617" spans="1:13">
      <c r="A617" s="18"/>
      <c r="B617" s="18"/>
      <c r="D617" s="820"/>
      <c r="E617" s="820"/>
      <c r="F617" s="1481"/>
      <c r="H617" s="1481"/>
      <c r="K617" s="1481"/>
      <c r="M617" s="1481"/>
    </row>
    <row r="618" spans="1:13">
      <c r="A618" s="18"/>
      <c r="B618" s="18"/>
      <c r="D618" s="820"/>
      <c r="E618" s="820"/>
      <c r="F618" s="1481"/>
      <c r="H618" s="1481"/>
      <c r="K618" s="1481"/>
      <c r="M618" s="1481"/>
    </row>
    <row r="619" spans="1:13">
      <c r="A619" s="18"/>
      <c r="B619" s="18"/>
      <c r="D619" s="820"/>
      <c r="E619" s="820"/>
      <c r="F619" s="1481"/>
      <c r="H619" s="1481"/>
      <c r="K619" s="1481"/>
      <c r="M619" s="1481"/>
    </row>
    <row r="620" spans="1:13">
      <c r="A620" s="18"/>
      <c r="B620" s="18"/>
      <c r="D620" s="820"/>
      <c r="E620" s="820"/>
      <c r="F620" s="1481"/>
      <c r="H620" s="1481"/>
      <c r="K620" s="1481"/>
      <c r="M620" s="1481"/>
    </row>
    <row r="621" spans="1:13">
      <c r="A621" s="18"/>
      <c r="B621" s="18"/>
      <c r="D621" s="820"/>
      <c r="E621" s="820"/>
      <c r="F621" s="1481"/>
      <c r="H621" s="1481"/>
      <c r="K621" s="1481"/>
      <c r="M621" s="1481"/>
    </row>
    <row r="622" spans="1:13">
      <c r="A622" s="18"/>
      <c r="B622" s="18"/>
      <c r="D622" s="820"/>
      <c r="E622" s="820"/>
      <c r="F622" s="1481"/>
      <c r="H622" s="1481"/>
      <c r="K622" s="1481"/>
      <c r="M622" s="1481"/>
    </row>
    <row r="623" spans="1:13">
      <c r="A623" s="18"/>
      <c r="B623" s="18"/>
      <c r="D623" s="820"/>
      <c r="E623" s="820"/>
      <c r="F623" s="1481"/>
      <c r="H623" s="1481"/>
      <c r="K623" s="1481"/>
      <c r="M623" s="1481"/>
    </row>
    <row r="624" spans="1:13">
      <c r="A624" s="18"/>
      <c r="B624" s="18"/>
      <c r="D624" s="820"/>
      <c r="E624" s="820"/>
      <c r="F624" s="1481"/>
      <c r="H624" s="1481"/>
      <c r="K624" s="1481"/>
      <c r="M624" s="1481"/>
    </row>
    <row r="625" spans="1:13">
      <c r="A625" s="18"/>
      <c r="B625" s="18"/>
      <c r="D625" s="820"/>
      <c r="E625" s="820"/>
      <c r="F625" s="1481"/>
      <c r="H625" s="1481"/>
      <c r="K625" s="1481"/>
      <c r="M625" s="1481"/>
    </row>
    <row r="626" spans="1:13">
      <c r="A626" s="18"/>
      <c r="B626" s="18"/>
      <c r="D626" s="820"/>
      <c r="E626" s="820"/>
      <c r="F626" s="1481"/>
      <c r="H626" s="1481"/>
      <c r="K626" s="1481"/>
      <c r="M626" s="1481"/>
    </row>
    <row r="627" spans="1:13">
      <c r="A627" s="18"/>
      <c r="B627" s="18"/>
      <c r="D627" s="820"/>
      <c r="E627" s="820"/>
      <c r="F627" s="1481"/>
      <c r="H627" s="1481"/>
      <c r="K627" s="1481"/>
      <c r="M627" s="1481"/>
    </row>
    <row r="628" spans="1:13">
      <c r="A628" s="18"/>
      <c r="B628" s="18"/>
      <c r="D628" s="820"/>
      <c r="E628" s="820"/>
      <c r="F628" s="1481"/>
      <c r="H628" s="1481"/>
      <c r="K628" s="1481"/>
      <c r="M628" s="1481"/>
    </row>
    <row r="629" spans="1:13">
      <c r="A629" s="18"/>
      <c r="B629" s="18"/>
      <c r="D629" s="820"/>
      <c r="E629" s="820"/>
      <c r="F629" s="1481"/>
      <c r="H629" s="1481"/>
      <c r="K629" s="1481"/>
      <c r="M629" s="1481"/>
    </row>
    <row r="630" spans="1:13">
      <c r="A630" s="18"/>
      <c r="B630" s="18"/>
      <c r="D630" s="820"/>
      <c r="E630" s="820"/>
      <c r="F630" s="1481"/>
      <c r="H630" s="1481"/>
      <c r="K630" s="1481"/>
      <c r="M630" s="1481"/>
    </row>
    <row r="631" spans="1:13">
      <c r="A631" s="18"/>
      <c r="B631" s="18"/>
      <c r="D631" s="820"/>
      <c r="E631" s="820"/>
      <c r="F631" s="1481"/>
      <c r="H631" s="1481"/>
      <c r="K631" s="1481"/>
      <c r="M631" s="1481"/>
    </row>
    <row r="632" spans="1:13">
      <c r="A632" s="18"/>
      <c r="B632" s="18"/>
      <c r="D632" s="820"/>
      <c r="E632" s="820"/>
      <c r="F632" s="1481"/>
      <c r="H632" s="1481"/>
      <c r="K632" s="1481"/>
      <c r="M632" s="1481"/>
    </row>
    <row r="633" spans="1:13">
      <c r="A633" s="18"/>
      <c r="B633" s="18"/>
      <c r="D633" s="820"/>
      <c r="E633" s="820"/>
      <c r="F633" s="1481"/>
      <c r="H633" s="1481"/>
      <c r="K633" s="1481"/>
      <c r="M633" s="1481"/>
    </row>
    <row r="634" spans="1:13">
      <c r="A634" s="18"/>
      <c r="B634" s="18"/>
      <c r="D634" s="820"/>
      <c r="E634" s="820"/>
      <c r="F634" s="1481"/>
      <c r="H634" s="1481"/>
      <c r="K634" s="1481"/>
      <c r="M634" s="1481"/>
    </row>
    <row r="635" spans="1:13">
      <c r="A635" s="18"/>
      <c r="B635" s="18"/>
      <c r="D635" s="820"/>
      <c r="E635" s="820"/>
      <c r="F635" s="1481"/>
      <c r="H635" s="1481"/>
      <c r="K635" s="1481"/>
      <c r="M635" s="1481"/>
    </row>
    <row r="636" spans="1:13">
      <c r="A636" s="18"/>
      <c r="B636" s="18"/>
      <c r="D636" s="820"/>
      <c r="E636" s="820"/>
      <c r="F636" s="1481"/>
      <c r="H636" s="1481"/>
      <c r="K636" s="1481"/>
      <c r="M636" s="1481"/>
    </row>
    <row r="637" spans="1:13">
      <c r="A637" s="18"/>
      <c r="B637" s="18"/>
      <c r="D637" s="820"/>
      <c r="E637" s="820"/>
      <c r="F637" s="1481"/>
      <c r="H637" s="1481"/>
      <c r="K637" s="1481"/>
      <c r="M637" s="1481"/>
    </row>
    <row r="638" spans="1:13">
      <c r="A638" s="18"/>
      <c r="B638" s="18"/>
      <c r="D638" s="820"/>
      <c r="E638" s="820"/>
      <c r="F638" s="1481"/>
      <c r="H638" s="1481"/>
      <c r="K638" s="1481"/>
      <c r="M638" s="1481"/>
    </row>
    <row r="639" spans="1:13">
      <c r="A639" s="18"/>
      <c r="B639" s="18"/>
      <c r="D639" s="820"/>
      <c r="E639" s="820"/>
      <c r="F639" s="1481"/>
      <c r="H639" s="1481"/>
      <c r="K639" s="1481"/>
      <c r="M639" s="1481"/>
    </row>
    <row r="640" spans="1:13">
      <c r="A640" s="18"/>
      <c r="B640" s="18"/>
      <c r="D640" s="820"/>
      <c r="E640" s="820"/>
      <c r="F640" s="1481"/>
      <c r="H640" s="1481"/>
      <c r="K640" s="1481"/>
      <c r="M640" s="1481"/>
    </row>
    <row r="641" spans="1:13">
      <c r="A641" s="18"/>
      <c r="B641" s="18"/>
      <c r="D641" s="820"/>
      <c r="E641" s="820"/>
      <c r="F641" s="1481"/>
      <c r="H641" s="1481"/>
      <c r="K641" s="1481"/>
      <c r="M641" s="1481"/>
    </row>
    <row r="642" spans="1:13">
      <c r="A642" s="18"/>
      <c r="B642" s="18"/>
      <c r="D642" s="820"/>
      <c r="E642" s="820"/>
      <c r="F642" s="1481"/>
      <c r="H642" s="1481"/>
      <c r="K642" s="1481"/>
      <c r="M642" s="1481"/>
    </row>
    <row r="643" spans="1:13">
      <c r="A643" s="18"/>
      <c r="B643" s="18"/>
      <c r="D643" s="820"/>
      <c r="E643" s="820"/>
      <c r="F643" s="1481"/>
      <c r="H643" s="1481"/>
      <c r="K643" s="1481"/>
      <c r="M643" s="1481"/>
    </row>
    <row r="644" spans="1:13">
      <c r="A644" s="18"/>
      <c r="B644" s="18"/>
      <c r="D644" s="820"/>
      <c r="E644" s="820"/>
      <c r="F644" s="1481"/>
      <c r="H644" s="1481"/>
      <c r="K644" s="1481"/>
      <c r="M644" s="1481"/>
    </row>
    <row r="645" spans="1:13">
      <c r="A645" s="18"/>
      <c r="B645" s="18"/>
      <c r="D645" s="820"/>
      <c r="E645" s="820"/>
      <c r="F645" s="1481"/>
      <c r="H645" s="1481"/>
      <c r="K645" s="1481"/>
      <c r="M645" s="1481"/>
    </row>
    <row r="646" spans="1:13">
      <c r="A646" s="18"/>
      <c r="B646" s="18"/>
      <c r="D646" s="820"/>
      <c r="E646" s="820"/>
      <c r="F646" s="1481"/>
      <c r="H646" s="1481"/>
      <c r="K646" s="1481"/>
      <c r="M646" s="1481"/>
    </row>
    <row r="647" spans="1:13">
      <c r="A647" s="18"/>
      <c r="B647" s="18"/>
      <c r="D647" s="820"/>
      <c r="E647" s="820"/>
      <c r="F647" s="1481"/>
      <c r="H647" s="1481"/>
      <c r="K647" s="1481"/>
      <c r="M647" s="1481"/>
    </row>
    <row r="648" spans="1:13">
      <c r="A648" s="18"/>
      <c r="B648" s="18"/>
      <c r="D648" s="820"/>
      <c r="E648" s="820"/>
      <c r="F648" s="1481"/>
      <c r="H648" s="1481"/>
      <c r="K648" s="1481"/>
      <c r="M648" s="1481"/>
    </row>
    <row r="649" spans="1:13">
      <c r="A649" s="18"/>
      <c r="B649" s="18"/>
      <c r="D649" s="820"/>
      <c r="E649" s="820"/>
      <c r="F649" s="1481"/>
      <c r="H649" s="1481"/>
      <c r="K649" s="1481"/>
      <c r="M649" s="1481"/>
    </row>
    <row r="650" spans="1:13">
      <c r="A650" s="18"/>
      <c r="B650" s="18"/>
      <c r="D650" s="820"/>
      <c r="E650" s="820"/>
      <c r="F650" s="1481"/>
      <c r="H650" s="1481"/>
      <c r="K650" s="1481"/>
      <c r="M650" s="1481"/>
    </row>
    <row r="651" spans="1:13">
      <c r="A651" s="18"/>
      <c r="B651" s="18"/>
      <c r="D651" s="820"/>
      <c r="E651" s="820"/>
      <c r="F651" s="1481"/>
      <c r="H651" s="1481"/>
      <c r="K651" s="1481"/>
      <c r="M651" s="1481"/>
    </row>
    <row r="652" spans="1:13">
      <c r="A652" s="18"/>
      <c r="B652" s="18"/>
      <c r="D652" s="820"/>
      <c r="E652" s="820"/>
      <c r="F652" s="1481"/>
      <c r="H652" s="1481"/>
      <c r="K652" s="1481"/>
      <c r="M652" s="1481"/>
    </row>
    <row r="653" spans="1:13">
      <c r="A653" s="18"/>
      <c r="B653" s="18"/>
      <c r="D653" s="820"/>
      <c r="E653" s="820"/>
      <c r="F653" s="1481"/>
      <c r="H653" s="1481"/>
      <c r="K653" s="1481"/>
      <c r="M653" s="1481"/>
    </row>
    <row r="654" spans="1:13">
      <c r="A654" s="18"/>
      <c r="B654" s="18"/>
      <c r="D654" s="820"/>
      <c r="E654" s="820"/>
      <c r="F654" s="1481"/>
      <c r="H654" s="1481"/>
      <c r="K654" s="1481"/>
      <c r="M654" s="1481"/>
    </row>
    <row r="655" spans="1:13">
      <c r="A655" s="18"/>
      <c r="B655" s="18"/>
      <c r="D655" s="820"/>
      <c r="E655" s="820"/>
      <c r="F655" s="1481"/>
      <c r="H655" s="1481"/>
      <c r="K655" s="1481"/>
      <c r="M655" s="1481"/>
    </row>
    <row r="656" spans="1:13">
      <c r="A656" s="18"/>
      <c r="B656" s="18"/>
      <c r="D656" s="820"/>
      <c r="E656" s="820"/>
      <c r="F656" s="1481"/>
      <c r="H656" s="1481"/>
      <c r="K656" s="1481"/>
      <c r="M656" s="1481"/>
    </row>
    <row r="657" spans="1:13">
      <c r="A657" s="18"/>
      <c r="B657" s="18"/>
      <c r="D657" s="820"/>
      <c r="E657" s="820"/>
      <c r="F657" s="1481"/>
      <c r="H657" s="1481"/>
      <c r="K657" s="1481"/>
      <c r="M657" s="1481"/>
    </row>
    <row r="658" spans="1:13">
      <c r="A658" s="18"/>
      <c r="B658" s="18"/>
      <c r="D658" s="820"/>
      <c r="E658" s="820"/>
      <c r="F658" s="1481"/>
      <c r="H658" s="1481"/>
      <c r="K658" s="1481"/>
      <c r="M658" s="1481"/>
    </row>
    <row r="659" spans="1:13">
      <c r="A659" s="18"/>
      <c r="B659" s="18"/>
      <c r="D659" s="820"/>
      <c r="E659" s="820"/>
      <c r="F659" s="1481"/>
      <c r="H659" s="1481"/>
      <c r="K659" s="1481"/>
      <c r="M659" s="1481"/>
    </row>
    <row r="660" spans="1:13">
      <c r="A660" s="18"/>
      <c r="B660" s="18"/>
      <c r="D660" s="820"/>
      <c r="E660" s="820"/>
      <c r="F660" s="1481"/>
      <c r="H660" s="1481"/>
      <c r="K660" s="1481"/>
      <c r="M660" s="1481"/>
    </row>
    <row r="661" spans="1:13">
      <c r="A661" s="18"/>
      <c r="B661" s="18"/>
      <c r="D661" s="820"/>
      <c r="E661" s="820"/>
      <c r="F661" s="1481"/>
      <c r="H661" s="1481"/>
      <c r="K661" s="1481"/>
      <c r="M661" s="1481"/>
    </row>
    <row r="662" spans="1:13">
      <c r="A662" s="18"/>
      <c r="B662" s="18"/>
      <c r="D662" s="820"/>
      <c r="E662" s="820"/>
      <c r="F662" s="1481"/>
      <c r="H662" s="1481"/>
      <c r="K662" s="1481"/>
      <c r="M662" s="1481"/>
    </row>
    <row r="663" spans="1:13">
      <c r="A663" s="18"/>
      <c r="B663" s="18"/>
      <c r="D663" s="820"/>
      <c r="E663" s="820"/>
      <c r="F663" s="1481"/>
      <c r="H663" s="1481"/>
      <c r="K663" s="1481"/>
      <c r="M663" s="1481"/>
    </row>
    <row r="664" spans="1:13">
      <c r="A664" s="18"/>
      <c r="B664" s="18"/>
      <c r="D664" s="820"/>
      <c r="E664" s="820"/>
      <c r="F664" s="1481"/>
      <c r="H664" s="1481"/>
      <c r="K664" s="1481"/>
      <c r="M664" s="1481"/>
    </row>
    <row r="665" spans="1:13">
      <c r="A665" s="18"/>
      <c r="B665" s="18"/>
      <c r="D665" s="820"/>
      <c r="E665" s="820"/>
      <c r="F665" s="1481"/>
      <c r="H665" s="1481"/>
      <c r="K665" s="1481"/>
      <c r="M665" s="1481"/>
    </row>
    <row r="666" spans="1:13">
      <c r="A666" s="18"/>
      <c r="B666" s="18"/>
      <c r="D666" s="820"/>
      <c r="E666" s="820"/>
      <c r="F666" s="1481"/>
      <c r="H666" s="1481"/>
      <c r="K666" s="1481"/>
      <c r="M666" s="1481"/>
    </row>
    <row r="667" spans="1:13">
      <c r="A667" s="18"/>
      <c r="B667" s="18"/>
      <c r="D667" s="820"/>
      <c r="E667" s="820"/>
      <c r="F667" s="1481"/>
      <c r="H667" s="1481"/>
      <c r="K667" s="1481"/>
      <c r="M667" s="1481"/>
    </row>
    <row r="668" spans="1:13">
      <c r="A668" s="18"/>
      <c r="B668" s="18"/>
      <c r="D668" s="820"/>
      <c r="E668" s="820"/>
      <c r="F668" s="1481"/>
      <c r="H668" s="1481"/>
      <c r="K668" s="1481"/>
      <c r="M668" s="1481"/>
    </row>
    <row r="669" spans="1:13">
      <c r="A669" s="18"/>
      <c r="B669" s="18"/>
      <c r="D669" s="820"/>
      <c r="E669" s="820"/>
      <c r="F669" s="1481"/>
      <c r="H669" s="1481"/>
      <c r="K669" s="1481"/>
      <c r="M669" s="1481"/>
    </row>
    <row r="670" spans="1:13">
      <c r="A670" s="18"/>
      <c r="B670" s="18"/>
      <c r="D670" s="820"/>
      <c r="E670" s="820"/>
      <c r="F670" s="1481"/>
      <c r="H670" s="1481"/>
      <c r="K670" s="1481"/>
      <c r="M670" s="1481"/>
    </row>
    <row r="671" spans="1:13">
      <c r="A671" s="18"/>
      <c r="B671" s="18"/>
      <c r="D671" s="820"/>
      <c r="E671" s="820"/>
      <c r="F671" s="1481"/>
      <c r="H671" s="1481"/>
      <c r="K671" s="1481"/>
      <c r="M671" s="1481"/>
    </row>
    <row r="672" spans="1:13">
      <c r="A672" s="18"/>
      <c r="B672" s="18"/>
      <c r="D672" s="820"/>
      <c r="E672" s="820"/>
      <c r="F672" s="1481"/>
      <c r="H672" s="1481"/>
      <c r="K672" s="1481"/>
      <c r="M672" s="1481"/>
    </row>
    <row r="673" spans="1:13">
      <c r="A673" s="18"/>
      <c r="B673" s="18"/>
      <c r="D673" s="820"/>
      <c r="E673" s="820"/>
      <c r="F673" s="1481"/>
      <c r="H673" s="1481"/>
      <c r="K673" s="1481"/>
      <c r="M673" s="1481"/>
    </row>
    <row r="674" spans="1:13">
      <c r="A674" s="18"/>
      <c r="B674" s="18"/>
      <c r="D674" s="820"/>
      <c r="E674" s="820"/>
      <c r="F674" s="1481"/>
      <c r="H674" s="1481"/>
      <c r="K674" s="1481"/>
      <c r="M674" s="1481"/>
    </row>
    <row r="675" spans="1:13">
      <c r="A675" s="18"/>
      <c r="B675" s="18"/>
      <c r="D675" s="820"/>
      <c r="E675" s="820"/>
      <c r="F675" s="1481"/>
      <c r="H675" s="1481"/>
      <c r="K675" s="1481"/>
      <c r="M675" s="1481"/>
    </row>
    <row r="676" spans="1:13">
      <c r="A676" s="18"/>
      <c r="B676" s="18"/>
      <c r="D676" s="820"/>
      <c r="E676" s="820"/>
      <c r="F676" s="1481"/>
      <c r="H676" s="1481"/>
      <c r="K676" s="1481"/>
      <c r="M676" s="1481"/>
    </row>
    <row r="677" spans="1:13">
      <c r="A677" s="18"/>
      <c r="B677" s="18"/>
      <c r="D677" s="820"/>
      <c r="E677" s="820"/>
      <c r="F677" s="1481"/>
      <c r="H677" s="1481"/>
      <c r="K677" s="1481"/>
      <c r="M677" s="1481"/>
    </row>
    <row r="678" spans="1:13">
      <c r="A678" s="18"/>
      <c r="B678" s="18"/>
      <c r="D678" s="820"/>
      <c r="E678" s="820"/>
      <c r="F678" s="1481"/>
      <c r="H678" s="1481"/>
      <c r="K678" s="1481"/>
      <c r="M678" s="1481"/>
    </row>
    <row r="679" spans="1:13">
      <c r="A679" s="18"/>
      <c r="B679" s="18"/>
      <c r="D679" s="820"/>
      <c r="E679" s="820"/>
      <c r="F679" s="1481"/>
      <c r="H679" s="1481"/>
      <c r="K679" s="1481"/>
      <c r="M679" s="1481"/>
    </row>
    <row r="680" spans="1:13">
      <c r="A680" s="18"/>
      <c r="B680" s="18"/>
      <c r="D680" s="820"/>
      <c r="E680" s="820"/>
      <c r="F680" s="1481"/>
      <c r="H680" s="1481"/>
      <c r="K680" s="1481"/>
      <c r="M680" s="1481"/>
    </row>
    <row r="681" spans="1:13">
      <c r="A681" s="18"/>
      <c r="B681" s="18"/>
      <c r="D681" s="820"/>
      <c r="E681" s="820"/>
      <c r="F681" s="1481"/>
      <c r="H681" s="1481"/>
      <c r="K681" s="1481"/>
      <c r="M681" s="1481"/>
    </row>
    <row r="682" spans="1:13">
      <c r="A682" s="18"/>
      <c r="B682" s="18"/>
      <c r="D682" s="820"/>
      <c r="E682" s="820"/>
      <c r="F682" s="1481"/>
      <c r="H682" s="1481"/>
      <c r="K682" s="1481"/>
      <c r="M682" s="1481"/>
    </row>
    <row r="683" spans="1:13">
      <c r="A683" s="18"/>
      <c r="B683" s="18"/>
      <c r="D683" s="820"/>
      <c r="E683" s="820"/>
      <c r="F683" s="1481"/>
      <c r="H683" s="1481"/>
      <c r="K683" s="1481"/>
      <c r="M683" s="1481"/>
    </row>
    <row r="684" spans="1:13">
      <c r="A684" s="18"/>
      <c r="B684" s="18"/>
      <c r="D684" s="820"/>
      <c r="E684" s="820"/>
      <c r="F684" s="1481"/>
      <c r="H684" s="1481"/>
      <c r="K684" s="1481"/>
      <c r="M684" s="1481"/>
    </row>
    <row r="685" spans="1:13">
      <c r="A685" s="18"/>
      <c r="B685" s="18"/>
      <c r="D685" s="820"/>
      <c r="E685" s="820"/>
      <c r="F685" s="1481"/>
      <c r="H685" s="1481"/>
      <c r="K685" s="1481"/>
      <c r="M685" s="1481"/>
    </row>
    <row r="686" spans="1:13">
      <c r="A686" s="18"/>
      <c r="B686" s="18"/>
      <c r="D686" s="820"/>
      <c r="E686" s="820"/>
      <c r="F686" s="1481"/>
      <c r="H686" s="1481"/>
      <c r="K686" s="1481"/>
      <c r="M686" s="1481"/>
    </row>
    <row r="687" spans="1:13">
      <c r="A687" s="18"/>
      <c r="B687" s="18"/>
      <c r="D687" s="820"/>
      <c r="E687" s="820"/>
      <c r="F687" s="1481"/>
      <c r="H687" s="1481"/>
      <c r="K687" s="1481"/>
      <c r="M687" s="1481"/>
    </row>
    <row r="688" spans="1:13">
      <c r="A688" s="18"/>
      <c r="B688" s="18"/>
      <c r="D688" s="820"/>
      <c r="E688" s="820"/>
      <c r="F688" s="1481"/>
      <c r="H688" s="1481"/>
      <c r="K688" s="1481"/>
      <c r="M688" s="1481"/>
    </row>
    <row r="689" spans="1:13">
      <c r="A689" s="18"/>
      <c r="B689" s="18"/>
      <c r="D689" s="820"/>
      <c r="E689" s="820"/>
      <c r="F689" s="1481"/>
      <c r="H689" s="1481"/>
      <c r="K689" s="1481"/>
      <c r="M689" s="1481"/>
    </row>
    <row r="690" spans="1:13">
      <c r="A690" s="18"/>
      <c r="B690" s="18"/>
      <c r="D690" s="820"/>
      <c r="E690" s="820"/>
      <c r="F690" s="1481"/>
      <c r="H690" s="1481"/>
      <c r="K690" s="1481"/>
      <c r="M690" s="1481"/>
    </row>
    <row r="691" spans="1:13">
      <c r="A691" s="18"/>
      <c r="B691" s="18"/>
      <c r="D691" s="820"/>
      <c r="E691" s="820"/>
      <c r="F691" s="1481"/>
      <c r="H691" s="1481"/>
      <c r="K691" s="1481"/>
      <c r="M691" s="1481"/>
    </row>
    <row r="692" spans="1:13">
      <c r="A692" s="18"/>
      <c r="B692" s="18"/>
      <c r="D692" s="820"/>
      <c r="E692" s="820"/>
      <c r="F692" s="1481"/>
      <c r="H692" s="1481"/>
      <c r="K692" s="1481"/>
      <c r="M692" s="1481"/>
    </row>
    <row r="693" spans="1:13">
      <c r="A693" s="18"/>
      <c r="B693" s="18"/>
      <c r="D693" s="820"/>
      <c r="E693" s="820"/>
      <c r="F693" s="1481"/>
      <c r="H693" s="1481"/>
      <c r="K693" s="1481"/>
      <c r="M693" s="1481"/>
    </row>
    <row r="694" spans="1:13">
      <c r="A694" s="18"/>
      <c r="B694" s="18"/>
      <c r="D694" s="820"/>
      <c r="E694" s="820"/>
      <c r="F694" s="1481"/>
      <c r="H694" s="1481"/>
      <c r="K694" s="1481"/>
      <c r="M694" s="1481"/>
    </row>
    <row r="695" spans="1:13">
      <c r="A695" s="18"/>
      <c r="B695" s="18"/>
      <c r="D695" s="820"/>
      <c r="E695" s="820"/>
      <c r="F695" s="1481"/>
      <c r="H695" s="1481"/>
      <c r="K695" s="1481"/>
      <c r="M695" s="1481"/>
    </row>
    <row r="696" spans="1:13">
      <c r="A696" s="18"/>
      <c r="B696" s="18"/>
      <c r="D696" s="820"/>
      <c r="E696" s="820"/>
      <c r="F696" s="1481"/>
      <c r="H696" s="1481"/>
      <c r="K696" s="1481"/>
      <c r="M696" s="1481"/>
    </row>
    <row r="697" spans="1:13">
      <c r="A697" s="18"/>
      <c r="B697" s="18"/>
      <c r="D697" s="820"/>
      <c r="E697" s="820"/>
      <c r="F697" s="1481"/>
      <c r="H697" s="1481"/>
      <c r="K697" s="1481"/>
      <c r="M697" s="1481"/>
    </row>
    <row r="698" spans="1:13">
      <c r="A698" s="18"/>
      <c r="B698" s="18"/>
      <c r="D698" s="820"/>
      <c r="E698" s="820"/>
      <c r="F698" s="1481"/>
      <c r="H698" s="1481"/>
      <c r="K698" s="1481"/>
      <c r="M698" s="1481"/>
    </row>
    <row r="699" spans="1:13">
      <c r="A699" s="18"/>
      <c r="B699" s="18"/>
      <c r="D699" s="820"/>
      <c r="E699" s="820"/>
      <c r="F699" s="1481"/>
      <c r="H699" s="1481"/>
      <c r="K699" s="1481"/>
      <c r="M699" s="1481"/>
    </row>
    <row r="700" spans="1:13">
      <c r="A700" s="18"/>
      <c r="B700" s="18"/>
      <c r="D700" s="820"/>
      <c r="E700" s="820"/>
      <c r="F700" s="1481"/>
      <c r="H700" s="1481"/>
      <c r="K700" s="1481"/>
      <c r="M700" s="1481"/>
    </row>
    <row r="701" spans="1:13">
      <c r="A701" s="18"/>
      <c r="B701" s="18"/>
      <c r="D701" s="820"/>
      <c r="E701" s="820"/>
      <c r="F701" s="1481"/>
      <c r="H701" s="1481"/>
      <c r="K701" s="1481"/>
      <c r="M701" s="1481"/>
    </row>
    <row r="702" spans="1:13">
      <c r="A702" s="18"/>
      <c r="B702" s="18"/>
      <c r="D702" s="820"/>
      <c r="E702" s="820"/>
      <c r="F702" s="1481"/>
      <c r="H702" s="1481"/>
      <c r="K702" s="1481"/>
      <c r="M702" s="1481"/>
    </row>
    <row r="703" spans="1:13">
      <c r="A703" s="18"/>
      <c r="B703" s="18"/>
      <c r="D703" s="820"/>
      <c r="E703" s="820"/>
      <c r="F703" s="1481"/>
      <c r="H703" s="1481"/>
      <c r="K703" s="1481"/>
      <c r="M703" s="1481"/>
    </row>
    <row r="704" spans="1:13">
      <c r="A704" s="18"/>
      <c r="B704" s="18"/>
      <c r="D704" s="820"/>
      <c r="E704" s="820"/>
      <c r="F704" s="1481"/>
      <c r="H704" s="1481"/>
      <c r="K704" s="1481"/>
      <c r="M704" s="1481"/>
    </row>
    <row r="705" spans="1:13">
      <c r="A705" s="18"/>
      <c r="B705" s="18"/>
      <c r="D705" s="820"/>
      <c r="E705" s="820"/>
      <c r="F705" s="1481"/>
      <c r="H705" s="1481"/>
      <c r="K705" s="1481"/>
      <c r="M705" s="1481"/>
    </row>
    <row r="706" spans="1:13">
      <c r="A706" s="18"/>
      <c r="B706" s="18"/>
      <c r="D706" s="820"/>
      <c r="E706" s="820"/>
      <c r="F706" s="1481"/>
      <c r="H706" s="1481"/>
      <c r="K706" s="1481"/>
      <c r="M706" s="1481"/>
    </row>
    <row r="707" spans="1:13">
      <c r="A707" s="18"/>
      <c r="B707" s="18"/>
      <c r="D707" s="820"/>
      <c r="E707" s="820"/>
      <c r="F707" s="1481"/>
      <c r="H707" s="1481"/>
      <c r="K707" s="1481"/>
      <c r="M707" s="1481"/>
    </row>
    <row r="708" spans="1:13">
      <c r="A708" s="18"/>
      <c r="B708" s="18"/>
      <c r="D708" s="820"/>
      <c r="E708" s="820"/>
      <c r="F708" s="1481"/>
      <c r="H708" s="1481"/>
      <c r="K708" s="1481"/>
      <c r="M708" s="1481"/>
    </row>
    <row r="709" spans="1:13">
      <c r="A709" s="18"/>
      <c r="B709" s="18"/>
      <c r="D709" s="820"/>
      <c r="E709" s="820"/>
      <c r="F709" s="1481"/>
      <c r="H709" s="1481"/>
      <c r="K709" s="1481"/>
      <c r="M709" s="1481"/>
    </row>
    <row r="710" spans="1:13">
      <c r="A710" s="18"/>
      <c r="B710" s="18"/>
      <c r="D710" s="820"/>
      <c r="E710" s="820"/>
      <c r="F710" s="1481"/>
      <c r="H710" s="1481"/>
      <c r="K710" s="1481"/>
      <c r="M710" s="1481"/>
    </row>
    <row r="711" spans="1:13">
      <c r="A711" s="18"/>
      <c r="B711" s="18"/>
      <c r="D711" s="820"/>
      <c r="E711" s="820"/>
      <c r="F711" s="1481"/>
      <c r="H711" s="1481"/>
      <c r="K711" s="1481"/>
      <c r="M711" s="1481"/>
    </row>
    <row r="712" spans="1:13">
      <c r="A712" s="18"/>
      <c r="B712" s="18"/>
      <c r="D712" s="820"/>
      <c r="E712" s="820"/>
      <c r="F712" s="1481"/>
      <c r="H712" s="1481"/>
      <c r="K712" s="1481"/>
      <c r="M712" s="1481"/>
    </row>
    <row r="713" spans="1:13">
      <c r="A713" s="18"/>
      <c r="B713" s="18"/>
      <c r="D713" s="820"/>
      <c r="E713" s="820"/>
      <c r="F713" s="1481"/>
      <c r="H713" s="1481"/>
      <c r="K713" s="1481"/>
      <c r="M713" s="1481"/>
    </row>
    <row r="714" spans="1:13">
      <c r="A714" s="18"/>
      <c r="B714" s="18"/>
      <c r="D714" s="820"/>
      <c r="E714" s="820"/>
      <c r="F714" s="1481"/>
      <c r="H714" s="1481"/>
      <c r="K714" s="1481"/>
      <c r="M714" s="1481"/>
    </row>
    <row r="715" spans="1:13">
      <c r="A715" s="18"/>
      <c r="B715" s="18"/>
      <c r="D715" s="820"/>
      <c r="E715" s="820"/>
      <c r="F715" s="1481"/>
      <c r="H715" s="1481"/>
      <c r="K715" s="1481"/>
      <c r="M715" s="1481"/>
    </row>
    <row r="716" spans="1:13">
      <c r="A716" s="18"/>
      <c r="B716" s="18"/>
      <c r="D716" s="820"/>
      <c r="E716" s="820"/>
      <c r="F716" s="1481"/>
      <c r="H716" s="1481"/>
      <c r="K716" s="1481"/>
      <c r="M716" s="1481"/>
    </row>
    <row r="717" spans="1:13">
      <c r="A717" s="18"/>
      <c r="B717" s="18"/>
      <c r="D717" s="820"/>
      <c r="E717" s="820"/>
      <c r="F717" s="1481"/>
      <c r="H717" s="1481"/>
      <c r="K717" s="1481"/>
      <c r="M717" s="1481"/>
    </row>
    <row r="718" spans="1:13">
      <c r="A718" s="18"/>
      <c r="B718" s="18"/>
      <c r="D718" s="820"/>
      <c r="E718" s="820"/>
      <c r="F718" s="1481"/>
      <c r="H718" s="1481"/>
      <c r="K718" s="1481"/>
      <c r="M718" s="1481"/>
    </row>
    <row r="719" spans="1:13">
      <c r="A719" s="18"/>
      <c r="B719" s="18"/>
      <c r="D719" s="820"/>
      <c r="E719" s="820"/>
      <c r="F719" s="1481"/>
      <c r="H719" s="1481"/>
      <c r="K719" s="1481"/>
      <c r="M719" s="1481"/>
    </row>
    <row r="720" spans="1:13">
      <c r="A720" s="18"/>
      <c r="B720" s="18"/>
      <c r="D720" s="820"/>
      <c r="E720" s="820"/>
      <c r="F720" s="1481"/>
      <c r="H720" s="1481"/>
      <c r="K720" s="1481"/>
      <c r="M720" s="1481"/>
    </row>
    <row r="721" spans="1:13">
      <c r="A721" s="18"/>
      <c r="B721" s="18"/>
      <c r="D721" s="820"/>
      <c r="E721" s="820"/>
      <c r="F721" s="1481"/>
      <c r="H721" s="1481"/>
      <c r="K721" s="1481"/>
      <c r="M721" s="1481"/>
    </row>
    <row r="722" spans="1:13">
      <c r="A722" s="18"/>
      <c r="B722" s="18"/>
      <c r="D722" s="820"/>
      <c r="E722" s="820"/>
      <c r="F722" s="1481"/>
      <c r="H722" s="1481"/>
      <c r="K722" s="1481"/>
      <c r="M722" s="1481"/>
    </row>
    <row r="723" spans="1:13">
      <c r="A723" s="18"/>
      <c r="B723" s="18"/>
      <c r="D723" s="820"/>
      <c r="E723" s="820"/>
      <c r="F723" s="1481"/>
      <c r="H723" s="1481"/>
      <c r="K723" s="1481"/>
      <c r="M723" s="1481"/>
    </row>
    <row r="724" spans="1:13">
      <c r="A724" s="18"/>
      <c r="B724" s="18"/>
      <c r="D724" s="820"/>
      <c r="E724" s="820"/>
      <c r="F724" s="1481"/>
      <c r="H724" s="1481"/>
      <c r="K724" s="1481"/>
      <c r="M724" s="1481"/>
    </row>
    <row r="725" spans="1:13">
      <c r="A725" s="18"/>
      <c r="B725" s="18"/>
      <c r="D725" s="820"/>
      <c r="E725" s="820"/>
      <c r="F725" s="1481"/>
      <c r="H725" s="1481"/>
      <c r="K725" s="1481"/>
      <c r="M725" s="1481"/>
    </row>
    <row r="726" spans="1:13">
      <c r="A726" s="18"/>
      <c r="B726" s="18"/>
      <c r="D726" s="820"/>
      <c r="E726" s="820"/>
      <c r="F726" s="1481"/>
      <c r="H726" s="1481"/>
      <c r="K726" s="1481"/>
      <c r="M726" s="1481"/>
    </row>
    <row r="727" spans="1:13">
      <c r="A727" s="18"/>
      <c r="B727" s="18"/>
      <c r="D727" s="820"/>
      <c r="E727" s="820"/>
      <c r="F727" s="1481"/>
      <c r="H727" s="1481"/>
      <c r="K727" s="1481"/>
      <c r="M727" s="1481"/>
    </row>
    <row r="728" spans="1:13">
      <c r="A728" s="18"/>
      <c r="B728" s="18"/>
      <c r="D728" s="820"/>
      <c r="E728" s="820"/>
      <c r="F728" s="1481"/>
      <c r="H728" s="1481"/>
      <c r="K728" s="1481"/>
      <c r="M728" s="1481"/>
    </row>
    <row r="729" spans="1:13">
      <c r="A729" s="18"/>
      <c r="B729" s="18"/>
      <c r="D729" s="820"/>
      <c r="E729" s="820"/>
      <c r="F729" s="1481"/>
      <c r="H729" s="1481"/>
      <c r="K729" s="1481"/>
      <c r="M729" s="1481"/>
    </row>
    <row r="730" spans="1:13">
      <c r="A730" s="18"/>
      <c r="B730" s="18"/>
      <c r="D730" s="820"/>
      <c r="E730" s="820"/>
      <c r="F730" s="1481"/>
      <c r="H730" s="1481"/>
      <c r="K730" s="1481"/>
      <c r="M730" s="1481"/>
    </row>
    <row r="731" spans="1:13">
      <c r="A731" s="18"/>
      <c r="B731" s="18"/>
      <c r="D731" s="820"/>
      <c r="E731" s="820"/>
      <c r="F731" s="1481"/>
      <c r="H731" s="1481"/>
      <c r="K731" s="1481"/>
      <c r="M731" s="1481"/>
    </row>
    <row r="732" spans="1:13">
      <c r="A732" s="18"/>
      <c r="B732" s="18"/>
      <c r="D732" s="820"/>
      <c r="E732" s="820"/>
      <c r="F732" s="1481"/>
      <c r="H732" s="1481"/>
      <c r="K732" s="1481"/>
      <c r="M732" s="1481"/>
    </row>
    <row r="733" spans="1:13">
      <c r="A733" s="18"/>
      <c r="B733" s="18"/>
      <c r="D733" s="820"/>
      <c r="E733" s="820"/>
      <c r="F733" s="1481"/>
      <c r="H733" s="1481"/>
      <c r="K733" s="1481"/>
      <c r="M733" s="1481"/>
    </row>
    <row r="734" spans="1:13">
      <c r="A734" s="18"/>
      <c r="B734" s="18"/>
      <c r="D734" s="820"/>
      <c r="E734" s="820"/>
      <c r="F734" s="1481"/>
      <c r="H734" s="1481"/>
      <c r="K734" s="1481"/>
      <c r="M734" s="1481"/>
    </row>
    <row r="735" spans="1:13">
      <c r="A735" s="18"/>
      <c r="B735" s="18"/>
      <c r="D735" s="820"/>
      <c r="E735" s="820"/>
      <c r="F735" s="1481"/>
      <c r="H735" s="1481"/>
      <c r="K735" s="1481"/>
      <c r="M735" s="1481"/>
    </row>
    <row r="736" spans="1:13">
      <c r="A736" s="18"/>
      <c r="B736" s="18"/>
      <c r="D736" s="820"/>
      <c r="E736" s="820"/>
      <c r="F736" s="1481"/>
      <c r="H736" s="1481"/>
      <c r="K736" s="1481"/>
      <c r="M736" s="1481"/>
    </row>
    <row r="737" spans="1:13">
      <c r="A737" s="18"/>
      <c r="B737" s="18"/>
      <c r="D737" s="820"/>
      <c r="E737" s="820"/>
      <c r="F737" s="1481"/>
      <c r="H737" s="1481"/>
      <c r="K737" s="1481"/>
      <c r="M737" s="1481"/>
    </row>
    <row r="738" spans="1:13">
      <c r="A738" s="18"/>
      <c r="B738" s="18"/>
      <c r="D738" s="820"/>
      <c r="E738" s="820"/>
      <c r="F738" s="1481"/>
      <c r="H738" s="1481"/>
      <c r="K738" s="1481"/>
      <c r="M738" s="1481"/>
    </row>
    <row r="739" spans="1:13">
      <c r="A739" s="18"/>
      <c r="B739" s="18"/>
      <c r="D739" s="820"/>
      <c r="E739" s="820"/>
      <c r="F739" s="1481"/>
      <c r="H739" s="1481"/>
      <c r="K739" s="1481"/>
      <c r="M739" s="1481"/>
    </row>
    <row r="740" spans="1:13">
      <c r="A740" s="18"/>
      <c r="B740" s="18"/>
      <c r="D740" s="820"/>
      <c r="E740" s="820"/>
      <c r="F740" s="1481"/>
      <c r="H740" s="1481"/>
      <c r="K740" s="1481"/>
      <c r="M740" s="1481"/>
    </row>
    <row r="741" spans="1:13">
      <c r="A741" s="18"/>
      <c r="B741" s="18"/>
      <c r="D741" s="820"/>
      <c r="E741" s="820"/>
      <c r="F741" s="1481"/>
      <c r="H741" s="1481"/>
      <c r="K741" s="1481"/>
      <c r="M741" s="1481"/>
    </row>
    <row r="742" spans="1:13">
      <c r="A742" s="18"/>
      <c r="B742" s="18"/>
      <c r="D742" s="820"/>
      <c r="E742" s="820"/>
      <c r="F742" s="1481"/>
      <c r="H742" s="1481"/>
      <c r="K742" s="1481"/>
      <c r="M742" s="1481"/>
    </row>
    <row r="743" spans="1:13">
      <c r="A743" s="18"/>
      <c r="B743" s="18"/>
      <c r="D743" s="820"/>
      <c r="E743" s="820"/>
      <c r="F743" s="1481"/>
      <c r="H743" s="1481"/>
      <c r="K743" s="1481"/>
      <c r="M743" s="1481"/>
    </row>
    <row r="744" spans="1:13">
      <c r="A744" s="18"/>
      <c r="B744" s="18"/>
      <c r="D744" s="820"/>
      <c r="E744" s="820"/>
      <c r="F744" s="1481"/>
      <c r="H744" s="1481"/>
      <c r="K744" s="1481"/>
      <c r="M744" s="1481"/>
    </row>
    <row r="745" spans="1:13">
      <c r="A745" s="18"/>
      <c r="B745" s="18"/>
      <c r="D745" s="820"/>
      <c r="E745" s="820"/>
      <c r="F745" s="1481"/>
      <c r="H745" s="1481"/>
      <c r="K745" s="1481"/>
      <c r="M745" s="1481"/>
    </row>
    <row r="746" spans="1:13">
      <c r="A746" s="18"/>
      <c r="B746" s="18"/>
      <c r="D746" s="820"/>
      <c r="E746" s="820"/>
      <c r="F746" s="1481"/>
      <c r="H746" s="1481"/>
      <c r="K746" s="1481"/>
      <c r="M746" s="1481"/>
    </row>
    <row r="747" spans="1:13">
      <c r="A747" s="18"/>
      <c r="B747" s="18"/>
      <c r="D747" s="820"/>
      <c r="E747" s="820"/>
      <c r="F747" s="1481"/>
      <c r="H747" s="1481"/>
      <c r="K747" s="1481"/>
      <c r="M747" s="1481"/>
    </row>
    <row r="748" spans="1:13">
      <c r="A748" s="18"/>
      <c r="B748" s="18"/>
      <c r="D748" s="820"/>
      <c r="E748" s="820"/>
      <c r="F748" s="1481"/>
      <c r="H748" s="1481"/>
      <c r="K748" s="1481"/>
      <c r="M748" s="1481"/>
    </row>
    <row r="749" spans="1:13">
      <c r="A749" s="18"/>
      <c r="B749" s="18"/>
      <c r="D749" s="820"/>
      <c r="E749" s="820"/>
      <c r="F749" s="1481"/>
      <c r="H749" s="1481"/>
      <c r="K749" s="1481"/>
      <c r="M749" s="1481"/>
    </row>
    <row r="750" spans="1:13">
      <c r="A750" s="18"/>
      <c r="B750" s="18"/>
      <c r="D750" s="820"/>
      <c r="E750" s="820"/>
      <c r="F750" s="1481"/>
      <c r="H750" s="1481"/>
      <c r="K750" s="1481"/>
      <c r="M750" s="1481"/>
    </row>
    <row r="751" spans="1:13">
      <c r="A751" s="18"/>
      <c r="B751" s="18"/>
      <c r="D751" s="820"/>
      <c r="E751" s="820"/>
      <c r="F751" s="1481"/>
      <c r="H751" s="1481"/>
      <c r="K751" s="1481"/>
      <c r="M751" s="1481"/>
    </row>
    <row r="752" spans="1:13">
      <c r="A752" s="18"/>
      <c r="B752" s="18"/>
      <c r="D752" s="820"/>
      <c r="E752" s="820"/>
      <c r="F752" s="1481"/>
      <c r="H752" s="1481"/>
      <c r="K752" s="1481"/>
      <c r="M752" s="1481"/>
    </row>
    <row r="753" spans="1:13">
      <c r="A753" s="18"/>
      <c r="B753" s="18"/>
      <c r="D753" s="820"/>
      <c r="E753" s="820"/>
      <c r="F753" s="1481"/>
      <c r="H753" s="1481"/>
      <c r="K753" s="1481"/>
      <c r="M753" s="1481"/>
    </row>
    <row r="754" spans="1:13">
      <c r="A754" s="18"/>
      <c r="B754" s="18"/>
      <c r="D754" s="820"/>
      <c r="E754" s="820"/>
      <c r="F754" s="1481"/>
      <c r="H754" s="1481"/>
      <c r="K754" s="1481"/>
      <c r="M754" s="1481"/>
    </row>
    <row r="755" spans="1:13">
      <c r="A755" s="18"/>
      <c r="B755" s="18"/>
      <c r="D755" s="820"/>
      <c r="E755" s="820"/>
      <c r="F755" s="1481"/>
      <c r="H755" s="1481"/>
      <c r="K755" s="1481"/>
      <c r="M755" s="1481"/>
    </row>
    <row r="756" spans="1:13">
      <c r="A756" s="18"/>
      <c r="B756" s="18"/>
      <c r="D756" s="820"/>
      <c r="E756" s="820"/>
      <c r="F756" s="1481"/>
      <c r="H756" s="1481"/>
      <c r="K756" s="1481"/>
      <c r="M756" s="1481"/>
    </row>
    <row r="757" spans="1:13">
      <c r="A757" s="18"/>
      <c r="B757" s="18"/>
      <c r="D757" s="820"/>
      <c r="E757" s="820"/>
      <c r="F757" s="1481"/>
      <c r="H757" s="1481"/>
      <c r="K757" s="1481"/>
      <c r="M757" s="1481"/>
    </row>
    <row r="758" spans="1:13">
      <c r="A758" s="18"/>
      <c r="B758" s="18"/>
      <c r="D758" s="820"/>
      <c r="E758" s="820"/>
      <c r="F758" s="1481"/>
      <c r="H758" s="1481"/>
      <c r="K758" s="1481"/>
      <c r="M758" s="1481"/>
    </row>
    <row r="759" spans="1:13">
      <c r="A759" s="18"/>
      <c r="B759" s="18"/>
      <c r="D759" s="820"/>
      <c r="E759" s="820"/>
      <c r="F759" s="1481"/>
      <c r="H759" s="1481"/>
      <c r="K759" s="1481"/>
      <c r="M759" s="1481"/>
    </row>
    <row r="760" spans="1:13">
      <c r="A760" s="18"/>
      <c r="B760" s="18"/>
      <c r="D760" s="820"/>
      <c r="E760" s="820"/>
      <c r="F760" s="1481"/>
      <c r="H760" s="1481"/>
      <c r="K760" s="1481"/>
      <c r="M760" s="1481"/>
    </row>
    <row r="761" spans="1:13">
      <c r="A761" s="18"/>
      <c r="B761" s="18"/>
      <c r="D761" s="820"/>
      <c r="E761" s="820"/>
      <c r="F761" s="1481"/>
      <c r="H761" s="1481"/>
      <c r="K761" s="1481"/>
      <c r="M761" s="1481"/>
    </row>
    <row r="762" spans="1:13">
      <c r="A762" s="18"/>
      <c r="B762" s="18"/>
      <c r="D762" s="820"/>
      <c r="E762" s="820"/>
      <c r="F762" s="1481"/>
      <c r="H762" s="1481"/>
      <c r="K762" s="1481"/>
      <c r="M762" s="1481"/>
    </row>
    <row r="763" spans="1:13">
      <c r="A763" s="18"/>
      <c r="B763" s="18"/>
      <c r="D763" s="820"/>
      <c r="E763" s="820"/>
      <c r="F763" s="1481"/>
      <c r="H763" s="1481"/>
      <c r="K763" s="1481"/>
      <c r="M763" s="1481"/>
    </row>
    <row r="764" spans="1:13">
      <c r="A764" s="18"/>
      <c r="B764" s="18"/>
      <c r="D764" s="820"/>
      <c r="E764" s="820"/>
      <c r="F764" s="1481"/>
      <c r="H764" s="1481"/>
      <c r="K764" s="1481"/>
      <c r="M764" s="1481"/>
    </row>
    <row r="765" spans="1:13">
      <c r="A765" s="18"/>
      <c r="B765" s="18"/>
      <c r="D765" s="820"/>
      <c r="E765" s="820"/>
      <c r="F765" s="1481"/>
      <c r="H765" s="1481"/>
      <c r="K765" s="1481"/>
      <c r="M765" s="1481"/>
    </row>
    <row r="766" spans="1:13">
      <c r="A766" s="18"/>
      <c r="B766" s="18"/>
      <c r="D766" s="820"/>
      <c r="E766" s="820"/>
      <c r="F766" s="1481"/>
      <c r="H766" s="1481"/>
      <c r="K766" s="1481"/>
      <c r="M766" s="1481"/>
    </row>
    <row r="767" spans="1:13">
      <c r="A767" s="18"/>
      <c r="B767" s="18"/>
      <c r="D767" s="820"/>
      <c r="E767" s="820"/>
      <c r="F767" s="1481"/>
      <c r="H767" s="1481"/>
      <c r="K767" s="1481"/>
      <c r="M767" s="1481"/>
    </row>
    <row r="768" spans="1:13">
      <c r="A768" s="18"/>
      <c r="B768" s="18"/>
      <c r="D768" s="820"/>
      <c r="E768" s="820"/>
      <c r="F768" s="1481"/>
      <c r="H768" s="1481"/>
      <c r="K768" s="1481"/>
      <c r="M768" s="1481"/>
    </row>
    <row r="769" spans="1:13">
      <c r="A769" s="18"/>
      <c r="B769" s="18"/>
      <c r="D769" s="820"/>
      <c r="E769" s="820"/>
      <c r="F769" s="1481"/>
      <c r="H769" s="1481"/>
      <c r="K769" s="1481"/>
      <c r="M769" s="1481"/>
    </row>
    <row r="770" spans="1:13">
      <c r="A770" s="18"/>
      <c r="B770" s="18"/>
      <c r="D770" s="820"/>
      <c r="E770" s="820"/>
      <c r="F770" s="1481"/>
      <c r="H770" s="1481"/>
      <c r="K770" s="1481"/>
      <c r="M770" s="1481"/>
    </row>
    <row r="771" spans="1:13">
      <c r="A771" s="18"/>
      <c r="B771" s="18"/>
      <c r="D771" s="820"/>
      <c r="E771" s="820"/>
      <c r="F771" s="1481"/>
      <c r="H771" s="1481"/>
      <c r="K771" s="1481"/>
      <c r="M771" s="1481"/>
    </row>
    <row r="772" spans="1:13">
      <c r="A772" s="18"/>
      <c r="B772" s="18"/>
      <c r="D772" s="820"/>
      <c r="E772" s="820"/>
      <c r="F772" s="1481"/>
      <c r="H772" s="1481"/>
      <c r="K772" s="1481"/>
      <c r="M772" s="1481"/>
    </row>
    <row r="773" spans="1:13">
      <c r="A773" s="18"/>
      <c r="B773" s="18"/>
      <c r="D773" s="820"/>
      <c r="E773" s="820"/>
      <c r="F773" s="1481"/>
      <c r="H773" s="1481"/>
      <c r="K773" s="1481"/>
      <c r="M773" s="1481"/>
    </row>
    <row r="774" spans="1:13">
      <c r="A774" s="18"/>
      <c r="B774" s="18"/>
      <c r="D774" s="820"/>
      <c r="E774" s="820"/>
      <c r="F774" s="1481"/>
      <c r="H774" s="1481"/>
      <c r="K774" s="1481"/>
      <c r="M774" s="1481"/>
    </row>
    <row r="775" spans="1:13">
      <c r="A775" s="18"/>
      <c r="B775" s="18"/>
      <c r="D775" s="820"/>
      <c r="E775" s="820"/>
      <c r="F775" s="1481"/>
      <c r="H775" s="1481"/>
      <c r="K775" s="1481"/>
      <c r="M775" s="1481"/>
    </row>
    <row r="776" spans="1:13">
      <c r="A776" s="18"/>
      <c r="B776" s="18"/>
      <c r="D776" s="820"/>
      <c r="E776" s="820"/>
      <c r="F776" s="1481"/>
      <c r="H776" s="1481"/>
      <c r="K776" s="1481"/>
      <c r="M776" s="1481"/>
    </row>
    <row r="777" spans="1:13">
      <c r="A777" s="18"/>
      <c r="B777" s="18"/>
      <c r="D777" s="820"/>
      <c r="E777" s="820"/>
      <c r="F777" s="1481"/>
      <c r="H777" s="1481"/>
      <c r="K777" s="1481"/>
      <c r="M777" s="1481"/>
    </row>
    <row r="778" spans="1:13">
      <c r="A778" s="18"/>
      <c r="B778" s="18"/>
      <c r="D778" s="820"/>
      <c r="E778" s="820"/>
      <c r="F778" s="1481"/>
      <c r="H778" s="1481"/>
      <c r="K778" s="1481"/>
      <c r="M778" s="1481"/>
    </row>
    <row r="779" spans="1:13">
      <c r="A779" s="18"/>
      <c r="B779" s="18"/>
      <c r="D779" s="820"/>
      <c r="E779" s="820"/>
      <c r="F779" s="1481"/>
      <c r="H779" s="1481"/>
      <c r="K779" s="1481"/>
      <c r="M779" s="1481"/>
    </row>
    <row r="780" spans="1:13">
      <c r="A780" s="18"/>
      <c r="B780" s="18"/>
      <c r="D780" s="820"/>
      <c r="E780" s="820"/>
      <c r="F780" s="1481"/>
      <c r="H780" s="1481"/>
      <c r="K780" s="1481"/>
      <c r="M780" s="1481"/>
    </row>
    <row r="781" spans="1:13">
      <c r="A781" s="18"/>
      <c r="B781" s="18"/>
      <c r="D781" s="820"/>
      <c r="E781" s="820"/>
      <c r="F781" s="1481"/>
      <c r="H781" s="1481"/>
      <c r="K781" s="1481"/>
      <c r="M781" s="1481"/>
    </row>
    <row r="782" spans="1:13">
      <c r="A782" s="18"/>
      <c r="B782" s="18"/>
      <c r="D782" s="820"/>
      <c r="E782" s="820"/>
      <c r="F782" s="1481"/>
      <c r="H782" s="1481"/>
      <c r="K782" s="1481"/>
      <c r="M782" s="1481"/>
    </row>
    <row r="783" spans="1:13">
      <c r="A783" s="18"/>
      <c r="B783" s="18"/>
      <c r="D783" s="820"/>
      <c r="E783" s="820"/>
      <c r="F783" s="1481"/>
      <c r="H783" s="1481"/>
      <c r="K783" s="1481"/>
      <c r="M783" s="1481"/>
    </row>
    <row r="784" spans="1:13">
      <c r="A784" s="18"/>
      <c r="B784" s="18"/>
      <c r="D784" s="820"/>
      <c r="E784" s="820"/>
      <c r="F784" s="1481"/>
      <c r="H784" s="1481"/>
      <c r="K784" s="1481"/>
      <c r="M784" s="1481"/>
    </row>
    <row r="785" spans="1:13">
      <c r="A785" s="18"/>
      <c r="B785" s="18"/>
      <c r="D785" s="820"/>
      <c r="E785" s="820"/>
      <c r="F785" s="1481"/>
      <c r="H785" s="1481"/>
      <c r="K785" s="1481"/>
      <c r="M785" s="1481"/>
    </row>
    <row r="786" spans="1:13">
      <c r="A786" s="18"/>
      <c r="B786" s="18"/>
      <c r="D786" s="820"/>
      <c r="E786" s="820"/>
      <c r="F786" s="1481"/>
      <c r="H786" s="1481"/>
      <c r="K786" s="1481"/>
      <c r="M786" s="1481"/>
    </row>
    <row r="787" spans="1:13">
      <c r="A787" s="18"/>
      <c r="B787" s="18"/>
      <c r="D787" s="820"/>
      <c r="E787" s="820"/>
      <c r="F787" s="1481"/>
      <c r="H787" s="1481"/>
      <c r="K787" s="1481"/>
      <c r="M787" s="1481"/>
    </row>
    <row r="788" spans="1:13">
      <c r="A788" s="18"/>
      <c r="B788" s="18"/>
      <c r="D788" s="820"/>
      <c r="E788" s="820"/>
      <c r="F788" s="1481"/>
      <c r="H788" s="1481"/>
      <c r="K788" s="1481"/>
      <c r="M788" s="1481"/>
    </row>
    <row r="789" spans="1:13">
      <c r="A789" s="18"/>
      <c r="B789" s="18"/>
      <c r="D789" s="820"/>
      <c r="E789" s="820"/>
      <c r="F789" s="1481"/>
      <c r="H789" s="1481"/>
      <c r="K789" s="1481"/>
      <c r="M789" s="1481"/>
    </row>
    <row r="790" spans="1:13">
      <c r="A790" s="18"/>
      <c r="B790" s="18"/>
      <c r="D790" s="820"/>
      <c r="E790" s="820"/>
      <c r="F790" s="1481"/>
      <c r="H790" s="1481"/>
      <c r="K790" s="1481"/>
      <c r="M790" s="1481"/>
    </row>
    <row r="791" spans="1:13">
      <c r="A791" s="18"/>
      <c r="B791" s="18"/>
      <c r="D791" s="820"/>
      <c r="E791" s="820"/>
      <c r="F791" s="1481"/>
      <c r="H791" s="1481"/>
      <c r="K791" s="1481"/>
      <c r="M791" s="1481"/>
    </row>
    <row r="792" spans="1:13">
      <c r="A792" s="18"/>
      <c r="B792" s="18"/>
      <c r="D792" s="820"/>
      <c r="E792" s="820"/>
      <c r="F792" s="1481"/>
      <c r="H792" s="1481"/>
      <c r="K792" s="1481"/>
      <c r="M792" s="1481"/>
    </row>
    <row r="793" spans="1:13">
      <c r="A793" s="18"/>
      <c r="B793" s="18"/>
      <c r="D793" s="820"/>
      <c r="E793" s="820"/>
      <c r="F793" s="1481"/>
      <c r="H793" s="1481"/>
      <c r="K793" s="1481"/>
      <c r="M793" s="1481"/>
    </row>
    <row r="794" spans="1:13">
      <c r="A794" s="18"/>
      <c r="B794" s="18"/>
      <c r="D794" s="820"/>
      <c r="E794" s="820"/>
      <c r="F794" s="1481"/>
      <c r="H794" s="1481"/>
      <c r="K794" s="1481"/>
      <c r="M794" s="1481"/>
    </row>
    <row r="795" spans="1:13">
      <c r="A795" s="18"/>
      <c r="B795" s="18"/>
      <c r="D795" s="820"/>
      <c r="E795" s="820"/>
      <c r="F795" s="1481"/>
      <c r="H795" s="1481"/>
      <c r="K795" s="1481"/>
      <c r="M795" s="1481"/>
    </row>
    <row r="796" spans="1:13">
      <c r="A796" s="18"/>
      <c r="B796" s="18"/>
      <c r="D796" s="820"/>
      <c r="E796" s="820"/>
      <c r="F796" s="1481"/>
      <c r="H796" s="1481"/>
      <c r="K796" s="1481"/>
      <c r="M796" s="1481"/>
    </row>
    <row r="797" spans="1:13">
      <c r="A797" s="18"/>
      <c r="B797" s="18"/>
      <c r="D797" s="820"/>
      <c r="E797" s="820"/>
      <c r="F797" s="1481"/>
      <c r="H797" s="1481"/>
      <c r="K797" s="1481"/>
      <c r="M797" s="1481"/>
    </row>
    <row r="798" spans="1:13">
      <c r="A798" s="18"/>
      <c r="B798" s="18"/>
      <c r="D798" s="820"/>
      <c r="E798" s="820"/>
      <c r="F798" s="1481"/>
      <c r="H798" s="1481"/>
      <c r="K798" s="1481"/>
      <c r="M798" s="1481"/>
    </row>
    <row r="799" spans="1:13">
      <c r="A799" s="18"/>
      <c r="B799" s="18"/>
      <c r="D799" s="820"/>
      <c r="E799" s="820"/>
      <c r="F799" s="1481"/>
      <c r="H799" s="1481"/>
      <c r="K799" s="1481"/>
      <c r="M799" s="1481"/>
    </row>
    <row r="800" spans="1:13">
      <c r="A800" s="18"/>
      <c r="B800" s="18"/>
      <c r="D800" s="820"/>
      <c r="E800" s="820"/>
      <c r="F800" s="1481"/>
      <c r="H800" s="1481"/>
      <c r="K800" s="1481"/>
      <c r="M800" s="1481"/>
    </row>
    <row r="801" spans="1:13">
      <c r="A801" s="18"/>
      <c r="B801" s="18"/>
      <c r="D801" s="820"/>
      <c r="E801" s="820"/>
      <c r="F801" s="1481"/>
      <c r="H801" s="1481"/>
      <c r="K801" s="1481"/>
      <c r="M801" s="1481"/>
    </row>
    <row r="802" spans="1:13">
      <c r="A802" s="18"/>
      <c r="B802" s="18"/>
      <c r="D802" s="820"/>
      <c r="E802" s="820"/>
      <c r="F802" s="1481"/>
      <c r="H802" s="1481"/>
      <c r="K802" s="1481"/>
      <c r="M802" s="1481"/>
    </row>
    <row r="803" spans="1:13">
      <c r="A803" s="18"/>
      <c r="B803" s="18"/>
      <c r="D803" s="820"/>
      <c r="E803" s="820"/>
      <c r="F803" s="1481"/>
      <c r="H803" s="1481"/>
      <c r="K803" s="1481"/>
      <c r="M803" s="1481"/>
    </row>
    <row r="804" spans="1:13">
      <c r="A804" s="18"/>
      <c r="B804" s="18"/>
      <c r="D804" s="820"/>
      <c r="E804" s="820"/>
      <c r="F804" s="1481"/>
      <c r="H804" s="1481"/>
      <c r="K804" s="1481"/>
      <c r="M804" s="1481"/>
    </row>
    <row r="805" spans="1:13">
      <c r="A805" s="18"/>
      <c r="B805" s="18"/>
      <c r="D805" s="820"/>
      <c r="E805" s="820"/>
      <c r="F805" s="1481"/>
      <c r="H805" s="1481"/>
      <c r="K805" s="1481"/>
      <c r="M805" s="1481"/>
    </row>
    <row r="806" spans="1:13">
      <c r="A806" s="18"/>
      <c r="B806" s="18"/>
      <c r="D806" s="820"/>
      <c r="E806" s="820"/>
      <c r="F806" s="1481"/>
      <c r="H806" s="1481"/>
      <c r="K806" s="1481"/>
      <c r="M806" s="1481"/>
    </row>
    <row r="807" spans="1:13">
      <c r="A807" s="18"/>
      <c r="B807" s="18"/>
      <c r="D807" s="820"/>
      <c r="E807" s="820"/>
      <c r="F807" s="1481"/>
      <c r="H807" s="1481"/>
      <c r="K807" s="1481"/>
      <c r="M807" s="1481"/>
    </row>
    <row r="808" spans="1:13">
      <c r="A808" s="18"/>
      <c r="B808" s="18"/>
      <c r="D808" s="820"/>
      <c r="E808" s="820"/>
      <c r="F808" s="1481"/>
      <c r="H808" s="1481"/>
      <c r="K808" s="1481"/>
      <c r="M808" s="1481"/>
    </row>
    <row r="809" spans="1:13">
      <c r="A809" s="18"/>
      <c r="B809" s="18"/>
      <c r="D809" s="820"/>
      <c r="E809" s="820"/>
      <c r="F809" s="1481"/>
      <c r="H809" s="1481"/>
      <c r="K809" s="1481"/>
      <c r="M809" s="1481"/>
    </row>
    <row r="810" spans="1:13">
      <c r="A810" s="18"/>
      <c r="B810" s="18"/>
      <c r="D810" s="820"/>
      <c r="E810" s="820"/>
      <c r="F810" s="1481"/>
      <c r="H810" s="1481"/>
      <c r="K810" s="1481"/>
      <c r="M810" s="1481"/>
    </row>
    <row r="811" spans="1:13">
      <c r="A811" s="18"/>
      <c r="B811" s="18"/>
      <c r="D811" s="820"/>
      <c r="E811" s="820"/>
      <c r="F811" s="1481"/>
      <c r="H811" s="1481"/>
      <c r="K811" s="1481"/>
      <c r="M811" s="1481"/>
    </row>
    <row r="812" spans="1:13">
      <c r="A812" s="18"/>
      <c r="B812" s="18"/>
      <c r="D812" s="820"/>
      <c r="E812" s="820"/>
      <c r="F812" s="1481"/>
      <c r="H812" s="1481"/>
      <c r="K812" s="1481"/>
      <c r="M812" s="1481"/>
    </row>
    <row r="813" spans="1:13">
      <c r="A813" s="18"/>
      <c r="B813" s="18"/>
      <c r="D813" s="820"/>
      <c r="E813" s="820"/>
      <c r="F813" s="1481"/>
      <c r="H813" s="1481"/>
      <c r="K813" s="1481"/>
      <c r="M813" s="1481"/>
    </row>
    <row r="814" spans="1:13">
      <c r="A814" s="18"/>
      <c r="B814" s="18"/>
      <c r="D814" s="820"/>
      <c r="E814" s="820"/>
      <c r="F814" s="1481"/>
      <c r="H814" s="1481"/>
      <c r="K814" s="1481"/>
      <c r="M814" s="1481"/>
    </row>
    <row r="815" spans="1:13">
      <c r="A815" s="18"/>
      <c r="B815" s="18"/>
      <c r="D815" s="820"/>
      <c r="E815" s="820"/>
      <c r="F815" s="1481"/>
      <c r="H815" s="1481"/>
      <c r="K815" s="1481"/>
      <c r="M815" s="1481"/>
    </row>
    <row r="816" spans="1:13">
      <c r="A816" s="18"/>
      <c r="B816" s="18"/>
      <c r="D816" s="820"/>
      <c r="E816" s="820"/>
      <c r="F816" s="1481"/>
      <c r="H816" s="1481"/>
      <c r="K816" s="1481"/>
      <c r="M816" s="1481"/>
    </row>
    <row r="817" spans="1:13">
      <c r="A817" s="18"/>
      <c r="B817" s="18"/>
      <c r="D817" s="820"/>
      <c r="E817" s="820"/>
      <c r="F817" s="1481"/>
      <c r="H817" s="1481"/>
      <c r="K817" s="1481"/>
      <c r="M817" s="1481"/>
    </row>
    <row r="818" spans="1:13">
      <c r="A818" s="18"/>
      <c r="B818" s="18"/>
      <c r="D818" s="820"/>
      <c r="E818" s="820"/>
      <c r="F818" s="1481"/>
      <c r="H818" s="1481"/>
      <c r="K818" s="1481"/>
      <c r="M818" s="1481"/>
    </row>
    <row r="819" spans="1:13">
      <c r="A819" s="18"/>
      <c r="B819" s="18"/>
      <c r="D819" s="820"/>
      <c r="E819" s="820"/>
      <c r="F819" s="1481"/>
      <c r="H819" s="1481"/>
      <c r="K819" s="1481"/>
      <c r="M819" s="1481"/>
    </row>
    <row r="820" spans="1:13">
      <c r="A820" s="18"/>
      <c r="B820" s="18"/>
      <c r="D820" s="820"/>
      <c r="E820" s="820"/>
      <c r="F820" s="1481"/>
      <c r="H820" s="1481"/>
      <c r="K820" s="1481"/>
      <c r="M820" s="1481"/>
    </row>
    <row r="821" spans="1:13">
      <c r="A821" s="18"/>
      <c r="B821" s="18"/>
      <c r="D821" s="820"/>
      <c r="E821" s="820"/>
      <c r="F821" s="1481"/>
      <c r="H821" s="1481"/>
      <c r="K821" s="1481"/>
      <c r="M821" s="1481"/>
    </row>
    <row r="822" spans="1:13">
      <c r="A822" s="18"/>
      <c r="B822" s="18"/>
      <c r="D822" s="820"/>
      <c r="E822" s="820"/>
      <c r="F822" s="1481"/>
      <c r="H822" s="1481"/>
      <c r="K822" s="1481"/>
      <c r="M822" s="1481"/>
    </row>
    <row r="823" spans="1:13">
      <c r="A823" s="18"/>
      <c r="B823" s="18"/>
      <c r="D823" s="820"/>
      <c r="E823" s="820"/>
      <c r="F823" s="1481"/>
      <c r="H823" s="1481"/>
      <c r="K823" s="1481"/>
      <c r="M823" s="1481"/>
    </row>
    <row r="824" spans="1:13">
      <c r="A824" s="18"/>
      <c r="B824" s="18"/>
      <c r="D824" s="820"/>
      <c r="E824" s="820"/>
      <c r="F824" s="1481"/>
      <c r="H824" s="1481"/>
      <c r="K824" s="1481"/>
      <c r="M824" s="1481"/>
    </row>
    <row r="825" spans="1:13">
      <c r="A825" s="18"/>
      <c r="B825" s="18"/>
      <c r="D825" s="820"/>
      <c r="E825" s="820"/>
      <c r="F825" s="1481"/>
      <c r="H825" s="1481"/>
      <c r="K825" s="1481"/>
      <c r="M825" s="1481"/>
    </row>
    <row r="826" spans="1:13">
      <c r="A826" s="18"/>
      <c r="B826" s="18"/>
      <c r="D826" s="820"/>
      <c r="E826" s="820"/>
      <c r="F826" s="1481"/>
      <c r="H826" s="1481"/>
      <c r="K826" s="1481"/>
      <c r="M826" s="1481"/>
    </row>
    <row r="827" spans="1:13">
      <c r="A827" s="18"/>
      <c r="B827" s="18"/>
      <c r="D827" s="820"/>
      <c r="E827" s="820"/>
      <c r="F827" s="1481"/>
      <c r="H827" s="1481"/>
      <c r="K827" s="1481"/>
      <c r="M827" s="1481"/>
    </row>
    <row r="828" spans="1:13">
      <c r="A828" s="18"/>
      <c r="B828" s="18"/>
      <c r="D828" s="820"/>
      <c r="E828" s="820"/>
      <c r="F828" s="1481"/>
      <c r="H828" s="1481"/>
      <c r="K828" s="1481"/>
      <c r="M828" s="1481"/>
    </row>
    <row r="829" spans="1:13">
      <c r="A829" s="18"/>
      <c r="B829" s="18"/>
      <c r="D829" s="820"/>
      <c r="E829" s="820"/>
      <c r="F829" s="1481"/>
      <c r="H829" s="1481"/>
      <c r="K829" s="1481"/>
      <c r="M829" s="1481"/>
    </row>
    <row r="830" spans="1:13">
      <c r="A830" s="18"/>
      <c r="B830" s="18"/>
      <c r="D830" s="820"/>
      <c r="E830" s="820"/>
      <c r="F830" s="1481"/>
      <c r="H830" s="1481"/>
      <c r="K830" s="1481"/>
      <c r="M830" s="1481"/>
    </row>
    <row r="831" spans="1:13">
      <c r="A831" s="18"/>
      <c r="B831" s="18"/>
      <c r="D831" s="820"/>
      <c r="E831" s="820"/>
      <c r="F831" s="1481"/>
      <c r="H831" s="1481"/>
      <c r="K831" s="1481"/>
      <c r="M831" s="1481"/>
    </row>
    <row r="832" spans="1:13">
      <c r="A832" s="18"/>
      <c r="B832" s="18"/>
      <c r="D832" s="820"/>
      <c r="E832" s="820"/>
      <c r="F832" s="1481"/>
      <c r="H832" s="1481"/>
      <c r="K832" s="1481"/>
      <c r="M832" s="1481"/>
    </row>
    <row r="833" spans="1:13">
      <c r="A833" s="18"/>
      <c r="B833" s="18"/>
      <c r="D833" s="820"/>
      <c r="E833" s="820"/>
      <c r="F833" s="1481"/>
      <c r="H833" s="1481"/>
      <c r="K833" s="1481"/>
      <c r="M833" s="1481"/>
    </row>
    <row r="834" spans="1:13">
      <c r="A834" s="18"/>
      <c r="B834" s="18"/>
      <c r="D834" s="820"/>
      <c r="E834" s="820"/>
      <c r="F834" s="1481"/>
      <c r="H834" s="1481"/>
      <c r="K834" s="1481"/>
      <c r="M834" s="1481"/>
    </row>
    <row r="835" spans="1:13">
      <c r="A835" s="18"/>
      <c r="B835" s="18"/>
      <c r="D835" s="820"/>
      <c r="E835" s="820"/>
      <c r="F835" s="1481"/>
      <c r="H835" s="1481"/>
      <c r="K835" s="1481"/>
      <c r="M835" s="1481"/>
    </row>
    <row r="836" spans="1:13">
      <c r="A836" s="18"/>
      <c r="B836" s="18"/>
      <c r="D836" s="820"/>
      <c r="E836" s="820"/>
      <c r="F836" s="1481"/>
      <c r="H836" s="1481"/>
      <c r="K836" s="1481"/>
      <c r="M836" s="1481"/>
    </row>
    <row r="837" spans="1:13">
      <c r="A837" s="18"/>
      <c r="B837" s="18"/>
      <c r="D837" s="820"/>
      <c r="E837" s="820"/>
      <c r="F837" s="1481"/>
      <c r="H837" s="1481"/>
      <c r="K837" s="1481"/>
      <c r="M837" s="1481"/>
    </row>
    <row r="838" spans="1:13">
      <c r="A838" s="18"/>
      <c r="B838" s="18"/>
      <c r="D838" s="820"/>
      <c r="E838" s="820"/>
      <c r="F838" s="1481"/>
      <c r="H838" s="1481"/>
      <c r="K838" s="1481"/>
      <c r="M838" s="1481"/>
    </row>
    <row r="839" spans="1:13">
      <c r="A839" s="18"/>
      <c r="B839" s="18"/>
      <c r="D839" s="820"/>
      <c r="E839" s="820"/>
      <c r="F839" s="1481"/>
      <c r="H839" s="1481"/>
      <c r="K839" s="1481"/>
      <c r="M839" s="1481"/>
    </row>
    <row r="840" spans="1:13">
      <c r="A840" s="18"/>
      <c r="B840" s="18"/>
      <c r="D840" s="820"/>
      <c r="E840" s="820"/>
      <c r="F840" s="1481"/>
      <c r="H840" s="1481"/>
      <c r="K840" s="1481"/>
      <c r="M840" s="1481"/>
    </row>
    <row r="841" spans="1:13">
      <c r="A841" s="18"/>
      <c r="B841" s="18"/>
      <c r="D841" s="820"/>
      <c r="E841" s="820"/>
      <c r="F841" s="1481"/>
      <c r="H841" s="1481"/>
      <c r="K841" s="1481"/>
      <c r="M841" s="1481"/>
    </row>
    <row r="842" spans="1:13">
      <c r="A842" s="18"/>
      <c r="B842" s="18"/>
      <c r="D842" s="820"/>
      <c r="E842" s="820"/>
      <c r="F842" s="1481"/>
      <c r="H842" s="1481"/>
      <c r="K842" s="1481"/>
      <c r="M842" s="1481"/>
    </row>
    <row r="843" spans="1:13">
      <c r="A843" s="18"/>
      <c r="B843" s="18"/>
      <c r="D843" s="820"/>
      <c r="E843" s="820"/>
      <c r="F843" s="1481"/>
      <c r="H843" s="1481"/>
      <c r="K843" s="1481"/>
      <c r="M843" s="1481"/>
    </row>
    <row r="844" spans="1:13">
      <c r="A844" s="18"/>
      <c r="B844" s="18"/>
      <c r="D844" s="820"/>
      <c r="E844" s="820"/>
      <c r="F844" s="1481"/>
      <c r="H844" s="1481"/>
      <c r="K844" s="1481"/>
      <c r="M844" s="1481"/>
    </row>
    <row r="845" spans="1:13">
      <c r="A845" s="18"/>
      <c r="B845" s="18"/>
      <c r="D845" s="820"/>
      <c r="E845" s="820"/>
      <c r="F845" s="1481"/>
      <c r="H845" s="1481"/>
      <c r="K845" s="1481"/>
      <c r="M845" s="1481"/>
    </row>
    <row r="846" spans="1:13">
      <c r="A846" s="18"/>
      <c r="B846" s="18"/>
      <c r="D846" s="820"/>
      <c r="E846" s="820"/>
      <c r="F846" s="1481"/>
      <c r="H846" s="1481"/>
      <c r="K846" s="1481"/>
      <c r="M846" s="1481"/>
    </row>
    <row r="847" spans="1:13">
      <c r="A847" s="18"/>
      <c r="B847" s="18"/>
      <c r="D847" s="820"/>
      <c r="E847" s="820"/>
      <c r="F847" s="1481"/>
      <c r="H847" s="1481"/>
      <c r="K847" s="1481"/>
      <c r="M847" s="1481"/>
    </row>
    <row r="848" spans="1:13">
      <c r="A848" s="18"/>
      <c r="B848" s="18"/>
      <c r="D848" s="820"/>
      <c r="E848" s="820"/>
      <c r="F848" s="1481"/>
      <c r="H848" s="1481"/>
      <c r="K848" s="1481"/>
      <c r="M848" s="1481"/>
    </row>
    <row r="849" spans="1:13">
      <c r="A849" s="18"/>
      <c r="B849" s="18"/>
      <c r="D849" s="820"/>
      <c r="E849" s="820"/>
      <c r="F849" s="1481"/>
      <c r="H849" s="1481"/>
      <c r="K849" s="1481"/>
      <c r="M849" s="1481"/>
    </row>
    <row r="850" spans="1:13">
      <c r="A850" s="18"/>
      <c r="B850" s="18"/>
      <c r="D850" s="820"/>
      <c r="E850" s="820"/>
      <c r="F850" s="1481"/>
      <c r="H850" s="1481"/>
      <c r="K850" s="1481"/>
      <c r="M850" s="1481"/>
    </row>
    <row r="851" spans="1:13">
      <c r="A851" s="18"/>
      <c r="B851" s="18"/>
      <c r="D851" s="820"/>
      <c r="E851" s="820"/>
      <c r="F851" s="1481"/>
      <c r="H851" s="1481"/>
      <c r="K851" s="1481"/>
      <c r="M851" s="1481"/>
    </row>
    <row r="852" spans="1:13">
      <c r="A852" s="18"/>
      <c r="B852" s="18"/>
      <c r="D852" s="820"/>
      <c r="E852" s="820"/>
      <c r="F852" s="1481"/>
      <c r="H852" s="1481"/>
      <c r="K852" s="1481"/>
      <c r="M852" s="1481"/>
    </row>
    <row r="853" spans="1:13">
      <c r="A853" s="18"/>
      <c r="B853" s="18"/>
      <c r="D853" s="820"/>
      <c r="E853" s="820"/>
      <c r="F853" s="1481"/>
      <c r="H853" s="1481"/>
      <c r="K853" s="1481"/>
      <c r="M853" s="1481"/>
    </row>
    <row r="854" spans="1:13">
      <c r="A854" s="18"/>
      <c r="B854" s="18"/>
      <c r="D854" s="820"/>
      <c r="E854" s="820"/>
      <c r="F854" s="1481"/>
      <c r="H854" s="1481"/>
      <c r="K854" s="1481"/>
      <c r="M854" s="1481"/>
    </row>
    <row r="855" spans="1:13">
      <c r="A855" s="18"/>
      <c r="B855" s="18"/>
      <c r="D855" s="820"/>
      <c r="E855" s="820"/>
      <c r="F855" s="1481"/>
      <c r="H855" s="1481"/>
      <c r="K855" s="1481"/>
      <c r="M855" s="1481"/>
    </row>
    <row r="856" spans="1:13">
      <c r="A856" s="18"/>
      <c r="B856" s="18"/>
      <c r="D856" s="820"/>
      <c r="E856" s="820"/>
      <c r="F856" s="1481"/>
      <c r="H856" s="1481"/>
      <c r="K856" s="1481"/>
      <c r="M856" s="1481"/>
    </row>
    <row r="857" spans="1:13">
      <c r="A857" s="18"/>
      <c r="B857" s="18"/>
      <c r="D857" s="820"/>
      <c r="E857" s="820"/>
      <c r="F857" s="1481"/>
      <c r="H857" s="1481"/>
      <c r="K857" s="1481"/>
      <c r="M857" s="1481"/>
    </row>
    <row r="858" spans="1:13">
      <c r="A858" s="18"/>
      <c r="B858" s="18"/>
      <c r="D858" s="820"/>
      <c r="E858" s="820"/>
      <c r="F858" s="1481"/>
      <c r="H858" s="1481"/>
      <c r="K858" s="1481"/>
      <c r="M858" s="1481"/>
    </row>
    <row r="859" spans="1:13">
      <c r="A859" s="18"/>
      <c r="B859" s="18"/>
      <c r="D859" s="820"/>
      <c r="E859" s="820"/>
      <c r="F859" s="1481"/>
      <c r="H859" s="1481"/>
      <c r="K859" s="1481"/>
      <c r="M859" s="1481"/>
    </row>
    <row r="860" spans="1:13">
      <c r="A860" s="18"/>
      <c r="B860" s="18"/>
      <c r="D860" s="820"/>
      <c r="E860" s="820"/>
      <c r="F860" s="1481"/>
      <c r="H860" s="1481"/>
      <c r="K860" s="1481"/>
      <c r="M860" s="1481"/>
    </row>
    <row r="861" spans="1:13">
      <c r="A861" s="18"/>
      <c r="B861" s="18"/>
      <c r="D861" s="820"/>
      <c r="E861" s="820"/>
      <c r="F861" s="1481"/>
      <c r="H861" s="1481"/>
      <c r="K861" s="1481"/>
      <c r="M861" s="1481"/>
    </row>
    <row r="862" spans="1:13">
      <c r="A862" s="18"/>
      <c r="B862" s="18"/>
      <c r="D862" s="820"/>
      <c r="E862" s="820"/>
      <c r="F862" s="1481"/>
      <c r="H862" s="1481"/>
      <c r="K862" s="1481"/>
      <c r="M862" s="1481"/>
    </row>
    <row r="863" spans="1:13">
      <c r="A863" s="18"/>
      <c r="B863" s="18"/>
      <c r="D863" s="820"/>
      <c r="E863" s="820"/>
      <c r="F863" s="1481"/>
      <c r="H863" s="1481"/>
      <c r="K863" s="1481"/>
      <c r="M863" s="1481"/>
    </row>
    <row r="864" spans="1:13">
      <c r="A864" s="18"/>
      <c r="B864" s="18"/>
      <c r="D864" s="820"/>
      <c r="E864" s="820"/>
      <c r="F864" s="1481"/>
      <c r="H864" s="1481"/>
      <c r="K864" s="1481"/>
      <c r="M864" s="1481"/>
    </row>
    <row r="865" spans="1:13">
      <c r="A865" s="18"/>
      <c r="B865" s="18"/>
      <c r="D865" s="820"/>
      <c r="E865" s="820"/>
      <c r="F865" s="1481"/>
      <c r="H865" s="1481"/>
      <c r="K865" s="1481"/>
      <c r="M865" s="1481"/>
    </row>
    <row r="866" spans="1:13">
      <c r="A866" s="18"/>
      <c r="B866" s="18"/>
      <c r="D866" s="820"/>
      <c r="E866" s="820"/>
      <c r="F866" s="1481"/>
      <c r="H866" s="1481"/>
      <c r="K866" s="1481"/>
      <c r="M866" s="1481"/>
    </row>
    <row r="867" spans="1:13">
      <c r="A867" s="18"/>
      <c r="B867" s="18"/>
      <c r="D867" s="820"/>
      <c r="E867" s="820"/>
      <c r="F867" s="1481"/>
      <c r="H867" s="1481"/>
      <c r="K867" s="1481"/>
      <c r="M867" s="1481"/>
    </row>
    <row r="868" spans="1:13">
      <c r="A868" s="18"/>
      <c r="B868" s="18"/>
      <c r="D868" s="820"/>
      <c r="E868" s="820"/>
      <c r="F868" s="1481"/>
      <c r="H868" s="1481"/>
      <c r="K868" s="1481"/>
      <c r="M868" s="1481"/>
    </row>
    <row r="869" spans="1:13">
      <c r="A869" s="18"/>
      <c r="B869" s="18"/>
      <c r="D869" s="820"/>
      <c r="E869" s="820"/>
      <c r="F869" s="1481"/>
      <c r="H869" s="1481"/>
      <c r="K869" s="1481"/>
      <c r="M869" s="1481"/>
    </row>
    <row r="870" spans="1:13">
      <c r="A870" s="18"/>
      <c r="B870" s="18"/>
      <c r="D870" s="820"/>
      <c r="E870" s="820"/>
      <c r="F870" s="1481"/>
      <c r="H870" s="1481"/>
      <c r="K870" s="1481"/>
      <c r="M870" s="1481"/>
    </row>
    <row r="871" spans="1:13">
      <c r="A871" s="18"/>
      <c r="B871" s="18"/>
      <c r="D871" s="820"/>
      <c r="E871" s="820"/>
      <c r="F871" s="1481"/>
      <c r="H871" s="1481"/>
      <c r="K871" s="1481"/>
      <c r="M871" s="1481"/>
    </row>
    <row r="872" spans="1:13">
      <c r="A872" s="18"/>
      <c r="B872" s="18"/>
      <c r="D872" s="820"/>
      <c r="E872" s="820"/>
      <c r="F872" s="1481"/>
      <c r="H872" s="1481"/>
      <c r="K872" s="1481"/>
      <c r="M872" s="1481"/>
    </row>
    <row r="873" spans="1:13">
      <c r="A873" s="18"/>
      <c r="B873" s="18"/>
      <c r="D873" s="820"/>
      <c r="E873" s="820"/>
      <c r="F873" s="1481"/>
      <c r="H873" s="1481"/>
      <c r="K873" s="1481"/>
      <c r="M873" s="1481"/>
    </row>
    <row r="874" spans="1:13">
      <c r="A874" s="18"/>
      <c r="B874" s="18"/>
      <c r="D874" s="820"/>
      <c r="E874" s="820"/>
      <c r="F874" s="1481"/>
      <c r="H874" s="1481"/>
      <c r="K874" s="1481"/>
      <c r="M874" s="1481"/>
    </row>
    <row r="875" spans="1:13">
      <c r="A875" s="18"/>
      <c r="B875" s="18"/>
      <c r="D875" s="820"/>
      <c r="E875" s="820"/>
      <c r="F875" s="1481"/>
      <c r="H875" s="1481"/>
      <c r="K875" s="1481"/>
      <c r="M875" s="1481"/>
    </row>
    <row r="876" spans="1:13">
      <c r="A876" s="18"/>
      <c r="B876" s="18"/>
      <c r="D876" s="820"/>
      <c r="E876" s="820"/>
      <c r="F876" s="1481"/>
      <c r="H876" s="1481"/>
      <c r="K876" s="1481"/>
      <c r="M876" s="1481"/>
    </row>
    <row r="877" spans="1:13">
      <c r="A877" s="18"/>
      <c r="B877" s="18"/>
      <c r="D877" s="820"/>
      <c r="E877" s="820"/>
      <c r="F877" s="1481"/>
      <c r="H877" s="1481"/>
      <c r="K877" s="1481"/>
      <c r="M877" s="1481"/>
    </row>
    <row r="878" spans="1:13">
      <c r="A878" s="18"/>
      <c r="B878" s="18"/>
      <c r="D878" s="820"/>
      <c r="E878" s="820"/>
      <c r="F878" s="1481"/>
      <c r="H878" s="1481"/>
      <c r="K878" s="1481"/>
      <c r="M878" s="1481"/>
    </row>
    <row r="879" spans="1:13">
      <c r="A879" s="18"/>
      <c r="B879" s="18"/>
      <c r="D879" s="820"/>
      <c r="E879" s="820"/>
      <c r="F879" s="1481"/>
      <c r="H879" s="1481"/>
      <c r="K879" s="1481"/>
      <c r="M879" s="1481"/>
    </row>
    <row r="880" spans="1:13">
      <c r="A880" s="18"/>
      <c r="B880" s="18"/>
      <c r="D880" s="820"/>
      <c r="E880" s="820"/>
      <c r="F880" s="1481"/>
      <c r="H880" s="1481"/>
      <c r="K880" s="1481"/>
      <c r="M880" s="1481"/>
    </row>
    <row r="881" spans="1:13">
      <c r="A881" s="18"/>
      <c r="B881" s="18"/>
      <c r="D881" s="820"/>
      <c r="E881" s="820"/>
      <c r="F881" s="1481"/>
      <c r="H881" s="1481"/>
      <c r="K881" s="1481"/>
      <c r="M881" s="1481"/>
    </row>
    <row r="882" spans="1:13">
      <c r="A882" s="18"/>
      <c r="B882" s="18"/>
      <c r="D882" s="820"/>
      <c r="E882" s="820"/>
      <c r="F882" s="1481"/>
      <c r="H882" s="1481"/>
      <c r="K882" s="1481"/>
      <c r="M882" s="1481"/>
    </row>
    <row r="883" spans="1:13">
      <c r="A883" s="18"/>
      <c r="B883" s="18"/>
      <c r="D883" s="820"/>
      <c r="E883" s="820"/>
      <c r="F883" s="1481"/>
      <c r="H883" s="1481"/>
      <c r="K883" s="1481"/>
      <c r="M883" s="1481"/>
    </row>
    <row r="884" spans="1:13">
      <c r="A884" s="18"/>
      <c r="B884" s="18"/>
      <c r="D884" s="820"/>
      <c r="E884" s="820"/>
      <c r="F884" s="1481"/>
      <c r="H884" s="1481"/>
      <c r="K884" s="1481"/>
      <c r="M884" s="1481"/>
    </row>
    <row r="885" spans="1:13">
      <c r="A885" s="18"/>
      <c r="B885" s="18"/>
      <c r="D885" s="820"/>
      <c r="E885" s="820"/>
      <c r="F885" s="1481"/>
      <c r="H885" s="1481"/>
      <c r="K885" s="1481"/>
      <c r="M885" s="1481"/>
    </row>
    <row r="886" spans="1:13">
      <c r="A886" s="18"/>
      <c r="B886" s="18"/>
      <c r="D886" s="820"/>
      <c r="E886" s="820"/>
      <c r="F886" s="1481"/>
      <c r="H886" s="1481"/>
      <c r="K886" s="1481"/>
      <c r="M886" s="1481"/>
    </row>
    <row r="887" spans="1:13">
      <c r="A887" s="18"/>
      <c r="B887" s="18"/>
      <c r="D887" s="820"/>
      <c r="E887" s="820"/>
      <c r="F887" s="1481"/>
      <c r="H887" s="1481"/>
      <c r="K887" s="1481"/>
      <c r="M887" s="1481"/>
    </row>
    <row r="888" spans="1:13">
      <c r="A888" s="18"/>
      <c r="B888" s="18"/>
      <c r="D888" s="820"/>
      <c r="E888" s="820"/>
      <c r="F888" s="1481"/>
      <c r="H888" s="1481"/>
      <c r="K888" s="1481"/>
      <c r="M888" s="1481"/>
    </row>
    <row r="889" spans="1:13">
      <c r="A889" s="18"/>
      <c r="B889" s="18"/>
      <c r="D889" s="820"/>
      <c r="E889" s="820"/>
      <c r="F889" s="1481"/>
      <c r="H889" s="1481"/>
      <c r="K889" s="1481"/>
      <c r="M889" s="1481"/>
    </row>
    <row r="890" spans="1:13">
      <c r="A890" s="18"/>
      <c r="B890" s="18"/>
      <c r="D890" s="820"/>
      <c r="E890" s="820"/>
      <c r="F890" s="1481"/>
      <c r="H890" s="1481"/>
      <c r="K890" s="1481"/>
      <c r="M890" s="1481"/>
    </row>
    <row r="891" spans="1:13">
      <c r="A891" s="18"/>
      <c r="B891" s="18"/>
      <c r="D891" s="820"/>
      <c r="E891" s="820"/>
      <c r="F891" s="1481"/>
      <c r="H891" s="1481"/>
      <c r="K891" s="1481"/>
      <c r="M891" s="1481"/>
    </row>
    <row r="892" spans="1:13">
      <c r="A892" s="18"/>
      <c r="B892" s="18"/>
      <c r="D892" s="820"/>
      <c r="E892" s="820"/>
      <c r="F892" s="1481"/>
      <c r="H892" s="1481"/>
      <c r="K892" s="1481"/>
      <c r="M892" s="1481"/>
    </row>
    <row r="893" spans="1:13">
      <c r="A893" s="18"/>
      <c r="B893" s="18"/>
      <c r="D893" s="820"/>
      <c r="E893" s="820"/>
      <c r="F893" s="1481"/>
      <c r="H893" s="1481"/>
      <c r="K893" s="1481"/>
      <c r="M893" s="1481"/>
    </row>
    <row r="894" spans="1:13">
      <c r="A894" s="18"/>
      <c r="B894" s="18"/>
      <c r="D894" s="820"/>
      <c r="E894" s="820"/>
      <c r="F894" s="1481"/>
      <c r="H894" s="1481"/>
      <c r="K894" s="1481"/>
      <c r="M894" s="1481"/>
    </row>
    <row r="895" spans="1:13">
      <c r="A895" s="18"/>
      <c r="B895" s="18"/>
      <c r="D895" s="820"/>
      <c r="E895" s="820"/>
      <c r="F895" s="1481"/>
      <c r="H895" s="1481"/>
      <c r="K895" s="1481"/>
      <c r="M895" s="1481"/>
    </row>
    <row r="896" spans="1:13">
      <c r="A896" s="18"/>
      <c r="B896" s="18"/>
      <c r="D896" s="820"/>
      <c r="E896" s="820"/>
      <c r="F896" s="1481"/>
      <c r="H896" s="1481"/>
      <c r="K896" s="1481"/>
      <c r="M896" s="1481"/>
    </row>
    <row r="897" spans="1:13">
      <c r="A897" s="18"/>
      <c r="B897" s="18"/>
      <c r="D897" s="820"/>
      <c r="E897" s="820"/>
      <c r="F897" s="1481"/>
      <c r="H897" s="1481"/>
      <c r="K897" s="1481"/>
      <c r="M897" s="1481"/>
    </row>
    <row r="898" spans="1:13">
      <c r="A898" s="18"/>
      <c r="B898" s="18"/>
      <c r="D898" s="820"/>
      <c r="E898" s="820"/>
      <c r="F898" s="1481"/>
      <c r="H898" s="1481"/>
      <c r="K898" s="1481"/>
      <c r="M898" s="1481"/>
    </row>
    <row r="899" spans="1:13">
      <c r="A899" s="18"/>
      <c r="B899" s="18"/>
      <c r="D899" s="820"/>
      <c r="E899" s="820"/>
      <c r="F899" s="1481"/>
      <c r="H899" s="1481"/>
      <c r="K899" s="1481"/>
      <c r="M899" s="1481"/>
    </row>
    <row r="900" spans="1:13">
      <c r="A900" s="18"/>
      <c r="B900" s="18"/>
      <c r="D900" s="820"/>
      <c r="E900" s="820"/>
      <c r="F900" s="1481"/>
      <c r="H900" s="1481"/>
      <c r="K900" s="1481"/>
      <c r="M900" s="1481"/>
    </row>
    <row r="901" spans="1:13">
      <c r="A901" s="18"/>
      <c r="B901" s="18"/>
      <c r="D901" s="820"/>
      <c r="E901" s="820"/>
      <c r="F901" s="1481"/>
      <c r="H901" s="1481"/>
      <c r="K901" s="1481"/>
      <c r="M901" s="1481"/>
    </row>
    <row r="902" spans="1:13">
      <c r="A902" s="18"/>
      <c r="B902" s="18"/>
      <c r="D902" s="820"/>
      <c r="E902" s="820"/>
      <c r="F902" s="1481"/>
      <c r="H902" s="1481"/>
      <c r="K902" s="1481"/>
      <c r="M902" s="1481"/>
    </row>
    <row r="903" spans="1:13">
      <c r="A903" s="18"/>
      <c r="B903" s="18"/>
      <c r="D903" s="820"/>
      <c r="E903" s="820"/>
      <c r="F903" s="1481"/>
      <c r="H903" s="1481"/>
      <c r="K903" s="1481"/>
      <c r="M903" s="1481"/>
    </row>
    <row r="904" spans="1:13">
      <c r="A904" s="18"/>
      <c r="B904" s="18"/>
      <c r="D904" s="820"/>
      <c r="E904" s="820"/>
      <c r="F904" s="1481"/>
      <c r="H904" s="1481"/>
      <c r="K904" s="1481"/>
      <c r="M904" s="1481"/>
    </row>
    <row r="905" spans="1:13">
      <c r="A905" s="18"/>
      <c r="B905" s="18"/>
      <c r="D905" s="820"/>
      <c r="E905" s="820"/>
      <c r="F905" s="1481"/>
      <c r="H905" s="1481"/>
      <c r="K905" s="1481"/>
      <c r="M905" s="1481"/>
    </row>
    <row r="906" spans="1:13">
      <c r="A906" s="18"/>
      <c r="B906" s="18"/>
      <c r="D906" s="820"/>
      <c r="E906" s="820"/>
      <c r="F906" s="1481"/>
      <c r="H906" s="1481"/>
      <c r="K906" s="1481"/>
      <c r="M906" s="1481"/>
    </row>
    <row r="907" spans="1:13">
      <c r="A907" s="18"/>
      <c r="B907" s="18"/>
      <c r="D907" s="820"/>
      <c r="E907" s="820"/>
      <c r="F907" s="1481"/>
      <c r="H907" s="1481"/>
      <c r="K907" s="1481"/>
      <c r="M907" s="1481"/>
    </row>
    <row r="908" spans="1:13">
      <c r="A908" s="18"/>
      <c r="B908" s="18"/>
      <c r="D908" s="820"/>
      <c r="E908" s="820"/>
      <c r="F908" s="1481"/>
      <c r="H908" s="1481"/>
      <c r="K908" s="1481"/>
      <c r="M908" s="1481"/>
    </row>
    <row r="909" spans="1:13">
      <c r="A909" s="18"/>
      <c r="B909" s="18"/>
      <c r="D909" s="820"/>
      <c r="E909" s="820"/>
      <c r="F909" s="1481"/>
      <c r="H909" s="1481"/>
      <c r="K909" s="1481"/>
      <c r="M909" s="1481"/>
    </row>
    <row r="910" spans="1:13">
      <c r="A910" s="18"/>
      <c r="B910" s="18"/>
      <c r="D910" s="820"/>
      <c r="E910" s="820"/>
      <c r="F910" s="1481"/>
      <c r="H910" s="1481"/>
      <c r="K910" s="1481"/>
      <c r="M910" s="1481"/>
    </row>
    <row r="911" spans="1:13">
      <c r="A911" s="18"/>
      <c r="B911" s="18"/>
      <c r="D911" s="820"/>
      <c r="E911" s="820"/>
      <c r="F911" s="1481"/>
      <c r="H911" s="1481"/>
      <c r="K911" s="1481"/>
      <c r="M911" s="1481"/>
    </row>
    <row r="912" spans="1:13">
      <c r="A912" s="18"/>
      <c r="B912" s="18"/>
      <c r="D912" s="820"/>
      <c r="E912" s="820"/>
      <c r="F912" s="1481"/>
      <c r="H912" s="1481"/>
      <c r="K912" s="1481"/>
      <c r="M912" s="1481"/>
    </row>
    <row r="913" spans="1:13">
      <c r="A913" s="18"/>
      <c r="B913" s="18"/>
      <c r="D913" s="820"/>
      <c r="E913" s="820"/>
      <c r="F913" s="1481"/>
      <c r="H913" s="1481"/>
      <c r="K913" s="1481"/>
      <c r="M913" s="1481"/>
    </row>
    <row r="914" spans="1:13">
      <c r="A914" s="18"/>
      <c r="B914" s="18"/>
      <c r="D914" s="820"/>
      <c r="E914" s="820"/>
      <c r="F914" s="1481"/>
      <c r="H914" s="1481"/>
      <c r="K914" s="1481"/>
      <c r="M914" s="1481"/>
    </row>
    <row r="915" spans="1:13">
      <c r="A915" s="18"/>
      <c r="B915" s="18"/>
      <c r="D915" s="820"/>
      <c r="E915" s="820"/>
      <c r="F915" s="1481"/>
      <c r="H915" s="1481"/>
      <c r="K915" s="1481"/>
      <c r="M915" s="1481"/>
    </row>
    <row r="916" spans="1:13">
      <c r="A916" s="18"/>
      <c r="B916" s="18"/>
      <c r="D916" s="820"/>
      <c r="E916" s="820"/>
      <c r="F916" s="1481"/>
      <c r="H916" s="1481"/>
      <c r="K916" s="1481"/>
      <c r="M916" s="1481"/>
    </row>
    <row r="917" spans="1:13">
      <c r="A917" s="18"/>
      <c r="B917" s="18"/>
      <c r="D917" s="820"/>
      <c r="E917" s="820"/>
      <c r="F917" s="1481"/>
      <c r="H917" s="1481"/>
      <c r="K917" s="1481"/>
      <c r="M917" s="1481"/>
    </row>
    <row r="918" spans="1:13">
      <c r="A918" s="18"/>
      <c r="B918" s="18"/>
      <c r="D918" s="820"/>
      <c r="E918" s="820"/>
      <c r="F918" s="1481"/>
      <c r="H918" s="1481"/>
      <c r="K918" s="1481"/>
      <c r="M918" s="1481"/>
    </row>
    <row r="919" spans="1:13">
      <c r="A919" s="18"/>
      <c r="B919" s="18"/>
      <c r="D919" s="820"/>
      <c r="E919" s="820"/>
      <c r="F919" s="1481"/>
      <c r="H919" s="1481"/>
      <c r="K919" s="1481"/>
      <c r="M919" s="1481"/>
    </row>
    <row r="920" spans="1:13">
      <c r="A920" s="18"/>
      <c r="B920" s="18"/>
      <c r="D920" s="820"/>
      <c r="E920" s="820"/>
      <c r="F920" s="1481"/>
      <c r="H920" s="1481"/>
      <c r="K920" s="1481"/>
      <c r="M920" s="1481"/>
    </row>
    <row r="921" spans="1:13">
      <c r="A921" s="18"/>
      <c r="B921" s="18"/>
      <c r="D921" s="820"/>
      <c r="E921" s="820"/>
      <c r="F921" s="1481"/>
      <c r="H921" s="1481"/>
      <c r="K921" s="1481"/>
      <c r="M921" s="1481"/>
    </row>
    <row r="922" spans="1:13">
      <c r="A922" s="18"/>
      <c r="B922" s="18"/>
      <c r="D922" s="820"/>
      <c r="E922" s="820"/>
      <c r="F922" s="1481"/>
      <c r="H922" s="1481"/>
      <c r="K922" s="1481"/>
      <c r="M922" s="1481"/>
    </row>
    <row r="923" spans="1:13">
      <c r="A923" s="18"/>
      <c r="B923" s="18"/>
      <c r="D923" s="820"/>
      <c r="E923" s="820"/>
      <c r="F923" s="1481"/>
      <c r="H923" s="1481"/>
      <c r="K923" s="1481"/>
      <c r="M923" s="1481"/>
    </row>
    <row r="924" spans="1:13">
      <c r="A924" s="18"/>
      <c r="B924" s="18"/>
      <c r="D924" s="820"/>
      <c r="E924" s="820"/>
      <c r="F924" s="1481"/>
      <c r="H924" s="1481"/>
      <c r="K924" s="1481"/>
      <c r="M924" s="1481"/>
    </row>
    <row r="925" spans="1:13">
      <c r="A925" s="18"/>
      <c r="B925" s="18"/>
      <c r="D925" s="820"/>
      <c r="E925" s="820"/>
      <c r="F925" s="1481"/>
      <c r="H925" s="1481"/>
      <c r="K925" s="1481"/>
      <c r="M925" s="1481"/>
    </row>
    <row r="926" spans="1:13">
      <c r="A926" s="18"/>
      <c r="B926" s="18"/>
      <c r="D926" s="820"/>
      <c r="E926" s="820"/>
      <c r="F926" s="1481"/>
      <c r="H926" s="1481"/>
      <c r="K926" s="1481"/>
      <c r="M926" s="1481"/>
    </row>
    <row r="927" spans="1:13">
      <c r="A927" s="18"/>
      <c r="B927" s="18"/>
      <c r="D927" s="820"/>
      <c r="E927" s="820"/>
      <c r="F927" s="1481"/>
      <c r="H927" s="1481"/>
      <c r="K927" s="1481"/>
      <c r="M927" s="1481"/>
    </row>
    <row r="928" spans="1:13">
      <c r="A928" s="18"/>
      <c r="B928" s="18"/>
      <c r="D928" s="820"/>
      <c r="E928" s="820"/>
      <c r="F928" s="1481"/>
      <c r="H928" s="1481"/>
      <c r="K928" s="1481"/>
      <c r="M928" s="1481"/>
    </row>
    <row r="929" spans="1:13">
      <c r="A929" s="18"/>
      <c r="B929" s="18"/>
      <c r="D929" s="820"/>
      <c r="E929" s="820"/>
      <c r="F929" s="1481"/>
      <c r="H929" s="1481"/>
      <c r="K929" s="1481"/>
      <c r="M929" s="1481"/>
    </row>
    <row r="930" spans="1:13">
      <c r="A930" s="18"/>
      <c r="B930" s="18"/>
      <c r="D930" s="820"/>
      <c r="E930" s="820"/>
      <c r="F930" s="1481"/>
      <c r="H930" s="1481"/>
      <c r="K930" s="1481"/>
      <c r="M930" s="1481"/>
    </row>
    <row r="931" spans="1:13">
      <c r="A931" s="18"/>
      <c r="B931" s="18"/>
      <c r="D931" s="820"/>
      <c r="E931" s="820"/>
      <c r="F931" s="1481"/>
      <c r="H931" s="1481"/>
      <c r="K931" s="1481"/>
      <c r="M931" s="1481"/>
    </row>
    <row r="932" spans="1:13">
      <c r="A932" s="18"/>
      <c r="B932" s="18"/>
      <c r="D932" s="820"/>
      <c r="E932" s="820"/>
      <c r="F932" s="1481"/>
      <c r="H932" s="1481"/>
      <c r="K932" s="1481"/>
      <c r="M932" s="1481"/>
    </row>
    <row r="933" spans="1:13">
      <c r="A933" s="18"/>
      <c r="B933" s="18"/>
      <c r="D933" s="820"/>
      <c r="E933" s="820"/>
      <c r="F933" s="1481"/>
      <c r="H933" s="1481"/>
      <c r="K933" s="1481"/>
      <c r="M933" s="1481"/>
    </row>
    <row r="934" spans="1:13">
      <c r="A934" s="18"/>
      <c r="B934" s="18"/>
      <c r="D934" s="820"/>
      <c r="E934" s="820"/>
      <c r="F934" s="1481"/>
      <c r="H934" s="1481"/>
      <c r="K934" s="1481"/>
      <c r="M934" s="1481"/>
    </row>
    <row r="935" spans="1:13">
      <c r="A935" s="18"/>
      <c r="B935" s="18"/>
      <c r="D935" s="820"/>
      <c r="E935" s="820"/>
      <c r="F935" s="1481"/>
      <c r="H935" s="1481"/>
      <c r="K935" s="1481"/>
      <c r="M935" s="1481"/>
    </row>
    <row r="936" spans="1:13">
      <c r="A936" s="18"/>
      <c r="B936" s="18"/>
      <c r="D936" s="820"/>
      <c r="E936" s="820"/>
      <c r="F936" s="1481"/>
      <c r="H936" s="1481"/>
      <c r="K936" s="1481"/>
      <c r="M936" s="1481"/>
    </row>
    <row r="937" spans="1:13">
      <c r="A937" s="18"/>
      <c r="B937" s="18"/>
      <c r="D937" s="820"/>
      <c r="E937" s="820"/>
      <c r="F937" s="1481"/>
      <c r="H937" s="1481"/>
      <c r="K937" s="1481"/>
      <c r="M937" s="1481"/>
    </row>
    <row r="938" spans="1:13">
      <c r="A938" s="18"/>
      <c r="B938" s="18"/>
      <c r="D938" s="820"/>
      <c r="E938" s="820"/>
      <c r="F938" s="1481"/>
      <c r="H938" s="1481"/>
      <c r="K938" s="1481"/>
      <c r="M938" s="1481"/>
    </row>
    <row r="939" spans="1:13">
      <c r="A939" s="18"/>
      <c r="B939" s="18"/>
      <c r="D939" s="820"/>
      <c r="E939" s="820"/>
      <c r="F939" s="1481"/>
      <c r="H939" s="1481"/>
      <c r="K939" s="1481"/>
      <c r="M939" s="1481"/>
    </row>
    <row r="940" spans="1:13">
      <c r="A940" s="18"/>
      <c r="B940" s="18"/>
      <c r="D940" s="820"/>
      <c r="E940" s="820"/>
      <c r="F940" s="1481"/>
      <c r="H940" s="1481"/>
      <c r="K940" s="1481"/>
      <c r="M940" s="1481"/>
    </row>
    <row r="941" spans="1:13">
      <c r="A941" s="18"/>
      <c r="B941" s="18"/>
      <c r="D941" s="820"/>
      <c r="E941" s="820"/>
      <c r="F941" s="1481"/>
      <c r="H941" s="1481"/>
      <c r="K941" s="1481"/>
      <c r="M941" s="1481"/>
    </row>
    <row r="942" spans="1:13">
      <c r="A942" s="18"/>
      <c r="B942" s="18"/>
      <c r="D942" s="820"/>
      <c r="E942" s="820"/>
      <c r="F942" s="1481"/>
      <c r="H942" s="1481"/>
      <c r="K942" s="1481"/>
      <c r="M942" s="1481"/>
    </row>
    <row r="943" spans="1:13">
      <c r="A943" s="18"/>
      <c r="B943" s="18"/>
      <c r="D943" s="820"/>
      <c r="E943" s="820"/>
      <c r="F943" s="1481"/>
      <c r="H943" s="1481"/>
      <c r="K943" s="1481"/>
      <c r="M943" s="1481"/>
    </row>
    <row r="944" spans="1:13">
      <c r="A944" s="18"/>
      <c r="B944" s="18"/>
      <c r="D944" s="820"/>
      <c r="E944" s="820"/>
      <c r="F944" s="1481"/>
      <c r="H944" s="1481"/>
      <c r="K944" s="1481"/>
      <c r="M944" s="1481"/>
    </row>
    <row r="945" spans="1:13">
      <c r="A945" s="18"/>
      <c r="B945" s="18"/>
      <c r="D945" s="820"/>
      <c r="E945" s="820"/>
      <c r="F945" s="1481"/>
      <c r="H945" s="1481"/>
      <c r="K945" s="1481"/>
      <c r="M945" s="1481"/>
    </row>
    <row r="946" spans="1:13">
      <c r="A946" s="18"/>
      <c r="B946" s="18"/>
      <c r="D946" s="820"/>
      <c r="E946" s="820"/>
      <c r="F946" s="1481"/>
      <c r="H946" s="1481"/>
      <c r="K946" s="1481"/>
      <c r="M946" s="1481"/>
    </row>
    <row r="947" spans="1:13">
      <c r="A947" s="18"/>
      <c r="B947" s="18"/>
      <c r="D947" s="820"/>
      <c r="E947" s="820"/>
      <c r="F947" s="1481"/>
      <c r="H947" s="1481"/>
      <c r="K947" s="1481"/>
      <c r="M947" s="1481"/>
    </row>
    <row r="948" spans="1:13">
      <c r="A948" s="18"/>
      <c r="B948" s="18"/>
      <c r="D948" s="820"/>
      <c r="E948" s="820"/>
      <c r="F948" s="1481"/>
      <c r="H948" s="1481"/>
      <c r="K948" s="1481"/>
      <c r="M948" s="1481"/>
    </row>
    <row r="949" spans="1:13">
      <c r="A949" s="18"/>
      <c r="B949" s="18"/>
      <c r="D949" s="820"/>
      <c r="E949" s="820"/>
      <c r="F949" s="1481"/>
      <c r="H949" s="1481"/>
      <c r="K949" s="1481"/>
      <c r="M949" s="1481"/>
    </row>
    <row r="950" spans="1:13">
      <c r="A950" s="18"/>
      <c r="B950" s="18"/>
      <c r="D950" s="820"/>
      <c r="E950" s="820"/>
      <c r="F950" s="1481"/>
      <c r="H950" s="1481"/>
      <c r="K950" s="1481"/>
      <c r="M950" s="1481"/>
    </row>
    <row r="951" spans="1:13">
      <c r="A951" s="18"/>
      <c r="B951" s="18"/>
      <c r="D951" s="820"/>
      <c r="E951" s="820"/>
      <c r="F951" s="1481"/>
      <c r="H951" s="1481"/>
      <c r="K951" s="1481"/>
      <c r="M951" s="1481"/>
    </row>
    <row r="952" spans="1:13">
      <c r="A952" s="18"/>
      <c r="B952" s="18"/>
      <c r="D952" s="820"/>
      <c r="E952" s="820"/>
      <c r="F952" s="1481"/>
      <c r="H952" s="1481"/>
      <c r="K952" s="1481"/>
      <c r="M952" s="1481"/>
    </row>
    <row r="953" spans="1:13">
      <c r="A953" s="18"/>
      <c r="B953" s="18"/>
      <c r="D953" s="820"/>
      <c r="E953" s="820"/>
      <c r="F953" s="1481"/>
      <c r="H953" s="1481"/>
      <c r="K953" s="1481"/>
      <c r="M953" s="1481"/>
    </row>
    <row r="954" spans="1:13">
      <c r="A954" s="18"/>
      <c r="B954" s="18"/>
      <c r="D954" s="820"/>
      <c r="E954" s="820"/>
      <c r="F954" s="1481"/>
      <c r="H954" s="1481"/>
      <c r="K954" s="1481"/>
      <c r="M954" s="1481"/>
    </row>
    <row r="955" spans="1:13">
      <c r="A955" s="18"/>
      <c r="B955" s="18"/>
      <c r="D955" s="820"/>
      <c r="E955" s="820"/>
      <c r="F955" s="1481"/>
      <c r="H955" s="1481"/>
      <c r="K955" s="1481"/>
      <c r="M955" s="1481"/>
    </row>
    <row r="956" spans="1:13">
      <c r="A956" s="18"/>
      <c r="B956" s="18"/>
      <c r="D956" s="820"/>
      <c r="E956" s="820"/>
      <c r="F956" s="1481"/>
      <c r="H956" s="1481"/>
      <c r="K956" s="1481"/>
      <c r="M956" s="1481"/>
    </row>
    <row r="957" spans="1:13">
      <c r="A957" s="18"/>
      <c r="B957" s="18"/>
      <c r="D957" s="820"/>
      <c r="E957" s="820"/>
      <c r="F957" s="1481"/>
      <c r="H957" s="1481"/>
      <c r="K957" s="1481"/>
      <c r="M957" s="1481"/>
    </row>
    <row r="958" spans="1:13">
      <c r="A958" s="18"/>
      <c r="B958" s="18"/>
      <c r="D958" s="820"/>
      <c r="E958" s="820"/>
      <c r="F958" s="1481"/>
      <c r="H958" s="1481"/>
      <c r="K958" s="1481"/>
      <c r="M958" s="1481"/>
    </row>
    <row r="959" spans="1:13">
      <c r="A959" s="18"/>
      <c r="B959" s="18"/>
      <c r="D959" s="820"/>
      <c r="E959" s="820"/>
      <c r="F959" s="1481"/>
      <c r="H959" s="1481"/>
      <c r="K959" s="1481"/>
      <c r="M959" s="1481"/>
    </row>
    <row r="960" spans="1:13">
      <c r="A960" s="18"/>
      <c r="B960" s="18"/>
      <c r="D960" s="820"/>
      <c r="E960" s="820"/>
      <c r="F960" s="1481"/>
      <c r="H960" s="1481"/>
      <c r="K960" s="1481"/>
      <c r="M960" s="1481"/>
    </row>
    <row r="961" spans="1:13">
      <c r="A961" s="18"/>
      <c r="B961" s="18"/>
      <c r="D961" s="820"/>
      <c r="E961" s="820"/>
      <c r="F961" s="1481"/>
      <c r="H961" s="1481"/>
      <c r="K961" s="1481"/>
      <c r="M961" s="1481"/>
    </row>
    <row r="962" spans="1:13">
      <c r="A962" s="18"/>
      <c r="B962" s="18"/>
      <c r="D962" s="820"/>
      <c r="E962" s="820"/>
      <c r="F962" s="1481"/>
      <c r="H962" s="1481"/>
      <c r="K962" s="1481"/>
      <c r="M962" s="1481"/>
    </row>
    <row r="963" spans="1:13">
      <c r="A963" s="18"/>
      <c r="B963" s="18"/>
      <c r="D963" s="820"/>
      <c r="E963" s="820"/>
      <c r="F963" s="1481"/>
      <c r="H963" s="1481"/>
      <c r="K963" s="1481"/>
      <c r="M963" s="1481"/>
    </row>
    <row r="964" spans="1:13">
      <c r="A964" s="18"/>
      <c r="B964" s="18"/>
      <c r="D964" s="820"/>
      <c r="E964" s="820"/>
      <c r="F964" s="1481"/>
      <c r="H964" s="1481"/>
      <c r="K964" s="1481"/>
      <c r="M964" s="1481"/>
    </row>
    <row r="965" spans="1:13">
      <c r="A965" s="18"/>
      <c r="B965" s="18"/>
      <c r="D965" s="820"/>
      <c r="E965" s="820"/>
      <c r="F965" s="1481"/>
      <c r="H965" s="1481"/>
      <c r="K965" s="1481"/>
      <c r="M965" s="1481"/>
    </row>
    <row r="966" spans="1:13">
      <c r="A966" s="18"/>
      <c r="B966" s="18"/>
      <c r="D966" s="820"/>
      <c r="E966" s="820"/>
      <c r="F966" s="1481"/>
      <c r="H966" s="1481"/>
      <c r="K966" s="1481"/>
      <c r="M966" s="1481"/>
    </row>
    <row r="967" spans="1:13">
      <c r="A967" s="18"/>
      <c r="B967" s="18"/>
      <c r="D967" s="820"/>
      <c r="E967" s="820"/>
      <c r="F967" s="1481"/>
      <c r="H967" s="1481"/>
      <c r="K967" s="1481"/>
      <c r="M967" s="1481"/>
    </row>
    <row r="968" spans="1:13">
      <c r="A968" s="18"/>
      <c r="B968" s="18"/>
      <c r="D968" s="820"/>
      <c r="E968" s="820"/>
      <c r="F968" s="1481"/>
      <c r="H968" s="1481"/>
      <c r="K968" s="1481"/>
      <c r="M968" s="1481"/>
    </row>
    <row r="969" spans="1:13">
      <c r="A969" s="18"/>
      <c r="B969" s="18"/>
      <c r="D969" s="820"/>
      <c r="E969" s="820"/>
      <c r="F969" s="1481"/>
      <c r="H969" s="1481"/>
      <c r="K969" s="1481"/>
      <c r="M969" s="1481"/>
    </row>
    <row r="970" spans="1:13">
      <c r="A970" s="18"/>
      <c r="B970" s="18"/>
      <c r="D970" s="820"/>
      <c r="E970" s="820"/>
      <c r="F970" s="1481"/>
      <c r="H970" s="1481"/>
      <c r="K970" s="1481"/>
      <c r="M970" s="1481"/>
    </row>
    <row r="971" spans="1:13">
      <c r="A971" s="18"/>
      <c r="B971" s="18"/>
      <c r="D971" s="820"/>
      <c r="E971" s="820"/>
      <c r="F971" s="1481"/>
      <c r="H971" s="1481"/>
      <c r="K971" s="1481"/>
      <c r="M971" s="1481"/>
    </row>
    <row r="972" spans="1:13">
      <c r="A972" s="18"/>
      <c r="B972" s="18"/>
      <c r="D972" s="820"/>
      <c r="E972" s="820"/>
      <c r="F972" s="1481"/>
      <c r="H972" s="1481"/>
      <c r="K972" s="1481"/>
      <c r="M972" s="1481"/>
    </row>
    <row r="973" spans="1:13">
      <c r="A973" s="18"/>
      <c r="B973" s="18"/>
      <c r="D973" s="820"/>
      <c r="E973" s="820"/>
      <c r="F973" s="1481"/>
      <c r="H973" s="1481"/>
      <c r="K973" s="1481"/>
      <c r="M973" s="1481"/>
    </row>
    <row r="974" spans="1:13">
      <c r="A974" s="18"/>
      <c r="B974" s="18"/>
      <c r="D974" s="820"/>
      <c r="E974" s="820"/>
      <c r="F974" s="1481"/>
      <c r="H974" s="1481"/>
      <c r="K974" s="1481"/>
      <c r="M974" s="1481"/>
    </row>
    <row r="975" spans="1:13">
      <c r="A975" s="18"/>
      <c r="B975" s="18"/>
      <c r="D975" s="820"/>
      <c r="E975" s="820"/>
      <c r="F975" s="1481"/>
      <c r="H975" s="1481"/>
      <c r="K975" s="1481"/>
      <c r="M975" s="1481"/>
    </row>
    <row r="976" spans="1:13">
      <c r="A976" s="18"/>
      <c r="B976" s="18"/>
      <c r="D976" s="820"/>
      <c r="E976" s="820"/>
      <c r="F976" s="1481"/>
      <c r="H976" s="1481"/>
      <c r="K976" s="1481"/>
      <c r="M976" s="1481"/>
    </row>
    <row r="977" spans="1:13">
      <c r="A977" s="18"/>
      <c r="B977" s="18"/>
      <c r="D977" s="820"/>
      <c r="E977" s="820"/>
      <c r="F977" s="1481"/>
      <c r="H977" s="1481"/>
      <c r="K977" s="1481"/>
      <c r="M977" s="1481"/>
    </row>
    <row r="978" spans="1:13">
      <c r="A978" s="18"/>
      <c r="B978" s="18"/>
      <c r="D978" s="820"/>
      <c r="E978" s="820"/>
      <c r="F978" s="1481"/>
      <c r="H978" s="1481"/>
      <c r="K978" s="1481"/>
      <c r="M978" s="1481"/>
    </row>
    <row r="979" spans="1:13">
      <c r="A979" s="18"/>
      <c r="B979" s="18"/>
      <c r="D979" s="820"/>
      <c r="E979" s="820"/>
      <c r="F979" s="1481"/>
      <c r="H979" s="1481"/>
      <c r="K979" s="1481"/>
      <c r="M979" s="1481"/>
    </row>
    <row r="980" spans="1:13">
      <c r="A980" s="18"/>
      <c r="B980" s="18"/>
      <c r="D980" s="820"/>
      <c r="E980" s="820"/>
      <c r="F980" s="1481"/>
      <c r="H980" s="1481"/>
      <c r="K980" s="1481"/>
      <c r="M980" s="1481"/>
    </row>
    <row r="981" spans="1:13">
      <c r="A981" s="18"/>
      <c r="B981" s="18"/>
      <c r="D981" s="820"/>
      <c r="E981" s="820"/>
      <c r="F981" s="1481"/>
      <c r="H981" s="1481"/>
      <c r="K981" s="1481"/>
      <c r="M981" s="1481"/>
    </row>
    <row r="982" spans="1:13">
      <c r="A982" s="18"/>
      <c r="B982" s="18"/>
      <c r="D982" s="820"/>
      <c r="E982" s="820"/>
      <c r="F982" s="1481"/>
      <c r="H982" s="1481"/>
      <c r="K982" s="1481"/>
      <c r="M982" s="1481"/>
    </row>
    <row r="983" spans="1:13">
      <c r="A983" s="18"/>
      <c r="B983" s="18"/>
      <c r="D983" s="820"/>
      <c r="E983" s="820"/>
      <c r="F983" s="1481"/>
      <c r="H983" s="1481"/>
      <c r="K983" s="1481"/>
      <c r="M983" s="1481"/>
    </row>
    <row r="984" spans="1:13">
      <c r="A984" s="18"/>
      <c r="B984" s="18"/>
      <c r="D984" s="820"/>
      <c r="E984" s="820"/>
      <c r="F984" s="1481"/>
      <c r="H984" s="1481"/>
      <c r="K984" s="1481"/>
      <c r="M984" s="1481"/>
    </row>
    <row r="985" spans="1:13">
      <c r="A985" s="18"/>
      <c r="B985" s="18"/>
      <c r="D985" s="820"/>
      <c r="E985" s="820"/>
      <c r="F985" s="1481"/>
      <c r="H985" s="1481"/>
      <c r="K985" s="1481"/>
      <c r="M985" s="1481"/>
    </row>
    <row r="986" spans="1:13">
      <c r="A986" s="18"/>
      <c r="B986" s="18"/>
      <c r="D986" s="820"/>
      <c r="E986" s="820"/>
      <c r="F986" s="1481"/>
      <c r="H986" s="1481"/>
      <c r="K986" s="1481"/>
      <c r="M986" s="1481"/>
    </row>
    <row r="987" spans="1:13">
      <c r="A987" s="18"/>
      <c r="B987" s="18"/>
      <c r="D987" s="820"/>
      <c r="E987" s="820"/>
      <c r="F987" s="1481"/>
      <c r="H987" s="1481"/>
      <c r="K987" s="1481"/>
      <c r="M987" s="1481"/>
    </row>
    <row r="988" spans="1:13">
      <c r="A988" s="18"/>
      <c r="B988" s="18"/>
      <c r="D988" s="820"/>
      <c r="E988" s="820"/>
      <c r="F988" s="1481"/>
      <c r="H988" s="1481"/>
      <c r="K988" s="1481"/>
      <c r="M988" s="1481"/>
    </row>
    <row r="989" spans="1:13">
      <c r="A989" s="18"/>
      <c r="B989" s="18"/>
      <c r="D989" s="820"/>
      <c r="E989" s="820"/>
      <c r="F989" s="1481"/>
      <c r="H989" s="1481"/>
      <c r="K989" s="1481"/>
      <c r="M989" s="1481"/>
    </row>
    <row r="990" spans="1:13">
      <c r="A990" s="18"/>
      <c r="B990" s="18"/>
      <c r="D990" s="820"/>
      <c r="E990" s="820"/>
      <c r="F990" s="1481"/>
      <c r="H990" s="1481"/>
      <c r="K990" s="1481"/>
      <c r="M990" s="1481"/>
    </row>
    <row r="991" spans="1:13">
      <c r="A991" s="18"/>
      <c r="B991" s="18"/>
      <c r="D991" s="820"/>
      <c r="E991" s="820"/>
      <c r="F991" s="1481"/>
      <c r="H991" s="1481"/>
      <c r="K991" s="1481"/>
      <c r="M991" s="1481"/>
    </row>
    <row r="992" spans="1:13">
      <c r="A992" s="18"/>
      <c r="B992" s="18"/>
      <c r="D992" s="820"/>
      <c r="E992" s="820"/>
      <c r="F992" s="1481"/>
      <c r="H992" s="1481"/>
      <c r="K992" s="1481"/>
      <c r="M992" s="1481"/>
    </row>
    <row r="993" spans="1:13">
      <c r="A993" s="18"/>
      <c r="B993" s="18"/>
      <c r="D993" s="820"/>
      <c r="E993" s="820"/>
      <c r="F993" s="1481"/>
      <c r="H993" s="1481"/>
      <c r="K993" s="1481"/>
      <c r="M993" s="1481"/>
    </row>
    <row r="994" spans="1:13">
      <c r="A994" s="18"/>
      <c r="B994" s="18"/>
      <c r="D994" s="820"/>
      <c r="E994" s="820"/>
      <c r="F994" s="1481"/>
      <c r="H994" s="1481"/>
      <c r="K994" s="1481"/>
      <c r="M994" s="1481"/>
    </row>
    <row r="995" spans="1:13">
      <c r="A995" s="18"/>
      <c r="B995" s="18"/>
      <c r="D995" s="820"/>
      <c r="E995" s="820"/>
      <c r="F995" s="1481"/>
      <c r="H995" s="1481"/>
      <c r="K995" s="1481"/>
      <c r="M995" s="1481"/>
    </row>
    <row r="996" spans="1:13">
      <c r="A996" s="18"/>
      <c r="B996" s="18"/>
      <c r="D996" s="820"/>
      <c r="E996" s="820"/>
      <c r="F996" s="1481"/>
      <c r="H996" s="1481"/>
      <c r="K996" s="1481"/>
      <c r="M996" s="1481"/>
    </row>
    <row r="997" spans="1:13">
      <c r="A997" s="18"/>
      <c r="B997" s="18"/>
      <c r="D997" s="820"/>
      <c r="E997" s="820"/>
      <c r="F997" s="1481"/>
      <c r="H997" s="1481"/>
      <c r="K997" s="1481"/>
      <c r="M997" s="1481"/>
    </row>
    <row r="998" spans="1:13">
      <c r="A998" s="18"/>
      <c r="B998" s="18"/>
      <c r="D998" s="820"/>
      <c r="E998" s="820"/>
      <c r="F998" s="1481"/>
      <c r="H998" s="1481"/>
      <c r="K998" s="1481"/>
      <c r="M998" s="1481"/>
    </row>
    <row r="999" spans="1:13">
      <c r="A999" s="18"/>
      <c r="B999" s="18"/>
      <c r="D999" s="820"/>
      <c r="E999" s="820"/>
      <c r="F999" s="1481"/>
      <c r="H999" s="1481"/>
      <c r="K999" s="1481"/>
      <c r="M999" s="1481"/>
    </row>
    <row r="1000" spans="1:13">
      <c r="A1000" s="18"/>
      <c r="B1000" s="18"/>
      <c r="D1000" s="820"/>
      <c r="E1000" s="820"/>
      <c r="F1000" s="1481"/>
      <c r="H1000" s="1481"/>
      <c r="K1000" s="1481"/>
      <c r="M1000" s="1481"/>
    </row>
    <row r="1001" spans="1:13">
      <c r="A1001" s="18"/>
      <c r="B1001" s="18"/>
      <c r="D1001" s="820"/>
      <c r="E1001" s="820"/>
      <c r="F1001" s="1481"/>
      <c r="H1001" s="1481"/>
      <c r="K1001" s="1481"/>
      <c r="M1001" s="1481"/>
    </row>
    <row r="1002" spans="1:13">
      <c r="A1002" s="18"/>
      <c r="B1002" s="18"/>
      <c r="D1002" s="820"/>
      <c r="E1002" s="820"/>
      <c r="F1002" s="1481"/>
      <c r="H1002" s="1481"/>
      <c r="K1002" s="1481"/>
      <c r="M1002" s="1481"/>
    </row>
    <row r="1003" spans="1:13">
      <c r="A1003" s="18"/>
      <c r="B1003" s="18"/>
      <c r="D1003" s="820"/>
      <c r="E1003" s="820"/>
      <c r="F1003" s="1481"/>
      <c r="H1003" s="1481"/>
      <c r="K1003" s="1481"/>
      <c r="M1003" s="1481"/>
    </row>
    <row r="1004" spans="1:13">
      <c r="A1004" s="18"/>
      <c r="B1004" s="18"/>
      <c r="D1004" s="820"/>
      <c r="E1004" s="820"/>
      <c r="F1004" s="1481"/>
      <c r="H1004" s="1481"/>
      <c r="K1004" s="1481"/>
      <c r="M1004" s="1481"/>
    </row>
    <row r="1005" spans="1:13">
      <c r="A1005" s="18"/>
      <c r="B1005" s="18"/>
      <c r="D1005" s="820"/>
      <c r="E1005" s="820"/>
      <c r="F1005" s="1481"/>
      <c r="H1005" s="1481"/>
      <c r="K1005" s="1481"/>
      <c r="M1005" s="1481"/>
    </row>
    <row r="1006" spans="1:13">
      <c r="A1006" s="18"/>
      <c r="B1006" s="18"/>
      <c r="D1006" s="820"/>
      <c r="E1006" s="820"/>
      <c r="F1006" s="1481"/>
      <c r="H1006" s="1481"/>
      <c r="K1006" s="1481"/>
      <c r="M1006" s="1481"/>
    </row>
    <row r="1007" spans="1:13">
      <c r="A1007" s="18"/>
      <c r="B1007" s="18"/>
      <c r="D1007" s="820"/>
      <c r="E1007" s="820"/>
      <c r="F1007" s="1481"/>
      <c r="H1007" s="1481"/>
      <c r="K1007" s="1481"/>
      <c r="M1007" s="1481"/>
    </row>
    <row r="1008" spans="1:13">
      <c r="A1008" s="18"/>
      <c r="B1008" s="18"/>
      <c r="D1008" s="820"/>
      <c r="E1008" s="820"/>
      <c r="F1008" s="1481"/>
      <c r="H1008" s="1481"/>
      <c r="K1008" s="1481"/>
      <c r="M1008" s="1481"/>
    </row>
    <row r="1009" spans="1:13">
      <c r="A1009" s="18"/>
      <c r="B1009" s="18"/>
      <c r="D1009" s="820"/>
      <c r="E1009" s="820"/>
      <c r="F1009" s="1481"/>
      <c r="H1009" s="1481"/>
      <c r="K1009" s="1481"/>
      <c r="M1009" s="1481"/>
    </row>
    <row r="1010" spans="1:13">
      <c r="A1010" s="18"/>
      <c r="B1010" s="18"/>
      <c r="D1010" s="820"/>
      <c r="E1010" s="820"/>
      <c r="F1010" s="1481"/>
      <c r="H1010" s="1481"/>
      <c r="K1010" s="1481"/>
      <c r="M1010" s="1481"/>
    </row>
    <row r="1011" spans="1:13">
      <c r="A1011" s="18"/>
      <c r="B1011" s="18"/>
      <c r="D1011" s="820"/>
      <c r="E1011" s="820"/>
      <c r="F1011" s="1481"/>
      <c r="H1011" s="1481"/>
      <c r="K1011" s="1481"/>
      <c r="M1011" s="1481"/>
    </row>
    <row r="1012" spans="1:13">
      <c r="A1012" s="18"/>
      <c r="B1012" s="18"/>
      <c r="D1012" s="820"/>
      <c r="E1012" s="820"/>
      <c r="F1012" s="1481"/>
      <c r="H1012" s="1481"/>
      <c r="K1012" s="1481"/>
      <c r="M1012" s="1481"/>
    </row>
    <row r="1013" spans="1:13">
      <c r="A1013" s="18"/>
      <c r="B1013" s="18"/>
      <c r="D1013" s="820"/>
      <c r="E1013" s="820"/>
      <c r="F1013" s="1481"/>
      <c r="H1013" s="1481"/>
      <c r="K1013" s="1481"/>
      <c r="M1013" s="1481"/>
    </row>
    <row r="1014" spans="1:13">
      <c r="A1014" s="18"/>
      <c r="B1014" s="18"/>
      <c r="D1014" s="820"/>
      <c r="E1014" s="820"/>
      <c r="F1014" s="1481"/>
      <c r="H1014" s="1481"/>
      <c r="K1014" s="1481"/>
      <c r="M1014" s="1481"/>
    </row>
    <row r="1015" spans="1:13">
      <c r="A1015" s="18"/>
      <c r="B1015" s="18"/>
      <c r="D1015" s="820"/>
      <c r="E1015" s="820"/>
      <c r="F1015" s="1481"/>
      <c r="H1015" s="1481"/>
      <c r="K1015" s="1481"/>
      <c r="M1015" s="1481"/>
    </row>
    <row r="1016" spans="1:13">
      <c r="A1016" s="18"/>
      <c r="B1016" s="18"/>
      <c r="D1016" s="820"/>
      <c r="E1016" s="820"/>
      <c r="F1016" s="1481"/>
      <c r="H1016" s="1481"/>
      <c r="K1016" s="1481"/>
      <c r="M1016" s="1481"/>
    </row>
    <row r="1017" spans="1:13">
      <c r="A1017" s="18"/>
      <c r="B1017" s="18"/>
      <c r="D1017" s="820"/>
      <c r="E1017" s="820"/>
      <c r="F1017" s="1481"/>
      <c r="H1017" s="1481"/>
      <c r="K1017" s="1481"/>
      <c r="M1017" s="1481"/>
    </row>
    <row r="1018" spans="1:13">
      <c r="A1018" s="18"/>
      <c r="B1018" s="18"/>
      <c r="D1018" s="820"/>
      <c r="E1018" s="820"/>
      <c r="F1018" s="1481"/>
      <c r="H1018" s="1481"/>
      <c r="K1018" s="1481"/>
      <c r="M1018" s="1481"/>
    </row>
    <row r="1019" spans="1:13">
      <c r="A1019" s="18"/>
      <c r="B1019" s="18"/>
      <c r="D1019" s="820"/>
      <c r="E1019" s="820"/>
      <c r="F1019" s="1481"/>
      <c r="H1019" s="1481"/>
      <c r="K1019" s="1481"/>
      <c r="M1019" s="1481"/>
    </row>
    <row r="1020" spans="1:13">
      <c r="A1020" s="18"/>
      <c r="B1020" s="18"/>
      <c r="D1020" s="820"/>
      <c r="E1020" s="820"/>
      <c r="F1020" s="1481"/>
      <c r="H1020" s="1481"/>
      <c r="K1020" s="1481"/>
      <c r="M1020" s="1481"/>
    </row>
    <row r="1021" spans="1:13">
      <c r="A1021" s="18"/>
      <c r="B1021" s="18"/>
      <c r="D1021" s="820"/>
      <c r="E1021" s="820"/>
      <c r="F1021" s="1481"/>
      <c r="H1021" s="1481"/>
      <c r="K1021" s="1481"/>
      <c r="M1021" s="1481"/>
    </row>
    <row r="1022" spans="1:13">
      <c r="A1022" s="18"/>
      <c r="B1022" s="18"/>
      <c r="D1022" s="820"/>
      <c r="E1022" s="820"/>
      <c r="F1022" s="1481"/>
      <c r="H1022" s="1481"/>
      <c r="K1022" s="1481"/>
      <c r="M1022" s="1481"/>
    </row>
    <row r="1023" spans="1:13">
      <c r="A1023" s="18"/>
      <c r="B1023" s="18"/>
      <c r="D1023" s="820"/>
      <c r="E1023" s="820"/>
      <c r="F1023" s="1481"/>
      <c r="H1023" s="1481"/>
      <c r="K1023" s="1481"/>
      <c r="M1023" s="1481"/>
    </row>
    <row r="1024" spans="1:13">
      <c r="A1024" s="18"/>
      <c r="B1024" s="18"/>
      <c r="D1024" s="820"/>
      <c r="E1024" s="820"/>
      <c r="F1024" s="1481"/>
      <c r="H1024" s="1481"/>
      <c r="K1024" s="1481"/>
      <c r="M1024" s="1481"/>
    </row>
    <row r="1025" spans="1:13">
      <c r="A1025" s="18"/>
      <c r="B1025" s="18"/>
      <c r="D1025" s="820"/>
      <c r="E1025" s="820"/>
      <c r="F1025" s="1481"/>
      <c r="H1025" s="1481"/>
      <c r="K1025" s="1481"/>
      <c r="M1025" s="1481"/>
    </row>
    <row r="1026" spans="1:13">
      <c r="A1026" s="18"/>
      <c r="B1026" s="18"/>
      <c r="D1026" s="820"/>
      <c r="E1026" s="820"/>
      <c r="F1026" s="1481"/>
      <c r="H1026" s="1481"/>
      <c r="K1026" s="1481"/>
      <c r="M1026" s="1481"/>
    </row>
    <row r="1027" spans="1:13">
      <c r="A1027" s="18"/>
      <c r="B1027" s="18"/>
      <c r="D1027" s="820"/>
      <c r="E1027" s="820"/>
      <c r="F1027" s="1481"/>
      <c r="H1027" s="1481"/>
      <c r="K1027" s="1481"/>
      <c r="M1027" s="1481"/>
    </row>
    <row r="1028" spans="1:13">
      <c r="A1028" s="18"/>
      <c r="B1028" s="18"/>
      <c r="D1028" s="820"/>
      <c r="E1028" s="820"/>
      <c r="F1028" s="1481"/>
      <c r="H1028" s="1481"/>
      <c r="K1028" s="1481"/>
      <c r="M1028" s="1481"/>
    </row>
    <row r="1029" spans="1:13">
      <c r="A1029" s="18"/>
      <c r="B1029" s="18"/>
      <c r="D1029" s="820"/>
      <c r="E1029" s="820"/>
      <c r="F1029" s="1481"/>
      <c r="H1029" s="1481"/>
      <c r="K1029" s="1481"/>
      <c r="M1029" s="1481"/>
    </row>
    <row r="1030" spans="1:13">
      <c r="A1030" s="18"/>
      <c r="B1030" s="18"/>
      <c r="D1030" s="820"/>
      <c r="E1030" s="820"/>
      <c r="F1030" s="1481"/>
      <c r="H1030" s="1481"/>
      <c r="K1030" s="1481"/>
      <c r="M1030" s="1481"/>
    </row>
    <row r="1031" spans="1:13">
      <c r="A1031" s="18"/>
      <c r="B1031" s="18"/>
      <c r="D1031" s="820"/>
      <c r="E1031" s="820"/>
      <c r="F1031" s="1481"/>
      <c r="H1031" s="1481"/>
      <c r="K1031" s="1481"/>
      <c r="M1031" s="1481"/>
    </row>
    <row r="1032" spans="1:13">
      <c r="A1032" s="18"/>
      <c r="B1032" s="18"/>
      <c r="D1032" s="820"/>
      <c r="E1032" s="820"/>
      <c r="F1032" s="1481"/>
      <c r="H1032" s="1481"/>
      <c r="K1032" s="1481"/>
      <c r="M1032" s="1481"/>
    </row>
    <row r="1033" spans="1:13">
      <c r="A1033" s="18"/>
      <c r="B1033" s="18"/>
      <c r="D1033" s="820"/>
      <c r="E1033" s="820"/>
      <c r="F1033" s="1481"/>
      <c r="H1033" s="1481"/>
      <c r="K1033" s="1481"/>
      <c r="M1033" s="1481"/>
    </row>
    <row r="1034" spans="1:13">
      <c r="A1034" s="18"/>
      <c r="B1034" s="18"/>
      <c r="D1034" s="820"/>
      <c r="E1034" s="820"/>
      <c r="F1034" s="1481"/>
      <c r="H1034" s="1481"/>
      <c r="K1034" s="1481"/>
      <c r="M1034" s="1481"/>
    </row>
    <row r="1035" spans="1:13">
      <c r="A1035" s="18"/>
      <c r="B1035" s="18"/>
      <c r="D1035" s="820"/>
      <c r="E1035" s="820"/>
      <c r="F1035" s="1481"/>
      <c r="H1035" s="1481"/>
      <c r="K1035" s="1481"/>
      <c r="M1035" s="1481"/>
    </row>
    <row r="1036" spans="1:13">
      <c r="A1036" s="18"/>
      <c r="B1036" s="18"/>
      <c r="D1036" s="820"/>
      <c r="E1036" s="820"/>
      <c r="F1036" s="1481"/>
      <c r="H1036" s="1481"/>
      <c r="K1036" s="1481"/>
      <c r="M1036" s="1481"/>
    </row>
    <row r="1037" spans="1:13">
      <c r="A1037" s="18"/>
      <c r="B1037" s="18"/>
      <c r="D1037" s="820"/>
      <c r="E1037" s="820"/>
      <c r="F1037" s="1481"/>
      <c r="H1037" s="1481"/>
      <c r="K1037" s="1481"/>
      <c r="M1037" s="1481"/>
    </row>
    <row r="1038" spans="1:13">
      <c r="A1038" s="18"/>
      <c r="B1038" s="18"/>
      <c r="D1038" s="820"/>
      <c r="E1038" s="820"/>
      <c r="F1038" s="1481"/>
      <c r="H1038" s="1481"/>
      <c r="K1038" s="1481"/>
      <c r="M1038" s="1481"/>
    </row>
    <row r="1039" spans="1:13">
      <c r="A1039" s="18"/>
      <c r="B1039" s="18"/>
      <c r="D1039" s="820"/>
      <c r="E1039" s="820"/>
      <c r="F1039" s="1481"/>
      <c r="H1039" s="1481"/>
      <c r="K1039" s="1481"/>
      <c r="M1039" s="1481"/>
    </row>
    <row r="1040" spans="1:13">
      <c r="A1040" s="18"/>
      <c r="B1040" s="18"/>
      <c r="D1040" s="820"/>
      <c r="E1040" s="820"/>
      <c r="F1040" s="1481"/>
      <c r="H1040" s="1481"/>
      <c r="K1040" s="1481"/>
      <c r="M1040" s="1481"/>
    </row>
    <row r="1041" spans="1:13">
      <c r="A1041" s="18"/>
      <c r="B1041" s="18"/>
      <c r="D1041" s="820"/>
      <c r="E1041" s="820"/>
      <c r="F1041" s="1481"/>
      <c r="H1041" s="1481"/>
      <c r="K1041" s="1481"/>
      <c r="M1041" s="1481"/>
    </row>
    <row r="1042" spans="1:13">
      <c r="A1042" s="18"/>
      <c r="B1042" s="18"/>
      <c r="D1042" s="820"/>
      <c r="E1042" s="820"/>
      <c r="F1042" s="1481"/>
      <c r="H1042" s="1481"/>
      <c r="K1042" s="1481"/>
      <c r="M1042" s="1481"/>
    </row>
    <row r="1043" spans="1:13">
      <c r="A1043" s="18"/>
      <c r="B1043" s="18"/>
      <c r="D1043" s="820"/>
      <c r="E1043" s="820"/>
      <c r="F1043" s="1481"/>
      <c r="H1043" s="1481"/>
      <c r="K1043" s="1481"/>
      <c r="M1043" s="1481"/>
    </row>
    <row r="1044" spans="1:13">
      <c r="A1044" s="18"/>
      <c r="B1044" s="18"/>
      <c r="D1044" s="820"/>
      <c r="E1044" s="820"/>
      <c r="F1044" s="1481"/>
      <c r="H1044" s="1481"/>
      <c r="K1044" s="1481"/>
      <c r="M1044" s="1481"/>
    </row>
    <row r="1045" spans="1:13">
      <c r="A1045" s="18"/>
      <c r="B1045" s="18"/>
      <c r="D1045" s="820"/>
      <c r="E1045" s="820"/>
      <c r="F1045" s="1481"/>
      <c r="H1045" s="1481"/>
      <c r="K1045" s="1481"/>
      <c r="M1045" s="1481"/>
    </row>
    <row r="1046" spans="1:13">
      <c r="A1046" s="18"/>
      <c r="B1046" s="18"/>
      <c r="D1046" s="820"/>
      <c r="E1046" s="820"/>
      <c r="F1046" s="1481"/>
      <c r="H1046" s="1481"/>
      <c r="K1046" s="1481"/>
      <c r="M1046" s="1481"/>
    </row>
    <row r="1047" spans="1:13">
      <c r="A1047" s="18"/>
      <c r="B1047" s="18"/>
      <c r="D1047" s="820"/>
      <c r="E1047" s="820"/>
      <c r="F1047" s="1481"/>
      <c r="H1047" s="1481"/>
      <c r="K1047" s="1481"/>
      <c r="M1047" s="1481"/>
    </row>
    <row r="1048" spans="1:13">
      <c r="A1048" s="18"/>
      <c r="B1048" s="18"/>
      <c r="D1048" s="820"/>
      <c r="E1048" s="820"/>
      <c r="F1048" s="1481"/>
      <c r="H1048" s="1481"/>
      <c r="K1048" s="1481"/>
      <c r="M1048" s="1481"/>
    </row>
    <row r="1049" spans="1:13">
      <c r="A1049" s="18"/>
      <c r="B1049" s="18"/>
      <c r="D1049" s="820"/>
      <c r="E1049" s="820"/>
      <c r="F1049" s="1481"/>
      <c r="H1049" s="1481"/>
      <c r="K1049" s="1481"/>
      <c r="M1049" s="1481"/>
    </row>
    <row r="1050" spans="1:13">
      <c r="A1050" s="18"/>
      <c r="B1050" s="18"/>
      <c r="D1050" s="820"/>
      <c r="E1050" s="820"/>
      <c r="F1050" s="1481"/>
      <c r="H1050" s="1481"/>
      <c r="K1050" s="1481"/>
      <c r="M1050" s="1481"/>
    </row>
    <row r="1051" spans="1:13">
      <c r="A1051" s="18"/>
      <c r="B1051" s="18"/>
      <c r="D1051" s="820"/>
      <c r="E1051" s="820"/>
      <c r="F1051" s="1481"/>
      <c r="H1051" s="1481"/>
      <c r="K1051" s="1481"/>
      <c r="M1051" s="1481"/>
    </row>
    <row r="1052" spans="1:13">
      <c r="A1052" s="18"/>
      <c r="B1052" s="18"/>
      <c r="D1052" s="820"/>
      <c r="E1052" s="820"/>
      <c r="F1052" s="1481"/>
      <c r="H1052" s="1481"/>
      <c r="K1052" s="1481"/>
      <c r="M1052" s="1481"/>
    </row>
    <row r="1053" spans="1:13">
      <c r="A1053" s="18"/>
      <c r="B1053" s="18"/>
      <c r="D1053" s="820"/>
      <c r="E1053" s="820"/>
      <c r="F1053" s="1481"/>
      <c r="H1053" s="1481"/>
      <c r="K1053" s="1481"/>
      <c r="M1053" s="1481"/>
    </row>
    <row r="1054" spans="1:13">
      <c r="A1054" s="18"/>
      <c r="B1054" s="18"/>
      <c r="D1054" s="820"/>
      <c r="E1054" s="820"/>
      <c r="F1054" s="1481"/>
      <c r="H1054" s="1481"/>
      <c r="K1054" s="1481"/>
      <c r="M1054" s="1481"/>
    </row>
    <row r="1055" spans="1:13">
      <c r="A1055" s="18"/>
      <c r="B1055" s="18"/>
      <c r="D1055" s="820"/>
      <c r="E1055" s="820"/>
      <c r="F1055" s="1481"/>
      <c r="H1055" s="1481"/>
      <c r="K1055" s="1481"/>
      <c r="M1055" s="1481"/>
    </row>
    <row r="1056" spans="1:13">
      <c r="A1056" s="18"/>
      <c r="B1056" s="18"/>
      <c r="D1056" s="820"/>
      <c r="E1056" s="820"/>
      <c r="F1056" s="1481"/>
      <c r="H1056" s="1481"/>
      <c r="K1056" s="1481"/>
      <c r="M1056" s="1481"/>
    </row>
    <row r="1057" spans="1:13">
      <c r="A1057" s="18"/>
      <c r="B1057" s="18"/>
      <c r="D1057" s="820"/>
      <c r="E1057" s="820"/>
      <c r="F1057" s="1481"/>
      <c r="H1057" s="1481"/>
      <c r="K1057" s="1481"/>
      <c r="M1057" s="1481"/>
    </row>
    <row r="1058" spans="1:13">
      <c r="A1058" s="18"/>
      <c r="B1058" s="18"/>
      <c r="D1058" s="820"/>
      <c r="E1058" s="820"/>
      <c r="F1058" s="1481"/>
      <c r="H1058" s="1481"/>
      <c r="K1058" s="1481"/>
      <c r="M1058" s="1481"/>
    </row>
    <row r="1059" spans="1:13">
      <c r="A1059" s="18"/>
      <c r="B1059" s="18"/>
      <c r="D1059" s="820"/>
      <c r="E1059" s="820"/>
      <c r="F1059" s="1481"/>
      <c r="H1059" s="1481"/>
      <c r="K1059" s="1481"/>
      <c r="M1059" s="1481"/>
    </row>
    <row r="1060" spans="1:13">
      <c r="A1060" s="18"/>
      <c r="B1060" s="18"/>
      <c r="D1060" s="820"/>
      <c r="E1060" s="820"/>
      <c r="F1060" s="1481"/>
      <c r="H1060" s="1481"/>
      <c r="K1060" s="1481"/>
      <c r="M1060" s="1481"/>
    </row>
    <row r="1061" spans="1:13">
      <c r="A1061" s="18"/>
      <c r="B1061" s="18"/>
      <c r="D1061" s="820"/>
      <c r="E1061" s="820"/>
      <c r="F1061" s="1481"/>
      <c r="H1061" s="1481"/>
      <c r="K1061" s="1481"/>
      <c r="M1061" s="1481"/>
    </row>
    <row r="1062" spans="1:13">
      <c r="A1062" s="18"/>
      <c r="B1062" s="18"/>
      <c r="D1062" s="820"/>
      <c r="E1062" s="820"/>
      <c r="F1062" s="1481"/>
      <c r="H1062" s="1481"/>
      <c r="K1062" s="1481"/>
      <c r="M1062" s="1481"/>
    </row>
    <row r="1063" spans="1:13">
      <c r="A1063" s="18"/>
      <c r="B1063" s="18"/>
      <c r="D1063" s="820"/>
      <c r="E1063" s="820"/>
      <c r="F1063" s="1481"/>
      <c r="H1063" s="1481"/>
      <c r="K1063" s="1481"/>
      <c r="M1063" s="1481"/>
    </row>
    <row r="1064" spans="1:13">
      <c r="A1064" s="18"/>
      <c r="B1064" s="18"/>
      <c r="D1064" s="820"/>
      <c r="E1064" s="820"/>
      <c r="F1064" s="1481"/>
      <c r="H1064" s="1481"/>
      <c r="K1064" s="1481"/>
      <c r="M1064" s="1481"/>
    </row>
    <row r="1065" spans="1:13">
      <c r="A1065" s="18"/>
      <c r="B1065" s="18"/>
      <c r="D1065" s="820"/>
      <c r="E1065" s="820"/>
      <c r="F1065" s="1481"/>
      <c r="H1065" s="1481"/>
      <c r="K1065" s="1481"/>
      <c r="M1065" s="1481"/>
    </row>
    <row r="1066" spans="1:13">
      <c r="A1066" s="18"/>
      <c r="B1066" s="18"/>
      <c r="D1066" s="820"/>
      <c r="E1066" s="820"/>
      <c r="F1066" s="1481"/>
      <c r="H1066" s="1481"/>
      <c r="K1066" s="1481"/>
      <c r="M1066" s="1481"/>
    </row>
    <row r="1067" spans="1:13">
      <c r="A1067" s="18"/>
      <c r="B1067" s="18"/>
      <c r="D1067" s="820"/>
      <c r="E1067" s="820"/>
      <c r="F1067" s="1481"/>
      <c r="H1067" s="1481"/>
      <c r="K1067" s="1481"/>
      <c r="M1067" s="1481"/>
    </row>
    <row r="1068" spans="1:13">
      <c r="A1068" s="18"/>
      <c r="B1068" s="18"/>
      <c r="D1068" s="820"/>
      <c r="E1068" s="820"/>
      <c r="F1068" s="1481"/>
      <c r="H1068" s="1481"/>
      <c r="K1068" s="1481"/>
      <c r="M1068" s="1481"/>
    </row>
    <row r="1069" spans="1:13">
      <c r="A1069" s="18"/>
      <c r="B1069" s="18"/>
      <c r="D1069" s="820"/>
      <c r="E1069" s="820"/>
      <c r="F1069" s="1481"/>
      <c r="H1069" s="1481"/>
      <c r="K1069" s="1481"/>
      <c r="M1069" s="1481"/>
    </row>
    <row r="1070" spans="1:13">
      <c r="A1070" s="18"/>
      <c r="B1070" s="18"/>
      <c r="D1070" s="820"/>
      <c r="E1070" s="820"/>
      <c r="F1070" s="1481"/>
      <c r="H1070" s="1481"/>
      <c r="K1070" s="1481"/>
      <c r="M1070" s="1481"/>
    </row>
    <row r="1071" spans="1:13">
      <c r="A1071" s="18"/>
      <c r="B1071" s="18"/>
      <c r="D1071" s="820"/>
      <c r="E1071" s="820"/>
      <c r="F1071" s="1481"/>
      <c r="H1071" s="1481"/>
      <c r="K1071" s="1481"/>
      <c r="M1071" s="1481"/>
    </row>
    <row r="1072" spans="1:13">
      <c r="A1072" s="18"/>
      <c r="B1072" s="18"/>
      <c r="D1072" s="820"/>
      <c r="E1072" s="820"/>
      <c r="F1072" s="1481"/>
      <c r="H1072" s="1481"/>
      <c r="K1072" s="1481"/>
      <c r="M1072" s="1481"/>
    </row>
    <row r="1073" spans="1:13">
      <c r="A1073" s="18"/>
      <c r="B1073" s="18"/>
      <c r="D1073" s="820"/>
      <c r="E1073" s="820"/>
      <c r="F1073" s="1481"/>
      <c r="H1073" s="1481"/>
      <c r="K1073" s="1481"/>
      <c r="M1073" s="1481"/>
    </row>
    <row r="1074" spans="1:13">
      <c r="A1074" s="18"/>
      <c r="B1074" s="18"/>
      <c r="D1074" s="820"/>
      <c r="E1074" s="820"/>
      <c r="F1074" s="1481"/>
      <c r="H1074" s="1481"/>
      <c r="K1074" s="1481"/>
      <c r="M1074" s="1481"/>
    </row>
    <row r="1075" spans="1:13">
      <c r="A1075" s="18"/>
      <c r="B1075" s="18"/>
      <c r="D1075" s="820"/>
      <c r="E1075" s="820"/>
      <c r="F1075" s="1481"/>
      <c r="H1075" s="1481"/>
      <c r="K1075" s="1481"/>
      <c r="M1075" s="1481"/>
    </row>
    <row r="1076" spans="1:13">
      <c r="A1076" s="18"/>
      <c r="B1076" s="18"/>
      <c r="D1076" s="820"/>
      <c r="E1076" s="820"/>
      <c r="F1076" s="1481"/>
      <c r="H1076" s="1481"/>
      <c r="K1076" s="1481"/>
      <c r="M1076" s="1481"/>
    </row>
    <row r="1077" spans="1:13">
      <c r="A1077" s="18"/>
      <c r="B1077" s="18"/>
      <c r="D1077" s="820"/>
      <c r="E1077" s="820"/>
      <c r="F1077" s="1481"/>
      <c r="H1077" s="1481"/>
      <c r="K1077" s="1481"/>
      <c r="M1077" s="1481"/>
    </row>
    <row r="1078" spans="1:13">
      <c r="A1078" s="18"/>
      <c r="B1078" s="18"/>
      <c r="D1078" s="820"/>
      <c r="E1078" s="820"/>
      <c r="F1078" s="1481"/>
      <c r="H1078" s="1481"/>
      <c r="K1078" s="1481"/>
      <c r="M1078" s="1481"/>
    </row>
    <row r="1079" spans="1:13">
      <c r="A1079" s="18"/>
      <c r="B1079" s="18"/>
      <c r="D1079" s="820"/>
      <c r="E1079" s="820"/>
      <c r="F1079" s="1481"/>
      <c r="H1079" s="1481"/>
      <c r="K1079" s="1481"/>
      <c r="M1079" s="1481"/>
    </row>
    <row r="1080" spans="1:13">
      <c r="A1080" s="18"/>
      <c r="B1080" s="18"/>
      <c r="D1080" s="820"/>
      <c r="E1080" s="820"/>
      <c r="F1080" s="1481"/>
      <c r="H1080" s="1481"/>
      <c r="K1080" s="1481"/>
      <c r="M1080" s="1481"/>
    </row>
    <row r="1081" spans="1:13">
      <c r="A1081" s="18"/>
      <c r="B1081" s="18"/>
      <c r="D1081" s="820"/>
      <c r="E1081" s="820"/>
      <c r="F1081" s="1481"/>
      <c r="H1081" s="1481"/>
      <c r="K1081" s="1481"/>
      <c r="M1081" s="1481"/>
    </row>
    <row r="1082" spans="1:13">
      <c r="A1082" s="18"/>
      <c r="B1082" s="18"/>
      <c r="D1082" s="820"/>
      <c r="E1082" s="820"/>
      <c r="F1082" s="1481"/>
      <c r="H1082" s="1481"/>
      <c r="K1082" s="1481"/>
      <c r="M1082" s="1481"/>
    </row>
    <row r="1083" spans="1:13">
      <c r="A1083" s="18"/>
      <c r="B1083" s="18"/>
      <c r="D1083" s="820"/>
      <c r="E1083" s="820"/>
      <c r="F1083" s="1481"/>
      <c r="H1083" s="1481"/>
      <c r="K1083" s="1481"/>
      <c r="M1083" s="1481"/>
    </row>
    <row r="1084" spans="1:13">
      <c r="A1084" s="18"/>
      <c r="B1084" s="18"/>
      <c r="D1084" s="820"/>
      <c r="E1084" s="820"/>
      <c r="F1084" s="1481"/>
      <c r="H1084" s="1481"/>
      <c r="K1084" s="1481"/>
      <c r="M1084" s="1481"/>
    </row>
    <row r="1085" spans="1:13">
      <c r="A1085" s="18"/>
      <c r="B1085" s="18"/>
      <c r="D1085" s="820"/>
      <c r="E1085" s="820"/>
      <c r="F1085" s="1481"/>
      <c r="H1085" s="1481"/>
      <c r="K1085" s="1481"/>
      <c r="M1085" s="1481"/>
    </row>
    <row r="1086" spans="1:13">
      <c r="A1086" s="18"/>
      <c r="B1086" s="18"/>
      <c r="D1086" s="820"/>
      <c r="E1086" s="820"/>
      <c r="F1086" s="1481"/>
      <c r="H1086" s="1481"/>
      <c r="K1086" s="1481"/>
      <c r="M1086" s="1481"/>
    </row>
    <row r="1087" spans="1:13">
      <c r="A1087" s="18"/>
      <c r="B1087" s="18"/>
      <c r="D1087" s="820"/>
      <c r="E1087" s="820"/>
      <c r="F1087" s="1481"/>
      <c r="H1087" s="1481"/>
      <c r="K1087" s="1481"/>
      <c r="M1087" s="1481"/>
    </row>
    <row r="1088" spans="1:13">
      <c r="A1088" s="18"/>
      <c r="B1088" s="18"/>
      <c r="D1088" s="820"/>
      <c r="E1088" s="820"/>
      <c r="F1088" s="1481"/>
      <c r="H1088" s="1481"/>
      <c r="K1088" s="1481"/>
      <c r="M1088" s="1481"/>
    </row>
    <row r="1089" spans="1:13">
      <c r="A1089" s="18"/>
      <c r="B1089" s="18"/>
      <c r="D1089" s="820"/>
      <c r="E1089" s="820"/>
      <c r="F1089" s="1481"/>
      <c r="H1089" s="1481"/>
      <c r="K1089" s="1481"/>
      <c r="M1089" s="1481"/>
    </row>
    <row r="1090" spans="1:13">
      <c r="A1090" s="18"/>
      <c r="B1090" s="18"/>
      <c r="D1090" s="820"/>
      <c r="E1090" s="820"/>
      <c r="F1090" s="1481"/>
      <c r="H1090" s="1481"/>
      <c r="K1090" s="1481"/>
      <c r="M1090" s="1481"/>
    </row>
    <row r="1091" spans="1:13">
      <c r="A1091" s="18"/>
      <c r="B1091" s="18"/>
      <c r="D1091" s="820"/>
      <c r="E1091" s="820"/>
      <c r="F1091" s="1481"/>
      <c r="H1091" s="1481"/>
      <c r="K1091" s="1481"/>
      <c r="M1091" s="1481"/>
    </row>
    <row r="1092" spans="1:13">
      <c r="A1092" s="18"/>
      <c r="B1092" s="18"/>
      <c r="D1092" s="820"/>
      <c r="E1092" s="820"/>
      <c r="F1092" s="1481"/>
      <c r="H1092" s="1481"/>
      <c r="K1092" s="1481"/>
      <c r="M1092" s="1481"/>
    </row>
    <row r="1093" spans="1:13">
      <c r="A1093" s="18"/>
      <c r="B1093" s="18"/>
      <c r="D1093" s="820"/>
      <c r="E1093" s="820"/>
      <c r="F1093" s="1481"/>
      <c r="H1093" s="1481"/>
      <c r="K1093" s="1481"/>
      <c r="M1093" s="1481"/>
    </row>
    <row r="1094" spans="1:13">
      <c r="A1094" s="18"/>
      <c r="B1094" s="18"/>
      <c r="D1094" s="820"/>
      <c r="E1094" s="820"/>
      <c r="F1094" s="1481"/>
      <c r="H1094" s="1481"/>
      <c r="K1094" s="1481"/>
      <c r="M1094" s="1481"/>
    </row>
    <row r="1095" spans="1:13">
      <c r="A1095" s="18"/>
      <c r="B1095" s="18"/>
      <c r="D1095" s="820"/>
      <c r="E1095" s="820"/>
      <c r="F1095" s="1481"/>
      <c r="H1095" s="1481"/>
      <c r="K1095" s="1481"/>
      <c r="M1095" s="1481"/>
    </row>
    <row r="1096" spans="1:13">
      <c r="A1096" s="18"/>
      <c r="B1096" s="18"/>
      <c r="D1096" s="820"/>
      <c r="E1096" s="820"/>
      <c r="F1096" s="1481"/>
      <c r="H1096" s="1481"/>
      <c r="K1096" s="1481"/>
      <c r="M1096" s="1481"/>
    </row>
    <row r="1097" spans="1:13">
      <c r="A1097" s="18"/>
      <c r="B1097" s="18"/>
      <c r="D1097" s="820"/>
      <c r="E1097" s="820"/>
      <c r="F1097" s="1481"/>
      <c r="H1097" s="1481"/>
      <c r="K1097" s="1481"/>
      <c r="M1097" s="1481"/>
    </row>
    <row r="1098" spans="1:13">
      <c r="A1098" s="18"/>
      <c r="B1098" s="18"/>
      <c r="D1098" s="820"/>
      <c r="E1098" s="820"/>
      <c r="F1098" s="1481"/>
      <c r="H1098" s="1481"/>
      <c r="K1098" s="1481"/>
      <c r="M1098" s="1481"/>
    </row>
    <row r="1099" spans="1:13">
      <c r="A1099" s="18"/>
      <c r="B1099" s="18"/>
      <c r="D1099" s="820"/>
      <c r="E1099" s="820"/>
      <c r="F1099" s="1481"/>
      <c r="H1099" s="1481"/>
      <c r="K1099" s="1481"/>
      <c r="M1099" s="1481"/>
    </row>
    <row r="1100" spans="1:13">
      <c r="A1100" s="18"/>
      <c r="B1100" s="18"/>
      <c r="D1100" s="820"/>
      <c r="E1100" s="820"/>
      <c r="F1100" s="1481"/>
      <c r="H1100" s="1481"/>
      <c r="K1100" s="1481"/>
      <c r="M1100" s="1481"/>
    </row>
    <row r="1101" spans="1:13">
      <c r="A1101" s="18"/>
      <c r="B1101" s="18"/>
      <c r="D1101" s="820"/>
      <c r="E1101" s="820"/>
      <c r="F1101" s="1481"/>
      <c r="H1101" s="1481"/>
      <c r="K1101" s="1481"/>
      <c r="M1101" s="1481"/>
    </row>
    <row r="1102" spans="1:13">
      <c r="A1102" s="18"/>
      <c r="B1102" s="18"/>
      <c r="D1102" s="820"/>
      <c r="E1102" s="820"/>
      <c r="F1102" s="1481"/>
      <c r="H1102" s="1481"/>
      <c r="K1102" s="1481"/>
      <c r="M1102" s="1481"/>
    </row>
    <row r="1103" spans="1:13">
      <c r="A1103" s="18"/>
      <c r="B1103" s="18"/>
      <c r="D1103" s="820"/>
      <c r="E1103" s="820"/>
      <c r="F1103" s="1481"/>
      <c r="H1103" s="1481"/>
      <c r="K1103" s="1481"/>
      <c r="M1103" s="1481"/>
    </row>
    <row r="1104" spans="1:13">
      <c r="A1104" s="18"/>
      <c r="B1104" s="18"/>
      <c r="D1104" s="820"/>
      <c r="E1104" s="820"/>
      <c r="F1104" s="1481"/>
      <c r="H1104" s="1481"/>
      <c r="K1104" s="1481"/>
      <c r="M1104" s="1481"/>
    </row>
    <row r="1105" spans="1:13">
      <c r="A1105" s="18"/>
      <c r="B1105" s="18"/>
      <c r="D1105" s="820"/>
      <c r="E1105" s="820"/>
      <c r="F1105" s="1481"/>
      <c r="H1105" s="1481"/>
      <c r="K1105" s="1481"/>
      <c r="M1105" s="1481"/>
    </row>
    <row r="1106" spans="1:13">
      <c r="A1106" s="18"/>
      <c r="B1106" s="18"/>
      <c r="D1106" s="820"/>
      <c r="E1106" s="820"/>
      <c r="F1106" s="1481"/>
      <c r="H1106" s="1481"/>
      <c r="K1106" s="1481"/>
      <c r="M1106" s="1481"/>
    </row>
    <row r="1107" spans="1:13">
      <c r="A1107" s="18"/>
      <c r="B1107" s="18"/>
      <c r="D1107" s="820"/>
      <c r="E1107" s="820"/>
      <c r="F1107" s="1481"/>
      <c r="H1107" s="1481"/>
      <c r="K1107" s="1481"/>
      <c r="M1107" s="1481"/>
    </row>
    <row r="1108" spans="1:13">
      <c r="A1108" s="18"/>
      <c r="B1108" s="18"/>
      <c r="D1108" s="820"/>
      <c r="E1108" s="820"/>
      <c r="F1108" s="1481"/>
      <c r="H1108" s="1481"/>
      <c r="K1108" s="1481"/>
      <c r="M1108" s="1481"/>
    </row>
    <row r="1109" spans="1:13">
      <c r="A1109" s="18"/>
      <c r="B1109" s="18"/>
      <c r="D1109" s="820"/>
      <c r="E1109" s="820"/>
      <c r="F1109" s="1481"/>
      <c r="H1109" s="1481"/>
      <c r="K1109" s="1481"/>
      <c r="M1109" s="1481"/>
    </row>
    <row r="1110" spans="1:13">
      <c r="A1110" s="18"/>
      <c r="B1110" s="18"/>
      <c r="D1110" s="820"/>
      <c r="E1110" s="820"/>
      <c r="F1110" s="1481"/>
      <c r="H1110" s="1481"/>
      <c r="K1110" s="1481"/>
      <c r="M1110" s="1481"/>
    </row>
    <row r="1111" spans="1:13">
      <c r="A1111" s="18"/>
      <c r="B1111" s="18"/>
      <c r="D1111" s="820"/>
      <c r="E1111" s="820"/>
      <c r="F1111" s="1481"/>
      <c r="H1111" s="1481"/>
      <c r="K1111" s="1481"/>
      <c r="M1111" s="1481"/>
    </row>
    <row r="1112" spans="1:13">
      <c r="A1112" s="18"/>
      <c r="B1112" s="18"/>
      <c r="D1112" s="820"/>
      <c r="E1112" s="820"/>
      <c r="F1112" s="1481"/>
      <c r="H1112" s="1481"/>
      <c r="K1112" s="1481"/>
      <c r="M1112" s="1481"/>
    </row>
    <row r="1113" spans="1:13">
      <c r="A1113" s="18"/>
      <c r="B1113" s="18"/>
      <c r="D1113" s="820"/>
      <c r="E1113" s="820"/>
      <c r="F1113" s="1481"/>
      <c r="H1113" s="1481"/>
      <c r="K1113" s="1481"/>
      <c r="M1113" s="1481"/>
    </row>
    <row r="1114" spans="1:13">
      <c r="A1114" s="18"/>
      <c r="B1114" s="18"/>
      <c r="D1114" s="820"/>
      <c r="E1114" s="820"/>
      <c r="F1114" s="1481"/>
      <c r="H1114" s="1481"/>
      <c r="K1114" s="1481"/>
      <c r="M1114" s="1481"/>
    </row>
    <row r="1115" spans="1:13">
      <c r="A1115" s="18"/>
      <c r="B1115" s="18"/>
      <c r="D1115" s="820"/>
      <c r="E1115" s="820"/>
      <c r="F1115" s="1481"/>
      <c r="H1115" s="1481"/>
      <c r="K1115" s="1481"/>
      <c r="M1115" s="1481"/>
    </row>
    <row r="1116" spans="1:13">
      <c r="A1116" s="18"/>
      <c r="B1116" s="18"/>
      <c r="D1116" s="820"/>
      <c r="E1116" s="820"/>
      <c r="F1116" s="1481"/>
      <c r="H1116" s="1481"/>
      <c r="K1116" s="1481"/>
      <c r="M1116" s="1481"/>
    </row>
    <row r="1117" spans="1:13">
      <c r="A1117" s="18"/>
      <c r="B1117" s="18"/>
      <c r="D1117" s="820"/>
      <c r="E1117" s="820"/>
      <c r="F1117" s="1481"/>
      <c r="H1117" s="1481"/>
      <c r="K1117" s="1481"/>
      <c r="M1117" s="1481"/>
    </row>
    <row r="1118" spans="1:13">
      <c r="A1118" s="18"/>
      <c r="B1118" s="18"/>
      <c r="D1118" s="820"/>
      <c r="E1118" s="820"/>
      <c r="F1118" s="1481"/>
      <c r="H1118" s="1481"/>
      <c r="K1118" s="1481"/>
      <c r="M1118" s="1481"/>
    </row>
    <row r="1119" spans="1:13">
      <c r="A1119" s="18"/>
      <c r="B1119" s="18"/>
      <c r="D1119" s="820"/>
      <c r="E1119" s="820"/>
      <c r="F1119" s="1481"/>
      <c r="H1119" s="1481"/>
      <c r="K1119" s="1481"/>
      <c r="M1119" s="1481"/>
    </row>
    <row r="1120" spans="1:13">
      <c r="A1120" s="18"/>
      <c r="B1120" s="18"/>
      <c r="D1120" s="820"/>
      <c r="E1120" s="820"/>
      <c r="F1120" s="1481"/>
      <c r="H1120" s="1481"/>
      <c r="K1120" s="1481"/>
      <c r="M1120" s="1481"/>
    </row>
    <row r="1121" spans="1:13">
      <c r="A1121" s="18"/>
      <c r="B1121" s="18"/>
      <c r="D1121" s="820"/>
      <c r="E1121" s="820"/>
      <c r="F1121" s="1481"/>
      <c r="H1121" s="1481"/>
      <c r="K1121" s="1481"/>
      <c r="M1121" s="1481"/>
    </row>
    <row r="1122" spans="1:13">
      <c r="A1122" s="18"/>
      <c r="B1122" s="18"/>
      <c r="D1122" s="820"/>
      <c r="E1122" s="820"/>
      <c r="F1122" s="1481"/>
      <c r="H1122" s="1481"/>
      <c r="K1122" s="1481"/>
      <c r="M1122" s="1481"/>
    </row>
    <row r="1123" spans="1:13">
      <c r="A1123" s="18"/>
      <c r="B1123" s="18"/>
      <c r="D1123" s="820"/>
      <c r="E1123" s="820"/>
      <c r="F1123" s="1481"/>
      <c r="H1123" s="1481"/>
      <c r="K1123" s="1481"/>
      <c r="M1123" s="1481"/>
    </row>
    <row r="1124" spans="1:13">
      <c r="A1124" s="18"/>
      <c r="B1124" s="18"/>
      <c r="D1124" s="820"/>
      <c r="E1124" s="820"/>
      <c r="F1124" s="1481"/>
      <c r="H1124" s="1481"/>
      <c r="K1124" s="1481"/>
      <c r="M1124" s="1481"/>
    </row>
    <row r="1125" spans="1:13">
      <c r="A1125" s="18"/>
      <c r="B1125" s="18"/>
      <c r="D1125" s="820"/>
      <c r="E1125" s="820"/>
      <c r="F1125" s="1481"/>
      <c r="H1125" s="1481"/>
      <c r="K1125" s="1481"/>
      <c r="M1125" s="1481"/>
    </row>
    <row r="1126" spans="1:13">
      <c r="A1126" s="18"/>
      <c r="B1126" s="18"/>
      <c r="D1126" s="820"/>
      <c r="E1126" s="820"/>
      <c r="F1126" s="1481"/>
      <c r="H1126" s="1481"/>
      <c r="K1126" s="1481"/>
      <c r="M1126" s="1481"/>
    </row>
    <row r="1127" spans="1:13">
      <c r="A1127" s="18"/>
      <c r="B1127" s="18"/>
      <c r="D1127" s="820"/>
      <c r="E1127" s="820"/>
      <c r="F1127" s="1481"/>
      <c r="H1127" s="1481"/>
      <c r="K1127" s="1481"/>
      <c r="M1127" s="1481"/>
    </row>
    <row r="1128" spans="1:13">
      <c r="A1128" s="18"/>
      <c r="B1128" s="18"/>
      <c r="D1128" s="820"/>
      <c r="E1128" s="820"/>
      <c r="F1128" s="1481"/>
      <c r="H1128" s="1481"/>
      <c r="K1128" s="1481"/>
      <c r="M1128" s="1481"/>
    </row>
    <row r="1129" spans="1:13">
      <c r="A1129" s="18"/>
      <c r="B1129" s="18"/>
      <c r="D1129" s="820"/>
      <c r="E1129" s="820"/>
      <c r="F1129" s="1481"/>
      <c r="H1129" s="1481"/>
      <c r="K1129" s="1481"/>
      <c r="M1129" s="1481"/>
    </row>
    <row r="1130" spans="1:13">
      <c r="A1130" s="18"/>
      <c r="B1130" s="18"/>
      <c r="D1130" s="820"/>
      <c r="E1130" s="820"/>
      <c r="F1130" s="1481"/>
      <c r="H1130" s="1481"/>
      <c r="K1130" s="1481"/>
      <c r="M1130" s="1481"/>
    </row>
    <row r="1131" spans="1:13">
      <c r="A1131" s="18"/>
      <c r="B1131" s="18"/>
      <c r="D1131" s="820"/>
      <c r="E1131" s="820"/>
      <c r="F1131" s="1481"/>
      <c r="H1131" s="1481"/>
      <c r="K1131" s="1481"/>
      <c r="M1131" s="1481"/>
    </row>
    <row r="1132" spans="1:13">
      <c r="A1132" s="18"/>
      <c r="B1132" s="18"/>
      <c r="D1132" s="820"/>
      <c r="E1132" s="820"/>
      <c r="F1132" s="1481"/>
      <c r="H1132" s="1481"/>
      <c r="K1132" s="1481"/>
      <c r="M1132" s="1481"/>
    </row>
    <row r="1133" spans="1:13">
      <c r="A1133" s="18"/>
      <c r="B1133" s="18"/>
      <c r="D1133" s="820"/>
      <c r="E1133" s="820"/>
      <c r="F1133" s="1481"/>
      <c r="H1133" s="1481"/>
      <c r="K1133" s="1481"/>
      <c r="M1133" s="1481"/>
    </row>
    <row r="1134" spans="1:13">
      <c r="A1134" s="18"/>
      <c r="B1134" s="18"/>
      <c r="D1134" s="820"/>
      <c r="E1134" s="820"/>
      <c r="F1134" s="1481"/>
      <c r="H1134" s="1481"/>
      <c r="K1134" s="1481"/>
      <c r="M1134" s="1481"/>
    </row>
    <row r="1135" spans="1:13">
      <c r="A1135" s="18"/>
      <c r="B1135" s="18"/>
      <c r="D1135" s="820"/>
      <c r="E1135" s="820"/>
      <c r="F1135" s="1481"/>
      <c r="H1135" s="1481"/>
      <c r="K1135" s="1481"/>
      <c r="M1135" s="1481"/>
    </row>
    <row r="1136" spans="1:13">
      <c r="A1136" s="18"/>
      <c r="B1136" s="18"/>
      <c r="D1136" s="820"/>
      <c r="E1136" s="820"/>
      <c r="F1136" s="1481"/>
      <c r="H1136" s="1481"/>
      <c r="K1136" s="1481"/>
      <c r="M1136" s="1481"/>
    </row>
    <row r="1137" spans="1:13">
      <c r="A1137" s="18"/>
      <c r="B1137" s="18"/>
      <c r="D1137" s="820"/>
      <c r="E1137" s="820"/>
      <c r="F1137" s="1481"/>
      <c r="H1137" s="1481"/>
      <c r="K1137" s="1481"/>
      <c r="M1137" s="1481"/>
    </row>
    <row r="1138" spans="1:13">
      <c r="A1138" s="18"/>
      <c r="B1138" s="18"/>
      <c r="D1138" s="820"/>
      <c r="E1138" s="820"/>
      <c r="F1138" s="1481"/>
      <c r="H1138" s="1481"/>
      <c r="K1138" s="1481"/>
      <c r="M1138" s="1481"/>
    </row>
    <row r="1139" spans="1:13">
      <c r="A1139" s="18"/>
      <c r="B1139" s="18"/>
      <c r="D1139" s="820"/>
      <c r="E1139" s="820"/>
      <c r="F1139" s="1481"/>
      <c r="H1139" s="1481"/>
      <c r="K1139" s="1481"/>
      <c r="M1139" s="1481"/>
    </row>
    <row r="1140" spans="1:13">
      <c r="A1140" s="18"/>
      <c r="B1140" s="18"/>
      <c r="D1140" s="820"/>
      <c r="E1140" s="820"/>
      <c r="F1140" s="1481"/>
      <c r="H1140" s="1481"/>
      <c r="K1140" s="1481"/>
      <c r="M1140" s="1481"/>
    </row>
    <row r="1141" spans="1:13">
      <c r="A1141" s="18"/>
      <c r="B1141" s="18"/>
      <c r="D1141" s="820"/>
      <c r="E1141" s="820"/>
      <c r="F1141" s="1481"/>
      <c r="H1141" s="1481"/>
      <c r="K1141" s="1481"/>
      <c r="M1141" s="1481"/>
    </row>
    <row r="1142" spans="1:13">
      <c r="A1142" s="18"/>
      <c r="B1142" s="18"/>
      <c r="D1142" s="820"/>
      <c r="E1142" s="820"/>
      <c r="F1142" s="1481"/>
      <c r="H1142" s="1481"/>
      <c r="K1142" s="1481"/>
      <c r="M1142" s="1481"/>
    </row>
    <row r="1143" spans="1:13">
      <c r="A1143" s="18"/>
      <c r="B1143" s="18"/>
      <c r="D1143" s="820"/>
      <c r="E1143" s="820"/>
      <c r="F1143" s="1481"/>
      <c r="H1143" s="1481"/>
      <c r="K1143" s="1481"/>
      <c r="M1143" s="1481"/>
    </row>
    <row r="1144" spans="1:13">
      <c r="A1144" s="18"/>
      <c r="B1144" s="18"/>
      <c r="D1144" s="820"/>
      <c r="E1144" s="820"/>
      <c r="F1144" s="1481"/>
      <c r="H1144" s="1481"/>
      <c r="K1144" s="1481"/>
      <c r="M1144" s="1481"/>
    </row>
    <row r="1145" spans="1:13">
      <c r="A1145" s="18"/>
      <c r="B1145" s="18"/>
      <c r="D1145" s="820"/>
      <c r="E1145" s="820"/>
      <c r="F1145" s="1481"/>
      <c r="H1145" s="1481"/>
      <c r="K1145" s="1481"/>
      <c r="M1145" s="1481"/>
    </row>
    <row r="1146" spans="1:13">
      <c r="A1146" s="18"/>
      <c r="B1146" s="18"/>
      <c r="D1146" s="820"/>
      <c r="E1146" s="820"/>
      <c r="F1146" s="1481"/>
      <c r="H1146" s="1481"/>
      <c r="K1146" s="1481"/>
      <c r="M1146" s="1481"/>
    </row>
    <row r="1147" spans="1:13">
      <c r="A1147" s="18"/>
      <c r="B1147" s="18"/>
      <c r="D1147" s="820"/>
      <c r="E1147" s="820"/>
      <c r="F1147" s="1481"/>
      <c r="H1147" s="1481"/>
      <c r="K1147" s="1481"/>
      <c r="M1147" s="1481"/>
    </row>
    <row r="1148" spans="1:13">
      <c r="A1148" s="18"/>
      <c r="B1148" s="18"/>
      <c r="D1148" s="820"/>
      <c r="E1148" s="820"/>
      <c r="F1148" s="1481"/>
      <c r="H1148" s="1481"/>
      <c r="K1148" s="1481"/>
      <c r="M1148" s="1481"/>
    </row>
    <row r="1149" spans="1:13">
      <c r="A1149" s="18"/>
      <c r="B1149" s="18"/>
      <c r="D1149" s="820"/>
      <c r="E1149" s="820"/>
      <c r="F1149" s="1481"/>
      <c r="H1149" s="1481"/>
      <c r="K1149" s="1481"/>
      <c r="M1149" s="1481"/>
    </row>
    <row r="1150" spans="1:13">
      <c r="A1150" s="18"/>
      <c r="B1150" s="18"/>
      <c r="D1150" s="820"/>
      <c r="E1150" s="820"/>
      <c r="F1150" s="1481"/>
      <c r="H1150" s="1481"/>
      <c r="K1150" s="1481"/>
      <c r="M1150" s="1481"/>
    </row>
    <row r="1151" spans="1:13">
      <c r="A1151" s="18"/>
      <c r="B1151" s="18"/>
      <c r="D1151" s="820"/>
      <c r="E1151" s="820"/>
      <c r="F1151" s="1481"/>
      <c r="H1151" s="1481"/>
      <c r="K1151" s="1481"/>
      <c r="M1151" s="1481"/>
    </row>
    <row r="1152" spans="1:13">
      <c r="A1152" s="18"/>
      <c r="B1152" s="18"/>
      <c r="D1152" s="820"/>
      <c r="E1152" s="820"/>
      <c r="F1152" s="1481"/>
      <c r="H1152" s="1481"/>
      <c r="K1152" s="1481"/>
      <c r="M1152" s="1481"/>
    </row>
    <row r="1153" spans="1:13">
      <c r="A1153" s="18"/>
      <c r="B1153" s="18"/>
      <c r="D1153" s="820"/>
      <c r="E1153" s="820"/>
      <c r="F1153" s="1481"/>
      <c r="H1153" s="1481"/>
      <c r="K1153" s="1481"/>
      <c r="M1153" s="1481"/>
    </row>
    <row r="1154" spans="1:13">
      <c r="A1154" s="18"/>
      <c r="B1154" s="18"/>
      <c r="D1154" s="820"/>
      <c r="E1154" s="820"/>
      <c r="F1154" s="1481"/>
      <c r="H1154" s="1481"/>
      <c r="K1154" s="1481"/>
      <c r="M1154" s="1481"/>
    </row>
    <row r="1155" spans="1:13">
      <c r="A1155" s="18"/>
      <c r="B1155" s="18"/>
      <c r="D1155" s="820"/>
      <c r="E1155" s="820"/>
      <c r="F1155" s="1481"/>
      <c r="H1155" s="1481"/>
      <c r="K1155" s="1481"/>
      <c r="M1155" s="1481"/>
    </row>
    <row r="1156" spans="1:13">
      <c r="A1156" s="18"/>
      <c r="B1156" s="18"/>
      <c r="D1156" s="820"/>
      <c r="E1156" s="820"/>
      <c r="F1156" s="1481"/>
      <c r="H1156" s="1481"/>
      <c r="K1156" s="1481"/>
      <c r="M1156" s="1481"/>
    </row>
    <row r="1157" spans="1:13">
      <c r="A1157" s="18"/>
      <c r="B1157" s="18"/>
      <c r="D1157" s="820"/>
      <c r="E1157" s="820"/>
      <c r="F1157" s="1481"/>
      <c r="H1157" s="1481"/>
      <c r="K1157" s="1481"/>
      <c r="M1157" s="1481"/>
    </row>
    <row r="1158" spans="1:13">
      <c r="A1158" s="18"/>
      <c r="B1158" s="18"/>
      <c r="D1158" s="820"/>
      <c r="E1158" s="820"/>
      <c r="F1158" s="1481"/>
      <c r="H1158" s="1481"/>
      <c r="K1158" s="1481"/>
      <c r="M1158" s="1481"/>
    </row>
    <row r="1159" spans="1:13">
      <c r="A1159" s="18"/>
      <c r="B1159" s="18"/>
      <c r="D1159" s="820"/>
      <c r="E1159" s="820"/>
      <c r="F1159" s="1481"/>
      <c r="H1159" s="1481"/>
      <c r="K1159" s="1481"/>
      <c r="M1159" s="1481"/>
    </row>
    <row r="1160" spans="1:13">
      <c r="A1160" s="18"/>
      <c r="B1160" s="18"/>
      <c r="D1160" s="820"/>
      <c r="E1160" s="820"/>
      <c r="F1160" s="1481"/>
      <c r="H1160" s="1481"/>
      <c r="K1160" s="1481"/>
      <c r="M1160" s="1481"/>
    </row>
    <row r="1161" spans="1:13">
      <c r="A1161" s="18"/>
      <c r="B1161" s="18"/>
      <c r="D1161" s="820"/>
      <c r="E1161" s="820"/>
      <c r="F1161" s="1481"/>
      <c r="H1161" s="1481"/>
      <c r="K1161" s="1481"/>
      <c r="M1161" s="1481"/>
    </row>
    <row r="1162" spans="1:13">
      <c r="A1162" s="18"/>
      <c r="B1162" s="18"/>
      <c r="D1162" s="820"/>
      <c r="E1162" s="820"/>
      <c r="F1162" s="1481"/>
      <c r="H1162" s="1481"/>
      <c r="K1162" s="1481"/>
      <c r="M1162" s="1481"/>
    </row>
    <row r="1163" spans="1:13">
      <c r="A1163" s="18"/>
      <c r="B1163" s="18"/>
      <c r="D1163" s="820"/>
      <c r="E1163" s="820"/>
      <c r="F1163" s="1481"/>
      <c r="H1163" s="1481"/>
      <c r="K1163" s="1481"/>
      <c r="M1163" s="1481"/>
    </row>
    <row r="1164" spans="1:13">
      <c r="A1164" s="18"/>
      <c r="B1164" s="18"/>
      <c r="D1164" s="820"/>
      <c r="E1164" s="820"/>
      <c r="F1164" s="1481"/>
      <c r="H1164" s="1481"/>
      <c r="K1164" s="1481"/>
      <c r="M1164" s="1481"/>
    </row>
    <row r="1165" spans="1:13">
      <c r="A1165" s="18"/>
      <c r="B1165" s="18"/>
      <c r="D1165" s="820"/>
      <c r="E1165" s="820"/>
      <c r="F1165" s="1481"/>
      <c r="H1165" s="1481"/>
      <c r="K1165" s="1481"/>
      <c r="M1165" s="1481"/>
    </row>
    <row r="1166" spans="1:13">
      <c r="A1166" s="18"/>
      <c r="B1166" s="18"/>
      <c r="D1166" s="820"/>
      <c r="E1166" s="820"/>
      <c r="F1166" s="1481"/>
      <c r="H1166" s="1481"/>
      <c r="K1166" s="1481"/>
      <c r="M1166" s="1481"/>
    </row>
    <row r="1167" spans="1:13">
      <c r="A1167" s="18"/>
      <c r="B1167" s="18"/>
      <c r="D1167" s="820"/>
      <c r="E1167" s="820"/>
      <c r="F1167" s="1481"/>
      <c r="H1167" s="1481"/>
      <c r="K1167" s="1481"/>
      <c r="M1167" s="1481"/>
    </row>
    <row r="1168" spans="1:13">
      <c r="A1168" s="18"/>
      <c r="B1168" s="18"/>
      <c r="D1168" s="820"/>
      <c r="E1168" s="820"/>
      <c r="F1168" s="1481"/>
      <c r="H1168" s="1481"/>
      <c r="K1168" s="1481"/>
      <c r="M1168" s="1481"/>
    </row>
    <row r="1169" spans="1:13">
      <c r="A1169" s="18"/>
      <c r="B1169" s="18"/>
      <c r="D1169" s="820"/>
      <c r="E1169" s="820"/>
      <c r="F1169" s="1481"/>
      <c r="H1169" s="1481"/>
      <c r="K1169" s="1481"/>
      <c r="M1169" s="1481"/>
    </row>
    <row r="1170" spans="1:13">
      <c r="A1170" s="18"/>
      <c r="B1170" s="18"/>
      <c r="D1170" s="820"/>
      <c r="E1170" s="820"/>
      <c r="F1170" s="1481"/>
      <c r="H1170" s="1481"/>
      <c r="K1170" s="1481"/>
      <c r="M1170" s="1481"/>
    </row>
    <row r="1171" spans="1:13">
      <c r="A1171" s="18"/>
      <c r="B1171" s="18"/>
      <c r="D1171" s="820"/>
      <c r="E1171" s="820"/>
      <c r="F1171" s="1481"/>
      <c r="H1171" s="1481"/>
      <c r="K1171" s="1481"/>
      <c r="M1171" s="1481"/>
    </row>
    <row r="1172" spans="1:13">
      <c r="A1172" s="18"/>
      <c r="B1172" s="18"/>
      <c r="D1172" s="820"/>
      <c r="E1172" s="820"/>
      <c r="F1172" s="1481"/>
      <c r="H1172" s="1481"/>
      <c r="K1172" s="1481"/>
      <c r="M1172" s="1481"/>
    </row>
    <row r="1173" spans="1:13">
      <c r="A1173" s="18"/>
      <c r="B1173" s="18"/>
      <c r="D1173" s="820"/>
      <c r="E1173" s="820"/>
      <c r="F1173" s="1481"/>
      <c r="H1173" s="1481"/>
      <c r="K1173" s="1481"/>
      <c r="M1173" s="1481"/>
    </row>
    <row r="1174" spans="1:13">
      <c r="A1174" s="18"/>
      <c r="B1174" s="18"/>
      <c r="D1174" s="820"/>
      <c r="E1174" s="820"/>
      <c r="F1174" s="1481"/>
      <c r="H1174" s="1481"/>
      <c r="K1174" s="1481"/>
      <c r="M1174" s="1481"/>
    </row>
    <row r="1175" spans="1:13">
      <c r="A1175" s="18"/>
      <c r="B1175" s="18"/>
      <c r="D1175" s="820"/>
      <c r="E1175" s="820"/>
      <c r="F1175" s="1481"/>
      <c r="H1175" s="1481"/>
      <c r="K1175" s="1481"/>
      <c r="M1175" s="1481"/>
    </row>
    <row r="1176" spans="1:13">
      <c r="A1176" s="18"/>
      <c r="B1176" s="18"/>
      <c r="D1176" s="820"/>
      <c r="E1176" s="820"/>
      <c r="F1176" s="1481"/>
      <c r="H1176" s="1481"/>
      <c r="K1176" s="1481"/>
      <c r="M1176" s="1481"/>
    </row>
    <row r="1177" spans="1:13">
      <c r="A1177" s="18"/>
      <c r="B1177" s="18"/>
      <c r="D1177" s="820"/>
      <c r="E1177" s="820"/>
      <c r="F1177" s="1481"/>
      <c r="H1177" s="1481"/>
      <c r="K1177" s="1481"/>
      <c r="M1177" s="1481"/>
    </row>
    <row r="1178" spans="1:13">
      <c r="A1178" s="18"/>
      <c r="B1178" s="18"/>
      <c r="D1178" s="820"/>
      <c r="E1178" s="820"/>
      <c r="F1178" s="1481"/>
      <c r="H1178" s="1481"/>
      <c r="K1178" s="1481"/>
      <c r="M1178" s="1481"/>
    </row>
    <row r="1179" spans="1:13">
      <c r="A1179" s="18"/>
      <c r="B1179" s="18"/>
      <c r="D1179" s="820"/>
      <c r="E1179" s="820"/>
      <c r="F1179" s="1481"/>
      <c r="H1179" s="1481"/>
      <c r="K1179" s="1481"/>
      <c r="M1179" s="1481"/>
    </row>
    <row r="1180" spans="1:13">
      <c r="A1180" s="18"/>
      <c r="B1180" s="18"/>
      <c r="D1180" s="820"/>
      <c r="E1180" s="820"/>
      <c r="F1180" s="1481"/>
      <c r="H1180" s="1481"/>
      <c r="K1180" s="1481"/>
      <c r="M1180" s="1481"/>
    </row>
    <row r="1181" spans="1:13">
      <c r="A1181" s="18"/>
      <c r="B1181" s="18"/>
      <c r="D1181" s="820"/>
      <c r="E1181" s="820"/>
      <c r="F1181" s="1481"/>
      <c r="H1181" s="1481"/>
      <c r="K1181" s="1481"/>
      <c r="M1181" s="1481"/>
    </row>
    <row r="1182" spans="1:13">
      <c r="A1182" s="18"/>
      <c r="B1182" s="18"/>
      <c r="D1182" s="820"/>
      <c r="E1182" s="820"/>
      <c r="F1182" s="1481"/>
      <c r="H1182" s="1481"/>
      <c r="K1182" s="1481"/>
      <c r="M1182" s="1481"/>
    </row>
    <row r="1183" spans="1:13">
      <c r="A1183" s="18"/>
      <c r="B1183" s="18"/>
      <c r="D1183" s="820"/>
      <c r="E1183" s="820"/>
      <c r="F1183" s="1481"/>
      <c r="H1183" s="1481"/>
      <c r="K1183" s="1481"/>
      <c r="M1183" s="1481"/>
    </row>
    <row r="1184" spans="1:13">
      <c r="A1184" s="18"/>
      <c r="B1184" s="18"/>
      <c r="D1184" s="820"/>
      <c r="E1184" s="820"/>
      <c r="F1184" s="1481"/>
      <c r="H1184" s="1481"/>
      <c r="K1184" s="1481"/>
      <c r="M1184" s="1481"/>
    </row>
    <row r="1185" spans="1:13">
      <c r="A1185" s="18"/>
      <c r="B1185" s="18"/>
      <c r="D1185" s="820"/>
      <c r="E1185" s="820"/>
      <c r="F1185" s="1481"/>
      <c r="H1185" s="1481"/>
      <c r="K1185" s="1481"/>
      <c r="M1185" s="1481"/>
    </row>
    <row r="1186" spans="1:13">
      <c r="A1186" s="18"/>
      <c r="B1186" s="18"/>
      <c r="D1186" s="820"/>
      <c r="E1186" s="820"/>
      <c r="F1186" s="1481"/>
      <c r="H1186" s="1481"/>
      <c r="K1186" s="1481"/>
      <c r="M1186" s="1481"/>
    </row>
    <row r="1187" spans="1:13">
      <c r="A1187" s="18"/>
      <c r="B1187" s="18"/>
      <c r="D1187" s="820"/>
      <c r="E1187" s="820"/>
      <c r="F1187" s="1481"/>
      <c r="H1187" s="1481"/>
      <c r="K1187" s="1481"/>
      <c r="M1187" s="1481"/>
    </row>
    <row r="1188" spans="1:13">
      <c r="A1188" s="18"/>
      <c r="B1188" s="18"/>
      <c r="D1188" s="820"/>
      <c r="E1188" s="820"/>
      <c r="F1188" s="1481"/>
      <c r="H1188" s="1481"/>
      <c r="K1188" s="1481"/>
      <c r="M1188" s="1481"/>
    </row>
    <row r="1189" spans="1:13">
      <c r="A1189" s="18"/>
      <c r="B1189" s="18"/>
      <c r="D1189" s="820"/>
      <c r="E1189" s="820"/>
      <c r="F1189" s="1481"/>
      <c r="H1189" s="1481"/>
      <c r="K1189" s="1481"/>
      <c r="M1189" s="1481"/>
    </row>
    <row r="1190" spans="1:13">
      <c r="A1190" s="18"/>
      <c r="B1190" s="18"/>
      <c r="D1190" s="820"/>
      <c r="E1190" s="820"/>
      <c r="F1190" s="1481"/>
      <c r="H1190" s="1481"/>
      <c r="K1190" s="1481"/>
      <c r="M1190" s="1481"/>
    </row>
    <row r="1191" spans="1:13">
      <c r="A1191" s="18"/>
      <c r="B1191" s="18"/>
      <c r="D1191" s="820"/>
      <c r="E1191" s="820"/>
      <c r="F1191" s="1481"/>
      <c r="H1191" s="1481"/>
      <c r="K1191" s="1481"/>
      <c r="M1191" s="1481"/>
    </row>
    <row r="1192" spans="1:13">
      <c r="A1192" s="18"/>
      <c r="B1192" s="18"/>
      <c r="D1192" s="820"/>
      <c r="E1192" s="820"/>
      <c r="F1192" s="1481"/>
      <c r="H1192" s="1481"/>
      <c r="K1192" s="1481"/>
      <c r="M1192" s="1481"/>
    </row>
    <row r="1193" spans="1:13">
      <c r="A1193" s="18"/>
      <c r="B1193" s="18"/>
      <c r="D1193" s="820"/>
      <c r="E1193" s="820"/>
      <c r="F1193" s="1481"/>
      <c r="H1193" s="1481"/>
      <c r="K1193" s="1481"/>
      <c r="M1193" s="1481"/>
    </row>
    <row r="1194" spans="1:13">
      <c r="A1194" s="18"/>
      <c r="B1194" s="18"/>
      <c r="D1194" s="820"/>
      <c r="E1194" s="820"/>
      <c r="F1194" s="1481"/>
      <c r="H1194" s="1481"/>
      <c r="K1194" s="1481"/>
      <c r="M1194" s="1481"/>
    </row>
    <row r="1195" spans="1:13">
      <c r="A1195" s="18"/>
      <c r="B1195" s="18"/>
      <c r="D1195" s="820"/>
      <c r="E1195" s="820"/>
      <c r="F1195" s="1481"/>
      <c r="H1195" s="1481"/>
      <c r="K1195" s="1481"/>
      <c r="M1195" s="1481"/>
    </row>
    <row r="1196" spans="1:13">
      <c r="A1196" s="18"/>
      <c r="B1196" s="18"/>
      <c r="D1196" s="820"/>
      <c r="E1196" s="820"/>
      <c r="F1196" s="1481"/>
      <c r="H1196" s="1481"/>
      <c r="K1196" s="1481"/>
      <c r="M1196" s="1481"/>
    </row>
    <row r="1197" spans="1:13">
      <c r="A1197" s="18"/>
      <c r="B1197" s="18"/>
      <c r="D1197" s="820"/>
      <c r="E1197" s="820"/>
      <c r="F1197" s="1481"/>
      <c r="H1197" s="1481"/>
      <c r="K1197" s="1481"/>
      <c r="M1197" s="1481"/>
    </row>
    <row r="1198" spans="1:13">
      <c r="A1198" s="18"/>
      <c r="B1198" s="18"/>
      <c r="D1198" s="820"/>
      <c r="E1198" s="820"/>
      <c r="F1198" s="1481"/>
      <c r="H1198" s="1481"/>
      <c r="K1198" s="1481"/>
      <c r="M1198" s="1481"/>
    </row>
    <row r="1199" spans="1:13">
      <c r="A1199" s="18"/>
      <c r="B1199" s="18"/>
      <c r="D1199" s="820"/>
      <c r="E1199" s="820"/>
      <c r="F1199" s="1481"/>
      <c r="H1199" s="1481"/>
      <c r="K1199" s="1481"/>
      <c r="M1199" s="1481"/>
    </row>
    <row r="1200" spans="1:13">
      <c r="A1200" s="18"/>
      <c r="B1200" s="18"/>
      <c r="D1200" s="820"/>
      <c r="E1200" s="820"/>
      <c r="F1200" s="1481"/>
      <c r="H1200" s="1481"/>
      <c r="K1200" s="1481"/>
      <c r="M1200" s="1481"/>
    </row>
    <row r="1201" spans="1:13">
      <c r="A1201" s="18"/>
      <c r="B1201" s="18"/>
      <c r="D1201" s="820"/>
      <c r="E1201" s="820"/>
      <c r="F1201" s="1481"/>
      <c r="H1201" s="1481"/>
      <c r="K1201" s="1481"/>
      <c r="M1201" s="1481"/>
    </row>
    <row r="1202" spans="1:13">
      <c r="A1202" s="18"/>
      <c r="B1202" s="18"/>
      <c r="D1202" s="820"/>
      <c r="E1202" s="820"/>
      <c r="F1202" s="1481"/>
      <c r="H1202" s="1481"/>
      <c r="K1202" s="1481"/>
      <c r="M1202" s="1481"/>
    </row>
    <row r="1203" spans="1:13">
      <c r="A1203" s="18"/>
      <c r="B1203" s="18"/>
      <c r="D1203" s="820"/>
      <c r="E1203" s="820"/>
      <c r="F1203" s="1481"/>
      <c r="H1203" s="1481"/>
      <c r="K1203" s="1481"/>
      <c r="M1203" s="1481"/>
    </row>
    <row r="1204" spans="1:13">
      <c r="A1204" s="18"/>
      <c r="B1204" s="18"/>
      <c r="D1204" s="820"/>
      <c r="E1204" s="820"/>
      <c r="F1204" s="1481"/>
      <c r="H1204" s="1481"/>
      <c r="K1204" s="1481"/>
      <c r="M1204" s="1481"/>
    </row>
    <row r="1205" spans="1:13">
      <c r="A1205" s="18"/>
      <c r="B1205" s="18"/>
      <c r="D1205" s="820"/>
      <c r="E1205" s="820"/>
      <c r="F1205" s="1481"/>
      <c r="H1205" s="1481"/>
      <c r="K1205" s="1481"/>
      <c r="M1205" s="1481"/>
    </row>
    <row r="1206" spans="1:13">
      <c r="A1206" s="18"/>
      <c r="B1206" s="18"/>
      <c r="D1206" s="820"/>
      <c r="E1206" s="820"/>
      <c r="F1206" s="1481"/>
      <c r="H1206" s="1481"/>
      <c r="K1206" s="1481"/>
      <c r="M1206" s="1481"/>
    </row>
    <row r="1207" spans="1:13">
      <c r="A1207" s="18"/>
      <c r="B1207" s="18"/>
      <c r="D1207" s="820"/>
      <c r="E1207" s="820"/>
      <c r="F1207" s="1481"/>
      <c r="H1207" s="1481"/>
      <c r="K1207" s="1481"/>
      <c r="M1207" s="1481"/>
    </row>
    <row r="1208" spans="1:13">
      <c r="A1208" s="18"/>
      <c r="B1208" s="18"/>
      <c r="D1208" s="820"/>
      <c r="E1208" s="820"/>
      <c r="F1208" s="1481"/>
      <c r="H1208" s="1481"/>
      <c r="K1208" s="1481"/>
      <c r="M1208" s="1481"/>
    </row>
    <row r="1209" spans="1:13">
      <c r="A1209" s="18"/>
      <c r="B1209" s="18"/>
      <c r="D1209" s="820"/>
      <c r="E1209" s="820"/>
      <c r="F1209" s="1481"/>
      <c r="H1209" s="1481"/>
      <c r="K1209" s="1481"/>
      <c r="M1209" s="1481"/>
    </row>
    <row r="1210" spans="1:13">
      <c r="A1210" s="18"/>
      <c r="B1210" s="18"/>
      <c r="D1210" s="820"/>
      <c r="E1210" s="820"/>
      <c r="F1210" s="1481"/>
      <c r="H1210" s="1481"/>
      <c r="K1210" s="1481"/>
      <c r="M1210" s="1481"/>
    </row>
    <row r="1211" spans="1:13">
      <c r="A1211" s="18"/>
      <c r="B1211" s="18"/>
      <c r="D1211" s="820"/>
      <c r="E1211" s="820"/>
      <c r="F1211" s="1481"/>
      <c r="H1211" s="1481"/>
      <c r="K1211" s="1481"/>
      <c r="M1211" s="1481"/>
    </row>
    <row r="1212" spans="1:13">
      <c r="A1212" s="18"/>
      <c r="B1212" s="18"/>
      <c r="D1212" s="820"/>
      <c r="E1212" s="820"/>
      <c r="F1212" s="1481"/>
      <c r="H1212" s="1481"/>
      <c r="K1212" s="1481"/>
      <c r="M1212" s="1481"/>
    </row>
    <row r="1213" spans="1:13">
      <c r="A1213" s="18"/>
      <c r="B1213" s="18"/>
      <c r="D1213" s="820"/>
      <c r="E1213" s="820"/>
      <c r="F1213" s="1481"/>
      <c r="H1213" s="1481"/>
      <c r="K1213" s="1481"/>
      <c r="M1213" s="1481"/>
    </row>
    <row r="1214" spans="1:13">
      <c r="A1214" s="18"/>
      <c r="B1214" s="18"/>
      <c r="D1214" s="820"/>
      <c r="E1214" s="820"/>
      <c r="F1214" s="1481"/>
      <c r="H1214" s="1481"/>
      <c r="K1214" s="1481"/>
      <c r="M1214" s="1481"/>
    </row>
    <row r="1215" spans="1:13">
      <c r="A1215" s="18"/>
      <c r="B1215" s="18"/>
      <c r="D1215" s="820"/>
      <c r="E1215" s="820"/>
      <c r="F1215" s="1481"/>
      <c r="H1215" s="1481"/>
      <c r="K1215" s="1481"/>
      <c r="M1215" s="1481"/>
    </row>
    <row r="1216" spans="1:13">
      <c r="A1216" s="18"/>
      <c r="B1216" s="18"/>
      <c r="D1216" s="820"/>
      <c r="E1216" s="820"/>
      <c r="F1216" s="1481"/>
      <c r="H1216" s="1481"/>
      <c r="K1216" s="1481"/>
      <c r="M1216" s="1481"/>
    </row>
    <row r="1217" spans="1:13">
      <c r="A1217" s="18"/>
      <c r="B1217" s="18"/>
      <c r="D1217" s="820"/>
      <c r="E1217" s="820"/>
      <c r="F1217" s="1481"/>
      <c r="H1217" s="1481"/>
      <c r="K1217" s="1481"/>
      <c r="M1217" s="1481"/>
    </row>
    <row r="1218" spans="1:13">
      <c r="A1218" s="18"/>
      <c r="B1218" s="18"/>
      <c r="D1218" s="820"/>
      <c r="E1218" s="820"/>
      <c r="F1218" s="1481"/>
      <c r="H1218" s="1481"/>
      <c r="K1218" s="1481"/>
      <c r="M1218" s="1481"/>
    </row>
    <row r="1219" spans="1:13">
      <c r="A1219" s="18"/>
      <c r="B1219" s="18"/>
      <c r="D1219" s="820"/>
      <c r="E1219" s="820"/>
      <c r="F1219" s="1481"/>
      <c r="H1219" s="1481"/>
      <c r="K1219" s="1481"/>
      <c r="M1219" s="1481"/>
    </row>
    <row r="1220" spans="1:13">
      <c r="A1220" s="18"/>
      <c r="B1220" s="18"/>
      <c r="D1220" s="820"/>
      <c r="E1220" s="820"/>
      <c r="F1220" s="1481"/>
      <c r="H1220" s="1481"/>
      <c r="K1220" s="1481"/>
      <c r="M1220" s="1481"/>
    </row>
    <row r="1221" spans="1:13">
      <c r="A1221" s="18"/>
      <c r="B1221" s="18"/>
      <c r="D1221" s="820"/>
      <c r="E1221" s="820"/>
      <c r="F1221" s="1481"/>
      <c r="H1221" s="1481"/>
      <c r="K1221" s="1481"/>
      <c r="M1221" s="1481"/>
    </row>
    <row r="1222" spans="1:13">
      <c r="A1222" s="18"/>
      <c r="B1222" s="18"/>
      <c r="D1222" s="820"/>
      <c r="E1222" s="820"/>
      <c r="F1222" s="1481"/>
      <c r="H1222" s="1481"/>
      <c r="K1222" s="1481"/>
      <c r="M1222" s="1481"/>
    </row>
    <row r="1223" spans="1:13">
      <c r="A1223" s="18"/>
      <c r="B1223" s="18"/>
      <c r="D1223" s="820"/>
      <c r="E1223" s="820"/>
      <c r="F1223" s="1481"/>
      <c r="H1223" s="1481"/>
      <c r="K1223" s="1481"/>
      <c r="M1223" s="1481"/>
    </row>
    <row r="1224" spans="1:13">
      <c r="A1224" s="18"/>
      <c r="B1224" s="18"/>
      <c r="D1224" s="820"/>
      <c r="E1224" s="820"/>
      <c r="F1224" s="1481"/>
      <c r="H1224" s="1481"/>
      <c r="K1224" s="1481"/>
      <c r="M1224" s="1481"/>
    </row>
    <row r="1225" spans="1:13">
      <c r="A1225" s="18"/>
      <c r="B1225" s="18"/>
      <c r="D1225" s="820"/>
      <c r="E1225" s="820"/>
      <c r="F1225" s="1481"/>
      <c r="H1225" s="1481"/>
      <c r="K1225" s="1481"/>
      <c r="M1225" s="1481"/>
    </row>
    <row r="1226" spans="1:13">
      <c r="A1226" s="18"/>
      <c r="B1226" s="18"/>
      <c r="D1226" s="820"/>
      <c r="E1226" s="820"/>
      <c r="F1226" s="1481"/>
      <c r="H1226" s="1481"/>
      <c r="K1226" s="1481"/>
      <c r="M1226" s="1481"/>
    </row>
    <row r="1227" spans="1:13">
      <c r="A1227" s="18"/>
      <c r="B1227" s="18"/>
      <c r="D1227" s="820"/>
      <c r="E1227" s="820"/>
      <c r="F1227" s="1481"/>
      <c r="H1227" s="1481"/>
      <c r="K1227" s="1481"/>
      <c r="M1227" s="1481"/>
    </row>
    <row r="1228" spans="1:13">
      <c r="A1228" s="18"/>
      <c r="B1228" s="18"/>
      <c r="D1228" s="820"/>
      <c r="E1228" s="820"/>
      <c r="F1228" s="1481"/>
      <c r="H1228" s="1481"/>
      <c r="K1228" s="1481"/>
      <c r="M1228" s="1481"/>
    </row>
    <row r="1229" spans="1:13">
      <c r="A1229" s="18"/>
      <c r="B1229" s="18"/>
      <c r="D1229" s="820"/>
      <c r="E1229" s="820"/>
      <c r="F1229" s="1481"/>
      <c r="H1229" s="1481"/>
      <c r="K1229" s="1481"/>
      <c r="M1229" s="1481"/>
    </row>
    <row r="1230" spans="1:13">
      <c r="A1230" s="18"/>
      <c r="B1230" s="18"/>
      <c r="D1230" s="820"/>
      <c r="E1230" s="820"/>
      <c r="F1230" s="1481"/>
      <c r="H1230" s="1481"/>
      <c r="K1230" s="1481"/>
      <c r="M1230" s="1481"/>
    </row>
    <row r="1231" spans="1:13">
      <c r="A1231" s="18"/>
      <c r="B1231" s="18"/>
      <c r="D1231" s="820"/>
      <c r="E1231" s="820"/>
      <c r="F1231" s="1481"/>
      <c r="H1231" s="1481"/>
      <c r="K1231" s="1481"/>
      <c r="M1231" s="1481"/>
    </row>
    <row r="1232" spans="1:13">
      <c r="A1232" s="18"/>
      <c r="B1232" s="18"/>
      <c r="D1232" s="820"/>
      <c r="E1232" s="820"/>
      <c r="F1232" s="1481"/>
      <c r="H1232" s="1481"/>
      <c r="K1232" s="1481"/>
      <c r="M1232" s="1481"/>
    </row>
    <row r="1233" spans="1:13">
      <c r="A1233" s="18"/>
      <c r="B1233" s="18"/>
      <c r="D1233" s="820"/>
      <c r="E1233" s="820"/>
      <c r="F1233" s="1481"/>
      <c r="H1233" s="1481"/>
      <c r="K1233" s="1481"/>
      <c r="M1233" s="1481"/>
    </row>
    <row r="1234" spans="1:13">
      <c r="A1234" s="18"/>
      <c r="B1234" s="18"/>
      <c r="D1234" s="820"/>
      <c r="E1234" s="820"/>
      <c r="F1234" s="1481"/>
      <c r="H1234" s="1481"/>
      <c r="K1234" s="1481"/>
      <c r="M1234" s="1481"/>
    </row>
    <row r="1235" spans="1:13">
      <c r="A1235" s="18"/>
      <c r="B1235" s="18"/>
      <c r="D1235" s="820"/>
      <c r="E1235" s="820"/>
      <c r="F1235" s="1481"/>
      <c r="H1235" s="1481"/>
      <c r="K1235" s="1481"/>
      <c r="M1235" s="1481"/>
    </row>
    <row r="1236" spans="1:13">
      <c r="A1236" s="18"/>
      <c r="B1236" s="18"/>
      <c r="D1236" s="820"/>
      <c r="E1236" s="820"/>
      <c r="F1236" s="1481"/>
      <c r="H1236" s="1481"/>
      <c r="K1236" s="1481"/>
      <c r="M1236" s="1481"/>
    </row>
    <row r="1237" spans="1:13">
      <c r="A1237" s="18"/>
      <c r="B1237" s="18"/>
      <c r="D1237" s="820"/>
      <c r="E1237" s="820"/>
      <c r="F1237" s="1481"/>
      <c r="H1237" s="1481"/>
      <c r="K1237" s="1481"/>
      <c r="M1237" s="1481"/>
    </row>
    <row r="1238" spans="1:13">
      <c r="A1238" s="18"/>
      <c r="B1238" s="18"/>
      <c r="D1238" s="820"/>
      <c r="E1238" s="820"/>
      <c r="F1238" s="1481"/>
      <c r="H1238" s="1481"/>
      <c r="K1238" s="1481"/>
      <c r="M1238" s="1481"/>
    </row>
    <row r="1239" spans="1:13">
      <c r="A1239" s="18"/>
      <c r="B1239" s="18"/>
      <c r="D1239" s="820"/>
      <c r="E1239" s="820"/>
      <c r="F1239" s="1481"/>
      <c r="H1239" s="1481"/>
      <c r="K1239" s="1481"/>
      <c r="M1239" s="1481"/>
    </row>
    <row r="1240" spans="1:13">
      <c r="A1240" s="18"/>
      <c r="B1240" s="18"/>
      <c r="D1240" s="820"/>
      <c r="E1240" s="820"/>
      <c r="F1240" s="1481"/>
      <c r="H1240" s="1481"/>
      <c r="K1240" s="1481"/>
      <c r="M1240" s="1481"/>
    </row>
    <row r="1241" spans="1:13">
      <c r="A1241" s="18"/>
      <c r="B1241" s="18"/>
      <c r="D1241" s="820"/>
      <c r="E1241" s="820"/>
      <c r="F1241" s="1481"/>
      <c r="H1241" s="1481"/>
      <c r="K1241" s="1481"/>
      <c r="M1241" s="1481"/>
    </row>
    <row r="1242" spans="1:13">
      <c r="A1242" s="18"/>
      <c r="B1242" s="18"/>
      <c r="D1242" s="820"/>
      <c r="E1242" s="820"/>
      <c r="F1242" s="1481"/>
      <c r="H1242" s="1481"/>
      <c r="K1242" s="1481"/>
      <c r="M1242" s="1481"/>
    </row>
    <row r="1243" spans="1:13">
      <c r="A1243" s="18"/>
      <c r="B1243" s="18"/>
      <c r="D1243" s="820"/>
      <c r="E1243" s="820"/>
      <c r="F1243" s="1481"/>
      <c r="H1243" s="1481"/>
      <c r="K1243" s="1481"/>
      <c r="M1243" s="1481"/>
    </row>
    <row r="1244" spans="1:13">
      <c r="A1244" s="18"/>
      <c r="B1244" s="18"/>
      <c r="D1244" s="820"/>
      <c r="E1244" s="820"/>
      <c r="F1244" s="1481"/>
      <c r="H1244" s="1481"/>
      <c r="K1244" s="1481"/>
      <c r="M1244" s="1481"/>
    </row>
    <row r="1245" spans="1:13">
      <c r="A1245" s="18"/>
      <c r="B1245" s="18"/>
      <c r="D1245" s="820"/>
      <c r="E1245" s="820"/>
      <c r="F1245" s="1481"/>
      <c r="H1245" s="1481"/>
      <c r="K1245" s="1481"/>
      <c r="M1245" s="1481"/>
    </row>
    <row r="1246" spans="1:13">
      <c r="A1246" s="18"/>
      <c r="B1246" s="18"/>
      <c r="D1246" s="820"/>
      <c r="E1246" s="820"/>
      <c r="F1246" s="1481"/>
      <c r="H1246" s="1481"/>
      <c r="K1246" s="1481"/>
      <c r="M1246" s="1481"/>
    </row>
    <row r="1247" spans="1:13">
      <c r="A1247" s="18"/>
      <c r="B1247" s="18"/>
      <c r="D1247" s="820"/>
      <c r="E1247" s="820"/>
      <c r="F1247" s="1481"/>
      <c r="H1247" s="1481"/>
      <c r="K1247" s="1481"/>
      <c r="M1247" s="1481"/>
    </row>
    <row r="1248" spans="1:13">
      <c r="A1248" s="18"/>
      <c r="B1248" s="18"/>
      <c r="D1248" s="820"/>
      <c r="E1248" s="820"/>
      <c r="F1248" s="1481"/>
      <c r="H1248" s="1481"/>
      <c r="K1248" s="1481"/>
      <c r="M1248" s="1481"/>
    </row>
    <row r="1249" spans="1:13">
      <c r="A1249" s="18"/>
      <c r="B1249" s="18"/>
      <c r="D1249" s="820"/>
      <c r="E1249" s="820"/>
      <c r="F1249" s="1481"/>
      <c r="H1249" s="1481"/>
      <c r="K1249" s="1481"/>
      <c r="M1249" s="1481"/>
    </row>
    <row r="1250" spans="1:13">
      <c r="A1250" s="18"/>
      <c r="B1250" s="18"/>
      <c r="D1250" s="820"/>
      <c r="E1250" s="820"/>
      <c r="F1250" s="1481"/>
      <c r="H1250" s="1481"/>
      <c r="K1250" s="1481"/>
      <c r="M1250" s="1481"/>
    </row>
    <row r="1251" spans="1:13">
      <c r="A1251" s="18"/>
      <c r="B1251" s="18"/>
      <c r="D1251" s="820"/>
      <c r="E1251" s="820"/>
      <c r="F1251" s="1481"/>
      <c r="H1251" s="1481"/>
      <c r="K1251" s="1481"/>
      <c r="M1251" s="1481"/>
    </row>
    <row r="1252" spans="1:13">
      <c r="A1252" s="18"/>
      <c r="B1252" s="18"/>
      <c r="D1252" s="820"/>
      <c r="E1252" s="820"/>
      <c r="F1252" s="1481"/>
      <c r="H1252" s="1481"/>
      <c r="K1252" s="1481"/>
      <c r="M1252" s="1481"/>
    </row>
    <row r="1253" spans="1:13">
      <c r="A1253" s="18"/>
      <c r="B1253" s="18"/>
      <c r="D1253" s="820"/>
      <c r="E1253" s="820"/>
      <c r="F1253" s="1481"/>
      <c r="H1253" s="1481"/>
      <c r="K1253" s="1481"/>
      <c r="M1253" s="1481"/>
    </row>
    <row r="1254" spans="1:13">
      <c r="A1254" s="18"/>
      <c r="B1254" s="18"/>
      <c r="D1254" s="820"/>
      <c r="E1254" s="820"/>
      <c r="F1254" s="1481"/>
      <c r="H1254" s="1481"/>
      <c r="K1254" s="1481"/>
      <c r="M1254" s="1481"/>
    </row>
    <row r="1255" spans="1:13">
      <c r="A1255" s="18"/>
      <c r="B1255" s="18"/>
      <c r="D1255" s="820"/>
      <c r="E1255" s="820"/>
      <c r="F1255" s="1481"/>
      <c r="H1255" s="1481"/>
      <c r="K1255" s="1481"/>
      <c r="M1255" s="1481"/>
    </row>
    <row r="1256" spans="1:13">
      <c r="A1256" s="18"/>
      <c r="B1256" s="18"/>
      <c r="D1256" s="820"/>
      <c r="E1256" s="820"/>
      <c r="F1256" s="1481"/>
      <c r="H1256" s="1481"/>
      <c r="K1256" s="1481"/>
      <c r="M1256" s="1481"/>
    </row>
    <row r="1257" spans="1:13">
      <c r="A1257" s="18"/>
      <c r="B1257" s="18"/>
      <c r="D1257" s="820"/>
      <c r="E1257" s="820"/>
      <c r="F1257" s="1481"/>
      <c r="H1257" s="1481"/>
      <c r="K1257" s="1481"/>
      <c r="M1257" s="1481"/>
    </row>
    <row r="1258" spans="1:13">
      <c r="A1258" s="18"/>
      <c r="B1258" s="18"/>
      <c r="D1258" s="820"/>
      <c r="E1258" s="820"/>
      <c r="F1258" s="1481"/>
      <c r="H1258" s="1481"/>
      <c r="K1258" s="1481"/>
      <c r="M1258" s="1481"/>
    </row>
    <row r="1259" spans="1:13">
      <c r="A1259" s="18"/>
      <c r="B1259" s="18"/>
      <c r="D1259" s="820"/>
      <c r="E1259" s="820"/>
      <c r="F1259" s="1481"/>
      <c r="H1259" s="1481"/>
      <c r="K1259" s="1481"/>
      <c r="M1259" s="1481"/>
    </row>
    <row r="1260" spans="1:13">
      <c r="A1260" s="18"/>
      <c r="B1260" s="18"/>
      <c r="D1260" s="820"/>
      <c r="E1260" s="820"/>
      <c r="F1260" s="1481"/>
      <c r="H1260" s="1481"/>
      <c r="K1260" s="1481"/>
      <c r="M1260" s="1481"/>
    </row>
    <row r="1261" spans="1:13">
      <c r="A1261" s="18"/>
      <c r="B1261" s="18"/>
      <c r="D1261" s="820"/>
      <c r="E1261" s="820"/>
      <c r="F1261" s="1481"/>
      <c r="H1261" s="1481"/>
      <c r="K1261" s="1481"/>
      <c r="M1261" s="1481"/>
    </row>
    <row r="1262" spans="1:13">
      <c r="A1262" s="18"/>
      <c r="B1262" s="18"/>
      <c r="D1262" s="820"/>
      <c r="E1262" s="820"/>
      <c r="F1262" s="1481"/>
      <c r="H1262" s="1481"/>
      <c r="K1262" s="1481"/>
      <c r="M1262" s="1481"/>
    </row>
    <row r="1263" spans="1:13">
      <c r="A1263" s="18"/>
      <c r="B1263" s="18"/>
      <c r="D1263" s="820"/>
      <c r="E1263" s="820"/>
      <c r="F1263" s="1481"/>
      <c r="H1263" s="1481"/>
      <c r="K1263" s="1481"/>
      <c r="M1263" s="1481"/>
    </row>
    <row r="1264" spans="1:13">
      <c r="A1264" s="18"/>
      <c r="B1264" s="18"/>
      <c r="D1264" s="820"/>
      <c r="E1264" s="820"/>
      <c r="F1264" s="1481"/>
      <c r="H1264" s="1481"/>
      <c r="K1264" s="1481"/>
      <c r="M1264" s="1481"/>
    </row>
    <row r="1265" spans="1:13">
      <c r="A1265" s="18"/>
      <c r="B1265" s="18"/>
      <c r="D1265" s="820"/>
      <c r="E1265" s="820"/>
      <c r="F1265" s="1481"/>
      <c r="H1265" s="1481"/>
      <c r="K1265" s="1481"/>
      <c r="M1265" s="1481"/>
    </row>
    <row r="1266" spans="1:13">
      <c r="A1266" s="18"/>
      <c r="B1266" s="18"/>
      <c r="D1266" s="820"/>
      <c r="E1266" s="820"/>
      <c r="F1266" s="1481"/>
      <c r="H1266" s="1481"/>
      <c r="K1266" s="1481"/>
      <c r="M1266" s="1481"/>
    </row>
    <row r="1267" spans="1:13">
      <c r="A1267" s="18"/>
      <c r="B1267" s="18"/>
      <c r="D1267" s="820"/>
      <c r="E1267" s="820"/>
      <c r="F1267" s="1481"/>
      <c r="H1267" s="1481"/>
      <c r="K1267" s="1481"/>
      <c r="M1267" s="1481"/>
    </row>
    <row r="1268" spans="1:13">
      <c r="A1268" s="18"/>
      <c r="B1268" s="18"/>
      <c r="D1268" s="820"/>
      <c r="E1268" s="820"/>
      <c r="F1268" s="1481"/>
      <c r="H1268" s="1481"/>
      <c r="K1268" s="1481"/>
      <c r="M1268" s="1481"/>
    </row>
    <row r="1269" spans="1:13">
      <c r="A1269" s="18"/>
      <c r="B1269" s="18"/>
      <c r="D1269" s="820"/>
      <c r="E1269" s="820"/>
      <c r="F1269" s="1481"/>
      <c r="H1269" s="1481"/>
      <c r="K1269" s="1481"/>
      <c r="M1269" s="1481"/>
    </row>
    <row r="1270" spans="1:13">
      <c r="A1270" s="18"/>
      <c r="B1270" s="18"/>
      <c r="D1270" s="820"/>
      <c r="E1270" s="820"/>
      <c r="F1270" s="1481"/>
      <c r="H1270" s="1481"/>
      <c r="K1270" s="1481"/>
      <c r="M1270" s="1481"/>
    </row>
    <row r="1271" spans="1:13">
      <c r="A1271" s="18"/>
      <c r="B1271" s="18"/>
      <c r="D1271" s="820"/>
      <c r="E1271" s="820"/>
      <c r="F1271" s="1481"/>
      <c r="H1271" s="1481"/>
      <c r="K1271" s="1481"/>
      <c r="M1271" s="1481"/>
    </row>
    <row r="1272" spans="1:13">
      <c r="A1272" s="18"/>
      <c r="B1272" s="18"/>
      <c r="D1272" s="820"/>
      <c r="E1272" s="820"/>
      <c r="F1272" s="1481"/>
      <c r="H1272" s="1481"/>
      <c r="K1272" s="1481"/>
      <c r="M1272" s="1481"/>
    </row>
    <row r="1273" spans="1:13">
      <c r="A1273" s="18"/>
      <c r="B1273" s="18"/>
      <c r="D1273" s="820"/>
      <c r="E1273" s="820"/>
      <c r="F1273" s="1481"/>
      <c r="H1273" s="1481"/>
      <c r="K1273" s="1481"/>
      <c r="M1273" s="1481"/>
    </row>
    <row r="1274" spans="1:13">
      <c r="A1274" s="18"/>
      <c r="B1274" s="18"/>
      <c r="D1274" s="820"/>
      <c r="E1274" s="820"/>
      <c r="F1274" s="1481"/>
      <c r="H1274" s="1481"/>
      <c r="K1274" s="1481"/>
      <c r="M1274" s="1481"/>
    </row>
    <row r="1275" spans="1:13">
      <c r="A1275" s="18"/>
      <c r="B1275" s="18"/>
      <c r="D1275" s="820"/>
      <c r="E1275" s="820"/>
      <c r="F1275" s="1481"/>
      <c r="H1275" s="1481"/>
      <c r="K1275" s="1481"/>
      <c r="M1275" s="1481"/>
    </row>
    <row r="1276" spans="1:13">
      <c r="A1276" s="18"/>
      <c r="B1276" s="18"/>
      <c r="D1276" s="820"/>
      <c r="E1276" s="820"/>
      <c r="F1276" s="1481"/>
      <c r="H1276" s="1481"/>
      <c r="K1276" s="1481"/>
      <c r="M1276" s="1481"/>
    </row>
    <row r="1277" spans="1:13">
      <c r="A1277" s="18"/>
      <c r="B1277" s="18"/>
      <c r="D1277" s="820"/>
      <c r="E1277" s="820"/>
      <c r="F1277" s="1481"/>
      <c r="H1277" s="1481"/>
      <c r="K1277" s="1481"/>
      <c r="M1277" s="1481"/>
    </row>
    <row r="1278" spans="1:13">
      <c r="A1278" s="18"/>
      <c r="B1278" s="18"/>
      <c r="D1278" s="820"/>
      <c r="E1278" s="820"/>
      <c r="F1278" s="1481"/>
      <c r="H1278" s="1481"/>
      <c r="K1278" s="1481"/>
      <c r="M1278" s="1481"/>
    </row>
    <row r="1279" spans="1:13">
      <c r="A1279" s="18"/>
      <c r="B1279" s="18"/>
      <c r="D1279" s="820"/>
      <c r="E1279" s="820"/>
      <c r="F1279" s="1481"/>
      <c r="H1279" s="1481"/>
      <c r="K1279" s="1481"/>
      <c r="M1279" s="1481"/>
    </row>
    <row r="1280" spans="1:13">
      <c r="A1280" s="18"/>
      <c r="B1280" s="18"/>
      <c r="D1280" s="820"/>
      <c r="E1280" s="820"/>
      <c r="F1280" s="1481"/>
      <c r="H1280" s="1481"/>
      <c r="K1280" s="1481"/>
      <c r="M1280" s="1481"/>
    </row>
    <row r="1281" spans="1:13">
      <c r="A1281" s="18"/>
      <c r="B1281" s="18"/>
      <c r="D1281" s="820"/>
      <c r="E1281" s="820"/>
      <c r="F1281" s="1481"/>
      <c r="H1281" s="1481"/>
      <c r="K1281" s="1481"/>
      <c r="M1281" s="1481"/>
    </row>
    <row r="1282" spans="1:13">
      <c r="A1282" s="18"/>
      <c r="B1282" s="18"/>
      <c r="D1282" s="820"/>
      <c r="E1282" s="820"/>
      <c r="F1282" s="1481"/>
      <c r="H1282" s="1481"/>
      <c r="K1282" s="1481"/>
      <c r="M1282" s="1481"/>
    </row>
    <row r="1283" spans="1:13">
      <c r="A1283" s="18"/>
      <c r="B1283" s="18"/>
      <c r="D1283" s="820"/>
      <c r="E1283" s="820"/>
      <c r="F1283" s="1481"/>
      <c r="H1283" s="1481"/>
      <c r="K1283" s="1481"/>
      <c r="M1283" s="1481"/>
    </row>
    <row r="1284" spans="1:13">
      <c r="A1284" s="18"/>
      <c r="B1284" s="18"/>
      <c r="D1284" s="820"/>
      <c r="E1284" s="820"/>
      <c r="F1284" s="1481"/>
      <c r="H1284" s="1481"/>
      <c r="K1284" s="1481"/>
      <c r="M1284" s="1481"/>
    </row>
    <row r="1285" spans="1:13">
      <c r="A1285" s="18"/>
      <c r="B1285" s="18"/>
      <c r="D1285" s="820"/>
      <c r="E1285" s="820"/>
      <c r="F1285" s="1481"/>
      <c r="H1285" s="1481"/>
      <c r="K1285" s="1481"/>
      <c r="M1285" s="1481"/>
    </row>
    <row r="1286" spans="1:13">
      <c r="A1286" s="18"/>
      <c r="B1286" s="18"/>
      <c r="D1286" s="820"/>
      <c r="E1286" s="820"/>
      <c r="F1286" s="1481"/>
      <c r="H1286" s="1481"/>
      <c r="K1286" s="1481"/>
      <c r="M1286" s="1481"/>
    </row>
    <row r="1287" spans="1:13">
      <c r="A1287" s="18"/>
      <c r="B1287" s="18"/>
      <c r="D1287" s="820"/>
      <c r="E1287" s="820"/>
      <c r="F1287" s="1481"/>
      <c r="H1287" s="1481"/>
      <c r="K1287" s="1481"/>
      <c r="M1287" s="1481"/>
    </row>
    <row r="1288" spans="1:13">
      <c r="A1288" s="18"/>
      <c r="B1288" s="18"/>
      <c r="D1288" s="820"/>
      <c r="E1288" s="820"/>
      <c r="F1288" s="1481"/>
      <c r="H1288" s="1481"/>
      <c r="K1288" s="1481"/>
      <c r="M1288" s="1481"/>
    </row>
    <row r="1289" spans="1:13">
      <c r="A1289" s="18"/>
      <c r="B1289" s="18"/>
      <c r="D1289" s="820"/>
      <c r="E1289" s="820"/>
      <c r="F1289" s="1481"/>
      <c r="H1289" s="1481"/>
      <c r="K1289" s="1481"/>
      <c r="M1289" s="1481"/>
    </row>
    <row r="1290" spans="1:13">
      <c r="A1290" s="18"/>
      <c r="B1290" s="18"/>
      <c r="D1290" s="820"/>
      <c r="E1290" s="820"/>
      <c r="F1290" s="1481"/>
      <c r="H1290" s="1481"/>
      <c r="K1290" s="1481"/>
      <c r="M1290" s="1481"/>
    </row>
    <row r="1291" spans="1:13">
      <c r="A1291" s="18"/>
      <c r="B1291" s="18"/>
      <c r="D1291" s="820"/>
      <c r="E1291" s="820"/>
      <c r="F1291" s="1481"/>
      <c r="H1291" s="1481"/>
      <c r="K1291" s="1481"/>
      <c r="M1291" s="1481"/>
    </row>
    <row r="1292" spans="1:13">
      <c r="A1292" s="18"/>
      <c r="B1292" s="18"/>
      <c r="D1292" s="820"/>
      <c r="E1292" s="820"/>
      <c r="F1292" s="1481"/>
      <c r="H1292" s="1481"/>
      <c r="K1292" s="1481"/>
      <c r="M1292" s="1481"/>
    </row>
    <row r="1293" spans="1:13">
      <c r="A1293" s="18"/>
      <c r="B1293" s="18"/>
      <c r="D1293" s="820"/>
      <c r="E1293" s="820"/>
      <c r="F1293" s="1481"/>
      <c r="H1293" s="1481"/>
      <c r="K1293" s="1481"/>
      <c r="M1293" s="1481"/>
    </row>
    <row r="1294" spans="1:13">
      <c r="A1294" s="18"/>
      <c r="B1294" s="18"/>
      <c r="D1294" s="820"/>
      <c r="E1294" s="820"/>
      <c r="F1294" s="1481"/>
      <c r="H1294" s="1481"/>
      <c r="K1294" s="1481"/>
      <c r="M1294" s="1481"/>
    </row>
    <row r="1295" spans="1:13">
      <c r="A1295" s="18"/>
      <c r="B1295" s="18"/>
      <c r="D1295" s="820"/>
      <c r="E1295" s="820"/>
      <c r="F1295" s="1481"/>
      <c r="H1295" s="1481"/>
      <c r="K1295" s="1481"/>
      <c r="M1295" s="1481"/>
    </row>
    <row r="1296" spans="1:13">
      <c r="A1296" s="18"/>
      <c r="B1296" s="18"/>
      <c r="D1296" s="820"/>
      <c r="E1296" s="820"/>
      <c r="F1296" s="1481"/>
      <c r="H1296" s="1481"/>
      <c r="K1296" s="1481"/>
      <c r="M1296" s="1481"/>
    </row>
    <row r="1297" spans="1:13">
      <c r="A1297" s="18"/>
      <c r="B1297" s="18"/>
      <c r="D1297" s="820"/>
      <c r="E1297" s="820"/>
      <c r="F1297" s="1481"/>
      <c r="H1297" s="1481"/>
      <c r="K1297" s="1481"/>
      <c r="M1297" s="1481"/>
    </row>
    <row r="1298" spans="1:13">
      <c r="A1298" s="18"/>
      <c r="B1298" s="18"/>
      <c r="D1298" s="820"/>
      <c r="E1298" s="820"/>
      <c r="F1298" s="1481"/>
      <c r="H1298" s="1481"/>
      <c r="K1298" s="1481"/>
      <c r="M1298" s="1481"/>
    </row>
    <row r="1299" spans="1:13">
      <c r="A1299" s="18"/>
      <c r="B1299" s="18"/>
      <c r="D1299" s="820"/>
      <c r="E1299" s="820"/>
      <c r="F1299" s="1481"/>
      <c r="H1299" s="1481"/>
      <c r="K1299" s="1481"/>
      <c r="M1299" s="1481"/>
    </row>
    <row r="1300" spans="1:13">
      <c r="A1300" s="18"/>
      <c r="B1300" s="18"/>
      <c r="D1300" s="820"/>
      <c r="E1300" s="820"/>
      <c r="F1300" s="1481"/>
      <c r="H1300" s="1481"/>
      <c r="K1300" s="1481"/>
      <c r="M1300" s="1481"/>
    </row>
    <row r="1301" spans="1:13">
      <c r="A1301" s="18"/>
      <c r="B1301" s="18"/>
      <c r="D1301" s="820"/>
      <c r="E1301" s="820"/>
      <c r="F1301" s="1481"/>
      <c r="H1301" s="1481"/>
      <c r="K1301" s="1481"/>
      <c r="M1301" s="1481"/>
    </row>
    <row r="1302" spans="1:13">
      <c r="A1302" s="18"/>
      <c r="B1302" s="18"/>
      <c r="D1302" s="820"/>
      <c r="E1302" s="820"/>
      <c r="F1302" s="1481"/>
      <c r="H1302" s="1481"/>
      <c r="K1302" s="1481"/>
      <c r="M1302" s="1481"/>
    </row>
    <row r="1303" spans="1:13">
      <c r="A1303" s="18"/>
      <c r="B1303" s="18"/>
      <c r="D1303" s="820"/>
      <c r="E1303" s="820"/>
      <c r="F1303" s="1481"/>
      <c r="H1303" s="1481"/>
      <c r="K1303" s="1481"/>
      <c r="M1303" s="1481"/>
    </row>
    <row r="1304" spans="1:13">
      <c r="A1304" s="18"/>
      <c r="B1304" s="18"/>
      <c r="D1304" s="820"/>
      <c r="E1304" s="820"/>
      <c r="F1304" s="1481"/>
      <c r="H1304" s="1481"/>
      <c r="K1304" s="1481"/>
      <c r="M1304" s="1481"/>
    </row>
    <row r="1305" spans="1:13">
      <c r="A1305" s="18"/>
      <c r="B1305" s="18"/>
      <c r="D1305" s="820"/>
      <c r="E1305" s="820"/>
      <c r="F1305" s="1481"/>
      <c r="H1305" s="1481"/>
      <c r="K1305" s="1481"/>
      <c r="M1305" s="1481"/>
    </row>
    <row r="1306" spans="1:13">
      <c r="A1306" s="18"/>
      <c r="B1306" s="18"/>
      <c r="D1306" s="820"/>
      <c r="E1306" s="820"/>
      <c r="F1306" s="1481"/>
      <c r="H1306" s="1481"/>
      <c r="K1306" s="1481"/>
      <c r="M1306" s="1481"/>
    </row>
    <row r="1307" spans="1:13">
      <c r="A1307" s="18"/>
      <c r="B1307" s="18"/>
      <c r="D1307" s="820"/>
      <c r="E1307" s="820"/>
      <c r="F1307" s="1481"/>
      <c r="H1307" s="1481"/>
      <c r="K1307" s="1481"/>
      <c r="M1307" s="1481"/>
    </row>
    <row r="1308" spans="1:13">
      <c r="A1308" s="18"/>
      <c r="B1308" s="18"/>
      <c r="D1308" s="820"/>
      <c r="E1308" s="820"/>
      <c r="F1308" s="1481"/>
      <c r="H1308" s="1481"/>
      <c r="K1308" s="1481"/>
      <c r="M1308" s="1481"/>
    </row>
    <row r="1309" spans="1:13">
      <c r="A1309" s="18"/>
      <c r="B1309" s="18"/>
      <c r="D1309" s="820"/>
      <c r="E1309" s="820"/>
      <c r="F1309" s="1481"/>
      <c r="H1309" s="1481"/>
      <c r="K1309" s="1481"/>
      <c r="M1309" s="1481"/>
    </row>
    <row r="1310" spans="1:13">
      <c r="A1310" s="18"/>
      <c r="B1310" s="18"/>
      <c r="D1310" s="820"/>
      <c r="E1310" s="820"/>
      <c r="F1310" s="1481"/>
      <c r="H1310" s="1481"/>
      <c r="K1310" s="1481"/>
      <c r="M1310" s="1481"/>
    </row>
    <row r="1311" spans="1:13">
      <c r="A1311" s="18"/>
      <c r="B1311" s="18"/>
      <c r="D1311" s="820"/>
      <c r="E1311" s="820"/>
      <c r="F1311" s="1481"/>
      <c r="H1311" s="1481"/>
      <c r="K1311" s="1481"/>
      <c r="M1311" s="1481"/>
    </row>
    <row r="1312" spans="1:13">
      <c r="A1312" s="18"/>
      <c r="B1312" s="18"/>
      <c r="D1312" s="820"/>
      <c r="E1312" s="820"/>
      <c r="F1312" s="1481"/>
      <c r="H1312" s="1481"/>
      <c r="K1312" s="1481"/>
      <c r="M1312" s="1481"/>
    </row>
    <row r="1313" spans="1:13">
      <c r="A1313" s="18"/>
      <c r="B1313" s="18"/>
      <c r="D1313" s="820"/>
      <c r="E1313" s="820"/>
      <c r="F1313" s="1481"/>
      <c r="H1313" s="1481"/>
      <c r="K1313" s="1481"/>
      <c r="M1313" s="1481"/>
    </row>
    <row r="1314" spans="1:13">
      <c r="A1314" s="18"/>
      <c r="B1314" s="18"/>
      <c r="D1314" s="820"/>
      <c r="E1314" s="820"/>
      <c r="F1314" s="1481"/>
      <c r="H1314" s="1481"/>
      <c r="K1314" s="1481"/>
      <c r="M1314" s="1481"/>
    </row>
    <row r="1315" spans="1:13">
      <c r="A1315" s="18"/>
      <c r="B1315" s="18"/>
      <c r="D1315" s="820"/>
      <c r="E1315" s="820"/>
      <c r="F1315" s="1481"/>
      <c r="H1315" s="1481"/>
      <c r="K1315" s="1481"/>
      <c r="M1315" s="1481"/>
    </row>
    <row r="1316" spans="1:13">
      <c r="A1316" s="18"/>
      <c r="B1316" s="18"/>
      <c r="D1316" s="820"/>
      <c r="E1316" s="820"/>
      <c r="F1316" s="1481"/>
      <c r="H1316" s="1481"/>
      <c r="K1316" s="1481"/>
      <c r="M1316" s="1481"/>
    </row>
    <row r="1317" spans="1:13">
      <c r="A1317" s="18"/>
      <c r="B1317" s="18"/>
      <c r="D1317" s="820"/>
      <c r="E1317" s="820"/>
      <c r="F1317" s="1481"/>
      <c r="H1317" s="1481"/>
      <c r="K1317" s="1481"/>
      <c r="M1317" s="1481"/>
    </row>
    <row r="1318" spans="1:13">
      <c r="A1318" s="18"/>
      <c r="B1318" s="18"/>
      <c r="D1318" s="820"/>
      <c r="E1318" s="820"/>
      <c r="F1318" s="1481"/>
      <c r="H1318" s="1481"/>
      <c r="K1318" s="1481"/>
      <c r="M1318" s="1481"/>
    </row>
    <row r="1319" spans="1:13">
      <c r="A1319" s="18"/>
      <c r="B1319" s="18"/>
      <c r="D1319" s="820"/>
      <c r="E1319" s="820"/>
      <c r="F1319" s="1481"/>
      <c r="H1319" s="1481"/>
      <c r="K1319" s="1481"/>
      <c r="M1319" s="1481"/>
    </row>
    <row r="1320" spans="1:13">
      <c r="A1320" s="18"/>
      <c r="B1320" s="18"/>
      <c r="D1320" s="820"/>
      <c r="E1320" s="820"/>
      <c r="F1320" s="1481"/>
      <c r="H1320" s="1481"/>
      <c r="K1320" s="1481"/>
      <c r="M1320" s="1481"/>
    </row>
    <row r="1321" spans="1:13">
      <c r="A1321" s="18"/>
      <c r="B1321" s="18"/>
      <c r="D1321" s="820"/>
      <c r="E1321" s="820"/>
      <c r="F1321" s="1481"/>
      <c r="H1321" s="1481"/>
      <c r="K1321" s="1481"/>
      <c r="M1321" s="1481"/>
    </row>
    <row r="1322" spans="1:13">
      <c r="A1322" s="18"/>
      <c r="B1322" s="18"/>
      <c r="D1322" s="820"/>
      <c r="E1322" s="820"/>
      <c r="F1322" s="1481"/>
      <c r="H1322" s="1481"/>
      <c r="K1322" s="1481"/>
      <c r="M1322" s="1481"/>
    </row>
    <row r="1323" spans="1:13">
      <c r="A1323" s="18"/>
      <c r="B1323" s="18"/>
      <c r="D1323" s="820"/>
      <c r="E1323" s="820"/>
      <c r="F1323" s="1481"/>
      <c r="H1323" s="1481"/>
      <c r="K1323" s="1481"/>
      <c r="M1323" s="1481"/>
    </row>
    <row r="1324" spans="1:13">
      <c r="A1324" s="18"/>
      <c r="B1324" s="18"/>
      <c r="D1324" s="820"/>
      <c r="E1324" s="820"/>
      <c r="F1324" s="1481"/>
      <c r="H1324" s="1481"/>
      <c r="K1324" s="1481"/>
      <c r="M1324" s="1481"/>
    </row>
    <row r="1325" spans="1:13">
      <c r="A1325" s="18"/>
      <c r="B1325" s="18"/>
      <c r="D1325" s="820"/>
      <c r="E1325" s="820"/>
      <c r="F1325" s="1481"/>
      <c r="H1325" s="1481"/>
      <c r="K1325" s="1481"/>
      <c r="M1325" s="1481"/>
    </row>
    <row r="1326" spans="1:13">
      <c r="A1326" s="18"/>
      <c r="B1326" s="18"/>
      <c r="D1326" s="820"/>
      <c r="E1326" s="820"/>
      <c r="F1326" s="1481"/>
      <c r="H1326" s="1481"/>
      <c r="K1326" s="1481"/>
      <c r="M1326" s="1481"/>
    </row>
    <row r="1327" spans="1:13">
      <c r="A1327" s="18"/>
      <c r="B1327" s="18"/>
      <c r="D1327" s="820"/>
      <c r="E1327" s="820"/>
      <c r="F1327" s="1481"/>
      <c r="H1327" s="1481"/>
      <c r="K1327" s="1481"/>
      <c r="M1327" s="1481"/>
    </row>
    <row r="1328" spans="1:13">
      <c r="A1328" s="18"/>
      <c r="B1328" s="18"/>
      <c r="D1328" s="820"/>
      <c r="E1328" s="820"/>
      <c r="F1328" s="1481"/>
      <c r="H1328" s="1481"/>
      <c r="K1328" s="1481"/>
      <c r="M1328" s="1481"/>
    </row>
    <row r="1329" spans="1:13">
      <c r="A1329" s="18"/>
      <c r="B1329" s="18"/>
      <c r="D1329" s="820"/>
      <c r="E1329" s="820"/>
      <c r="F1329" s="1481"/>
      <c r="H1329" s="1481"/>
      <c r="K1329" s="1481"/>
      <c r="M1329" s="1481"/>
    </row>
    <row r="1330" spans="1:13">
      <c r="A1330" s="18"/>
      <c r="B1330" s="18"/>
      <c r="D1330" s="820"/>
      <c r="E1330" s="820"/>
      <c r="F1330" s="1481"/>
      <c r="H1330" s="1481"/>
      <c r="K1330" s="1481"/>
      <c r="M1330" s="1481"/>
    </row>
    <row r="1331" spans="1:13">
      <c r="A1331" s="18"/>
      <c r="B1331" s="18"/>
      <c r="D1331" s="820"/>
      <c r="E1331" s="820"/>
      <c r="F1331" s="1481"/>
      <c r="H1331" s="1481"/>
      <c r="K1331" s="1481"/>
      <c r="M1331" s="1481"/>
    </row>
    <row r="1332" spans="1:13">
      <c r="A1332" s="18"/>
      <c r="B1332" s="18"/>
      <c r="D1332" s="820"/>
      <c r="E1332" s="820"/>
      <c r="F1332" s="1481"/>
      <c r="H1332" s="1481"/>
      <c r="K1332" s="1481"/>
      <c r="M1332" s="1481"/>
    </row>
    <row r="1333" spans="1:13">
      <c r="A1333" s="18"/>
      <c r="B1333" s="18"/>
      <c r="D1333" s="820"/>
      <c r="E1333" s="820"/>
      <c r="F1333" s="1481"/>
      <c r="H1333" s="1481"/>
      <c r="K1333" s="1481"/>
      <c r="M1333" s="1481"/>
    </row>
    <row r="1334" spans="1:13">
      <c r="A1334" s="18"/>
      <c r="B1334" s="18"/>
      <c r="D1334" s="820"/>
      <c r="E1334" s="820"/>
      <c r="F1334" s="1481"/>
      <c r="H1334" s="1481"/>
      <c r="K1334" s="1481"/>
      <c r="M1334" s="1481"/>
    </row>
    <row r="1335" spans="1:13">
      <c r="A1335" s="18"/>
      <c r="B1335" s="18"/>
      <c r="D1335" s="820"/>
      <c r="E1335" s="820"/>
      <c r="F1335" s="1481"/>
      <c r="H1335" s="1481"/>
      <c r="K1335" s="1481"/>
      <c r="M1335" s="1481"/>
    </row>
    <row r="1336" spans="1:13">
      <c r="A1336" s="18"/>
      <c r="B1336" s="18"/>
      <c r="D1336" s="820"/>
      <c r="E1336" s="820"/>
      <c r="F1336" s="1481"/>
      <c r="H1336" s="1481"/>
      <c r="K1336" s="1481"/>
      <c r="M1336" s="1481"/>
    </row>
    <row r="1337" spans="1:13">
      <c r="A1337" s="18"/>
      <c r="B1337" s="18"/>
      <c r="D1337" s="820"/>
      <c r="E1337" s="820"/>
      <c r="F1337" s="1481"/>
      <c r="H1337" s="1481"/>
      <c r="K1337" s="1481"/>
      <c r="M1337" s="1481"/>
    </row>
    <row r="1338" spans="1:13">
      <c r="A1338" s="18"/>
      <c r="B1338" s="18"/>
      <c r="D1338" s="820"/>
      <c r="E1338" s="820"/>
      <c r="F1338" s="1481"/>
      <c r="H1338" s="1481"/>
      <c r="K1338" s="1481"/>
      <c r="M1338" s="1481"/>
    </row>
    <row r="1339" spans="1:13">
      <c r="A1339" s="18"/>
      <c r="B1339" s="18"/>
      <c r="D1339" s="820"/>
      <c r="E1339" s="820"/>
      <c r="F1339" s="1481"/>
      <c r="H1339" s="1481"/>
      <c r="K1339" s="1481"/>
      <c r="M1339" s="1481"/>
    </row>
    <row r="1340" spans="1:13">
      <c r="A1340" s="18"/>
      <c r="B1340" s="18"/>
      <c r="D1340" s="820"/>
      <c r="E1340" s="820"/>
      <c r="F1340" s="1481"/>
      <c r="H1340" s="1481"/>
      <c r="K1340" s="1481"/>
      <c r="M1340" s="1481"/>
    </row>
    <row r="1341" spans="1:13">
      <c r="A1341" s="18"/>
      <c r="B1341" s="18"/>
      <c r="D1341" s="820"/>
      <c r="E1341" s="820"/>
      <c r="F1341" s="1481"/>
      <c r="H1341" s="1481"/>
      <c r="K1341" s="1481"/>
      <c r="M1341" s="1481"/>
    </row>
    <row r="1342" spans="1:13">
      <c r="A1342" s="18"/>
      <c r="B1342" s="18"/>
      <c r="D1342" s="820"/>
      <c r="E1342" s="820"/>
      <c r="F1342" s="1481"/>
      <c r="H1342" s="1481"/>
      <c r="K1342" s="1481"/>
      <c r="M1342" s="1481"/>
    </row>
    <row r="1343" spans="1:13">
      <c r="A1343" s="18"/>
      <c r="B1343" s="18"/>
      <c r="D1343" s="820"/>
      <c r="E1343" s="820"/>
      <c r="F1343" s="1481"/>
      <c r="H1343" s="1481"/>
      <c r="K1343" s="1481"/>
      <c r="M1343" s="1481"/>
    </row>
    <row r="1344" spans="1:13">
      <c r="A1344" s="18"/>
      <c r="B1344" s="18"/>
      <c r="D1344" s="820"/>
      <c r="E1344" s="820"/>
      <c r="F1344" s="1481"/>
      <c r="H1344" s="1481"/>
      <c r="K1344" s="1481"/>
      <c r="M1344" s="1481"/>
    </row>
    <row r="1345" spans="1:13">
      <c r="A1345" s="18"/>
      <c r="B1345" s="18"/>
      <c r="D1345" s="820"/>
      <c r="E1345" s="820"/>
      <c r="F1345" s="1481"/>
      <c r="H1345" s="1481"/>
      <c r="K1345" s="1481"/>
      <c r="M1345" s="1481"/>
    </row>
    <row r="1346" spans="1:13">
      <c r="A1346" s="18"/>
      <c r="B1346" s="18"/>
      <c r="D1346" s="820"/>
      <c r="E1346" s="820"/>
      <c r="F1346" s="1481"/>
      <c r="H1346" s="1481"/>
      <c r="K1346" s="1481"/>
      <c r="M1346" s="1481"/>
    </row>
    <row r="1347" spans="1:13">
      <c r="A1347" s="18"/>
      <c r="B1347" s="18"/>
      <c r="D1347" s="820"/>
      <c r="E1347" s="820"/>
      <c r="F1347" s="1481"/>
      <c r="H1347" s="1481"/>
      <c r="K1347" s="1481"/>
      <c r="M1347" s="1481"/>
    </row>
    <row r="1348" spans="1:13">
      <c r="A1348" s="18"/>
      <c r="B1348" s="18"/>
      <c r="D1348" s="820"/>
      <c r="E1348" s="820"/>
      <c r="F1348" s="1481"/>
      <c r="H1348" s="1481"/>
      <c r="K1348" s="1481"/>
      <c r="M1348" s="1481"/>
    </row>
    <row r="1349" spans="1:13">
      <c r="A1349" s="18"/>
      <c r="B1349" s="18"/>
      <c r="D1349" s="820"/>
      <c r="E1349" s="820"/>
      <c r="F1349" s="1481"/>
      <c r="H1349" s="1481"/>
      <c r="K1349" s="1481"/>
      <c r="M1349" s="1481"/>
    </row>
    <row r="1350" spans="1:13">
      <c r="A1350" s="18"/>
      <c r="B1350" s="18"/>
      <c r="D1350" s="820"/>
      <c r="E1350" s="820"/>
      <c r="F1350" s="1481"/>
      <c r="H1350" s="1481"/>
      <c r="K1350" s="1481"/>
      <c r="M1350" s="1481"/>
    </row>
    <row r="1351" spans="1:13">
      <c r="A1351" s="18"/>
      <c r="B1351" s="18"/>
      <c r="D1351" s="820"/>
      <c r="E1351" s="820"/>
      <c r="F1351" s="1481"/>
      <c r="H1351" s="1481"/>
      <c r="K1351" s="1481"/>
      <c r="M1351" s="1481"/>
    </row>
    <row r="1352" spans="1:13">
      <c r="A1352" s="18"/>
      <c r="B1352" s="18"/>
      <c r="D1352" s="820"/>
      <c r="E1352" s="820"/>
      <c r="F1352" s="1481"/>
      <c r="H1352" s="1481"/>
      <c r="K1352" s="1481"/>
      <c r="M1352" s="1481"/>
    </row>
    <row r="1353" spans="1:13">
      <c r="A1353" s="18"/>
      <c r="B1353" s="18"/>
      <c r="D1353" s="820"/>
      <c r="E1353" s="820"/>
      <c r="F1353" s="1481"/>
      <c r="H1353" s="1481"/>
      <c r="K1353" s="1481"/>
      <c r="M1353" s="1481"/>
    </row>
    <row r="1354" spans="1:13">
      <c r="A1354" s="18"/>
      <c r="B1354" s="18"/>
      <c r="D1354" s="820"/>
      <c r="E1354" s="820"/>
      <c r="F1354" s="1481"/>
      <c r="H1354" s="1481"/>
      <c r="K1354" s="1481"/>
      <c r="M1354" s="1481"/>
    </row>
    <row r="1355" spans="1:13">
      <c r="A1355" s="18"/>
      <c r="B1355" s="18"/>
      <c r="D1355" s="820"/>
      <c r="E1355" s="820"/>
      <c r="F1355" s="1481"/>
      <c r="H1355" s="1481"/>
      <c r="K1355" s="1481"/>
      <c r="M1355" s="1481"/>
    </row>
    <row r="1356" spans="1:13">
      <c r="A1356" s="18"/>
      <c r="B1356" s="18"/>
      <c r="D1356" s="820"/>
      <c r="E1356" s="820"/>
      <c r="F1356" s="1481"/>
      <c r="H1356" s="1481"/>
      <c r="K1356" s="1481"/>
      <c r="M1356" s="1481"/>
    </row>
    <row r="1357" spans="1:13">
      <c r="A1357" s="18"/>
      <c r="B1357" s="18"/>
      <c r="D1357" s="820"/>
      <c r="E1357" s="820"/>
      <c r="F1357" s="1481"/>
      <c r="H1357" s="1481"/>
      <c r="K1357" s="1481"/>
      <c r="M1357" s="1481"/>
    </row>
    <row r="1358" spans="1:13">
      <c r="A1358" s="18"/>
      <c r="B1358" s="18"/>
      <c r="D1358" s="820"/>
      <c r="E1358" s="820"/>
      <c r="F1358" s="1481"/>
      <c r="H1358" s="1481"/>
      <c r="K1358" s="1481"/>
      <c r="M1358" s="1481"/>
    </row>
    <row r="1359" spans="1:13">
      <c r="A1359" s="18"/>
      <c r="B1359" s="18"/>
      <c r="D1359" s="820"/>
      <c r="E1359" s="820"/>
      <c r="F1359" s="1481"/>
      <c r="H1359" s="1481"/>
      <c r="K1359" s="1481"/>
      <c r="M1359" s="1481"/>
    </row>
    <row r="1360" spans="1:13">
      <c r="A1360" s="18"/>
      <c r="B1360" s="18"/>
      <c r="D1360" s="820"/>
      <c r="E1360" s="820"/>
      <c r="F1360" s="1481"/>
      <c r="H1360" s="1481"/>
      <c r="K1360" s="1481"/>
      <c r="M1360" s="1481"/>
    </row>
    <row r="1361" spans="1:13">
      <c r="A1361" s="18"/>
      <c r="B1361" s="18"/>
      <c r="D1361" s="820"/>
      <c r="E1361" s="820"/>
      <c r="F1361" s="1481"/>
      <c r="H1361" s="1481"/>
      <c r="K1361" s="1481"/>
      <c r="M1361" s="1481"/>
    </row>
    <row r="1362" spans="1:13">
      <c r="A1362" s="18"/>
      <c r="B1362" s="18"/>
      <c r="D1362" s="820"/>
      <c r="E1362" s="820"/>
      <c r="F1362" s="1481"/>
      <c r="H1362" s="1481"/>
      <c r="K1362" s="1481"/>
      <c r="M1362" s="1481"/>
    </row>
    <row r="1363" spans="1:13">
      <c r="A1363" s="18"/>
      <c r="B1363" s="18"/>
      <c r="D1363" s="820"/>
      <c r="E1363" s="820"/>
      <c r="F1363" s="1481"/>
      <c r="H1363" s="1481"/>
      <c r="K1363" s="1481"/>
      <c r="M1363" s="1481"/>
    </row>
    <row r="1364" spans="1:13">
      <c r="A1364" s="18"/>
      <c r="B1364" s="18"/>
      <c r="D1364" s="820"/>
      <c r="E1364" s="820"/>
      <c r="F1364" s="1481"/>
      <c r="H1364" s="1481"/>
      <c r="K1364" s="1481"/>
      <c r="M1364" s="1481"/>
    </row>
    <row r="1365" spans="1:13">
      <c r="A1365" s="18"/>
      <c r="B1365" s="18"/>
      <c r="D1365" s="820"/>
      <c r="E1365" s="820"/>
      <c r="F1365" s="1481"/>
      <c r="H1365" s="1481"/>
      <c r="K1365" s="1481"/>
      <c r="M1365" s="1481"/>
    </row>
    <row r="1366" spans="1:13">
      <c r="A1366" s="18"/>
      <c r="B1366" s="18"/>
      <c r="D1366" s="820"/>
      <c r="E1366" s="820"/>
      <c r="F1366" s="1481"/>
      <c r="H1366" s="1481"/>
      <c r="K1366" s="1481"/>
      <c r="M1366" s="1481"/>
    </row>
    <row r="1367" spans="1:13">
      <c r="A1367" s="18"/>
      <c r="B1367" s="18"/>
      <c r="D1367" s="820"/>
      <c r="E1367" s="820"/>
      <c r="F1367" s="1481"/>
      <c r="H1367" s="1481"/>
      <c r="K1367" s="1481"/>
      <c r="M1367" s="1481"/>
    </row>
    <row r="1368" spans="1:13">
      <c r="A1368" s="18"/>
      <c r="B1368" s="18"/>
      <c r="D1368" s="820"/>
      <c r="E1368" s="820"/>
      <c r="F1368" s="1481"/>
      <c r="H1368" s="1481"/>
      <c r="K1368" s="1481"/>
      <c r="M1368" s="1481"/>
    </row>
    <row r="1369" spans="1:13">
      <c r="A1369" s="18"/>
      <c r="B1369" s="18"/>
      <c r="D1369" s="820"/>
      <c r="E1369" s="820"/>
      <c r="F1369" s="1481"/>
      <c r="H1369" s="1481"/>
      <c r="K1369" s="1481"/>
      <c r="M1369" s="1481"/>
    </row>
    <row r="1370" spans="1:13">
      <c r="A1370" s="18"/>
      <c r="B1370" s="18"/>
      <c r="D1370" s="820"/>
      <c r="E1370" s="820"/>
      <c r="F1370" s="1481"/>
      <c r="H1370" s="1481"/>
      <c r="K1370" s="1481"/>
      <c r="M1370" s="1481"/>
    </row>
    <row r="1371" spans="1:13">
      <c r="A1371" s="18"/>
      <c r="B1371" s="18"/>
      <c r="D1371" s="820"/>
      <c r="E1371" s="820"/>
      <c r="F1371" s="1481"/>
      <c r="H1371" s="1481"/>
      <c r="K1371" s="1481"/>
      <c r="M1371" s="1481"/>
    </row>
    <row r="1372" spans="1:13">
      <c r="A1372" s="18"/>
      <c r="B1372" s="18"/>
      <c r="D1372" s="820"/>
      <c r="E1372" s="820"/>
      <c r="F1372" s="1481"/>
      <c r="H1372" s="1481"/>
      <c r="K1372" s="1481"/>
      <c r="M1372" s="1481"/>
    </row>
    <row r="1373" spans="1:13">
      <c r="A1373" s="18"/>
      <c r="B1373" s="18"/>
      <c r="D1373" s="820"/>
      <c r="E1373" s="820"/>
      <c r="F1373" s="1481"/>
      <c r="H1373" s="1481"/>
      <c r="K1373" s="1481"/>
      <c r="M1373" s="1481"/>
    </row>
    <row r="1374" spans="1:13">
      <c r="A1374" s="18"/>
      <c r="B1374" s="18"/>
      <c r="D1374" s="820"/>
      <c r="E1374" s="820"/>
      <c r="F1374" s="1481"/>
      <c r="H1374" s="1481"/>
      <c r="K1374" s="1481"/>
      <c r="M1374" s="1481"/>
    </row>
    <row r="1375" spans="1:13">
      <c r="A1375" s="18"/>
      <c r="B1375" s="18"/>
      <c r="D1375" s="820"/>
      <c r="E1375" s="820"/>
      <c r="F1375" s="1481"/>
      <c r="H1375" s="1481"/>
      <c r="K1375" s="1481"/>
      <c r="M1375" s="1481"/>
    </row>
    <row r="1376" spans="1:13">
      <c r="A1376" s="18"/>
      <c r="B1376" s="18"/>
      <c r="D1376" s="820"/>
      <c r="E1376" s="820"/>
      <c r="F1376" s="1481"/>
      <c r="H1376" s="1481"/>
      <c r="K1376" s="1481"/>
      <c r="M1376" s="1481"/>
    </row>
    <row r="1377" spans="1:13">
      <c r="A1377" s="18"/>
      <c r="B1377" s="18"/>
      <c r="D1377" s="820"/>
      <c r="E1377" s="820"/>
      <c r="F1377" s="1481"/>
      <c r="H1377" s="1481"/>
      <c r="K1377" s="1481"/>
      <c r="M1377" s="1481"/>
    </row>
    <row r="1378" spans="1:13">
      <c r="A1378" s="18"/>
      <c r="B1378" s="18"/>
      <c r="D1378" s="820"/>
      <c r="E1378" s="820"/>
      <c r="F1378" s="1481"/>
      <c r="H1378" s="1481"/>
      <c r="K1378" s="1481"/>
      <c r="M1378" s="1481"/>
    </row>
    <row r="1379" spans="1:13">
      <c r="A1379" s="18"/>
      <c r="B1379" s="18"/>
      <c r="D1379" s="820"/>
      <c r="E1379" s="820"/>
      <c r="F1379" s="1481"/>
      <c r="H1379" s="1481"/>
      <c r="K1379" s="1481"/>
      <c r="M1379" s="1481"/>
    </row>
    <row r="1380" spans="1:13">
      <c r="A1380" s="18"/>
      <c r="B1380" s="18"/>
      <c r="D1380" s="820"/>
      <c r="E1380" s="820"/>
      <c r="F1380" s="1481"/>
      <c r="H1380" s="1481"/>
      <c r="K1380" s="1481"/>
      <c r="M1380" s="1481"/>
    </row>
    <row r="1381" spans="1:13">
      <c r="A1381" s="18"/>
      <c r="B1381" s="18"/>
      <c r="D1381" s="820"/>
      <c r="E1381" s="820"/>
      <c r="F1381" s="1481"/>
      <c r="H1381" s="1481"/>
      <c r="K1381" s="1481"/>
      <c r="M1381" s="1481"/>
    </row>
    <row r="1382" spans="1:13">
      <c r="A1382" s="18"/>
      <c r="B1382" s="18"/>
      <c r="D1382" s="820"/>
      <c r="E1382" s="820"/>
      <c r="F1382" s="1481"/>
      <c r="H1382" s="1481"/>
      <c r="K1382" s="1481"/>
      <c r="M1382" s="1481"/>
    </row>
    <row r="1383" spans="1:13">
      <c r="A1383" s="18"/>
      <c r="B1383" s="18"/>
      <c r="D1383" s="820"/>
      <c r="E1383" s="820"/>
      <c r="F1383" s="1481"/>
      <c r="H1383" s="1481"/>
      <c r="K1383" s="1481"/>
      <c r="M1383" s="1481"/>
    </row>
    <row r="1384" spans="1:13">
      <c r="A1384" s="18"/>
      <c r="B1384" s="18"/>
      <c r="D1384" s="820"/>
      <c r="E1384" s="820"/>
      <c r="F1384" s="1481"/>
      <c r="H1384" s="1481"/>
      <c r="K1384" s="1481"/>
      <c r="M1384" s="1481"/>
    </row>
    <row r="1385" spans="1:13">
      <c r="A1385" s="18"/>
      <c r="B1385" s="18"/>
      <c r="D1385" s="820"/>
      <c r="E1385" s="820"/>
      <c r="F1385" s="1481"/>
      <c r="H1385" s="1481"/>
      <c r="K1385" s="1481"/>
      <c r="M1385" s="1481"/>
    </row>
    <row r="1386" spans="1:13">
      <c r="A1386" s="18"/>
      <c r="B1386" s="18"/>
      <c r="D1386" s="820"/>
      <c r="E1386" s="820"/>
      <c r="F1386" s="1481"/>
      <c r="H1386" s="1481"/>
      <c r="K1386" s="1481"/>
      <c r="M1386" s="1481"/>
    </row>
    <row r="1387" spans="1:13">
      <c r="A1387" s="18"/>
      <c r="B1387" s="18"/>
      <c r="D1387" s="820"/>
      <c r="E1387" s="820"/>
      <c r="F1387" s="1481"/>
      <c r="H1387" s="1481"/>
      <c r="K1387" s="1481"/>
      <c r="M1387" s="1481"/>
    </row>
    <row r="1388" spans="1:13">
      <c r="A1388" s="18"/>
      <c r="B1388" s="18"/>
      <c r="D1388" s="820"/>
      <c r="E1388" s="820"/>
      <c r="F1388" s="1481"/>
      <c r="H1388" s="1481"/>
      <c r="K1388" s="1481"/>
      <c r="M1388" s="1481"/>
    </row>
    <row r="1389" spans="1:13">
      <c r="A1389" s="18"/>
      <c r="B1389" s="18"/>
      <c r="D1389" s="820"/>
      <c r="E1389" s="820"/>
      <c r="F1389" s="1481"/>
      <c r="H1389" s="1481"/>
      <c r="K1389" s="1481"/>
      <c r="M1389" s="1481"/>
    </row>
    <row r="1390" spans="1:13">
      <c r="A1390" s="18"/>
      <c r="B1390" s="18"/>
      <c r="D1390" s="820"/>
      <c r="E1390" s="820"/>
      <c r="F1390" s="1481"/>
      <c r="H1390" s="1481"/>
      <c r="K1390" s="1481"/>
      <c r="M1390" s="1481"/>
    </row>
    <row r="1391" spans="1:13">
      <c r="A1391" s="18"/>
      <c r="B1391" s="18"/>
      <c r="D1391" s="820"/>
      <c r="E1391" s="820"/>
      <c r="F1391" s="1481"/>
      <c r="H1391" s="1481"/>
      <c r="K1391" s="1481"/>
      <c r="M1391" s="1481"/>
    </row>
    <row r="1392" spans="1:13">
      <c r="A1392" s="18"/>
      <c r="B1392" s="18"/>
      <c r="D1392" s="820"/>
      <c r="E1392" s="820"/>
      <c r="F1392" s="1481"/>
      <c r="H1392" s="1481"/>
      <c r="K1392" s="1481"/>
      <c r="M1392" s="1481"/>
    </row>
    <row r="1393" spans="1:13">
      <c r="A1393" s="18"/>
      <c r="B1393" s="18"/>
      <c r="D1393" s="820"/>
      <c r="E1393" s="820"/>
      <c r="F1393" s="1481"/>
      <c r="H1393" s="1481"/>
      <c r="K1393" s="1481"/>
      <c r="M1393" s="1481"/>
    </row>
    <row r="1394" spans="1:13">
      <c r="A1394" s="18"/>
      <c r="B1394" s="18"/>
      <c r="D1394" s="820"/>
      <c r="E1394" s="820"/>
      <c r="F1394" s="1481"/>
      <c r="H1394" s="1481"/>
      <c r="K1394" s="1481"/>
      <c r="M1394" s="1481"/>
    </row>
    <row r="1395" spans="1:13">
      <c r="A1395" s="18"/>
      <c r="B1395" s="18"/>
      <c r="D1395" s="820"/>
      <c r="E1395" s="820"/>
      <c r="F1395" s="1481"/>
      <c r="H1395" s="1481"/>
      <c r="K1395" s="1481"/>
      <c r="M1395" s="1481"/>
    </row>
    <row r="1396" spans="1:13">
      <c r="A1396" s="18"/>
      <c r="B1396" s="18"/>
      <c r="D1396" s="820"/>
      <c r="E1396" s="820"/>
      <c r="F1396" s="1481"/>
      <c r="H1396" s="1481"/>
      <c r="K1396" s="1481"/>
      <c r="M1396" s="1481"/>
    </row>
    <row r="1397" spans="1:13">
      <c r="A1397" s="18"/>
      <c r="B1397" s="18"/>
      <c r="D1397" s="820"/>
      <c r="E1397" s="820"/>
      <c r="F1397" s="1481"/>
      <c r="H1397" s="1481"/>
      <c r="K1397" s="1481"/>
      <c r="M1397" s="1481"/>
    </row>
    <row r="1398" spans="1:13">
      <c r="A1398" s="18"/>
      <c r="B1398" s="18"/>
      <c r="D1398" s="820"/>
      <c r="E1398" s="820"/>
      <c r="F1398" s="1481"/>
      <c r="H1398" s="1481"/>
      <c r="K1398" s="1481"/>
      <c r="M1398" s="1481"/>
    </row>
    <row r="1399" spans="1:13">
      <c r="A1399" s="18"/>
      <c r="B1399" s="18"/>
      <c r="D1399" s="820"/>
      <c r="E1399" s="820"/>
      <c r="F1399" s="1481"/>
      <c r="H1399" s="1481"/>
      <c r="K1399" s="1481"/>
      <c r="M1399" s="1481"/>
    </row>
    <row r="1400" spans="1:13">
      <c r="A1400" s="18"/>
      <c r="B1400" s="18"/>
      <c r="D1400" s="820"/>
      <c r="E1400" s="820"/>
      <c r="F1400" s="1481"/>
      <c r="H1400" s="1481"/>
      <c r="K1400" s="1481"/>
      <c r="M1400" s="1481"/>
    </row>
    <row r="1401" spans="1:13">
      <c r="A1401" s="18"/>
      <c r="B1401" s="18"/>
      <c r="D1401" s="820"/>
      <c r="E1401" s="820"/>
      <c r="F1401" s="1481"/>
      <c r="H1401" s="1481"/>
      <c r="K1401" s="1481"/>
      <c r="M1401" s="1481"/>
    </row>
    <row r="1402" spans="1:13">
      <c r="A1402" s="18"/>
      <c r="B1402" s="18"/>
      <c r="D1402" s="820"/>
      <c r="E1402" s="820"/>
      <c r="F1402" s="1481"/>
      <c r="H1402" s="1481"/>
      <c r="K1402" s="1481"/>
      <c r="M1402" s="1481"/>
    </row>
    <row r="1403" spans="1:13">
      <c r="A1403" s="18"/>
      <c r="B1403" s="18"/>
      <c r="D1403" s="820"/>
      <c r="E1403" s="820"/>
      <c r="F1403" s="1481"/>
      <c r="H1403" s="1481"/>
      <c r="K1403" s="1481"/>
      <c r="M1403" s="1481"/>
    </row>
    <row r="1404" spans="1:13">
      <c r="A1404" s="18"/>
      <c r="B1404" s="18"/>
      <c r="D1404" s="820"/>
      <c r="E1404" s="820"/>
      <c r="F1404" s="1481"/>
      <c r="H1404" s="1481"/>
      <c r="K1404" s="1481"/>
      <c r="M1404" s="1481"/>
    </row>
    <row r="1405" spans="1:13">
      <c r="A1405" s="18"/>
      <c r="B1405" s="18"/>
      <c r="D1405" s="820"/>
      <c r="E1405" s="820"/>
      <c r="F1405" s="1481"/>
      <c r="H1405" s="1481"/>
      <c r="K1405" s="1481"/>
      <c r="M1405" s="1481"/>
    </row>
    <row r="1406" spans="1:13">
      <c r="A1406" s="18"/>
      <c r="B1406" s="18"/>
      <c r="D1406" s="820"/>
      <c r="E1406" s="820"/>
      <c r="F1406" s="1481"/>
      <c r="H1406" s="1481"/>
      <c r="K1406" s="1481"/>
      <c r="M1406" s="1481"/>
    </row>
    <row r="1407" spans="1:13">
      <c r="A1407" s="18"/>
      <c r="B1407" s="18"/>
      <c r="D1407" s="820"/>
      <c r="E1407" s="820"/>
      <c r="F1407" s="1481"/>
      <c r="H1407" s="1481"/>
      <c r="K1407" s="1481"/>
      <c r="M1407" s="1481"/>
    </row>
    <row r="1408" spans="1:13">
      <c r="A1408" s="18"/>
      <c r="B1408" s="18"/>
      <c r="D1408" s="820"/>
      <c r="E1408" s="820"/>
      <c r="F1408" s="1481"/>
      <c r="H1408" s="1481"/>
      <c r="K1408" s="1481"/>
      <c r="M1408" s="1481"/>
    </row>
    <row r="1409" spans="1:13">
      <c r="A1409" s="18"/>
      <c r="B1409" s="18"/>
      <c r="D1409" s="820"/>
      <c r="E1409" s="820"/>
      <c r="F1409" s="1481"/>
      <c r="H1409" s="1481"/>
      <c r="K1409" s="1481"/>
      <c r="M1409" s="1481"/>
    </row>
    <row r="1410" spans="1:13">
      <c r="A1410" s="18"/>
      <c r="B1410" s="18"/>
      <c r="D1410" s="820"/>
      <c r="E1410" s="820"/>
      <c r="F1410" s="1481"/>
      <c r="H1410" s="1481"/>
      <c r="K1410" s="1481"/>
      <c r="M1410" s="1481"/>
    </row>
    <row r="1411" spans="1:13">
      <c r="A1411" s="18"/>
      <c r="B1411" s="18"/>
      <c r="D1411" s="820"/>
      <c r="E1411" s="820"/>
      <c r="F1411" s="1481"/>
      <c r="H1411" s="1481"/>
      <c r="K1411" s="1481"/>
      <c r="M1411" s="1481"/>
    </row>
    <row r="1412" spans="1:13">
      <c r="A1412" s="18"/>
      <c r="B1412" s="18"/>
      <c r="D1412" s="820"/>
      <c r="E1412" s="820"/>
      <c r="F1412" s="1481"/>
      <c r="H1412" s="1481"/>
      <c r="K1412" s="1481"/>
      <c r="M1412" s="1481"/>
    </row>
    <row r="1413" spans="1:13">
      <c r="A1413" s="18"/>
      <c r="B1413" s="18"/>
      <c r="D1413" s="820"/>
      <c r="E1413" s="820"/>
      <c r="F1413" s="1481"/>
      <c r="H1413" s="1481"/>
      <c r="K1413" s="1481"/>
      <c r="M1413" s="1481"/>
    </row>
    <row r="1414" spans="1:13">
      <c r="A1414" s="18"/>
      <c r="B1414" s="18"/>
      <c r="D1414" s="820"/>
      <c r="E1414" s="820"/>
      <c r="F1414" s="1481"/>
      <c r="H1414" s="1481"/>
      <c r="K1414" s="1481"/>
      <c r="M1414" s="1481"/>
    </row>
    <row r="1415" spans="1:13">
      <c r="A1415" s="18"/>
      <c r="B1415" s="18"/>
      <c r="D1415" s="820"/>
      <c r="E1415" s="820"/>
      <c r="F1415" s="1481"/>
      <c r="H1415" s="1481"/>
      <c r="K1415" s="1481"/>
      <c r="M1415" s="1481"/>
    </row>
    <row r="1416" spans="1:13">
      <c r="A1416" s="18"/>
      <c r="B1416" s="18"/>
      <c r="D1416" s="820"/>
      <c r="E1416" s="820"/>
      <c r="F1416" s="1481"/>
      <c r="H1416" s="1481"/>
      <c r="K1416" s="1481"/>
      <c r="M1416" s="1481"/>
    </row>
    <row r="1417" spans="1:13">
      <c r="A1417" s="18"/>
      <c r="B1417" s="18"/>
      <c r="D1417" s="820"/>
      <c r="E1417" s="820"/>
      <c r="F1417" s="1481"/>
      <c r="H1417" s="1481"/>
      <c r="K1417" s="1481"/>
      <c r="M1417" s="1481"/>
    </row>
    <row r="1418" spans="1:13">
      <c r="A1418" s="18"/>
      <c r="B1418" s="18"/>
      <c r="D1418" s="820"/>
      <c r="E1418" s="820"/>
      <c r="F1418" s="1481"/>
      <c r="H1418" s="1481"/>
      <c r="K1418" s="1481"/>
      <c r="M1418" s="1481"/>
    </row>
    <row r="1419" spans="1:13">
      <c r="A1419" s="18"/>
      <c r="B1419" s="18"/>
      <c r="D1419" s="820"/>
      <c r="E1419" s="820"/>
      <c r="F1419" s="1481"/>
      <c r="H1419" s="1481"/>
      <c r="K1419" s="1481"/>
      <c r="M1419" s="1481"/>
    </row>
    <row r="1420" spans="1:13">
      <c r="A1420" s="18"/>
      <c r="B1420" s="18"/>
      <c r="D1420" s="820"/>
      <c r="E1420" s="820"/>
      <c r="F1420" s="1481"/>
      <c r="H1420" s="1481"/>
      <c r="K1420" s="1481"/>
      <c r="M1420" s="1481"/>
    </row>
    <row r="1421" spans="1:13">
      <c r="A1421" s="18"/>
      <c r="B1421" s="18"/>
      <c r="D1421" s="820"/>
      <c r="E1421" s="820"/>
      <c r="F1421" s="1481"/>
      <c r="H1421" s="1481"/>
      <c r="K1421" s="1481"/>
      <c r="M1421" s="1481"/>
    </row>
    <row r="1422" spans="1:13">
      <c r="A1422" s="18"/>
      <c r="B1422" s="18"/>
      <c r="D1422" s="820"/>
      <c r="E1422" s="820"/>
      <c r="F1422" s="1481"/>
      <c r="H1422" s="1481"/>
      <c r="K1422" s="1481"/>
      <c r="M1422" s="1481"/>
    </row>
    <row r="1423" spans="1:13">
      <c r="A1423" s="18"/>
      <c r="B1423" s="18"/>
      <c r="D1423" s="820"/>
      <c r="E1423" s="820"/>
      <c r="F1423" s="1481"/>
      <c r="H1423" s="1481"/>
      <c r="K1423" s="1481"/>
      <c r="M1423" s="1481"/>
    </row>
    <row r="1424" spans="1:13">
      <c r="A1424" s="18"/>
      <c r="B1424" s="18"/>
      <c r="D1424" s="820"/>
      <c r="E1424" s="820"/>
      <c r="F1424" s="1481"/>
      <c r="H1424" s="1481"/>
      <c r="K1424" s="1481"/>
      <c r="M1424" s="1481"/>
    </row>
    <row r="1425" spans="1:13">
      <c r="A1425" s="18"/>
      <c r="B1425" s="18"/>
      <c r="D1425" s="820"/>
      <c r="E1425" s="820"/>
      <c r="F1425" s="1481"/>
      <c r="H1425" s="1481"/>
      <c r="K1425" s="1481"/>
      <c r="M1425" s="1481"/>
    </row>
    <row r="1426" spans="1:13">
      <c r="A1426" s="18"/>
      <c r="B1426" s="18"/>
      <c r="D1426" s="820"/>
      <c r="E1426" s="820"/>
      <c r="F1426" s="1481"/>
      <c r="H1426" s="1481"/>
      <c r="K1426" s="1481"/>
      <c r="M1426" s="1481"/>
    </row>
    <row r="1427" spans="1:13">
      <c r="A1427" s="18"/>
      <c r="B1427" s="18"/>
      <c r="D1427" s="820"/>
      <c r="E1427" s="820"/>
      <c r="F1427" s="1481"/>
      <c r="H1427" s="1481"/>
      <c r="K1427" s="1481"/>
      <c r="M1427" s="1481"/>
    </row>
    <row r="1428" spans="1:13">
      <c r="A1428" s="18"/>
      <c r="B1428" s="18"/>
      <c r="D1428" s="820"/>
      <c r="E1428" s="820"/>
      <c r="F1428" s="1481"/>
      <c r="H1428" s="1481"/>
      <c r="K1428" s="1481"/>
      <c r="M1428" s="1481"/>
    </row>
    <row r="1429" spans="1:13">
      <c r="A1429" s="18"/>
      <c r="B1429" s="18"/>
      <c r="D1429" s="820"/>
      <c r="E1429" s="820"/>
      <c r="F1429" s="1481"/>
      <c r="H1429" s="1481"/>
      <c r="K1429" s="1481"/>
      <c r="M1429" s="1481"/>
    </row>
    <row r="1430" spans="1:13">
      <c r="A1430" s="18"/>
      <c r="B1430" s="18"/>
      <c r="D1430" s="820"/>
      <c r="E1430" s="820"/>
      <c r="F1430" s="1481"/>
      <c r="H1430" s="1481"/>
      <c r="K1430" s="1481"/>
      <c r="M1430" s="1481"/>
    </row>
    <row r="1431" spans="1:13">
      <c r="A1431" s="18"/>
      <c r="B1431" s="18"/>
      <c r="D1431" s="820"/>
      <c r="E1431" s="820"/>
      <c r="F1431" s="1481"/>
      <c r="H1431" s="1481"/>
      <c r="K1431" s="1481"/>
      <c r="M1431" s="1481"/>
    </row>
    <row r="1432" spans="1:13">
      <c r="A1432" s="18"/>
      <c r="B1432" s="18"/>
      <c r="D1432" s="820"/>
      <c r="E1432" s="820"/>
      <c r="F1432" s="1481"/>
      <c r="H1432" s="1481"/>
      <c r="K1432" s="1481"/>
      <c r="M1432" s="1481"/>
    </row>
    <row r="1433" spans="1:13">
      <c r="A1433" s="18"/>
      <c r="B1433" s="18"/>
      <c r="D1433" s="820"/>
      <c r="E1433" s="820"/>
      <c r="F1433" s="1481"/>
      <c r="H1433" s="1481"/>
      <c r="K1433" s="1481"/>
      <c r="M1433" s="1481"/>
    </row>
    <row r="1434" spans="1:13">
      <c r="A1434" s="18"/>
      <c r="B1434" s="18"/>
      <c r="D1434" s="820"/>
      <c r="E1434" s="820"/>
      <c r="F1434" s="1481"/>
      <c r="H1434" s="1481"/>
      <c r="K1434" s="1481"/>
      <c r="M1434" s="1481"/>
    </row>
    <row r="1435" spans="1:13">
      <c r="A1435" s="18"/>
      <c r="B1435" s="18"/>
      <c r="D1435" s="820"/>
      <c r="E1435" s="820"/>
      <c r="F1435" s="1481"/>
      <c r="H1435" s="1481"/>
      <c r="K1435" s="1481"/>
      <c r="M1435" s="1481"/>
    </row>
    <row r="1436" spans="1:13">
      <c r="A1436" s="18"/>
      <c r="B1436" s="18"/>
      <c r="D1436" s="820"/>
      <c r="E1436" s="820"/>
      <c r="F1436" s="1481"/>
      <c r="H1436" s="1481"/>
      <c r="K1436" s="1481"/>
      <c r="M1436" s="1481"/>
    </row>
    <row r="1437" spans="1:13">
      <c r="A1437" s="18"/>
      <c r="B1437" s="18"/>
      <c r="D1437" s="820"/>
      <c r="E1437" s="820"/>
      <c r="F1437" s="1481"/>
      <c r="H1437" s="1481"/>
      <c r="K1437" s="1481"/>
      <c r="M1437" s="1481"/>
    </row>
    <row r="1438" spans="1:13">
      <c r="A1438" s="18"/>
      <c r="B1438" s="18"/>
      <c r="D1438" s="820"/>
      <c r="E1438" s="820"/>
      <c r="F1438" s="1481"/>
      <c r="H1438" s="1481"/>
      <c r="K1438" s="1481"/>
      <c r="M1438" s="1481"/>
    </row>
    <row r="1439" spans="1:13">
      <c r="A1439" s="18"/>
      <c r="B1439" s="18"/>
      <c r="D1439" s="820"/>
      <c r="E1439" s="820"/>
      <c r="F1439" s="1481"/>
      <c r="H1439" s="1481"/>
      <c r="K1439" s="1481"/>
      <c r="M1439" s="1481"/>
    </row>
    <row r="1440" spans="1:13">
      <c r="A1440" s="18"/>
      <c r="B1440" s="18"/>
      <c r="D1440" s="820"/>
      <c r="E1440" s="820"/>
      <c r="F1440" s="1481"/>
      <c r="H1440" s="1481"/>
      <c r="K1440" s="1481"/>
      <c r="M1440" s="1481"/>
    </row>
    <row r="1441" spans="1:13">
      <c r="A1441" s="18"/>
      <c r="B1441" s="18"/>
      <c r="D1441" s="820"/>
      <c r="E1441" s="820"/>
      <c r="F1441" s="1481"/>
      <c r="H1441" s="1481"/>
      <c r="K1441" s="1481"/>
      <c r="M1441" s="1481"/>
    </row>
    <row r="1442" spans="1:13">
      <c r="A1442" s="18"/>
      <c r="B1442" s="18"/>
      <c r="D1442" s="820"/>
      <c r="E1442" s="820"/>
      <c r="F1442" s="1481"/>
      <c r="H1442" s="1481"/>
      <c r="K1442" s="1481"/>
      <c r="M1442" s="1481"/>
    </row>
    <row r="1443" spans="1:13">
      <c r="A1443" s="18"/>
      <c r="B1443" s="18"/>
      <c r="D1443" s="820"/>
      <c r="E1443" s="820"/>
      <c r="F1443" s="1481"/>
      <c r="H1443" s="1481"/>
      <c r="K1443" s="1481"/>
      <c r="M1443" s="1481"/>
    </row>
    <row r="1444" spans="1:13">
      <c r="A1444" s="18"/>
      <c r="B1444" s="18"/>
      <c r="D1444" s="820"/>
      <c r="E1444" s="820"/>
      <c r="F1444" s="1481"/>
      <c r="H1444" s="1481"/>
      <c r="K1444" s="1481"/>
      <c r="M1444" s="1481"/>
    </row>
    <row r="1445" spans="1:13">
      <c r="A1445" s="18"/>
      <c r="B1445" s="18"/>
      <c r="D1445" s="820"/>
      <c r="E1445" s="820"/>
      <c r="F1445" s="1481"/>
      <c r="H1445" s="1481"/>
      <c r="K1445" s="1481"/>
      <c r="M1445" s="1481"/>
    </row>
    <row r="1446" spans="1:13">
      <c r="A1446" s="18"/>
      <c r="B1446" s="18"/>
      <c r="D1446" s="820"/>
      <c r="E1446" s="820"/>
      <c r="F1446" s="1481"/>
      <c r="H1446" s="1481"/>
      <c r="K1446" s="1481"/>
      <c r="M1446" s="1481"/>
    </row>
    <row r="1447" spans="1:13">
      <c r="A1447" s="18"/>
      <c r="B1447" s="18"/>
      <c r="D1447" s="820"/>
      <c r="E1447" s="820"/>
      <c r="F1447" s="1481"/>
      <c r="H1447" s="1481"/>
      <c r="K1447" s="1481"/>
      <c r="M1447" s="1481"/>
    </row>
    <row r="1448" spans="1:13">
      <c r="A1448" s="18"/>
      <c r="B1448" s="18"/>
      <c r="D1448" s="820"/>
      <c r="E1448" s="820"/>
      <c r="F1448" s="1481"/>
      <c r="H1448" s="1481"/>
      <c r="K1448" s="1481"/>
      <c r="M1448" s="1481"/>
    </row>
    <row r="1449" spans="1:13">
      <c r="A1449" s="18"/>
      <c r="B1449" s="18"/>
      <c r="D1449" s="820"/>
      <c r="E1449" s="820"/>
      <c r="F1449" s="1481"/>
      <c r="H1449" s="1481"/>
      <c r="K1449" s="1481"/>
      <c r="M1449" s="1481"/>
    </row>
    <row r="1450" spans="1:13">
      <c r="A1450" s="18"/>
      <c r="B1450" s="18"/>
      <c r="D1450" s="820"/>
      <c r="E1450" s="820"/>
      <c r="F1450" s="1481"/>
      <c r="H1450" s="1481"/>
      <c r="K1450" s="1481"/>
      <c r="M1450" s="1481"/>
    </row>
    <row r="1451" spans="1:13">
      <c r="A1451" s="18"/>
      <c r="B1451" s="18"/>
      <c r="D1451" s="820"/>
      <c r="E1451" s="820"/>
      <c r="F1451" s="1481"/>
      <c r="H1451" s="1481"/>
      <c r="K1451" s="1481"/>
      <c r="M1451" s="1481"/>
    </row>
    <row r="1452" spans="1:13">
      <c r="A1452" s="18"/>
      <c r="B1452" s="18"/>
      <c r="D1452" s="820"/>
      <c r="E1452" s="820"/>
      <c r="F1452" s="1481"/>
      <c r="H1452" s="1481"/>
      <c r="K1452" s="1481"/>
      <c r="M1452" s="1481"/>
    </row>
    <row r="1453" spans="1:13">
      <c r="A1453" s="18"/>
      <c r="B1453" s="18"/>
      <c r="D1453" s="820"/>
      <c r="E1453" s="820"/>
      <c r="F1453" s="1481"/>
      <c r="H1453" s="1481"/>
      <c r="K1453" s="1481"/>
      <c r="M1453" s="1481"/>
    </row>
    <row r="1454" spans="1:13">
      <c r="A1454" s="18"/>
      <c r="B1454" s="18"/>
      <c r="D1454" s="820"/>
      <c r="E1454" s="820"/>
      <c r="F1454" s="1481"/>
      <c r="H1454" s="1481"/>
      <c r="K1454" s="1481"/>
      <c r="M1454" s="1481"/>
    </row>
    <row r="1455" spans="1:13">
      <c r="A1455" s="18"/>
      <c r="B1455" s="18"/>
      <c r="D1455" s="820"/>
      <c r="E1455" s="820"/>
      <c r="F1455" s="1481"/>
      <c r="H1455" s="1481"/>
      <c r="K1455" s="1481"/>
      <c r="M1455" s="1481"/>
    </row>
    <row r="1456" spans="1:13">
      <c r="A1456" s="18"/>
      <c r="B1456" s="18"/>
      <c r="D1456" s="820"/>
      <c r="E1456" s="820"/>
      <c r="F1456" s="1481"/>
      <c r="H1456" s="1481"/>
      <c r="K1456" s="1481"/>
      <c r="M1456" s="1481"/>
    </row>
    <row r="1457" spans="1:13">
      <c r="A1457" s="18"/>
      <c r="B1457" s="18"/>
      <c r="D1457" s="820"/>
      <c r="E1457" s="820"/>
      <c r="F1457" s="1481"/>
      <c r="H1457" s="1481"/>
      <c r="K1457" s="1481"/>
      <c r="M1457" s="1481"/>
    </row>
    <row r="1458" spans="1:13">
      <c r="A1458" s="18"/>
      <c r="B1458" s="18"/>
      <c r="D1458" s="820"/>
      <c r="E1458" s="820"/>
      <c r="F1458" s="1481"/>
      <c r="H1458" s="1481"/>
      <c r="K1458" s="1481"/>
      <c r="M1458" s="1481"/>
    </row>
    <row r="1459" spans="1:13">
      <c r="A1459" s="18"/>
      <c r="B1459" s="18"/>
      <c r="D1459" s="820"/>
      <c r="E1459" s="820"/>
      <c r="F1459" s="1481"/>
      <c r="H1459" s="1481"/>
      <c r="K1459" s="1481"/>
      <c r="M1459" s="1481"/>
    </row>
    <row r="1460" spans="1:13">
      <c r="A1460" s="18"/>
      <c r="B1460" s="18"/>
      <c r="D1460" s="820"/>
      <c r="E1460" s="820"/>
      <c r="F1460" s="1481"/>
      <c r="H1460" s="1481"/>
      <c r="K1460" s="1481"/>
      <c r="M1460" s="1481"/>
    </row>
    <row r="1461" spans="1:13">
      <c r="A1461" s="18"/>
      <c r="B1461" s="18"/>
      <c r="D1461" s="820"/>
      <c r="E1461" s="820"/>
      <c r="F1461" s="1481"/>
      <c r="H1461" s="1481"/>
      <c r="K1461" s="1481"/>
      <c r="M1461" s="1481"/>
    </row>
    <row r="1462" spans="1:13">
      <c r="A1462" s="18"/>
      <c r="B1462" s="18"/>
      <c r="D1462" s="820"/>
      <c r="E1462" s="820"/>
      <c r="F1462" s="1481"/>
      <c r="H1462" s="1481"/>
      <c r="K1462" s="1481"/>
      <c r="M1462" s="1481"/>
    </row>
    <row r="1463" spans="1:13">
      <c r="A1463" s="18"/>
      <c r="B1463" s="18"/>
      <c r="D1463" s="820"/>
      <c r="E1463" s="820"/>
      <c r="F1463" s="1481"/>
      <c r="H1463" s="1481"/>
      <c r="K1463" s="1481"/>
      <c r="M1463" s="1481"/>
    </row>
    <row r="1464" spans="1:13">
      <c r="A1464" s="18"/>
      <c r="B1464" s="18"/>
      <c r="D1464" s="820"/>
      <c r="E1464" s="820"/>
      <c r="F1464" s="1481"/>
      <c r="H1464" s="1481"/>
      <c r="K1464" s="1481"/>
      <c r="M1464" s="1481"/>
    </row>
    <row r="1465" spans="1:13">
      <c r="A1465" s="18"/>
      <c r="B1465" s="18"/>
      <c r="D1465" s="820"/>
      <c r="E1465" s="820"/>
      <c r="F1465" s="1481"/>
      <c r="H1465" s="1481"/>
      <c r="K1465" s="1481"/>
      <c r="M1465" s="1481"/>
    </row>
    <row r="1466" spans="1:13">
      <c r="A1466" s="18"/>
      <c r="B1466" s="18"/>
      <c r="D1466" s="820"/>
      <c r="E1466" s="820"/>
      <c r="F1466" s="1481"/>
      <c r="H1466" s="1481"/>
      <c r="K1466" s="1481"/>
      <c r="M1466" s="1481"/>
    </row>
    <row r="1467" spans="1:13">
      <c r="A1467" s="18"/>
      <c r="B1467" s="18"/>
      <c r="D1467" s="820"/>
      <c r="E1467" s="820"/>
      <c r="F1467" s="1481"/>
      <c r="H1467" s="1481"/>
      <c r="K1467" s="1481"/>
      <c r="M1467" s="1481"/>
    </row>
    <row r="1468" spans="1:13">
      <c r="A1468" s="18"/>
      <c r="B1468" s="18"/>
      <c r="D1468" s="820"/>
      <c r="E1468" s="820"/>
      <c r="F1468" s="1481"/>
      <c r="H1468" s="1481"/>
      <c r="K1468" s="1481"/>
      <c r="M1468" s="1481"/>
    </row>
  </sheetData>
  <pageMargins left="0.36" right="0.35" top="1" bottom="1" header="0.5" footer="0.5"/>
  <pageSetup scale="4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E908"/>
  <sheetViews>
    <sheetView showGridLines="0" topLeftCell="A818" zoomScaleNormal="75" zoomScaleSheetLayoutView="50" workbookViewId="0">
      <selection activeCell="A818" sqref="A818"/>
    </sheetView>
  </sheetViews>
  <sheetFormatPr defaultColWidth="8.33203125" defaultRowHeight="10.199999999999999" outlineLevelRow="1"/>
  <cols>
    <col min="1" max="1" width="12.6640625" style="287" customWidth="1"/>
    <col min="2" max="2" width="13.33203125" style="287" customWidth="1"/>
    <col min="3" max="3" width="13.44140625" style="287" customWidth="1"/>
    <col min="4" max="4" width="8.33203125" style="287"/>
    <col min="5" max="5" width="10" style="287" customWidth="1"/>
    <col min="6" max="6" width="10.44140625" style="287" bestFit="1" customWidth="1"/>
    <col min="7" max="7" width="11.88671875" style="287" customWidth="1"/>
    <col min="8" max="8" width="8.5546875" style="287" customWidth="1"/>
    <col min="9" max="9" width="14.33203125" style="287" customWidth="1"/>
    <col min="10" max="10" width="12.88671875" style="287" customWidth="1"/>
    <col min="11" max="15" width="11.6640625" style="287" customWidth="1"/>
    <col min="16" max="16" width="11.5546875" style="287" customWidth="1"/>
    <col min="17" max="17" width="11.44140625" style="287" customWidth="1"/>
    <col min="18" max="18" width="10.88671875" style="287" customWidth="1"/>
    <col min="19" max="19" width="11" style="287" customWidth="1"/>
    <col min="20" max="20" width="11.109375" style="287" customWidth="1"/>
    <col min="21" max="21" width="11" style="287" customWidth="1"/>
    <col min="22" max="22" width="11.109375" style="287" customWidth="1"/>
    <col min="23" max="23" width="12" style="287" customWidth="1"/>
    <col min="24" max="24" width="11.109375" style="287" customWidth="1"/>
    <col min="25" max="25" width="11" style="287" customWidth="1"/>
    <col min="26" max="27" width="11.44140625" style="287" customWidth="1"/>
    <col min="28" max="28" width="11.6640625" style="287" customWidth="1"/>
    <col min="29" max="29" width="11.109375" style="287" customWidth="1"/>
    <col min="30" max="30" width="8.6640625" style="287" customWidth="1"/>
    <col min="31" max="31" width="8.44140625" style="287" customWidth="1"/>
    <col min="32" max="32" width="8.6640625" style="287" customWidth="1"/>
    <col min="33" max="16384" width="8.33203125" style="287"/>
  </cols>
  <sheetData>
    <row r="1" spans="1:32" ht="12" customHeight="1" thickBot="1">
      <c r="A1" s="283">
        <v>99</v>
      </c>
      <c r="B1" s="284">
        <v>2</v>
      </c>
      <c r="C1" s="285">
        <v>7</v>
      </c>
      <c r="D1" s="286"/>
    </row>
    <row r="2" spans="1:32" ht="12" customHeight="1" thickTop="1" thickBot="1">
      <c r="A2" s="288">
        <v>150</v>
      </c>
      <c r="B2" s="288">
        <v>1</v>
      </c>
      <c r="C2" s="285">
        <v>99</v>
      </c>
      <c r="E2" s="287" t="str">
        <f ca="1">+CELL("filename",E3)</f>
        <v>C:\[LV Cogen.xls]CCFMODEL</v>
      </c>
      <c r="H2" s="280"/>
      <c r="I2" s="280"/>
      <c r="J2" s="289"/>
      <c r="K2" s="285"/>
      <c r="L2" s="285"/>
      <c r="M2" s="285"/>
      <c r="N2" s="290" t="str">
        <f>"Year "&amp;ROUND(((N3)-YEAR($I$3)),0)</f>
        <v>Year 5</v>
      </c>
      <c r="O2" s="291">
        <f ca="1">+NOW()</f>
        <v>36769.389485763888</v>
      </c>
      <c r="P2" s="292">
        <f ca="1">+NOW()</f>
        <v>36769.389485763888</v>
      </c>
      <c r="Q2" s="285"/>
      <c r="R2" s="285"/>
      <c r="S2" s="290" t="str">
        <f>"Year "&amp;ROUND(((S3)-YEAR($I$3)),0)</f>
        <v>Year 10</v>
      </c>
      <c r="U2" s="280"/>
      <c r="V2" s="280"/>
      <c r="W2" s="280"/>
      <c r="X2" s="290" t="str">
        <f>"Year "&amp;ROUND(((X3)-YEAR($I$3)),0)</f>
        <v>Year 15</v>
      </c>
      <c r="Y2" s="280"/>
      <c r="Z2" s="280"/>
      <c r="AA2" s="280"/>
      <c r="AB2" s="280"/>
      <c r="AC2" s="290" t="str">
        <f>"Year "&amp;ROUND(((AC3)-YEAR($I$3)),0)</f>
        <v>Year 20</v>
      </c>
      <c r="AD2" s="280"/>
      <c r="AE2" s="280"/>
      <c r="AF2" s="280"/>
    </row>
    <row r="3" spans="1:32" ht="13.5" customHeight="1" thickTop="1" thickBot="1">
      <c r="A3" s="283">
        <v>6</v>
      </c>
      <c r="B3" s="293" t="s">
        <v>898</v>
      </c>
      <c r="C3" s="1438">
        <f ca="1">SUM(E440:AF440)</f>
        <v>9.2859409051015973E-10</v>
      </c>
      <c r="E3" s="295">
        <f>+E638</f>
        <v>35430</v>
      </c>
      <c r="F3" s="295">
        <f>+F638</f>
        <v>35795</v>
      </c>
      <c r="G3" s="295">
        <f>+G638</f>
        <v>36160</v>
      </c>
      <c r="H3" s="296">
        <f>+H638</f>
        <v>36373</v>
      </c>
      <c r="I3" s="297">
        <f>+I314</f>
        <v>36525</v>
      </c>
      <c r="J3" s="298">
        <f>+YEAR(J314)</f>
        <v>2000</v>
      </c>
      <c r="K3" s="298">
        <f t="shared" ref="K3:AF3" si="0">+YEAR(K314)</f>
        <v>2001</v>
      </c>
      <c r="L3" s="298">
        <f t="shared" si="0"/>
        <v>2002</v>
      </c>
      <c r="M3" s="298">
        <f t="shared" si="0"/>
        <v>2003</v>
      </c>
      <c r="N3" s="298">
        <f t="shared" si="0"/>
        <v>2004</v>
      </c>
      <c r="O3" s="298">
        <f t="shared" si="0"/>
        <v>2005</v>
      </c>
      <c r="P3" s="298">
        <f t="shared" si="0"/>
        <v>2006</v>
      </c>
      <c r="Q3" s="298">
        <f t="shared" si="0"/>
        <v>2007</v>
      </c>
      <c r="R3" s="298">
        <f t="shared" si="0"/>
        <v>2008</v>
      </c>
      <c r="S3" s="298">
        <f t="shared" si="0"/>
        <v>2009</v>
      </c>
      <c r="T3" s="298">
        <f t="shared" si="0"/>
        <v>2010</v>
      </c>
      <c r="U3" s="298">
        <f t="shared" si="0"/>
        <v>2011</v>
      </c>
      <c r="V3" s="298">
        <f t="shared" si="0"/>
        <v>2012</v>
      </c>
      <c r="W3" s="298">
        <f t="shared" si="0"/>
        <v>2013</v>
      </c>
      <c r="X3" s="298">
        <f t="shared" si="0"/>
        <v>2014</v>
      </c>
      <c r="Y3" s="298">
        <f t="shared" si="0"/>
        <v>2015</v>
      </c>
      <c r="Z3" s="298">
        <f t="shared" si="0"/>
        <v>2016</v>
      </c>
      <c r="AA3" s="298">
        <f t="shared" si="0"/>
        <v>2017</v>
      </c>
      <c r="AB3" s="298">
        <f t="shared" si="0"/>
        <v>2018</v>
      </c>
      <c r="AC3" s="298">
        <f t="shared" si="0"/>
        <v>2019</v>
      </c>
      <c r="AD3" s="298">
        <f t="shared" si="0"/>
        <v>2020</v>
      </c>
      <c r="AE3" s="298">
        <f t="shared" si="0"/>
        <v>2021</v>
      </c>
      <c r="AF3" s="298">
        <f t="shared" si="0"/>
        <v>2022</v>
      </c>
    </row>
    <row r="4" spans="1:32" ht="10.8" thickTop="1">
      <c r="A4" s="299" t="str">
        <f>+CCFMODEL!A312</f>
        <v>West Coast Power LLP</v>
      </c>
      <c r="X4" s="300">
        <f ca="1">+NOW()</f>
        <v>36769.389485763888</v>
      </c>
    </row>
    <row r="5" spans="1:32">
      <c r="A5" s="301" t="str">
        <f>+CCFMODEL!A313</f>
        <v xml:space="preserve">SCENARIO:    </v>
      </c>
      <c r="C5" s="302" t="str">
        <f ca="1">+CCFMODEL!C313 &amp;" "&amp;TEXT(NOW(),"mm/dd/yy")</f>
        <v>Base Case 08/31/00</v>
      </c>
      <c r="E5" s="303" t="str">
        <f>+CCFMODEL!E313</f>
        <v>($ in</v>
      </c>
      <c r="F5" s="304" t="str">
        <f>+CCFMODEL!F313</f>
        <v>Thousands</v>
      </c>
      <c r="G5" s="305" t="s">
        <v>902</v>
      </c>
      <c r="X5" s="306" t="str">
        <f ca="1">+CELL("filename",C5)</f>
        <v>C:\[LV Cogen.xls]CCFMODEL</v>
      </c>
    </row>
    <row r="6" spans="1:32" ht="10.8" thickBot="1"/>
    <row r="7" spans="1:32" ht="11.4" thickTop="1" thickBot="1">
      <c r="A7" s="307"/>
      <c r="B7" s="307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</row>
    <row r="8" spans="1:32" ht="11.4" thickTop="1" thickBot="1">
      <c r="A8" s="308" t="s">
        <v>903</v>
      </c>
      <c r="B8" s="309"/>
      <c r="C8" s="309"/>
      <c r="D8" s="309" t="s">
        <v>904</v>
      </c>
      <c r="E8" s="309"/>
      <c r="F8" s="309"/>
      <c r="G8" s="309"/>
      <c r="I8" s="310">
        <f t="shared" ref="I8:R8" si="1">+I$3</f>
        <v>36525</v>
      </c>
      <c r="J8" s="311">
        <f t="shared" si="1"/>
        <v>2000</v>
      </c>
      <c r="K8" s="311">
        <f t="shared" si="1"/>
        <v>2001</v>
      </c>
      <c r="L8" s="311">
        <f t="shared" si="1"/>
        <v>2002</v>
      </c>
      <c r="M8" s="311">
        <f t="shared" si="1"/>
        <v>2003</v>
      </c>
      <c r="N8" s="311">
        <f t="shared" si="1"/>
        <v>2004</v>
      </c>
      <c r="O8" s="311">
        <f t="shared" si="1"/>
        <v>2005</v>
      </c>
      <c r="P8" s="311">
        <f t="shared" si="1"/>
        <v>2006</v>
      </c>
      <c r="Q8" s="311">
        <f t="shared" si="1"/>
        <v>2007</v>
      </c>
      <c r="R8" s="311">
        <f t="shared" si="1"/>
        <v>2008</v>
      </c>
      <c r="S8" s="311">
        <f t="shared" ref="S8:AF8" si="2">+S$3</f>
        <v>2009</v>
      </c>
      <c r="T8" s="311">
        <f t="shared" si="2"/>
        <v>2010</v>
      </c>
      <c r="U8" s="311">
        <f t="shared" si="2"/>
        <v>2011</v>
      </c>
      <c r="V8" s="311">
        <f t="shared" si="2"/>
        <v>2012</v>
      </c>
      <c r="W8" s="311">
        <f t="shared" si="2"/>
        <v>2013</v>
      </c>
      <c r="X8" s="311">
        <f t="shared" si="2"/>
        <v>2014</v>
      </c>
      <c r="Y8" s="311">
        <f t="shared" si="2"/>
        <v>2015</v>
      </c>
      <c r="Z8" s="311">
        <f t="shared" si="2"/>
        <v>2016</v>
      </c>
      <c r="AA8" s="311">
        <f t="shared" si="2"/>
        <v>2017</v>
      </c>
      <c r="AB8" s="311">
        <f t="shared" si="2"/>
        <v>2018</v>
      </c>
      <c r="AC8" s="311">
        <f t="shared" si="2"/>
        <v>2019</v>
      </c>
      <c r="AD8" s="311">
        <f t="shared" si="2"/>
        <v>2020</v>
      </c>
      <c r="AE8" s="311">
        <f t="shared" si="2"/>
        <v>2021</v>
      </c>
      <c r="AF8" s="311">
        <f t="shared" si="2"/>
        <v>2022</v>
      </c>
    </row>
    <row r="9" spans="1:32" ht="10.8" thickTop="1">
      <c r="A9" s="312" t="s">
        <v>916</v>
      </c>
      <c r="B9" s="309"/>
      <c r="C9" s="309"/>
      <c r="D9" s="313" t="s">
        <v>917</v>
      </c>
      <c r="E9" s="309"/>
      <c r="F9" s="309"/>
      <c r="G9" s="309"/>
      <c r="I9" s="309"/>
      <c r="J9" s="309"/>
      <c r="K9" s="309"/>
      <c r="L9" s="309"/>
      <c r="M9" s="1471"/>
      <c r="N9" s="309"/>
      <c r="O9" s="309"/>
      <c r="P9" s="309"/>
      <c r="Q9" s="317" t="s">
        <v>906</v>
      </c>
      <c r="R9" s="309"/>
      <c r="S9" s="309"/>
      <c r="T9" s="309"/>
      <c r="U9" s="1471" t="s">
        <v>907</v>
      </c>
      <c r="V9" s="309"/>
      <c r="W9" s="309"/>
      <c r="X9" s="309"/>
      <c r="Y9" s="1471" t="s">
        <v>908</v>
      </c>
      <c r="Z9" s="309"/>
      <c r="AA9" s="309"/>
      <c r="AB9" s="309"/>
      <c r="AC9" s="309"/>
      <c r="AD9" s="309"/>
      <c r="AE9" s="309"/>
      <c r="AF9" s="309"/>
    </row>
    <row r="10" spans="1:32">
      <c r="A10" s="309"/>
      <c r="B10" s="299" t="s">
        <v>918</v>
      </c>
      <c r="C10" s="314" t="s">
        <v>895</v>
      </c>
      <c r="D10" s="315">
        <f t="shared" ref="D10:D19" si="3">SUM(I10:AC10)</f>
        <v>0</v>
      </c>
      <c r="E10" s="315"/>
      <c r="F10" s="315"/>
      <c r="G10" s="315"/>
      <c r="H10" s="323">
        <f ca="1">Summary!J49</f>
        <v>78714.555519999994</v>
      </c>
      <c r="I10" s="317">
        <v>0</v>
      </c>
      <c r="J10" s="317">
        <v>0</v>
      </c>
      <c r="K10" s="317">
        <v>0</v>
      </c>
      <c r="L10" s="317">
        <v>0</v>
      </c>
      <c r="M10" s="317">
        <v>0</v>
      </c>
      <c r="N10" s="317">
        <v>0</v>
      </c>
      <c r="O10" s="317">
        <v>0</v>
      </c>
      <c r="P10" s="317">
        <v>0</v>
      </c>
      <c r="Q10" s="317">
        <v>0</v>
      </c>
      <c r="R10" s="317">
        <v>0</v>
      </c>
      <c r="S10" s="317">
        <v>0</v>
      </c>
      <c r="T10" s="317">
        <v>0</v>
      </c>
      <c r="U10" s="317">
        <v>0</v>
      </c>
      <c r="V10" s="317">
        <v>0</v>
      </c>
      <c r="W10" s="317">
        <v>0</v>
      </c>
      <c r="X10" s="317">
        <v>0</v>
      </c>
      <c r="Y10" s="317">
        <v>0</v>
      </c>
      <c r="Z10" s="317">
        <v>0</v>
      </c>
      <c r="AA10" s="317">
        <v>0</v>
      </c>
      <c r="AB10" s="317">
        <v>0</v>
      </c>
      <c r="AC10" s="317">
        <v>0</v>
      </c>
      <c r="AD10" s="317">
        <v>0</v>
      </c>
      <c r="AE10" s="317">
        <v>0</v>
      </c>
      <c r="AF10" s="317">
        <v>0</v>
      </c>
    </row>
    <row r="11" spans="1:32">
      <c r="A11" s="309"/>
      <c r="B11" s="1470" t="s">
        <v>694</v>
      </c>
      <c r="C11" s="314" t="str">
        <f ca="1">IF(Summary!$O$109=0,B11,#REF!)</f>
        <v>Partial Overhaul 1</v>
      </c>
      <c r="D11" s="315">
        <f t="shared" si="3"/>
        <v>1331.9046155778003</v>
      </c>
      <c r="E11" s="315"/>
      <c r="F11" s="1472" t="s">
        <v>905</v>
      </c>
      <c r="G11" s="315"/>
      <c r="I11" s="317">
        <v>0</v>
      </c>
      <c r="J11" s="317">
        <v>0</v>
      </c>
      <c r="K11" s="317">
        <v>0</v>
      </c>
      <c r="L11" s="317">
        <v>0</v>
      </c>
      <c r="M11" s="317">
        <f>Summary!D44</f>
        <v>1331.9046155778003</v>
      </c>
      <c r="N11" s="317">
        <v>0</v>
      </c>
      <c r="O11" s="317">
        <v>0</v>
      </c>
      <c r="P11" s="317">
        <v>0</v>
      </c>
      <c r="Q11" s="317">
        <v>0</v>
      </c>
      <c r="R11" s="317">
        <v>0</v>
      </c>
      <c r="S11" s="317">
        <v>0</v>
      </c>
      <c r="T11" s="317">
        <v>0</v>
      </c>
      <c r="U11" s="317">
        <v>0</v>
      </c>
      <c r="V11" s="317">
        <v>0</v>
      </c>
      <c r="W11" s="317">
        <v>0</v>
      </c>
      <c r="X11" s="317">
        <v>0</v>
      </c>
      <c r="Y11" s="317">
        <v>0</v>
      </c>
      <c r="Z11" s="317">
        <v>0</v>
      </c>
      <c r="AA11" s="317">
        <v>0</v>
      </c>
      <c r="AB11" s="317">
        <v>0</v>
      </c>
      <c r="AC11" s="317">
        <v>0</v>
      </c>
      <c r="AD11" s="317">
        <v>0</v>
      </c>
      <c r="AE11" s="317">
        <v>0</v>
      </c>
      <c r="AF11" s="317">
        <v>0</v>
      </c>
    </row>
    <row r="12" spans="1:32" outlineLevel="1">
      <c r="A12" s="309">
        <f ca="1">PV_RACCapPrice</f>
        <v>32429.932922660082</v>
      </c>
      <c r="B12" s="1468" t="s">
        <v>695</v>
      </c>
      <c r="C12" s="314" t="str">
        <f ca="1">IF(Summary!$O$109=0,B12,#REF!)</f>
        <v>Complete Overhaul 1</v>
      </c>
      <c r="D12" s="315">
        <f t="shared" si="3"/>
        <v>4611.7398197956873</v>
      </c>
      <c r="E12" s="315"/>
      <c r="F12" s="1472" t="s">
        <v>905</v>
      </c>
      <c r="G12" s="315"/>
      <c r="H12" s="316"/>
      <c r="I12" s="317">
        <v>0</v>
      </c>
      <c r="J12" s="317">
        <v>0</v>
      </c>
      <c r="K12" s="317">
        <v>0</v>
      </c>
      <c r="L12" s="317">
        <v>0</v>
      </c>
      <c r="M12" s="317">
        <v>0</v>
      </c>
      <c r="N12" s="317">
        <v>0</v>
      </c>
      <c r="O12" s="317">
        <v>0</v>
      </c>
      <c r="P12" s="317">
        <v>0</v>
      </c>
      <c r="Q12" s="317">
        <f>Summary!D50</f>
        <v>4611.7398197956873</v>
      </c>
      <c r="R12" s="317">
        <v>0</v>
      </c>
      <c r="S12" s="317">
        <v>0</v>
      </c>
      <c r="T12" s="317">
        <v>0</v>
      </c>
      <c r="U12" s="317">
        <v>0</v>
      </c>
      <c r="V12" s="317">
        <v>0</v>
      </c>
      <c r="W12" s="317">
        <v>0</v>
      </c>
      <c r="X12" s="317">
        <v>0</v>
      </c>
      <c r="Y12" s="317">
        <v>0</v>
      </c>
      <c r="Z12" s="317">
        <v>0</v>
      </c>
      <c r="AA12" s="317">
        <v>0</v>
      </c>
      <c r="AB12" s="317">
        <v>0</v>
      </c>
      <c r="AC12" s="317">
        <v>0</v>
      </c>
      <c r="AD12" s="317">
        <v>0</v>
      </c>
      <c r="AE12" s="317">
        <v>0</v>
      </c>
      <c r="AF12" s="317">
        <v>0</v>
      </c>
    </row>
    <row r="13" spans="1:32" outlineLevel="1">
      <c r="A13" s="309"/>
      <c r="B13" s="1468" t="s">
        <v>696</v>
      </c>
      <c r="C13" s="314" t="str">
        <f ca="1">IF(Summary!$O$109=0,B13,#REF!)</f>
        <v>Partial Overhaul 2</v>
      </c>
      <c r="D13" s="315">
        <f t="shared" si="3"/>
        <v>1870.6553139776611</v>
      </c>
      <c r="E13" s="315"/>
      <c r="F13" s="1472" t="s">
        <v>905</v>
      </c>
      <c r="G13" s="315"/>
      <c r="H13" s="316"/>
      <c r="I13" s="317">
        <v>0</v>
      </c>
      <c r="J13" s="317">
        <v>0</v>
      </c>
      <c r="K13" s="317">
        <v>0</v>
      </c>
      <c r="L13" s="317">
        <v>0</v>
      </c>
      <c r="M13" s="317">
        <v>0</v>
      </c>
      <c r="N13" s="317">
        <v>0</v>
      </c>
      <c r="O13" s="317">
        <v>0</v>
      </c>
      <c r="P13" s="317">
        <v>0</v>
      </c>
      <c r="Q13" s="317">
        <v>0</v>
      </c>
      <c r="R13" s="317">
        <v>0</v>
      </c>
      <c r="S13" s="317">
        <v>0</v>
      </c>
      <c r="T13" s="317">
        <v>0</v>
      </c>
      <c r="U13" s="317">
        <f>Summary!D56</f>
        <v>1870.6553139776611</v>
      </c>
      <c r="V13" s="317">
        <v>0</v>
      </c>
      <c r="W13" s="317">
        <v>0</v>
      </c>
      <c r="X13" s="317">
        <v>0</v>
      </c>
      <c r="Y13" s="317">
        <v>0</v>
      </c>
      <c r="Z13" s="317">
        <v>0</v>
      </c>
      <c r="AA13" s="317">
        <v>0</v>
      </c>
      <c r="AB13" s="317">
        <v>0</v>
      </c>
      <c r="AC13" s="317">
        <v>0</v>
      </c>
      <c r="AD13" s="317">
        <v>0</v>
      </c>
      <c r="AE13" s="317">
        <v>0</v>
      </c>
      <c r="AF13" s="317">
        <v>0</v>
      </c>
    </row>
    <row r="14" spans="1:32" outlineLevel="1">
      <c r="A14" s="309"/>
      <c r="B14" s="1468" t="s">
        <v>697</v>
      </c>
      <c r="C14" s="314" t="str">
        <f ca="1">IF(Summary!$O$109=0,B14,#REF!)</f>
        <v>Complete Overhaul 2</v>
      </c>
      <c r="D14" s="319">
        <f t="shared" si="3"/>
        <v>6463.75753668992</v>
      </c>
      <c r="E14" s="315"/>
      <c r="F14" s="1472" t="s">
        <v>905</v>
      </c>
      <c r="G14" s="315"/>
      <c r="H14" s="316"/>
      <c r="I14" s="317">
        <v>0</v>
      </c>
      <c r="J14" s="317">
        <v>0</v>
      </c>
      <c r="K14" s="317">
        <v>0</v>
      </c>
      <c r="L14" s="317">
        <v>0</v>
      </c>
      <c r="M14" s="317">
        <v>0</v>
      </c>
      <c r="N14" s="317">
        <v>0</v>
      </c>
      <c r="O14" s="317">
        <v>0</v>
      </c>
      <c r="P14" s="317">
        <v>0</v>
      </c>
      <c r="Q14" s="317">
        <v>0</v>
      </c>
      <c r="R14" s="317">
        <v>0</v>
      </c>
      <c r="S14" s="317">
        <v>0</v>
      </c>
      <c r="T14" s="317">
        <v>0</v>
      </c>
      <c r="U14" s="317">
        <v>0</v>
      </c>
      <c r="V14" s="317">
        <v>0</v>
      </c>
      <c r="W14" s="317">
        <v>0</v>
      </c>
      <c r="X14" s="317">
        <v>0</v>
      </c>
      <c r="Y14" s="317">
        <f>Summary!D62</f>
        <v>6463.75753668992</v>
      </c>
      <c r="Z14" s="317">
        <v>0</v>
      </c>
      <c r="AA14" s="317">
        <v>0</v>
      </c>
      <c r="AB14" s="317">
        <v>0</v>
      </c>
      <c r="AC14" s="317">
        <v>0</v>
      </c>
      <c r="AD14" s="317">
        <v>0</v>
      </c>
      <c r="AE14" s="317">
        <v>0</v>
      </c>
      <c r="AF14" s="317">
        <v>0</v>
      </c>
    </row>
    <row r="15" spans="1:32" outlineLevel="1">
      <c r="A15" s="309"/>
      <c r="B15" s="1469" t="s">
        <v>919</v>
      </c>
      <c r="C15" s="314" t="str">
        <f ca="1">IF(Summary!$O$109=0,B15,#REF!)</f>
        <v>Asset 6</v>
      </c>
      <c r="D15" s="319">
        <f t="shared" si="3"/>
        <v>0</v>
      </c>
      <c r="E15" s="315"/>
      <c r="F15" s="1472" t="s">
        <v>905</v>
      </c>
      <c r="G15" s="315"/>
      <c r="H15" s="316"/>
      <c r="I15" s="317">
        <v>0</v>
      </c>
      <c r="J15" s="317">
        <v>0</v>
      </c>
      <c r="K15" s="317">
        <v>0</v>
      </c>
      <c r="L15" s="317">
        <v>0</v>
      </c>
      <c r="M15" s="317">
        <v>0</v>
      </c>
      <c r="N15" s="317">
        <v>0</v>
      </c>
      <c r="O15" s="317">
        <v>0</v>
      </c>
      <c r="P15" s="317">
        <v>0</v>
      </c>
      <c r="Q15" s="317">
        <v>0</v>
      </c>
      <c r="R15" s="317">
        <v>0</v>
      </c>
      <c r="S15" s="317">
        <v>0</v>
      </c>
      <c r="T15" s="317">
        <v>0</v>
      </c>
      <c r="U15" s="317">
        <v>0</v>
      </c>
      <c r="V15" s="317">
        <v>0</v>
      </c>
      <c r="W15" s="317">
        <v>0</v>
      </c>
      <c r="X15" s="317">
        <v>0</v>
      </c>
      <c r="Y15" s="317">
        <v>0</v>
      </c>
      <c r="Z15" s="317">
        <v>0</v>
      </c>
      <c r="AA15" s="317">
        <v>0</v>
      </c>
      <c r="AB15" s="317">
        <v>0</v>
      </c>
      <c r="AC15" s="317">
        <v>0</v>
      </c>
      <c r="AD15" s="317">
        <v>0</v>
      </c>
      <c r="AE15" s="317">
        <v>0</v>
      </c>
      <c r="AF15" s="317">
        <v>0</v>
      </c>
    </row>
    <row r="16" spans="1:32" outlineLevel="1">
      <c r="A16" s="309"/>
      <c r="B16" s="1469" t="s">
        <v>920</v>
      </c>
      <c r="C16" s="314" t="str">
        <f ca="1">IF(Summary!$O$109=0,B16,#REF!)</f>
        <v>Asset 7</v>
      </c>
      <c r="D16" s="319">
        <f t="shared" si="3"/>
        <v>0</v>
      </c>
      <c r="E16" s="315"/>
      <c r="F16" s="1472" t="s">
        <v>905</v>
      </c>
      <c r="G16" s="315"/>
      <c r="H16" s="316"/>
      <c r="I16" s="317">
        <v>0</v>
      </c>
      <c r="J16" s="317">
        <v>0</v>
      </c>
      <c r="K16" s="317">
        <v>0</v>
      </c>
      <c r="L16" s="317">
        <v>0</v>
      </c>
      <c r="M16" s="317">
        <v>0</v>
      </c>
      <c r="N16" s="317">
        <v>0</v>
      </c>
      <c r="O16" s="317">
        <v>0</v>
      </c>
      <c r="P16" s="317">
        <v>0</v>
      </c>
      <c r="Q16" s="317">
        <v>0</v>
      </c>
      <c r="R16" s="317">
        <v>0</v>
      </c>
      <c r="S16" s="317">
        <v>0</v>
      </c>
      <c r="T16" s="317">
        <v>0</v>
      </c>
      <c r="U16" s="317">
        <v>0</v>
      </c>
      <c r="V16" s="317">
        <v>0</v>
      </c>
      <c r="W16" s="317">
        <v>0</v>
      </c>
      <c r="X16" s="317">
        <v>0</v>
      </c>
      <c r="Y16" s="317">
        <v>0</v>
      </c>
      <c r="Z16" s="317">
        <v>0</v>
      </c>
      <c r="AA16" s="317">
        <v>0</v>
      </c>
      <c r="AB16" s="317">
        <v>0</v>
      </c>
      <c r="AC16" s="317">
        <v>0</v>
      </c>
      <c r="AD16" s="317">
        <v>0</v>
      </c>
      <c r="AE16" s="317">
        <v>0</v>
      </c>
      <c r="AF16" s="317">
        <v>0</v>
      </c>
    </row>
    <row r="17" spans="1:32" outlineLevel="1">
      <c r="A17" s="309"/>
      <c r="B17" s="1469" t="s">
        <v>921</v>
      </c>
      <c r="C17" s="314" t="str">
        <f ca="1">IF(Summary!$O$109=0,B17,#REF!)</f>
        <v>Asset 8</v>
      </c>
      <c r="D17" s="319">
        <f t="shared" si="3"/>
        <v>0</v>
      </c>
      <c r="E17" s="315"/>
      <c r="F17" s="1472" t="s">
        <v>905</v>
      </c>
      <c r="G17" s="315"/>
      <c r="H17" s="316"/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</v>
      </c>
      <c r="T17" s="317">
        <v>0</v>
      </c>
      <c r="U17" s="317">
        <v>0</v>
      </c>
      <c r="V17" s="317">
        <v>0</v>
      </c>
      <c r="W17" s="317">
        <v>0</v>
      </c>
      <c r="X17" s="317">
        <v>0</v>
      </c>
      <c r="Y17" s="317">
        <v>0</v>
      </c>
      <c r="Z17" s="317">
        <v>0</v>
      </c>
      <c r="AA17" s="317">
        <v>0</v>
      </c>
      <c r="AB17" s="317">
        <v>0</v>
      </c>
      <c r="AC17" s="317">
        <v>0</v>
      </c>
      <c r="AD17" s="317">
        <v>0</v>
      </c>
      <c r="AE17" s="317">
        <v>0</v>
      </c>
      <c r="AF17" s="317">
        <v>0</v>
      </c>
    </row>
    <row r="18" spans="1:32" outlineLevel="1">
      <c r="A18" s="309"/>
      <c r="B18" s="1469" t="s">
        <v>922</v>
      </c>
      <c r="C18" s="314" t="str">
        <f ca="1">IF(Summary!$O$109=0,B18,#REF!)</f>
        <v>Asset 9</v>
      </c>
      <c r="D18" s="319">
        <f t="shared" si="3"/>
        <v>0</v>
      </c>
      <c r="E18" s="315"/>
      <c r="F18" s="1472" t="s">
        <v>905</v>
      </c>
      <c r="G18" s="315"/>
      <c r="H18" s="316"/>
      <c r="I18" s="317">
        <v>0</v>
      </c>
      <c r="J18" s="317">
        <v>0</v>
      </c>
      <c r="K18" s="317">
        <v>0</v>
      </c>
      <c r="L18" s="317">
        <v>0</v>
      </c>
      <c r="M18" s="317">
        <v>0</v>
      </c>
      <c r="N18" s="317">
        <v>0</v>
      </c>
      <c r="O18" s="317">
        <v>0</v>
      </c>
      <c r="P18" s="317">
        <v>0</v>
      </c>
      <c r="Q18" s="317">
        <v>0</v>
      </c>
      <c r="R18" s="317">
        <v>0</v>
      </c>
      <c r="S18" s="317">
        <v>0</v>
      </c>
      <c r="T18" s="317">
        <v>0</v>
      </c>
      <c r="U18" s="317">
        <v>0</v>
      </c>
      <c r="V18" s="317">
        <v>0</v>
      </c>
      <c r="W18" s="317">
        <v>0</v>
      </c>
      <c r="X18" s="317">
        <v>0</v>
      </c>
      <c r="Y18" s="317">
        <v>0</v>
      </c>
      <c r="Z18" s="317">
        <v>0</v>
      </c>
      <c r="AA18" s="317">
        <v>0</v>
      </c>
      <c r="AB18" s="317">
        <v>0</v>
      </c>
      <c r="AC18" s="317">
        <v>0</v>
      </c>
      <c r="AD18" s="317">
        <v>0</v>
      </c>
      <c r="AE18" s="317">
        <v>0</v>
      </c>
      <c r="AF18" s="317">
        <v>0</v>
      </c>
    </row>
    <row r="19" spans="1:32" outlineLevel="1">
      <c r="A19" s="309"/>
      <c r="B19" s="1469" t="s">
        <v>923</v>
      </c>
      <c r="C19" s="314" t="str">
        <f ca="1">IF(Summary!$O$109=0,B19,#REF!)</f>
        <v>Asset 10</v>
      </c>
      <c r="D19" s="320">
        <f t="shared" si="3"/>
        <v>0</v>
      </c>
      <c r="E19" s="315"/>
      <c r="F19" s="315"/>
      <c r="G19" s="315"/>
      <c r="H19" s="316"/>
      <c r="I19" s="321">
        <v>0</v>
      </c>
      <c r="J19" s="321">
        <v>0</v>
      </c>
      <c r="K19" s="321">
        <v>0</v>
      </c>
      <c r="L19" s="321">
        <v>0</v>
      </c>
      <c r="M19" s="321">
        <v>0</v>
      </c>
      <c r="N19" s="321">
        <v>0</v>
      </c>
      <c r="O19" s="321">
        <v>0</v>
      </c>
      <c r="P19" s="321">
        <v>0</v>
      </c>
      <c r="Q19" s="321">
        <v>0</v>
      </c>
      <c r="R19" s="321">
        <v>0</v>
      </c>
      <c r="S19" s="321">
        <v>0</v>
      </c>
      <c r="T19" s="321">
        <v>0</v>
      </c>
      <c r="U19" s="321">
        <v>0</v>
      </c>
      <c r="V19" s="321">
        <v>0</v>
      </c>
      <c r="W19" s="321">
        <v>0</v>
      </c>
      <c r="X19" s="321">
        <v>0</v>
      </c>
      <c r="Y19" s="321">
        <v>0</v>
      </c>
      <c r="Z19" s="321">
        <v>0</v>
      </c>
      <c r="AA19" s="321">
        <v>0</v>
      </c>
      <c r="AB19" s="321">
        <v>0</v>
      </c>
      <c r="AC19" s="321">
        <v>0</v>
      </c>
      <c r="AD19" s="321">
        <v>0</v>
      </c>
      <c r="AE19" s="321">
        <v>0</v>
      </c>
      <c r="AF19" s="321">
        <v>0</v>
      </c>
    </row>
    <row r="20" spans="1:32">
      <c r="A20" s="309"/>
      <c r="C20" s="322" t="s">
        <v>924</v>
      </c>
      <c r="D20" s="315">
        <f>SUM(D10:D19)</f>
        <v>14278.057286041068</v>
      </c>
      <c r="E20" s="317">
        <v>0</v>
      </c>
      <c r="F20" s="317">
        <v>0</v>
      </c>
      <c r="G20" s="317">
        <v>0</v>
      </c>
      <c r="H20" s="315">
        <f t="shared" ref="H20:R20" ca="1" si="4">SUM(H10:H19)</f>
        <v>78714.555519999994</v>
      </c>
      <c r="I20" s="315">
        <f t="shared" si="4"/>
        <v>0</v>
      </c>
      <c r="J20" s="315">
        <f t="shared" si="4"/>
        <v>0</v>
      </c>
      <c r="K20" s="315">
        <f t="shared" si="4"/>
        <v>0</v>
      </c>
      <c r="L20" s="315">
        <f t="shared" si="4"/>
        <v>0</v>
      </c>
      <c r="M20" s="315">
        <f t="shared" si="4"/>
        <v>1331.9046155778003</v>
      </c>
      <c r="N20" s="315">
        <f t="shared" si="4"/>
        <v>0</v>
      </c>
      <c r="O20" s="315">
        <f t="shared" si="4"/>
        <v>0</v>
      </c>
      <c r="P20" s="315">
        <f t="shared" si="4"/>
        <v>0</v>
      </c>
      <c r="Q20" s="315">
        <f t="shared" si="4"/>
        <v>4611.7398197956873</v>
      </c>
      <c r="R20" s="315">
        <f t="shared" si="4"/>
        <v>0</v>
      </c>
      <c r="S20" s="315">
        <f t="shared" ref="S20:AC20" si="5">SUM(S10:S19)</f>
        <v>0</v>
      </c>
      <c r="T20" s="315">
        <f t="shared" si="5"/>
        <v>0</v>
      </c>
      <c r="U20" s="315">
        <f t="shared" si="5"/>
        <v>1870.6553139776611</v>
      </c>
      <c r="V20" s="315">
        <f t="shared" si="5"/>
        <v>0</v>
      </c>
      <c r="W20" s="315">
        <f t="shared" si="5"/>
        <v>0</v>
      </c>
      <c r="X20" s="315">
        <f t="shared" si="5"/>
        <v>0</v>
      </c>
      <c r="Y20" s="315">
        <f t="shared" si="5"/>
        <v>6463.75753668992</v>
      </c>
      <c r="Z20" s="315">
        <f t="shared" si="5"/>
        <v>0</v>
      </c>
      <c r="AA20" s="315">
        <f t="shared" si="5"/>
        <v>0</v>
      </c>
      <c r="AB20" s="315">
        <f t="shared" si="5"/>
        <v>0</v>
      </c>
      <c r="AC20" s="315">
        <f t="shared" si="5"/>
        <v>0</v>
      </c>
      <c r="AD20" s="315">
        <f>SUM(AD10:AD19)</f>
        <v>0</v>
      </c>
      <c r="AE20" s="315">
        <f>SUM(AE10:AE19)</f>
        <v>0</v>
      </c>
      <c r="AF20" s="315">
        <f>SUM(AF10:AF19)</f>
        <v>0</v>
      </c>
    </row>
    <row r="21" spans="1:32">
      <c r="A21" s="309"/>
      <c r="C21" s="324"/>
      <c r="D21" s="315"/>
      <c r="E21" s="315"/>
      <c r="F21" s="315"/>
      <c r="G21" s="315"/>
      <c r="H21" s="316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5"/>
    </row>
    <row r="22" spans="1:32">
      <c r="A22" s="325" t="s">
        <v>934</v>
      </c>
      <c r="C22" s="324"/>
      <c r="D22" s="315"/>
      <c r="E22" s="315"/>
      <c r="F22" s="315"/>
      <c r="G22" s="315"/>
      <c r="H22" s="316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  <c r="AF22" s="315"/>
    </row>
    <row r="23" spans="1:32">
      <c r="A23" s="280"/>
      <c r="B23" s="280"/>
      <c r="C23" s="318" t="s">
        <v>935</v>
      </c>
      <c r="D23" s="315">
        <f>SUM(I23:AC23)</f>
        <v>0</v>
      </c>
      <c r="E23" s="315"/>
      <c r="F23" s="315"/>
      <c r="G23" s="315"/>
      <c r="H23" s="316"/>
      <c r="I23" s="317">
        <v>0</v>
      </c>
      <c r="J23" s="317">
        <v>0</v>
      </c>
      <c r="K23" s="317">
        <v>0</v>
      </c>
      <c r="L23" s="317">
        <v>0</v>
      </c>
      <c r="M23" s="317">
        <v>0</v>
      </c>
      <c r="N23" s="317">
        <v>0</v>
      </c>
      <c r="O23" s="317">
        <v>0</v>
      </c>
      <c r="P23" s="317">
        <v>0</v>
      </c>
      <c r="Q23" s="317">
        <v>0</v>
      </c>
      <c r="R23" s="317">
        <v>0</v>
      </c>
      <c r="S23" s="317">
        <v>0</v>
      </c>
      <c r="T23" s="317">
        <v>0</v>
      </c>
      <c r="U23" s="317">
        <v>0</v>
      </c>
      <c r="V23" s="317">
        <v>0</v>
      </c>
      <c r="W23" s="317">
        <v>0</v>
      </c>
      <c r="X23" s="317">
        <v>0</v>
      </c>
      <c r="Y23" s="317">
        <v>0</v>
      </c>
      <c r="Z23" s="317">
        <v>0</v>
      </c>
      <c r="AA23" s="317">
        <v>0</v>
      </c>
      <c r="AB23" s="317">
        <v>0</v>
      </c>
      <c r="AC23" s="317">
        <v>0</v>
      </c>
      <c r="AD23" s="317">
        <v>0</v>
      </c>
      <c r="AE23" s="317">
        <v>0</v>
      </c>
      <c r="AF23" s="317">
        <v>0</v>
      </c>
    </row>
    <row r="24" spans="1:32" outlineLevel="1">
      <c r="A24" s="326" t="s">
        <v>936</v>
      </c>
      <c r="B24" s="327">
        <v>0.13</v>
      </c>
      <c r="C24" s="328" t="s">
        <v>937</v>
      </c>
      <c r="D24" s="320">
        <f>SUM(I24:AC24)</f>
        <v>0</v>
      </c>
      <c r="E24" s="315"/>
      <c r="F24" s="315"/>
      <c r="G24" s="315"/>
      <c r="H24" s="316"/>
      <c r="I24" s="321">
        <v>0</v>
      </c>
      <c r="J24" s="321">
        <v>0</v>
      </c>
      <c r="K24" s="321">
        <v>0</v>
      </c>
      <c r="L24" s="321">
        <v>0</v>
      </c>
      <c r="M24" s="321">
        <v>0</v>
      </c>
      <c r="N24" s="321">
        <v>0</v>
      </c>
      <c r="O24" s="321">
        <v>0</v>
      </c>
      <c r="P24" s="321">
        <v>0</v>
      </c>
      <c r="Q24" s="321">
        <v>0</v>
      </c>
      <c r="R24" s="321">
        <v>0</v>
      </c>
      <c r="S24" s="321">
        <v>0</v>
      </c>
      <c r="T24" s="321">
        <v>0</v>
      </c>
      <c r="U24" s="321">
        <v>0</v>
      </c>
      <c r="V24" s="321">
        <v>0</v>
      </c>
      <c r="W24" s="321">
        <v>0</v>
      </c>
      <c r="X24" s="321">
        <v>0</v>
      </c>
      <c r="Y24" s="321">
        <v>0</v>
      </c>
      <c r="Z24" s="321">
        <v>0</v>
      </c>
      <c r="AA24" s="321">
        <v>0</v>
      </c>
      <c r="AB24" s="321">
        <v>0</v>
      </c>
      <c r="AC24" s="321">
        <v>0</v>
      </c>
      <c r="AD24" s="321">
        <v>0</v>
      </c>
      <c r="AE24" s="321">
        <v>0</v>
      </c>
      <c r="AF24" s="321">
        <v>0</v>
      </c>
    </row>
    <row r="25" spans="1:32" collapsed="1">
      <c r="A25" s="329"/>
      <c r="C25" s="324" t="s">
        <v>938</v>
      </c>
      <c r="D25" s="319">
        <f>SUM(D23:D24)</f>
        <v>0</v>
      </c>
      <c r="E25" s="317">
        <v>0</v>
      </c>
      <c r="F25" s="317">
        <v>0</v>
      </c>
      <c r="G25" s="317">
        <v>0</v>
      </c>
      <c r="H25" s="323">
        <v>0</v>
      </c>
      <c r="I25" s="319">
        <f t="shared" ref="I25:AC25" si="6">SUM(I23:I24)</f>
        <v>0</v>
      </c>
      <c r="J25" s="319">
        <f t="shared" si="6"/>
        <v>0</v>
      </c>
      <c r="K25" s="319">
        <f t="shared" si="6"/>
        <v>0</v>
      </c>
      <c r="L25" s="319">
        <f t="shared" si="6"/>
        <v>0</v>
      </c>
      <c r="M25" s="319">
        <f t="shared" si="6"/>
        <v>0</v>
      </c>
      <c r="N25" s="319">
        <f t="shared" si="6"/>
        <v>0</v>
      </c>
      <c r="O25" s="319">
        <f t="shared" si="6"/>
        <v>0</v>
      </c>
      <c r="P25" s="319">
        <f t="shared" si="6"/>
        <v>0</v>
      </c>
      <c r="Q25" s="319">
        <f t="shared" si="6"/>
        <v>0</v>
      </c>
      <c r="R25" s="319">
        <f t="shared" si="6"/>
        <v>0</v>
      </c>
      <c r="S25" s="319">
        <f t="shared" si="6"/>
        <v>0</v>
      </c>
      <c r="T25" s="319">
        <f t="shared" si="6"/>
        <v>0</v>
      </c>
      <c r="U25" s="319">
        <f t="shared" si="6"/>
        <v>0</v>
      </c>
      <c r="V25" s="319">
        <f t="shared" si="6"/>
        <v>0</v>
      </c>
      <c r="W25" s="319">
        <f t="shared" si="6"/>
        <v>0</v>
      </c>
      <c r="X25" s="319">
        <f t="shared" si="6"/>
        <v>0</v>
      </c>
      <c r="Y25" s="319">
        <f t="shared" si="6"/>
        <v>0</v>
      </c>
      <c r="Z25" s="319">
        <f t="shared" si="6"/>
        <v>0</v>
      </c>
      <c r="AA25" s="319">
        <f t="shared" si="6"/>
        <v>0</v>
      </c>
      <c r="AB25" s="319">
        <f t="shared" si="6"/>
        <v>0</v>
      </c>
      <c r="AC25" s="319">
        <f t="shared" si="6"/>
        <v>0</v>
      </c>
      <c r="AD25" s="319">
        <f>SUM(AD23:AD24)</f>
        <v>0</v>
      </c>
      <c r="AE25" s="319">
        <f>SUM(AE23:AE24)</f>
        <v>0</v>
      </c>
      <c r="AF25" s="319">
        <f>SUM(AF23:AF24)</f>
        <v>0</v>
      </c>
    </row>
    <row r="26" spans="1:32">
      <c r="A26" s="329"/>
      <c r="B26" s="324"/>
      <c r="C26" s="309"/>
      <c r="D26" s="315"/>
      <c r="E26" s="315"/>
      <c r="F26" s="315"/>
      <c r="G26" s="315"/>
      <c r="H26" s="316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7"/>
    </row>
    <row r="27" spans="1:32">
      <c r="A27" s="325" t="s">
        <v>939</v>
      </c>
      <c r="B27" s="324"/>
      <c r="C27" s="309"/>
      <c r="D27" s="315">
        <f>SUM(I27:AC27)</f>
        <v>0</v>
      </c>
      <c r="E27" s="317">
        <v>0</v>
      </c>
      <c r="F27" s="317">
        <v>0</v>
      </c>
      <c r="G27" s="317">
        <v>0</v>
      </c>
      <c r="H27" s="323">
        <v>0</v>
      </c>
      <c r="I27" s="317">
        <v>0</v>
      </c>
      <c r="J27" s="317">
        <v>0</v>
      </c>
      <c r="K27" s="317">
        <v>0</v>
      </c>
      <c r="L27" s="317">
        <v>0</v>
      </c>
      <c r="M27" s="317">
        <v>0</v>
      </c>
      <c r="N27" s="317">
        <v>0</v>
      </c>
      <c r="O27" s="317">
        <v>0</v>
      </c>
      <c r="P27" s="317">
        <v>0</v>
      </c>
      <c r="Q27" s="317">
        <v>0</v>
      </c>
      <c r="R27" s="317">
        <v>0</v>
      </c>
      <c r="S27" s="317">
        <v>0</v>
      </c>
      <c r="T27" s="317">
        <v>0</v>
      </c>
      <c r="U27" s="317">
        <v>0</v>
      </c>
      <c r="V27" s="317">
        <v>0</v>
      </c>
      <c r="W27" s="317">
        <v>0</v>
      </c>
      <c r="X27" s="317">
        <v>0</v>
      </c>
      <c r="Y27" s="317">
        <v>0</v>
      </c>
      <c r="Z27" s="317">
        <v>0</v>
      </c>
      <c r="AA27" s="317">
        <v>0</v>
      </c>
      <c r="AB27" s="317">
        <v>0</v>
      </c>
      <c r="AC27" s="317">
        <v>0</v>
      </c>
      <c r="AD27" s="317">
        <v>0</v>
      </c>
      <c r="AE27" s="317">
        <v>0</v>
      </c>
      <c r="AF27" s="317">
        <v>0</v>
      </c>
    </row>
    <row r="28" spans="1:32">
      <c r="A28" s="329"/>
      <c r="B28" s="324"/>
      <c r="C28" s="309"/>
      <c r="D28" s="315"/>
      <c r="E28" s="315"/>
      <c r="F28" s="315"/>
      <c r="G28" s="315"/>
      <c r="H28" s="316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5"/>
    </row>
    <row r="29" spans="1:32">
      <c r="A29" s="330" t="s">
        <v>940</v>
      </c>
      <c r="B29" s="324"/>
      <c r="C29" s="309"/>
      <c r="D29" s="315">
        <f t="shared" ref="D29:M29" si="7">+D27+D25+D20</f>
        <v>14278.057286041068</v>
      </c>
      <c r="E29" s="315">
        <f t="shared" si="7"/>
        <v>0</v>
      </c>
      <c r="F29" s="315">
        <f t="shared" si="7"/>
        <v>0</v>
      </c>
      <c r="G29" s="315">
        <f t="shared" si="7"/>
        <v>0</v>
      </c>
      <c r="H29" s="315">
        <f t="shared" ca="1" si="7"/>
        <v>78714.555519999994</v>
      </c>
      <c r="I29" s="315">
        <f t="shared" si="7"/>
        <v>0</v>
      </c>
      <c r="J29" s="315">
        <f t="shared" si="7"/>
        <v>0</v>
      </c>
      <c r="K29" s="315">
        <f t="shared" si="7"/>
        <v>0</v>
      </c>
      <c r="L29" s="315">
        <f t="shared" si="7"/>
        <v>0</v>
      </c>
      <c r="M29" s="315">
        <f t="shared" si="7"/>
        <v>1331.9046155778003</v>
      </c>
      <c r="N29" s="315">
        <f t="shared" ref="N29:W29" si="8">+N27+N25+N20</f>
        <v>0</v>
      </c>
      <c r="O29" s="315">
        <f t="shared" si="8"/>
        <v>0</v>
      </c>
      <c r="P29" s="315">
        <f t="shared" si="8"/>
        <v>0</v>
      </c>
      <c r="Q29" s="315">
        <f t="shared" si="8"/>
        <v>4611.7398197956873</v>
      </c>
      <c r="R29" s="315">
        <f t="shared" si="8"/>
        <v>0</v>
      </c>
      <c r="S29" s="315">
        <f t="shared" si="8"/>
        <v>0</v>
      </c>
      <c r="T29" s="315">
        <f t="shared" si="8"/>
        <v>0</v>
      </c>
      <c r="U29" s="315">
        <f t="shared" si="8"/>
        <v>1870.6553139776611</v>
      </c>
      <c r="V29" s="315">
        <f t="shared" si="8"/>
        <v>0</v>
      </c>
      <c r="W29" s="315">
        <f t="shared" si="8"/>
        <v>0</v>
      </c>
      <c r="X29" s="315">
        <f t="shared" ref="X29:AC29" si="9">+X27+X25+X20</f>
        <v>0</v>
      </c>
      <c r="Y29" s="315">
        <f t="shared" si="9"/>
        <v>6463.75753668992</v>
      </c>
      <c r="Z29" s="315">
        <f t="shared" si="9"/>
        <v>0</v>
      </c>
      <c r="AA29" s="315">
        <f t="shared" si="9"/>
        <v>0</v>
      </c>
      <c r="AB29" s="315">
        <f t="shared" si="9"/>
        <v>0</v>
      </c>
      <c r="AC29" s="315">
        <f t="shared" si="9"/>
        <v>0</v>
      </c>
      <c r="AD29" s="315">
        <f>+AD27+AD25+AD20</f>
        <v>0</v>
      </c>
      <c r="AE29" s="315">
        <f>+AE27+AE25+AE20</f>
        <v>0</v>
      </c>
      <c r="AF29" s="315">
        <f>+AF27+AF25+AF20</f>
        <v>0</v>
      </c>
    </row>
    <row r="30" spans="1:32">
      <c r="A30" s="331"/>
      <c r="B30" s="324"/>
      <c r="C30" s="309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5"/>
    </row>
    <row r="31" spans="1:32" ht="10.8" thickBot="1">
      <c r="A31" s="332"/>
      <c r="B31" s="333"/>
      <c r="C31" s="334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</row>
    <row r="32" spans="1:32" ht="11.4" thickTop="1" thickBot="1">
      <c r="A32" s="331"/>
      <c r="B32" s="324"/>
      <c r="C32" s="309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5"/>
    </row>
    <row r="33" spans="1:35" ht="10.8" thickTop="1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I33" s="287" t="s">
        <v>941</v>
      </c>
    </row>
    <row r="34" spans="1:35">
      <c r="A34" s="336" t="s">
        <v>942</v>
      </c>
      <c r="AI34" s="287" t="s">
        <v>943</v>
      </c>
    </row>
    <row r="35" spans="1:35">
      <c r="A35" s="336"/>
      <c r="AG35" s="337"/>
      <c r="AI35" s="337" t="s">
        <v>944</v>
      </c>
    </row>
    <row r="36" spans="1:35">
      <c r="A36" s="336"/>
      <c r="C36" s="338" t="s">
        <v>945</v>
      </c>
      <c r="D36" s="339"/>
      <c r="E36" s="339"/>
      <c r="F36" s="339"/>
      <c r="G36" s="339"/>
      <c r="H36" s="340"/>
      <c r="I36" s="341"/>
      <c r="L36" s="338" t="s">
        <v>946</v>
      </c>
      <c r="M36" s="339"/>
      <c r="N36" s="339"/>
      <c r="O36" s="339"/>
      <c r="P36" s="339"/>
      <c r="Q36" s="340"/>
      <c r="R36" s="339"/>
      <c r="S36" s="342"/>
      <c r="AG36" s="337"/>
      <c r="AI36" s="337" t="s">
        <v>947</v>
      </c>
    </row>
    <row r="37" spans="1:35">
      <c r="C37" s="343"/>
      <c r="I37" s="344"/>
      <c r="L37" s="345"/>
      <c r="S37" s="344"/>
    </row>
    <row r="38" spans="1:35">
      <c r="C38" s="343"/>
      <c r="F38" s="326" t="s">
        <v>766</v>
      </c>
      <c r="I38" s="344"/>
      <c r="L38" s="343"/>
      <c r="S38" s="344"/>
    </row>
    <row r="39" spans="1:35">
      <c r="C39" s="343"/>
      <c r="D39" s="346" t="s">
        <v>948</v>
      </c>
      <c r="E39" s="346" t="s">
        <v>949</v>
      </c>
      <c r="F39" s="347" t="s">
        <v>950</v>
      </c>
      <c r="G39" s="348"/>
      <c r="H39" s="349" t="s">
        <v>951</v>
      </c>
      <c r="I39" s="344" t="s">
        <v>952</v>
      </c>
      <c r="L39" s="343"/>
      <c r="M39" s="348"/>
      <c r="N39" s="346" t="s">
        <v>948</v>
      </c>
      <c r="O39" s="346" t="s">
        <v>949</v>
      </c>
      <c r="P39" s="346" t="s">
        <v>766</v>
      </c>
      <c r="Q39" s="348"/>
      <c r="R39" s="349" t="s">
        <v>951</v>
      </c>
      <c r="S39" s="344" t="s">
        <v>952</v>
      </c>
    </row>
    <row r="40" spans="1:35">
      <c r="A40" s="299" t="s">
        <v>916</v>
      </c>
      <c r="C40" s="350" t="s">
        <v>953</v>
      </c>
      <c r="D40" s="351" t="s">
        <v>874</v>
      </c>
      <c r="E40" s="351" t="s">
        <v>954</v>
      </c>
      <c r="F40" s="352" t="s">
        <v>955</v>
      </c>
      <c r="G40" s="352" t="s">
        <v>956</v>
      </c>
      <c r="H40" s="353" t="s">
        <v>957</v>
      </c>
      <c r="I40" s="354" t="s">
        <v>745</v>
      </c>
      <c r="L40" s="350" t="s">
        <v>953</v>
      </c>
      <c r="M40" s="348"/>
      <c r="N40" s="351" t="s">
        <v>958</v>
      </c>
      <c r="O40" s="351" t="s">
        <v>954</v>
      </c>
      <c r="P40" s="352" t="s">
        <v>955</v>
      </c>
      <c r="Q40" s="351" t="s">
        <v>959</v>
      </c>
      <c r="R40" s="353" t="s">
        <v>957</v>
      </c>
      <c r="S40" s="354" t="s">
        <v>745</v>
      </c>
    </row>
    <row r="41" spans="1:35">
      <c r="B41" s="299"/>
      <c r="C41" s="355" t="str">
        <f t="shared" ref="C41:C50" si="10">+C10</f>
        <v>Purchase Price</v>
      </c>
      <c r="D41" s="356">
        <f ca="1">SUM(H10:AF10)</f>
        <v>78714.555519999994</v>
      </c>
      <c r="E41" s="357">
        <v>0</v>
      </c>
      <c r="F41" s="358">
        <f>Summary!D42</f>
        <v>36373</v>
      </c>
      <c r="G41" s="359">
        <f>Summary!D39</f>
        <v>15</v>
      </c>
      <c r="H41" s="360" t="str">
        <f>Summary!D40</f>
        <v>SL</v>
      </c>
      <c r="I41" s="361">
        <f>Summary!D41</f>
        <v>0</v>
      </c>
      <c r="L41" s="362" t="str">
        <f>+C41</f>
        <v>Purchase Price</v>
      </c>
      <c r="M41" s="348"/>
      <c r="N41" s="356">
        <f t="shared" ref="N41:O50" ca="1" si="11">+D41</f>
        <v>78714.555519999994</v>
      </c>
      <c r="O41" s="357">
        <f t="shared" si="11"/>
        <v>0</v>
      </c>
      <c r="P41" s="1248">
        <f>Summary!E42</f>
        <v>36373</v>
      </c>
      <c r="Q41" s="389">
        <f>Summary!E39</f>
        <v>15</v>
      </c>
      <c r="R41" s="1250" t="str">
        <f>Summary!E40</f>
        <v>DB</v>
      </c>
      <c r="S41" s="1249">
        <f>Summary!E41</f>
        <v>1.5</v>
      </c>
    </row>
    <row r="42" spans="1:35">
      <c r="C42" s="355" t="str">
        <f t="shared" si="10"/>
        <v>Partial Overhaul 1</v>
      </c>
      <c r="D42" s="356">
        <f>SUM(F11:AF11)</f>
        <v>1331.9046155778003</v>
      </c>
      <c r="E42" s="357">
        <v>0</v>
      </c>
      <c r="F42" s="358">
        <f ca="1">IF(Summary!$O$109=0,Summary!D48,#REF!)</f>
        <v>37834</v>
      </c>
      <c r="G42" s="359">
        <f>Summary!D45</f>
        <v>8</v>
      </c>
      <c r="H42" s="360" t="str">
        <f>Summary!D46</f>
        <v>SL</v>
      </c>
      <c r="I42" s="361">
        <f>Summary!D47</f>
        <v>0</v>
      </c>
      <c r="L42" s="362" t="str">
        <f t="shared" ref="L42:L50" si="12">+C42</f>
        <v>Partial Overhaul 1</v>
      </c>
      <c r="M42" s="348"/>
      <c r="N42" s="356">
        <f t="shared" si="11"/>
        <v>1331.9046155778003</v>
      </c>
      <c r="O42" s="357">
        <f t="shared" si="11"/>
        <v>0</v>
      </c>
      <c r="P42" s="1248">
        <f>Summary!E48</f>
        <v>37834</v>
      </c>
      <c r="Q42" s="389">
        <f>Summary!E45</f>
        <v>8</v>
      </c>
      <c r="R42" s="1250" t="str">
        <f>Summary!E46</f>
        <v>DB</v>
      </c>
      <c r="S42" s="1249">
        <f>Summary!E47</f>
        <v>1.5</v>
      </c>
    </row>
    <row r="43" spans="1:35" outlineLevel="1">
      <c r="C43" s="355" t="str">
        <f t="shared" si="10"/>
        <v>Complete Overhaul 1</v>
      </c>
      <c r="D43" s="356">
        <f>SUM(I12:AF12)</f>
        <v>4611.7398197956873</v>
      </c>
      <c r="E43" s="357">
        <v>0</v>
      </c>
      <c r="F43" s="358">
        <f ca="1">IF(Summary!$O$109=0,Summary!D44,#REF!)</f>
        <v>1331.9046155778003</v>
      </c>
      <c r="G43" s="359">
        <v>8</v>
      </c>
      <c r="H43" s="360" t="str">
        <f>Summary!D52</f>
        <v>SL</v>
      </c>
      <c r="I43" s="361">
        <f>Summary!D53</f>
        <v>0</v>
      </c>
      <c r="L43" s="362" t="str">
        <f t="shared" si="12"/>
        <v>Complete Overhaul 1</v>
      </c>
      <c r="M43" s="348"/>
      <c r="N43" s="356">
        <f t="shared" si="11"/>
        <v>4611.7398197956873</v>
      </c>
      <c r="O43" s="357">
        <f t="shared" si="11"/>
        <v>0</v>
      </c>
      <c r="P43" s="1248">
        <f>Summary!E54</f>
        <v>39295</v>
      </c>
      <c r="Q43" s="389">
        <f>Summary!E57</f>
        <v>8</v>
      </c>
      <c r="R43" s="1250" t="str">
        <f>Summary!E52</f>
        <v>DB</v>
      </c>
      <c r="S43" s="1249">
        <f>Summary!E53</f>
        <v>1.5</v>
      </c>
    </row>
    <row r="44" spans="1:35" outlineLevel="1">
      <c r="C44" s="355" t="str">
        <f t="shared" si="10"/>
        <v>Partial Overhaul 2</v>
      </c>
      <c r="D44" s="356">
        <f>SUM(I13:AF13)</f>
        <v>1870.6553139776611</v>
      </c>
      <c r="E44" s="357">
        <v>0</v>
      </c>
      <c r="F44" s="358">
        <f ca="1">IF(Summary!$O$109=0,Summary!D60,#REF!)</f>
        <v>40756</v>
      </c>
      <c r="G44" s="359">
        <f>Summary!D57</f>
        <v>8</v>
      </c>
      <c r="H44" s="360" t="str">
        <f>Summary!D58</f>
        <v>SL</v>
      </c>
      <c r="I44" s="361">
        <f>Summary!D59</f>
        <v>0</v>
      </c>
      <c r="L44" s="362" t="str">
        <f t="shared" si="12"/>
        <v>Partial Overhaul 2</v>
      </c>
      <c r="M44" s="348"/>
      <c r="N44" s="356">
        <f t="shared" si="11"/>
        <v>1870.6553139776611</v>
      </c>
      <c r="O44" s="357">
        <f t="shared" si="11"/>
        <v>0</v>
      </c>
      <c r="P44" s="1248">
        <f>Summary!E60</f>
        <v>40756</v>
      </c>
      <c r="Q44" s="389">
        <f>Summary!E57</f>
        <v>8</v>
      </c>
      <c r="R44" s="1250" t="str">
        <f>Summary!E58</f>
        <v>DB</v>
      </c>
      <c r="S44" s="1249">
        <f>Summary!E59</f>
        <v>1.5</v>
      </c>
    </row>
    <row r="45" spans="1:35" outlineLevel="1">
      <c r="C45" s="355" t="str">
        <f t="shared" si="10"/>
        <v>Complete Overhaul 2</v>
      </c>
      <c r="D45" s="356">
        <f>SUM(I14:AF14)</f>
        <v>6463.75753668992</v>
      </c>
      <c r="E45" s="357">
        <v>0</v>
      </c>
      <c r="F45" s="358">
        <f ca="1">IF(Summary!$O$109=0,Summary!D66,#REF!)</f>
        <v>42217</v>
      </c>
      <c r="G45" s="359">
        <f>Summary!D63</f>
        <v>8</v>
      </c>
      <c r="H45" s="360" t="str">
        <f>Summary!D64</f>
        <v>SL</v>
      </c>
      <c r="I45" s="361">
        <f>Summary!D65</f>
        <v>0</v>
      </c>
      <c r="L45" s="362" t="str">
        <f t="shared" si="12"/>
        <v>Complete Overhaul 2</v>
      </c>
      <c r="M45" s="348"/>
      <c r="N45" s="356">
        <f t="shared" si="11"/>
        <v>6463.75753668992</v>
      </c>
      <c r="O45" s="357">
        <f t="shared" si="11"/>
        <v>0</v>
      </c>
      <c r="P45" s="1248">
        <f>Summary!E66</f>
        <v>42217</v>
      </c>
      <c r="Q45" s="389">
        <f>Summary!E63</f>
        <v>8</v>
      </c>
      <c r="R45" s="1250" t="str">
        <f>Summary!E64</f>
        <v>DB</v>
      </c>
      <c r="S45" s="1249">
        <f>Summary!E65</f>
        <v>1.5</v>
      </c>
    </row>
    <row r="46" spans="1:35" outlineLevel="1">
      <c r="A46" s="356">
        <f>IF(Summary!$O$109=1,CCFMODEL!G651-(CCFMODEL!G651/(D41*12))*(((C46-C41)/365.25)*12),0)</f>
        <v>0</v>
      </c>
      <c r="C46" s="1330" t="s">
        <v>390</v>
      </c>
      <c r="D46" s="356">
        <f>IF(Summary!$O$109=1,Summary!$J$77-(Summary!$J$77/(G41*12))*(((F46-F41)/365.25)*12),0)</f>
        <v>0</v>
      </c>
      <c r="E46" s="357">
        <v>0</v>
      </c>
      <c r="F46" s="358">
        <f ca="1">+Summary!O110</f>
        <v>36891</v>
      </c>
      <c r="G46" s="1331">
        <f>G41-(+F46-F41)/365.25</f>
        <v>13.581793292265571</v>
      </c>
      <c r="H46" s="360" t="s">
        <v>768</v>
      </c>
      <c r="I46" s="361">
        <v>0</v>
      </c>
      <c r="J46" s="1473">
        <v>35611</v>
      </c>
      <c r="L46" s="362" t="str">
        <f>+C46</f>
        <v>Contract Buy-Out</v>
      </c>
      <c r="M46" s="348"/>
      <c r="N46" s="357">
        <f>+D46</f>
        <v>0</v>
      </c>
      <c r="O46" s="357">
        <f t="shared" si="11"/>
        <v>0</v>
      </c>
      <c r="P46" s="358">
        <f>+F46</f>
        <v>36891</v>
      </c>
      <c r="Q46" s="1331">
        <f>+G46</f>
        <v>13.581793292265571</v>
      </c>
      <c r="R46" s="360" t="s">
        <v>960</v>
      </c>
      <c r="S46" s="361">
        <v>1.5</v>
      </c>
    </row>
    <row r="47" spans="1:35" outlineLevel="1">
      <c r="C47" s="355" t="str">
        <f>C15</f>
        <v>Asset 6</v>
      </c>
      <c r="D47" s="356">
        <f>SUM(I15:AF15)</f>
        <v>0</v>
      </c>
      <c r="E47" s="357">
        <v>0</v>
      </c>
      <c r="F47" s="358">
        <f ca="1">IF(Summary!$O$109=0,J46,#REF!)</f>
        <v>35611</v>
      </c>
      <c r="G47" s="359">
        <v>6</v>
      </c>
      <c r="H47" s="360" t="s">
        <v>960</v>
      </c>
      <c r="I47" s="361">
        <v>2</v>
      </c>
      <c r="L47" s="362" t="str">
        <f t="shared" si="12"/>
        <v>Asset 6</v>
      </c>
      <c r="M47" s="348"/>
      <c r="N47" s="357">
        <f t="shared" si="11"/>
        <v>0</v>
      </c>
      <c r="O47" s="357">
        <f t="shared" si="11"/>
        <v>0</v>
      </c>
      <c r="P47" s="358">
        <v>35596</v>
      </c>
      <c r="Q47" s="359">
        <v>5</v>
      </c>
      <c r="R47" s="360" t="s">
        <v>960</v>
      </c>
      <c r="S47" s="361">
        <v>2</v>
      </c>
    </row>
    <row r="48" spans="1:35" outlineLevel="1">
      <c r="C48" s="355" t="str">
        <f t="shared" si="10"/>
        <v>Asset 8</v>
      </c>
      <c r="D48" s="356">
        <f>SUM(I16:AF16)</f>
        <v>0</v>
      </c>
      <c r="E48" s="357">
        <v>0</v>
      </c>
      <c r="F48" s="358">
        <f ca="1">IF(Summary!$O$109=0,J47,#REF!)</f>
        <v>0</v>
      </c>
      <c r="G48" s="359">
        <v>6</v>
      </c>
      <c r="H48" s="360" t="s">
        <v>960</v>
      </c>
      <c r="I48" s="361">
        <v>2</v>
      </c>
      <c r="L48" s="362" t="str">
        <f t="shared" si="12"/>
        <v>Asset 8</v>
      </c>
      <c r="M48" s="348"/>
      <c r="N48" s="357">
        <f t="shared" si="11"/>
        <v>0</v>
      </c>
      <c r="O48" s="357">
        <f t="shared" si="11"/>
        <v>0</v>
      </c>
      <c r="P48" s="358">
        <v>35596</v>
      </c>
      <c r="Q48" s="359">
        <v>5</v>
      </c>
      <c r="R48" s="360" t="s">
        <v>960</v>
      </c>
      <c r="S48" s="361">
        <v>2</v>
      </c>
    </row>
    <row r="49" spans="1:32" outlineLevel="1">
      <c r="C49" s="355" t="str">
        <f t="shared" si="10"/>
        <v>Asset 9</v>
      </c>
      <c r="D49" s="356">
        <f>SUM(I17:AF17)</f>
        <v>0</v>
      </c>
      <c r="E49" s="357">
        <v>0</v>
      </c>
      <c r="F49" s="358">
        <f ca="1">IF(Summary!$O$109=0,J48,#REF!)</f>
        <v>0</v>
      </c>
      <c r="G49" s="359">
        <v>6</v>
      </c>
      <c r="H49" s="360" t="s">
        <v>960</v>
      </c>
      <c r="I49" s="361">
        <v>2</v>
      </c>
      <c r="L49" s="362" t="str">
        <f t="shared" si="12"/>
        <v>Asset 9</v>
      </c>
      <c r="M49" s="348"/>
      <c r="N49" s="357">
        <f t="shared" si="11"/>
        <v>0</v>
      </c>
      <c r="O49" s="357">
        <f t="shared" si="11"/>
        <v>0</v>
      </c>
      <c r="P49" s="358">
        <v>35596</v>
      </c>
      <c r="Q49" s="359">
        <v>5</v>
      </c>
      <c r="R49" s="360" t="s">
        <v>960</v>
      </c>
      <c r="S49" s="361">
        <v>2</v>
      </c>
    </row>
    <row r="50" spans="1:32" outlineLevel="1">
      <c r="C50" s="355" t="str">
        <f t="shared" si="10"/>
        <v>Asset 10</v>
      </c>
      <c r="D50" s="356">
        <f>SUM(I18:AF18)</f>
        <v>0</v>
      </c>
      <c r="E50" s="363">
        <v>0</v>
      </c>
      <c r="F50" s="358">
        <f ca="1">IF(Summary!$O$109=0,J49,#REF!)</f>
        <v>0</v>
      </c>
      <c r="G50" s="359">
        <v>6</v>
      </c>
      <c r="H50" s="360" t="s">
        <v>960</v>
      </c>
      <c r="I50" s="361">
        <v>2</v>
      </c>
      <c r="L50" s="362" t="str">
        <f t="shared" si="12"/>
        <v>Asset 10</v>
      </c>
      <c r="M50" s="348"/>
      <c r="N50" s="363">
        <f t="shared" si="11"/>
        <v>0</v>
      </c>
      <c r="O50" s="363">
        <f t="shared" si="11"/>
        <v>0</v>
      </c>
      <c r="P50" s="358">
        <v>35596</v>
      </c>
      <c r="Q50" s="359">
        <v>5</v>
      </c>
      <c r="R50" s="360" t="s">
        <v>960</v>
      </c>
      <c r="S50" s="361">
        <v>2</v>
      </c>
    </row>
    <row r="51" spans="1:32">
      <c r="C51" s="364" t="s">
        <v>961</v>
      </c>
      <c r="D51" s="356">
        <f ca="1">SUM(D41:D50)</f>
        <v>92992.612806041085</v>
      </c>
      <c r="E51" s="356">
        <f>SUM(E41:E50)</f>
        <v>0</v>
      </c>
      <c r="F51" s="348"/>
      <c r="G51" s="348"/>
      <c r="H51" s="348"/>
      <c r="I51" s="344"/>
      <c r="J51" s="365"/>
      <c r="L51" s="364" t="s">
        <v>961</v>
      </c>
      <c r="M51" s="366"/>
      <c r="N51" s="356">
        <f ca="1">SUM(N41:N50)</f>
        <v>92992.612806041085</v>
      </c>
      <c r="O51" s="356">
        <f>SUM(O41:O50)</f>
        <v>0</v>
      </c>
      <c r="P51" s="348"/>
      <c r="Q51" s="348"/>
      <c r="R51" s="348"/>
      <c r="S51" s="344"/>
    </row>
    <row r="52" spans="1:32">
      <c r="C52" s="364"/>
      <c r="D52" s="367"/>
      <c r="E52" s="367"/>
      <c r="F52" s="348"/>
      <c r="G52" s="348"/>
      <c r="H52" s="348"/>
      <c r="I52" s="344"/>
      <c r="J52" s="316"/>
      <c r="L52" s="364"/>
      <c r="M52" s="348"/>
      <c r="N52" s="367"/>
      <c r="O52" s="367"/>
      <c r="P52" s="348"/>
      <c r="Q52" s="367"/>
      <c r="R52" s="367"/>
      <c r="S52" s="368"/>
      <c r="W52" s="316"/>
      <c r="X52" s="316"/>
      <c r="Y52" s="316"/>
      <c r="Z52" s="316"/>
      <c r="AA52" s="316"/>
      <c r="AB52" s="316"/>
      <c r="AC52" s="316"/>
      <c r="AD52" s="316"/>
      <c r="AE52" s="316"/>
      <c r="AF52" s="316"/>
    </row>
    <row r="53" spans="1:32">
      <c r="A53" s="369" t="s">
        <v>934</v>
      </c>
      <c r="C53" s="364"/>
      <c r="D53" s="367"/>
      <c r="E53" s="367"/>
      <c r="F53" s="348"/>
      <c r="G53" s="348"/>
      <c r="H53" s="348"/>
      <c r="I53" s="344"/>
      <c r="J53" s="316"/>
      <c r="L53" s="364"/>
      <c r="M53" s="348"/>
      <c r="N53" s="367"/>
      <c r="O53" s="367"/>
      <c r="P53" s="348"/>
      <c r="Q53" s="367"/>
      <c r="R53" s="367"/>
      <c r="S53" s="368"/>
      <c r="W53" s="316"/>
      <c r="X53" s="316"/>
      <c r="Y53" s="316"/>
      <c r="Z53" s="316"/>
      <c r="AA53" s="316"/>
      <c r="AB53" s="316"/>
      <c r="AC53" s="316"/>
      <c r="AD53" s="316"/>
      <c r="AE53" s="316"/>
      <c r="AF53" s="316"/>
    </row>
    <row r="54" spans="1:32">
      <c r="C54" s="343" t="str">
        <f>+C23</f>
        <v>Funding 1</v>
      </c>
      <c r="D54" s="356">
        <f>SUM(I23:Y23)</f>
        <v>0</v>
      </c>
      <c r="E54" s="357">
        <v>0</v>
      </c>
      <c r="F54" s="358">
        <f>F41</f>
        <v>36373</v>
      </c>
      <c r="G54" s="359">
        <v>7</v>
      </c>
      <c r="H54" s="360" t="s">
        <v>768</v>
      </c>
      <c r="I54" s="361">
        <v>1.5</v>
      </c>
      <c r="L54" s="343" t="str">
        <f>+C54</f>
        <v>Funding 1</v>
      </c>
      <c r="M54" s="348"/>
      <c r="N54" s="357">
        <f>+D54</f>
        <v>0</v>
      </c>
      <c r="O54" s="357">
        <f>+E54</f>
        <v>0</v>
      </c>
      <c r="P54" s="358">
        <f>P41</f>
        <v>36373</v>
      </c>
      <c r="Q54" s="359">
        <v>5</v>
      </c>
      <c r="R54" s="360" t="s">
        <v>768</v>
      </c>
      <c r="S54" s="361">
        <v>2</v>
      </c>
    </row>
    <row r="55" spans="1:32" outlineLevel="1">
      <c r="C55" s="343" t="str">
        <f>+C24</f>
        <v>Funding 2</v>
      </c>
      <c r="D55" s="356">
        <f>SUM(I24:Y24)</f>
        <v>0</v>
      </c>
      <c r="E55" s="363">
        <v>0</v>
      </c>
      <c r="F55" s="358">
        <v>35565</v>
      </c>
      <c r="G55" s="359">
        <v>2</v>
      </c>
      <c r="H55" s="360" t="s">
        <v>768</v>
      </c>
      <c r="I55" s="361"/>
      <c r="L55" s="343" t="str">
        <f>+C55</f>
        <v>Funding 2</v>
      </c>
      <c r="M55" s="348"/>
      <c r="N55" s="363">
        <f>+D55</f>
        <v>0</v>
      </c>
      <c r="O55" s="363">
        <f>+E55</f>
        <v>0</v>
      </c>
      <c r="P55" s="358">
        <v>35746</v>
      </c>
      <c r="Q55" s="359">
        <v>2</v>
      </c>
      <c r="R55" s="360" t="s">
        <v>960</v>
      </c>
      <c r="S55" s="361">
        <v>1.5</v>
      </c>
    </row>
    <row r="56" spans="1:32" collapsed="1">
      <c r="C56" s="364" t="s">
        <v>961</v>
      </c>
      <c r="D56" s="356">
        <f>+D55+D54</f>
        <v>0</v>
      </c>
      <c r="E56" s="356">
        <f>+E55+E54</f>
        <v>0</v>
      </c>
      <c r="F56" s="358"/>
      <c r="G56" s="359"/>
      <c r="H56" s="360"/>
      <c r="I56" s="361"/>
      <c r="L56" s="364" t="s">
        <v>961</v>
      </c>
      <c r="M56" s="348"/>
      <c r="N56" s="356">
        <f>+N55+N54</f>
        <v>0</v>
      </c>
      <c r="O56" s="357"/>
      <c r="P56" s="358"/>
      <c r="Q56" s="359"/>
      <c r="R56" s="360"/>
      <c r="S56" s="361"/>
    </row>
    <row r="57" spans="1:32">
      <c r="C57" s="370"/>
      <c r="D57" s="371"/>
      <c r="E57" s="371"/>
      <c r="F57" s="371"/>
      <c r="G57" s="371"/>
      <c r="H57" s="371"/>
      <c r="I57" s="372"/>
      <c r="J57" s="348"/>
      <c r="K57" s="348"/>
      <c r="L57" s="370"/>
      <c r="M57" s="373" t="s">
        <v>962</v>
      </c>
      <c r="N57" s="374">
        <f ca="1">+N56+N51-D51-D56</f>
        <v>0</v>
      </c>
      <c r="O57" s="371"/>
      <c r="P57" s="371"/>
      <c r="Q57" s="371"/>
      <c r="R57" s="371"/>
      <c r="S57" s="372"/>
    </row>
    <row r="58" spans="1:32">
      <c r="A58" s="348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75"/>
      <c r="R58" s="348"/>
      <c r="S58" s="348"/>
      <c r="T58" s="348"/>
      <c r="W58" s="348"/>
      <c r="X58" s="348"/>
      <c r="Y58" s="348"/>
      <c r="Z58" s="348"/>
      <c r="AA58" s="348"/>
      <c r="AB58" s="348"/>
      <c r="AC58" s="348"/>
      <c r="AD58" s="348"/>
      <c r="AE58" s="348"/>
      <c r="AF58" s="348"/>
    </row>
    <row r="59" spans="1:32" ht="10.8" thickBot="1">
      <c r="A59" s="348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48"/>
      <c r="AB59" s="348"/>
      <c r="AC59" s="348"/>
      <c r="AD59" s="348"/>
      <c r="AE59" s="348"/>
      <c r="AF59" s="348"/>
    </row>
    <row r="60" spans="1:32" ht="11.4" thickTop="1" thickBot="1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</row>
    <row r="61" spans="1:32" ht="11.4" thickTop="1" thickBot="1">
      <c r="A61" s="336" t="s">
        <v>963</v>
      </c>
      <c r="I61" s="310">
        <f t="shared" ref="I61:R61" si="13">+I$3</f>
        <v>36525</v>
      </c>
      <c r="J61" s="311">
        <f t="shared" si="13"/>
        <v>2000</v>
      </c>
      <c r="K61" s="311">
        <f t="shared" si="13"/>
        <v>2001</v>
      </c>
      <c r="L61" s="311">
        <f t="shared" si="13"/>
        <v>2002</v>
      </c>
      <c r="M61" s="311">
        <f t="shared" si="13"/>
        <v>2003</v>
      </c>
      <c r="N61" s="311">
        <f t="shared" si="13"/>
        <v>2004</v>
      </c>
      <c r="O61" s="311">
        <f t="shared" si="13"/>
        <v>2005</v>
      </c>
      <c r="P61" s="311">
        <f t="shared" si="13"/>
        <v>2006</v>
      </c>
      <c r="Q61" s="311">
        <f t="shared" si="13"/>
        <v>2007</v>
      </c>
      <c r="R61" s="311">
        <f t="shared" si="13"/>
        <v>2008</v>
      </c>
      <c r="S61" s="311">
        <f t="shared" ref="S61:AF61" si="14">+S$3</f>
        <v>2009</v>
      </c>
      <c r="T61" s="311">
        <f t="shared" si="14"/>
        <v>2010</v>
      </c>
      <c r="U61" s="311">
        <f t="shared" si="14"/>
        <v>2011</v>
      </c>
      <c r="V61" s="311">
        <f t="shared" si="14"/>
        <v>2012</v>
      </c>
      <c r="W61" s="311">
        <f t="shared" si="14"/>
        <v>2013</v>
      </c>
      <c r="X61" s="311">
        <f t="shared" si="14"/>
        <v>2014</v>
      </c>
      <c r="Y61" s="311">
        <f t="shared" si="14"/>
        <v>2015</v>
      </c>
      <c r="Z61" s="311">
        <f t="shared" si="14"/>
        <v>2016</v>
      </c>
      <c r="AA61" s="311">
        <f t="shared" si="14"/>
        <v>2017</v>
      </c>
      <c r="AB61" s="311">
        <f t="shared" si="14"/>
        <v>2018</v>
      </c>
      <c r="AC61" s="311">
        <f t="shared" si="14"/>
        <v>2019</v>
      </c>
      <c r="AD61" s="311">
        <f t="shared" si="14"/>
        <v>2020</v>
      </c>
      <c r="AE61" s="311">
        <f t="shared" si="14"/>
        <v>2021</v>
      </c>
      <c r="AF61" s="311">
        <f t="shared" si="14"/>
        <v>2022</v>
      </c>
    </row>
    <row r="62" spans="1:32" ht="10.8" thickTop="1">
      <c r="A62" s="369" t="s">
        <v>916</v>
      </c>
      <c r="B62" s="299"/>
      <c r="C62" s="287" t="str">
        <f t="shared" ref="C62:C71" si="15">+C41</f>
        <v>Purchase Price</v>
      </c>
      <c r="H62" s="1239" t="s">
        <v>787</v>
      </c>
      <c r="I62" s="376">
        <f ca="1">IF(D41=0,0,IF($H41="SL",SLN($D41,$E41,$G41)*IF(YEAR($F41)&lt;(J$3-1),IF(YEAR($F41)+$G41=J$3-1,(MONTH($F41)-1)/12,IF(YEAR($F41)+$G41&lt;J$3-1,0,1)),IF(YEAR($F41)&gt;J$3-1,0,(12-MONTH($F41)+1)/12)),IF(YEAR($F41)&gt;J$3-1,0,VDB($D41,$E41,$G41,IF(YEAR($F41)=J$3-1,0,MIN($G41,(DATE(J$3-1,1,1)-$F41)/365)),MIN($G41,(DATE(J$3-1,12,31)-$F41)/365),$I41))))</f>
        <v>2186.515431111111</v>
      </c>
      <c r="J62" s="376">
        <f t="shared" ref="J62:X62" ca="1" si="16">IF($D41=0,0,IF($H41="SL",SLN($D41,$E41,$G41)*IF(YEAR($F41)&lt;J$3,IF(YEAR($F41)+$G41=J$3,(MONTH($F41)-1)/12,IF(YEAR($F41)+$G41&lt;J$3,0,1)),IF(YEAR($F41)&gt;J$3,0,(12-MONTH($F41)+1)/12)),IF(YEAR($F41)&gt;J$3,0,VDB($D41,$E41,$G41,IF(YEAR($F41)=J$3,0,MIN($G41,(DATE(J$3,1,1)-$F41)/365)),MIN($G41,(DATE(J$3,12,31)-$F41)/365),$I41))))</f>
        <v>5247.6370346666663</v>
      </c>
      <c r="K62" s="376">
        <f t="shared" ca="1" si="16"/>
        <v>5247.6370346666663</v>
      </c>
      <c r="L62" s="376">
        <f t="shared" ca="1" si="16"/>
        <v>5247.6370346666663</v>
      </c>
      <c r="M62" s="376">
        <f t="shared" ca="1" si="16"/>
        <v>5247.6370346666663</v>
      </c>
      <c r="N62" s="376">
        <f t="shared" ca="1" si="16"/>
        <v>5247.6370346666663</v>
      </c>
      <c r="O62" s="376">
        <f t="shared" ca="1" si="16"/>
        <v>5247.6370346666663</v>
      </c>
      <c r="P62" s="376">
        <f t="shared" ca="1" si="16"/>
        <v>5247.6370346666663</v>
      </c>
      <c r="Q62" s="376">
        <f t="shared" ca="1" si="16"/>
        <v>5247.6370346666663</v>
      </c>
      <c r="R62" s="376">
        <f t="shared" ca="1" si="16"/>
        <v>5247.6370346666663</v>
      </c>
      <c r="S62" s="376">
        <f t="shared" ca="1" si="16"/>
        <v>5247.6370346666663</v>
      </c>
      <c r="T62" s="376">
        <f t="shared" ca="1" si="16"/>
        <v>5247.6370346666663</v>
      </c>
      <c r="U62" s="376">
        <f t="shared" ca="1" si="16"/>
        <v>5247.6370346666663</v>
      </c>
      <c r="V62" s="376">
        <f t="shared" ca="1" si="16"/>
        <v>5247.6370346666663</v>
      </c>
      <c r="W62" s="376">
        <f t="shared" ca="1" si="16"/>
        <v>5247.6370346666663</v>
      </c>
      <c r="X62" s="376">
        <f t="shared" ca="1" si="16"/>
        <v>3061.1216035555553</v>
      </c>
      <c r="Y62" s="376">
        <f t="shared" ref="Y62:AF62" ca="1" si="17">IF($D41=0,0,IF($H41="SL",SLN($D41,$E41,$G41)*IF(YEAR($F41)&lt;Y$3,IF(YEAR($F41)+$G41=Y$3,(MONTH($F41)-1)/12,IF(YEAR($F41)+$G41&lt;Y$3,0,1)),IF(YEAR($F41)&gt;Y$3,0,(12-MONTH($F41)+1)/12)),IF(YEAR($F41)&gt;Y$3,0,VDB($D41,$E41,$G41,IF(YEAR($F41)=Y$3,0,MIN($G41,(DATE(Y$3,1,1)-$F41)/365)),MIN($G41,(DATE(Y$3,12,31)-$F41)/365),$I41))))</f>
        <v>0</v>
      </c>
      <c r="Z62" s="376">
        <f t="shared" ca="1" si="17"/>
        <v>0</v>
      </c>
      <c r="AA62" s="376">
        <f t="shared" ca="1" si="17"/>
        <v>0</v>
      </c>
      <c r="AB62" s="376">
        <f t="shared" ca="1" si="17"/>
        <v>0</v>
      </c>
      <c r="AC62" s="376">
        <f t="shared" ca="1" si="17"/>
        <v>0</v>
      </c>
      <c r="AD62" s="376">
        <f t="shared" ca="1" si="17"/>
        <v>0</v>
      </c>
      <c r="AE62" s="376">
        <f t="shared" ca="1" si="17"/>
        <v>0</v>
      </c>
      <c r="AF62" s="376">
        <f t="shared" ca="1" si="17"/>
        <v>0</v>
      </c>
    </row>
    <row r="63" spans="1:32" outlineLevel="1">
      <c r="C63" s="287" t="str">
        <f t="shared" si="15"/>
        <v>Partial Overhaul 1</v>
      </c>
      <c r="I63" s="376">
        <f t="shared" ref="I63:I71" si="18">IF(D42=0,0,IF($H42="SL",SLN($D42,$E42,$G42)*IF(YEAR($F42)&lt;(J$3-1),IF(YEAR($F42)+$G42=J$3-1,(MONTH($F42)-1)/12,IF(YEAR($F42)+$G42&lt;J$3-1,0,1)),IF(YEAR($F42)&gt;J$3-1,0,(12-MONTH($F42)+1)/12)),IF(YEAR($F42)&gt;J$3-1,0,VDB($D42,$E42,$G42,IF(YEAR($F42)=J$3-1,0,MIN($G42,(DATE(J$3-1,1,1)-$F42)/365)),MIN($G42,(DATE(J$3-1,12,31)-$F42)/365),$I42))))</f>
        <v>0</v>
      </c>
      <c r="J63" s="376">
        <f t="shared" ref="J63:S71" si="19">IF($D42=0,0,IF($H42="SL",SLN($D42,$E42,$G42)*IF(YEAR($F42)&lt;J$3,IF(YEAR($F42)+$G42=J$3,(MONTH($F42)-1)/12,IF(YEAR($F42)+$G42&lt;J$3,0,1)),IF(YEAR($F42)&gt;J$3,0,(12-MONTH($F42)+1)/12)),IF(YEAR($F42)&gt;J$3,0,VDB($D42,$E42,$G42,IF(YEAR($F42)=J$3,0,MIN($G42,(DATE(J$3,1,1)-$F42)/365)),MIN($G42,(DATE(J$3,12,31)-$F42)/365),$I42))))</f>
        <v>0</v>
      </c>
      <c r="K63" s="376">
        <f t="shared" si="19"/>
        <v>0</v>
      </c>
      <c r="L63" s="376">
        <f t="shared" si="19"/>
        <v>0</v>
      </c>
      <c r="M63" s="376">
        <f t="shared" si="19"/>
        <v>69.370032061343764</v>
      </c>
      <c r="N63" s="376">
        <f t="shared" si="19"/>
        <v>166.48807694722504</v>
      </c>
      <c r="O63" s="376">
        <f t="shared" si="19"/>
        <v>166.48807694722504</v>
      </c>
      <c r="P63" s="376">
        <f t="shared" si="19"/>
        <v>166.48807694722504</v>
      </c>
      <c r="Q63" s="376">
        <f t="shared" si="19"/>
        <v>166.48807694722504</v>
      </c>
      <c r="R63" s="376">
        <f t="shared" si="19"/>
        <v>166.48807694722504</v>
      </c>
      <c r="S63" s="376">
        <f t="shared" si="19"/>
        <v>166.48807694722504</v>
      </c>
      <c r="T63" s="376">
        <f t="shared" ref="T63:AC71" si="20">IF($D42=0,0,IF($H42="SL",SLN($D42,$E42,$G42)*IF(YEAR($F42)&lt;T$3,IF(YEAR($F42)+$G42=T$3,(MONTH($F42)-1)/12,IF(YEAR($F42)+$G42&lt;T$3,0,1)),IF(YEAR($F42)&gt;T$3,0,(12-MONTH($F42)+1)/12)),IF(YEAR($F42)&gt;T$3,0,VDB($D42,$E42,$G42,IF(YEAR($F42)=T$3,0,MIN($G42,(DATE(T$3,1,1)-$F42)/365)),MIN($G42,(DATE(T$3,12,31)-$F42)/365),$I42))))</f>
        <v>166.48807694722504</v>
      </c>
      <c r="U63" s="376">
        <f t="shared" si="20"/>
        <v>97.118044885881275</v>
      </c>
      <c r="V63" s="376">
        <f t="shared" si="20"/>
        <v>0</v>
      </c>
      <c r="W63" s="376">
        <f t="shared" si="20"/>
        <v>0</v>
      </c>
      <c r="X63" s="376">
        <f t="shared" si="20"/>
        <v>0</v>
      </c>
      <c r="Y63" s="376">
        <f t="shared" si="20"/>
        <v>0</v>
      </c>
      <c r="Z63" s="376">
        <f t="shared" si="20"/>
        <v>0</v>
      </c>
      <c r="AA63" s="376">
        <f t="shared" si="20"/>
        <v>0</v>
      </c>
      <c r="AB63" s="376">
        <f t="shared" si="20"/>
        <v>0</v>
      </c>
      <c r="AC63" s="376">
        <f t="shared" si="20"/>
        <v>0</v>
      </c>
      <c r="AD63" s="376">
        <f t="shared" ref="AD63:AF71" si="21">IF($D42=0,0,IF($H42="SL",SLN($D42,$E42,$G42)*IF(YEAR($F42)&lt;AD$3,IF(YEAR($F42)+$G42=AD$3,(MONTH($F42)-1)/12,IF(YEAR($F42)+$G42&lt;AD$3,0,1)),IF(YEAR($F42)&gt;AD$3,0,(12-MONTH($F42)+1)/12)),IF(YEAR($F42)&gt;AD$3,0,VDB($D42,$E42,$G42,IF(YEAR($F42)=AD$3,0,MIN($G42,(DATE(AD$3,1,1)-$F42)/365)),MIN($G42,(DATE(AD$3,12,31)-$F42)/365),$I42))))</f>
        <v>0</v>
      </c>
      <c r="AE63" s="376">
        <f t="shared" si="21"/>
        <v>0</v>
      </c>
      <c r="AF63" s="376">
        <f t="shared" si="21"/>
        <v>0</v>
      </c>
    </row>
    <row r="64" spans="1:32" outlineLevel="1">
      <c r="C64" s="287" t="str">
        <f t="shared" si="15"/>
        <v>Complete Overhaul 1</v>
      </c>
      <c r="I64" s="376">
        <f t="shared" si="18"/>
        <v>0</v>
      </c>
      <c r="J64" s="376">
        <f t="shared" si="19"/>
        <v>0</v>
      </c>
      <c r="K64" s="376">
        <f t="shared" si="19"/>
        <v>0</v>
      </c>
      <c r="L64" s="376">
        <f t="shared" si="19"/>
        <v>0</v>
      </c>
      <c r="M64" s="376">
        <f t="shared" si="19"/>
        <v>0</v>
      </c>
      <c r="N64" s="376">
        <f t="shared" si="19"/>
        <v>0</v>
      </c>
      <c r="O64" s="376">
        <f t="shared" si="19"/>
        <v>0</v>
      </c>
      <c r="P64" s="376">
        <f t="shared" si="19"/>
        <v>0</v>
      </c>
      <c r="Q64" s="376">
        <f t="shared" si="19"/>
        <v>0</v>
      </c>
      <c r="R64" s="376">
        <f t="shared" si="19"/>
        <v>0</v>
      </c>
      <c r="S64" s="376">
        <f t="shared" si="19"/>
        <v>0</v>
      </c>
      <c r="T64" s="376">
        <f t="shared" si="20"/>
        <v>0</v>
      </c>
      <c r="U64" s="376">
        <f t="shared" si="20"/>
        <v>0</v>
      </c>
      <c r="V64" s="376">
        <f t="shared" si="20"/>
        <v>0</v>
      </c>
      <c r="W64" s="376">
        <f t="shared" si="20"/>
        <v>0</v>
      </c>
      <c r="X64" s="376">
        <f t="shared" si="20"/>
        <v>0</v>
      </c>
      <c r="Y64" s="376">
        <f t="shared" si="20"/>
        <v>0</v>
      </c>
      <c r="Z64" s="376">
        <f t="shared" si="20"/>
        <v>0</v>
      </c>
      <c r="AA64" s="376">
        <f t="shared" si="20"/>
        <v>0</v>
      </c>
      <c r="AB64" s="376">
        <f t="shared" si="20"/>
        <v>0</v>
      </c>
      <c r="AC64" s="376">
        <f t="shared" si="20"/>
        <v>0</v>
      </c>
      <c r="AD64" s="376">
        <f t="shared" si="21"/>
        <v>0</v>
      </c>
      <c r="AE64" s="376">
        <f t="shared" si="21"/>
        <v>0</v>
      </c>
      <c r="AF64" s="376">
        <f t="shared" si="21"/>
        <v>0</v>
      </c>
    </row>
    <row r="65" spans="1:32" outlineLevel="1">
      <c r="C65" s="287" t="str">
        <f t="shared" si="15"/>
        <v>Partial Overhaul 2</v>
      </c>
      <c r="I65" s="376">
        <f t="shared" si="18"/>
        <v>0</v>
      </c>
      <c r="J65" s="376">
        <f t="shared" si="19"/>
        <v>0</v>
      </c>
      <c r="K65" s="376">
        <f t="shared" si="19"/>
        <v>0</v>
      </c>
      <c r="L65" s="376">
        <f t="shared" si="19"/>
        <v>0</v>
      </c>
      <c r="M65" s="376">
        <f t="shared" si="19"/>
        <v>0</v>
      </c>
      <c r="N65" s="376">
        <f t="shared" si="19"/>
        <v>0</v>
      </c>
      <c r="O65" s="376">
        <f t="shared" si="19"/>
        <v>0</v>
      </c>
      <c r="P65" s="376">
        <f t="shared" si="19"/>
        <v>0</v>
      </c>
      <c r="Q65" s="376">
        <f t="shared" si="19"/>
        <v>0</v>
      </c>
      <c r="R65" s="376">
        <f t="shared" si="19"/>
        <v>0</v>
      </c>
      <c r="S65" s="376">
        <f t="shared" si="19"/>
        <v>0</v>
      </c>
      <c r="T65" s="376">
        <f t="shared" si="20"/>
        <v>0</v>
      </c>
      <c r="U65" s="376">
        <f t="shared" si="20"/>
        <v>97.429964269669853</v>
      </c>
      <c r="V65" s="376">
        <f t="shared" si="20"/>
        <v>233.83191424720764</v>
      </c>
      <c r="W65" s="376">
        <f t="shared" si="20"/>
        <v>233.83191424720764</v>
      </c>
      <c r="X65" s="376">
        <f t="shared" si="20"/>
        <v>233.83191424720764</v>
      </c>
      <c r="Y65" s="376">
        <f t="shared" si="20"/>
        <v>233.83191424720764</v>
      </c>
      <c r="Z65" s="376">
        <f t="shared" si="20"/>
        <v>233.83191424720764</v>
      </c>
      <c r="AA65" s="376">
        <f t="shared" si="20"/>
        <v>233.83191424720764</v>
      </c>
      <c r="AB65" s="376">
        <f t="shared" si="20"/>
        <v>233.83191424720764</v>
      </c>
      <c r="AC65" s="376">
        <f t="shared" si="20"/>
        <v>136.40194997753778</v>
      </c>
      <c r="AD65" s="376">
        <f t="shared" si="21"/>
        <v>0</v>
      </c>
      <c r="AE65" s="376">
        <f t="shared" si="21"/>
        <v>0</v>
      </c>
      <c r="AF65" s="376">
        <f t="shared" si="21"/>
        <v>0</v>
      </c>
    </row>
    <row r="66" spans="1:32" outlineLevel="1">
      <c r="C66" s="287" t="str">
        <f t="shared" si="15"/>
        <v>Complete Overhaul 2</v>
      </c>
      <c r="I66" s="376">
        <f t="shared" si="18"/>
        <v>0</v>
      </c>
      <c r="J66" s="376">
        <f t="shared" si="19"/>
        <v>0</v>
      </c>
      <c r="K66" s="376">
        <f t="shared" si="19"/>
        <v>0</v>
      </c>
      <c r="L66" s="376">
        <f t="shared" si="19"/>
        <v>0</v>
      </c>
      <c r="M66" s="376">
        <f t="shared" si="19"/>
        <v>0</v>
      </c>
      <c r="N66" s="376">
        <f t="shared" si="19"/>
        <v>0</v>
      </c>
      <c r="O66" s="376">
        <f t="shared" si="19"/>
        <v>0</v>
      </c>
      <c r="P66" s="376">
        <f t="shared" si="19"/>
        <v>0</v>
      </c>
      <c r="Q66" s="376">
        <f t="shared" si="19"/>
        <v>0</v>
      </c>
      <c r="R66" s="376">
        <f t="shared" si="19"/>
        <v>0</v>
      </c>
      <c r="S66" s="376">
        <f t="shared" si="19"/>
        <v>0</v>
      </c>
      <c r="T66" s="376">
        <f t="shared" si="20"/>
        <v>0</v>
      </c>
      <c r="U66" s="376">
        <f t="shared" si="20"/>
        <v>0</v>
      </c>
      <c r="V66" s="376">
        <f t="shared" si="20"/>
        <v>0</v>
      </c>
      <c r="W66" s="376">
        <f t="shared" si="20"/>
        <v>0</v>
      </c>
      <c r="X66" s="376">
        <f t="shared" si="20"/>
        <v>0</v>
      </c>
      <c r="Y66" s="376">
        <f t="shared" si="20"/>
        <v>336.65403836926669</v>
      </c>
      <c r="Z66" s="376">
        <f t="shared" si="20"/>
        <v>807.96969208624</v>
      </c>
      <c r="AA66" s="376">
        <f t="shared" si="20"/>
        <v>807.96969208624</v>
      </c>
      <c r="AB66" s="376">
        <f t="shared" si="20"/>
        <v>807.96969208624</v>
      </c>
      <c r="AC66" s="376">
        <f t="shared" si="20"/>
        <v>807.96969208624</v>
      </c>
      <c r="AD66" s="376">
        <f t="shared" si="21"/>
        <v>807.96969208624</v>
      </c>
      <c r="AE66" s="376">
        <f t="shared" si="21"/>
        <v>807.96969208624</v>
      </c>
      <c r="AF66" s="376">
        <f t="shared" si="21"/>
        <v>807.96969208624</v>
      </c>
    </row>
    <row r="67" spans="1:32" outlineLevel="1">
      <c r="C67" s="1332" t="str">
        <f>+C46</f>
        <v>Contract Buy-Out</v>
      </c>
      <c r="D67" s="1332"/>
      <c r="E67" s="1332"/>
      <c r="F67" s="1332"/>
      <c r="G67" s="1332"/>
      <c r="H67" s="1332"/>
      <c r="I67" s="1333">
        <f>IF(Summary!O109=1,-1,1)*IF(D46=0,0,IF($H46="SL",SLN($D46,$E46,$G46)*IF(YEAR($F46)&lt;(J$3-1),IF(YEAR($F46)+$G46=J$3-1,(MONTH($F46)-1)/12,IF(YEAR($F46)+$G46&lt;J$3-1,0,1)),IF(YEAR($F46)&gt;J$3-1,0,(12-MONTH($F46)+1)/12)),IF(YEAR($F46)&gt;J$3-1,0,VDB($D46,$E46,$G46,IF(YEAR($F46)=J$3-1,0,MIN($G46,(DATE(J$3-1,1,1)-$F46)/365)),MIN($G46,(DATE(J$3-1,12,31)-$F46)/365),$I46))))</f>
        <v>0</v>
      </c>
      <c r="J67" s="1333">
        <f>IF(Summary!O109=1,-1,1)*IF($D46=0,0,IF($H46="SL",SLN($D46,$E46,$G46)*IF(YEAR($F46)&lt;J$3,IF(YEAR($F46)+$G46=J$3,(MONTH($F46)-1)/12,IF(YEAR($F46)+$G46&lt;J$3,0,1)),IF(YEAR($F46)&gt;J$3,0,(12-MONTH($F46)+1)/12)),IF(YEAR($F46)&gt;J$3,0,VDB($D46,$E46,$G46,IF(YEAR($F46)=J$3,0,MIN($G46,(DATE(J$3,1,1)-$F46)/365)),MIN($G46,(DATE(J$3,12,31)-$F46)/365),$I46))))</f>
        <v>0</v>
      </c>
      <c r="K67" s="1333">
        <f>IF(Summary!O109=1,-1,1)*IF($D46=0,0,IF($H46="SL",SLN($D46,$E46,$G46)*IF(YEAR($F46)&lt;K$3,IF(YEAR($F46)+$G46=K$3,(MONTH($F46)-1)/12,IF(YEAR($F46)+$G46&lt;K$3,0,1)),IF(YEAR($F46)&gt;K$3,0,(12-MONTH($F46)+1)/12)),IF(YEAR($F46)&gt;K$3,0,VDB($D46,$E46,$G46,IF(YEAR($F46)=K$3,0,MIN($G46,(DATE(K$3,1,1)-$F46)/365)),MIN($G46,(DATE(K$3,12,31)-$F46)/365),$I46))))</f>
        <v>0</v>
      </c>
      <c r="L67" s="1333">
        <f>IF(Summary!O109=1,-1,1)*IF($D46=0,0,IF($H46="SL",SLN($D46,$E46,$G46)*IF(YEAR($F46)&lt;L$3,IF(YEAR($F46)+$G46=L$3,(MONTH($F46)-1)/12,IF(YEAR($F46)+$G46&lt;L$3,0,1)),IF(YEAR($F46)&gt;L$3,0,(12-MONTH($F46)+1)/12)),IF(YEAR($F46)&gt;L$3,0,VDB($D46,$E46,$G46,IF(YEAR($F46)=L$3,0,MIN($G46,(DATE(L$3,1,1)-$F46)/365)),MIN($G46,(DATE(L$3,12,31)-$F46)/365),$I46))))</f>
        <v>0</v>
      </c>
      <c r="M67" s="1333">
        <f>IF(Summary!O109=1,-1,1)*IF($D46=0,0,IF($H46="SL",SLN($D46,$E46,$G46)*IF(YEAR($F46)&lt;M$3,IF(YEAR($F46)+$G46=M$3,(MONTH($F46)-1)/12,IF(YEAR($F46)+$G46&lt;M$3,0,1)),IF(YEAR($F46)&gt;M$3,0,(12-MONTH($F46)+1)/12)),IF(YEAR($F46)&gt;M$3,0,VDB($D46,$E46,$G46,IF(YEAR($F46)=M$3,0,MIN($G46,(DATE(M$3,1,1)-$F46)/365)),MIN($G46,(DATE(M$3,12,31)-$F46)/365),$I46))))</f>
        <v>0</v>
      </c>
      <c r="N67" s="1333">
        <f>IF(Summary!O109=1,-1,1)*IF($D46=0,0,IF($H46="SL",SLN($D46,$E46,$G46)*IF(YEAR($F46)&lt;N$3,IF(YEAR($F46)+$G46=N$3,(MONTH($F46)-1)/12,IF(YEAR($F46)+$G46&lt;N$3,0,1)),IF(YEAR($F46)&gt;N$3,0,(12-MONTH($F46)+1)/12)),IF(YEAR($F46)&gt;N$3,0,VDB($D46,$E46,$G46,IF(YEAR($F46)=N$3,0,MIN($G46,(DATE(N$3,1,1)-$F46)/365)),MIN($G46,(DATE(N$3,12,31)-$F46)/365),$I46))))</f>
        <v>0</v>
      </c>
      <c r="O67" s="1333">
        <f>IF(Summary!O109=1,-1,1)*IF($D46=0,0,IF($H46="SL",SLN($D46,$E46,$G46)*IF(YEAR($F46)&lt;O$3,IF(YEAR($F46)+$G46=O$3,(MONTH($F46)-1)/12,IF(YEAR($F46)+$G46&lt;O$3,0,1)),IF(YEAR($F46)&gt;O$3,0,(12-MONTH($F46)+1)/12)),IF(YEAR($F46)&gt;O$3,0,VDB($D46,$E46,$G46,IF(YEAR($F46)=O$3,0,MIN($G46,(DATE(O$3,1,1)-$F46)/365)),MIN($G46,(DATE(O$3,12,31)-$F46)/365),$I46))))</f>
        <v>0</v>
      </c>
      <c r="P67" s="1333">
        <f>IF(Summary!O109=1,-1,1)*IF($D46=0,0,IF($H46="SL",SLN($D46,$E46,$G46)*IF(YEAR($F46)&lt;P$3,IF(YEAR($F46)+$G46=P$3,(MONTH($F46)-1)/12,IF(YEAR($F46)+$G46&lt;P$3,0,1)),IF(YEAR($F46)&gt;P$3,0,(12-MONTH($F46)+1)/12)),IF(YEAR($F46)&gt;P$3,0,VDB($D46,$E46,$G46,IF(YEAR($F46)=P$3,0,MIN($G46,(DATE(P$3,1,1)-$F46)/365)),MIN($G46,(DATE(P$3,12,31)-$F46)/365),$I46))))</f>
        <v>0</v>
      </c>
      <c r="Q67" s="1333">
        <f>IF(Summary!O109=1,-1,1)*IF($D46=0,0,IF($H46="SL",SLN($D46,$E46,$G46)*IF(YEAR($F46)&lt;Q$3,IF(YEAR($F46)+$G46=Q$3,(MONTH($F46)-1)/12,IF(YEAR($F46)+$G46&lt;Q$3,0,1)),IF(YEAR($F46)&gt;Q$3,0,(12-MONTH($F46)+1)/12)),IF(YEAR($F46)&gt;Q$3,0,VDB($D46,$E46,$G46,IF(YEAR($F46)=Q$3,0,MIN($G46,(DATE(Q$3,1,1)-$F46)/365)),MIN($G46,(DATE(Q$3,12,31)-$F46)/365),$I46))))</f>
        <v>0</v>
      </c>
      <c r="R67" s="1333">
        <f>IF(Summary!O109=1,-1,1)*IF($D46=0,0,IF($H46="SL",SLN($D46,$E46,$G46)*IF(YEAR($F46)&lt;R$3,IF(YEAR($F46)+$G46=R$3,(MONTH($F46)-1)/12,IF(YEAR($F46)+$G46&lt;R$3,0,1)),IF(YEAR($F46)&gt;R$3,0,(12-MONTH($F46)+1)/12)),IF(YEAR($F46)&gt;R$3,0,VDB($D46,$E46,$G46,IF(YEAR($F46)=R$3,0,MIN($G46,(DATE(R$3,1,1)-$F46)/365)),MIN($G46,(DATE(R$3,12,31)-$F46)/365),$I46))))</f>
        <v>0</v>
      </c>
      <c r="S67" s="1333">
        <f>IF(Summary!O109=1,-1,1)*IF($D46=0,0,IF($H46="SL",SLN($D46,$E46,$G46)*IF(YEAR($F46)&lt;S$3,IF(YEAR($F46)+$G46=S$3,(MONTH($F46)-1)/12,IF(YEAR($F46)+$G46&lt;S$3,0,1)),IF(YEAR($F46)&gt;S$3,0,(12-MONTH($F46)+1)/12)),IF(YEAR($F46)&gt;S$3,0,VDB($D46,$E46,$G46,IF(YEAR($F46)=S$3,0,MIN($G46,(DATE(S$3,1,1)-$F46)/365)),MIN($G46,(DATE(S$3,12,31)-$F46)/365),$I46))))</f>
        <v>0</v>
      </c>
      <c r="T67" s="1333">
        <f>IF(Summary!O109=1,-1,1)*IF($D46=0,0,IF($H46="SL",SLN($D46,$E46,$G46)*IF(YEAR($F46)&lt;T$3,IF(YEAR($F46)+$G46=T$3,(MONTH($F46)-1)/12,IF(YEAR($F46)+$G46&lt;T$3,0,1)),IF(YEAR($F46)&gt;T$3,0,(12-MONTH($F46)+1)/12)),IF(YEAR($F46)&gt;T$3,0,VDB($D46,$E46,$G46,IF(YEAR($F46)=T$3,0,MIN($G46,(DATE(T$3,1,1)-$F46)/365)),MIN($G46,(DATE(T$3,12,31)-$F46)/365),$I46))))</f>
        <v>0</v>
      </c>
      <c r="U67" s="1333">
        <f>IF(Summary!O109=1,-1,1)*IF($D46=0,0,IF($H46="SL",SLN($D46,$E46,$G46)*IF(YEAR($F46)&lt;U$3,IF(YEAR($F46)+$G46=U$3,(MONTH($F46)-1)/12,IF(YEAR($F46)+$G46&lt;U$3,0,1)),IF(YEAR($F46)&gt;U$3,0,(12-MONTH($F46)+1)/12)),IF(YEAR($F46)&gt;U$3,0,VDB($D46,$E46,$G46,IF(YEAR($F46)=U$3,0,MIN($G46,(DATE(U$3,1,1)-$F46)/365)),MIN($G46,(DATE(U$3,12,31)-$F46)/365),$I46))))</f>
        <v>0</v>
      </c>
      <c r="V67" s="1333">
        <f>IF(Summary!O109=1,-1,1)*IF($D46=0,0,IF($H46="SL",SLN($D46,$E46,$G46)*IF(YEAR($F46)&lt;V$3,IF(YEAR($F46)+$G46=V$3,(MONTH($F46)-1)/12,IF(YEAR($F46)+$G46&lt;V$3,0,1)),IF(YEAR($F46)&gt;V$3,0,(12-MONTH($F46)+1)/12)),IF(YEAR($F46)&gt;V$3,0,VDB($D46,$E46,$G46,IF(YEAR($F46)=V$3,0,MIN($G46,(DATE(V$3,1,1)-$F46)/365)),MIN($G46,(DATE(V$3,12,31)-$F46)/365),$I46))))</f>
        <v>0</v>
      </c>
      <c r="W67" s="1333">
        <f>IF(Summary!O109=1,-1,1)*IF($D46=0,0,IF($H46="SL",SLN($D46,$E46,$G46)*IF(YEAR($F46)&lt;W$3,IF(YEAR($F46)+$G46=W$3,(MONTH($F46)-1)/12,IF(YEAR($F46)+$G46&lt;W$3,0,1)),IF(YEAR($F46)&gt;W$3,0,(12-MONTH($F46)+1)/12)),IF(YEAR($F46)&gt;W$3,0,VDB($D46,$E46,$G46,IF(YEAR($F46)=W$3,0,MIN($G46,(DATE(W$3,1,1)-$F46)/365)),MIN($G46,(DATE(W$3,12,31)-$F46)/365),$I46))))</f>
        <v>0</v>
      </c>
      <c r="X67" s="1333">
        <f>-$D$46-SUM(I67:W67)</f>
        <v>0</v>
      </c>
      <c r="Y67" s="1333"/>
      <c r="Z67" s="1333"/>
      <c r="AA67" s="1333"/>
      <c r="AB67" s="1333"/>
      <c r="AC67" s="1333"/>
      <c r="AD67" s="1333"/>
      <c r="AE67" s="1333"/>
      <c r="AF67" s="1333"/>
    </row>
    <row r="68" spans="1:32" outlineLevel="1">
      <c r="C68" s="287" t="str">
        <f t="shared" si="15"/>
        <v>Asset 6</v>
      </c>
      <c r="I68" s="376">
        <f t="shared" si="18"/>
        <v>0</v>
      </c>
      <c r="J68" s="376">
        <f t="shared" si="19"/>
        <v>0</v>
      </c>
      <c r="K68" s="376">
        <f t="shared" si="19"/>
        <v>0</v>
      </c>
      <c r="L68" s="376">
        <f t="shared" si="19"/>
        <v>0</v>
      </c>
      <c r="M68" s="376">
        <f t="shared" si="19"/>
        <v>0</v>
      </c>
      <c r="N68" s="376">
        <f t="shared" si="19"/>
        <v>0</v>
      </c>
      <c r="O68" s="376">
        <f t="shared" si="19"/>
        <v>0</v>
      </c>
      <c r="P68" s="376">
        <f t="shared" si="19"/>
        <v>0</v>
      </c>
      <c r="Q68" s="376">
        <f t="shared" si="19"/>
        <v>0</v>
      </c>
      <c r="R68" s="376">
        <f t="shared" si="19"/>
        <v>0</v>
      </c>
      <c r="S68" s="376">
        <f t="shared" si="19"/>
        <v>0</v>
      </c>
      <c r="T68" s="376">
        <f t="shared" si="20"/>
        <v>0</v>
      </c>
      <c r="U68" s="376">
        <f t="shared" si="20"/>
        <v>0</v>
      </c>
      <c r="V68" s="376">
        <f t="shared" si="20"/>
        <v>0</v>
      </c>
      <c r="W68" s="376">
        <f t="shared" si="20"/>
        <v>0</v>
      </c>
      <c r="X68" s="376">
        <f t="shared" si="20"/>
        <v>0</v>
      </c>
      <c r="Y68" s="376">
        <f t="shared" si="20"/>
        <v>0</v>
      </c>
      <c r="Z68" s="376">
        <f t="shared" si="20"/>
        <v>0</v>
      </c>
      <c r="AA68" s="376">
        <f t="shared" si="20"/>
        <v>0</v>
      </c>
      <c r="AB68" s="376">
        <f t="shared" si="20"/>
        <v>0</v>
      </c>
      <c r="AC68" s="376">
        <f t="shared" si="20"/>
        <v>0</v>
      </c>
      <c r="AD68" s="376">
        <f t="shared" si="21"/>
        <v>0</v>
      </c>
      <c r="AE68" s="376">
        <f t="shared" si="21"/>
        <v>0</v>
      </c>
      <c r="AF68" s="376">
        <f t="shared" si="21"/>
        <v>0</v>
      </c>
    </row>
    <row r="69" spans="1:32" outlineLevel="1">
      <c r="C69" s="287" t="str">
        <f t="shared" si="15"/>
        <v>Asset 8</v>
      </c>
      <c r="I69" s="376">
        <f t="shared" si="18"/>
        <v>0</v>
      </c>
      <c r="J69" s="376">
        <f t="shared" si="19"/>
        <v>0</v>
      </c>
      <c r="K69" s="376">
        <f t="shared" si="19"/>
        <v>0</v>
      </c>
      <c r="L69" s="376">
        <f t="shared" si="19"/>
        <v>0</v>
      </c>
      <c r="M69" s="376">
        <f t="shared" si="19"/>
        <v>0</v>
      </c>
      <c r="N69" s="376">
        <f t="shared" si="19"/>
        <v>0</v>
      </c>
      <c r="O69" s="376">
        <f t="shared" si="19"/>
        <v>0</v>
      </c>
      <c r="P69" s="376">
        <f t="shared" si="19"/>
        <v>0</v>
      </c>
      <c r="Q69" s="376">
        <f t="shared" si="19"/>
        <v>0</v>
      </c>
      <c r="R69" s="376">
        <f t="shared" si="19"/>
        <v>0</v>
      </c>
      <c r="S69" s="376">
        <f t="shared" si="19"/>
        <v>0</v>
      </c>
      <c r="T69" s="376">
        <f t="shared" si="20"/>
        <v>0</v>
      </c>
      <c r="U69" s="376">
        <f t="shared" si="20"/>
        <v>0</v>
      </c>
      <c r="V69" s="376">
        <f t="shared" si="20"/>
        <v>0</v>
      </c>
      <c r="W69" s="376">
        <f t="shared" si="20"/>
        <v>0</v>
      </c>
      <c r="X69" s="376">
        <f t="shared" si="20"/>
        <v>0</v>
      </c>
      <c r="Y69" s="376">
        <f t="shared" si="20"/>
        <v>0</v>
      </c>
      <c r="Z69" s="376">
        <f t="shared" si="20"/>
        <v>0</v>
      </c>
      <c r="AA69" s="376">
        <f t="shared" si="20"/>
        <v>0</v>
      </c>
      <c r="AB69" s="376">
        <f t="shared" si="20"/>
        <v>0</v>
      </c>
      <c r="AC69" s="376">
        <f t="shared" si="20"/>
        <v>0</v>
      </c>
      <c r="AD69" s="376">
        <f t="shared" si="21"/>
        <v>0</v>
      </c>
      <c r="AE69" s="376">
        <f t="shared" si="21"/>
        <v>0</v>
      </c>
      <c r="AF69" s="376">
        <f t="shared" si="21"/>
        <v>0</v>
      </c>
    </row>
    <row r="70" spans="1:32" outlineLevel="1">
      <c r="C70" s="287" t="str">
        <f t="shared" si="15"/>
        <v>Asset 9</v>
      </c>
      <c r="I70" s="376">
        <f t="shared" si="18"/>
        <v>0</v>
      </c>
      <c r="J70" s="376">
        <f t="shared" si="19"/>
        <v>0</v>
      </c>
      <c r="K70" s="376">
        <f t="shared" si="19"/>
        <v>0</v>
      </c>
      <c r="L70" s="376">
        <f t="shared" si="19"/>
        <v>0</v>
      </c>
      <c r="M70" s="376">
        <f t="shared" si="19"/>
        <v>0</v>
      </c>
      <c r="N70" s="376">
        <f t="shared" si="19"/>
        <v>0</v>
      </c>
      <c r="O70" s="376">
        <f t="shared" si="19"/>
        <v>0</v>
      </c>
      <c r="P70" s="376">
        <f t="shared" si="19"/>
        <v>0</v>
      </c>
      <c r="Q70" s="376">
        <f t="shared" si="19"/>
        <v>0</v>
      </c>
      <c r="R70" s="376">
        <f t="shared" si="19"/>
        <v>0</v>
      </c>
      <c r="S70" s="376">
        <f t="shared" si="19"/>
        <v>0</v>
      </c>
      <c r="T70" s="376">
        <f t="shared" si="20"/>
        <v>0</v>
      </c>
      <c r="U70" s="376">
        <f t="shared" si="20"/>
        <v>0</v>
      </c>
      <c r="V70" s="376">
        <f t="shared" si="20"/>
        <v>0</v>
      </c>
      <c r="W70" s="376">
        <f t="shared" si="20"/>
        <v>0</v>
      </c>
      <c r="X70" s="376">
        <f t="shared" si="20"/>
        <v>0</v>
      </c>
      <c r="Y70" s="376">
        <f t="shared" si="20"/>
        <v>0</v>
      </c>
      <c r="Z70" s="376">
        <f t="shared" si="20"/>
        <v>0</v>
      </c>
      <c r="AA70" s="376">
        <f t="shared" si="20"/>
        <v>0</v>
      </c>
      <c r="AB70" s="376">
        <f t="shared" si="20"/>
        <v>0</v>
      </c>
      <c r="AC70" s="376">
        <f t="shared" si="20"/>
        <v>0</v>
      </c>
      <c r="AD70" s="376">
        <f t="shared" si="21"/>
        <v>0</v>
      </c>
      <c r="AE70" s="376">
        <f t="shared" si="21"/>
        <v>0</v>
      </c>
      <c r="AF70" s="376">
        <f t="shared" si="21"/>
        <v>0</v>
      </c>
    </row>
    <row r="71" spans="1:32" outlineLevel="1">
      <c r="C71" s="287" t="str">
        <f t="shared" si="15"/>
        <v>Asset 10</v>
      </c>
      <c r="I71" s="376">
        <f t="shared" si="18"/>
        <v>0</v>
      </c>
      <c r="J71" s="376">
        <f t="shared" si="19"/>
        <v>0</v>
      </c>
      <c r="K71" s="376">
        <f t="shared" si="19"/>
        <v>0</v>
      </c>
      <c r="L71" s="376">
        <f t="shared" si="19"/>
        <v>0</v>
      </c>
      <c r="M71" s="376">
        <f t="shared" si="19"/>
        <v>0</v>
      </c>
      <c r="N71" s="376">
        <f t="shared" si="19"/>
        <v>0</v>
      </c>
      <c r="O71" s="376">
        <f t="shared" si="19"/>
        <v>0</v>
      </c>
      <c r="P71" s="376">
        <f t="shared" si="19"/>
        <v>0</v>
      </c>
      <c r="Q71" s="376">
        <f t="shared" si="19"/>
        <v>0</v>
      </c>
      <c r="R71" s="376">
        <f t="shared" si="19"/>
        <v>0</v>
      </c>
      <c r="S71" s="376">
        <f t="shared" si="19"/>
        <v>0</v>
      </c>
      <c r="T71" s="376">
        <f t="shared" si="20"/>
        <v>0</v>
      </c>
      <c r="U71" s="376">
        <f t="shared" si="20"/>
        <v>0</v>
      </c>
      <c r="V71" s="376">
        <f t="shared" si="20"/>
        <v>0</v>
      </c>
      <c r="W71" s="376">
        <f t="shared" si="20"/>
        <v>0</v>
      </c>
      <c r="X71" s="376">
        <f t="shared" si="20"/>
        <v>0</v>
      </c>
      <c r="Y71" s="376">
        <f t="shared" si="20"/>
        <v>0</v>
      </c>
      <c r="Z71" s="376">
        <f t="shared" si="20"/>
        <v>0</v>
      </c>
      <c r="AA71" s="376">
        <f t="shared" si="20"/>
        <v>0</v>
      </c>
      <c r="AB71" s="376">
        <f t="shared" si="20"/>
        <v>0</v>
      </c>
      <c r="AC71" s="376">
        <f t="shared" si="20"/>
        <v>0</v>
      </c>
      <c r="AD71" s="376">
        <f t="shared" si="21"/>
        <v>0</v>
      </c>
      <c r="AE71" s="376">
        <f t="shared" si="21"/>
        <v>0</v>
      </c>
      <c r="AF71" s="376">
        <f t="shared" si="21"/>
        <v>0</v>
      </c>
    </row>
    <row r="72" spans="1:32">
      <c r="B72" s="369" t="s">
        <v>964</v>
      </c>
      <c r="I72" s="377">
        <f t="shared" ref="I72:R72" ca="1" si="22">SUM(I62:I71)</f>
        <v>2186.515431111111</v>
      </c>
      <c r="J72" s="377">
        <f t="shared" ca="1" si="22"/>
        <v>5247.6370346666663</v>
      </c>
      <c r="K72" s="377">
        <f t="shared" ca="1" si="22"/>
        <v>5247.6370346666663</v>
      </c>
      <c r="L72" s="377">
        <f t="shared" ca="1" si="22"/>
        <v>5247.6370346666663</v>
      </c>
      <c r="M72" s="377">
        <f t="shared" ca="1" si="22"/>
        <v>5317.0070667280097</v>
      </c>
      <c r="N72" s="377">
        <f t="shared" ca="1" si="22"/>
        <v>5414.125111613891</v>
      </c>
      <c r="O72" s="377">
        <f t="shared" ca="1" si="22"/>
        <v>5414.125111613891</v>
      </c>
      <c r="P72" s="377">
        <f t="shared" ca="1" si="22"/>
        <v>5414.125111613891</v>
      </c>
      <c r="Q72" s="377">
        <f t="shared" ca="1" si="22"/>
        <v>5414.125111613891</v>
      </c>
      <c r="R72" s="377">
        <f t="shared" ca="1" si="22"/>
        <v>5414.125111613891</v>
      </c>
      <c r="S72" s="377">
        <f t="shared" ref="S72:AC72" ca="1" si="23">SUM(S62:S71)</f>
        <v>5414.125111613891</v>
      </c>
      <c r="T72" s="377">
        <f t="shared" ca="1" si="23"/>
        <v>5414.125111613891</v>
      </c>
      <c r="U72" s="377">
        <f t="shared" ca="1" si="23"/>
        <v>5442.1850438222173</v>
      </c>
      <c r="V72" s="377">
        <f t="shared" ca="1" si="23"/>
        <v>5481.4689489138736</v>
      </c>
      <c r="W72" s="377">
        <f t="shared" ca="1" si="23"/>
        <v>5481.4689489138736</v>
      </c>
      <c r="X72" s="377">
        <f t="shared" ca="1" si="23"/>
        <v>3294.9535178027631</v>
      </c>
      <c r="Y72" s="377">
        <f t="shared" ca="1" si="23"/>
        <v>570.48595261647438</v>
      </c>
      <c r="Z72" s="377">
        <f t="shared" ca="1" si="23"/>
        <v>1041.8016063334476</v>
      </c>
      <c r="AA72" s="377">
        <f t="shared" ca="1" si="23"/>
        <v>1041.8016063334476</v>
      </c>
      <c r="AB72" s="377">
        <f t="shared" ca="1" si="23"/>
        <v>1041.8016063334476</v>
      </c>
      <c r="AC72" s="377">
        <f t="shared" ca="1" si="23"/>
        <v>944.37164206377781</v>
      </c>
      <c r="AD72" s="377">
        <f ca="1">SUM(AD62:AD71)</f>
        <v>807.96969208624</v>
      </c>
      <c r="AE72" s="377">
        <f ca="1">SUM(AE62:AE71)</f>
        <v>807.96969208624</v>
      </c>
      <c r="AF72" s="377">
        <f ca="1">SUM(AF62:AF71)</f>
        <v>807.96969208624</v>
      </c>
    </row>
    <row r="73" spans="1:32">
      <c r="I73" s="316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6"/>
      <c r="X73" s="316"/>
      <c r="Y73" s="316"/>
      <c r="Z73" s="316"/>
      <c r="AA73" s="316"/>
      <c r="AB73" s="316"/>
      <c r="AC73" s="316"/>
      <c r="AD73" s="316"/>
      <c r="AE73" s="316"/>
      <c r="AF73" s="316"/>
    </row>
    <row r="74" spans="1:32">
      <c r="A74" s="369" t="s">
        <v>934</v>
      </c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  <c r="AD74" s="316"/>
      <c r="AE74" s="316"/>
      <c r="AF74" s="316"/>
    </row>
    <row r="75" spans="1:32">
      <c r="C75" s="287" t="str">
        <f>+C54</f>
        <v>Funding 1</v>
      </c>
      <c r="I75" s="376">
        <f>IF(D54=0,0,IF($H54="SL",SLN($D54,$E54,$G54)*IF(YEAR($F54)&lt;(J$3-1),IF(YEAR($F54)+$G54=J$3-1,(MONTH($F54)-1)/12,IF(YEAR($F54)+$G54&lt;J$3-1,0,1)),IF(YEAR($F54)&gt;J$3-1,0,(12-MONTH($F54)+1)/12)),IF(YEAR($F54)&gt;J$3-1,0,VDB($D54,$E54,$G54,IF(YEAR($F54)=J$3-1,0,MIN($G54,(DATE(J$3-1,1,1)-$F54)/365)),MIN($G54,(DATE(J$3-1,12,31)-$F54)/365),$I54))))</f>
        <v>0</v>
      </c>
      <c r="J75" s="376">
        <f>IF(D54=0,0,IF($H54="SL",SLN($D54,$E54,$G54)*IF(YEAR($F54)&lt;J$3,IF(YEAR($F54)+$G54=J$3,(MONTH($F54)-1)/12,IF(YEAR($F54)+$G54&lt;J$3,0,1)),IF(YEAR($F54)&gt;J$3,0,(12-MONTH($F54)+1)/12)),IF(YEAR($F54)&gt;J$3,0,VDB($D54,$E54,$G54,IF(YEAR($F54)=J$3,0,MIN($G54,(DATE(J$3,1,1)-$F54)/365)),MIN($G54,(DATE(J$3,12,31)-$F54)/365),$I54))))</f>
        <v>0</v>
      </c>
      <c r="K75" s="376">
        <f>IF(D54=0,0,IF($H54="SL",SLN($D54,$E54,$G54)*IF(YEAR($F54)&lt;K$3,IF(YEAR($F54)+$G54=K$3,(MONTH($F54)-1)/12,IF(YEAR($F54)+$G54&lt;K$3,0,1)),IF(YEAR($F54)&gt;K$3,0,(12-MONTH($F54)+1)/12)),IF(YEAR($F54)&gt;K$3,0,VDB($D54,$E54,$G54,IF(YEAR($F54)=K$3,0,MIN($G54,(DATE(K$3,1,1)-$F54)/365)),MIN($G54,(DATE(K$3,12,31)-$F54)/365),$I54))))</f>
        <v>0</v>
      </c>
      <c r="L75" s="376">
        <f>IF(D54=0,0,IF($H54="SL",SLN($D54,$E54,$G54)*IF(YEAR($F54)&lt;L$3,IF(YEAR($F54)+$G54=L$3,(MONTH($F54)-1)/12,IF(YEAR($F54)+$G54&lt;L$3,0,1)),IF(YEAR($F54)&gt;L$3,0,(12-MONTH($F54)+1)/12)),IF(YEAR($F54)&gt;L$3,0,VDB($D54,$E54,$G54,IF(YEAR($F54)=L$3,0,MIN($G54,(DATE(L$3,1,1)-$F54)/365)),MIN($G54,(DATE(L$3,12,31)-$F54)/365),$I54))))</f>
        <v>0</v>
      </c>
      <c r="M75" s="376">
        <f>IF(D54=0,0,IF($H54="SL",SLN($D54,$E54,$G54)*IF(YEAR($F54)&lt;M$3,IF(YEAR($F54)+$G54=M$3,(MONTH($F54)-1)/12,IF(YEAR($F54)+$G54&lt;M$3,0,1)),IF(YEAR($F54)&gt;M$3,0,(12-MONTH($F54)+1)/12)),IF(YEAR($F54)&gt;M$3,0,VDB($D54,$E54,$G54,IF(YEAR($F54)=M$3,0,MIN($G54,(DATE(M$3,1,1)-$F54)/365)),MIN($G54,(DATE(M$3,12,31)-$F54)/365),$I54))))</f>
        <v>0</v>
      </c>
      <c r="N75" s="376">
        <f>IF(D54=0,0,IF($H54="SL",SLN($D54,$E54,$G54)*IF(YEAR($F54)&lt;N$3,IF(YEAR($F54)+$G54=N$3,(MONTH($F54)-1)/12,IF(YEAR($F54)+$G54&lt;N$3,0,1)),IF(YEAR($F54)&gt;N$3,0,(12-MONTH($F54)+1)/12)),IF(YEAR($F54)&gt;N$3,0,VDB($D54,$E54,$G54,IF(YEAR($F54)=N$3,0,MIN($G54,(DATE(N$3,1,1)-$F54)/365)),MIN($G54,(DATE(N$3,12,31)-$F54)/365),$I54))))</f>
        <v>0</v>
      </c>
      <c r="O75" s="376">
        <f>IF(D54=0,0,IF($H54="SL",SLN($D54,$E54,$G54)*IF(YEAR($F54)&lt;O$3,IF(YEAR($F54)+$G54=O$3,(MONTH($F54)-1)/12,IF(YEAR($F54)+$G54&lt;O$3,0,1)),IF(YEAR($F54)&gt;O$3,0,(12-MONTH($F54)+1)/12)),IF(YEAR($F54)&gt;O$3,0,VDB($D54,$E54,$G54,IF(YEAR($F54)=O$3,0,MIN($G54,(DATE(O$3,1,1)-$F54)/365)),MIN($G54,(DATE(O$3,12,31)-$F54)/365),$I54))))</f>
        <v>0</v>
      </c>
      <c r="P75" s="376">
        <f>IF(D54=0,0,IF($H54="SL",SLN($D54,$E54,$G54)*IF(YEAR($F54)&lt;P$3,IF(YEAR($F54)+$G54=P$3,(MONTH($F54)-1)/12,IF(YEAR($F54)+$G54&lt;P$3,0,1)),IF(YEAR($F54)&gt;P$3,0,(12-MONTH($F54)+1)/12)),IF(YEAR($F54)&gt;P$3,0,VDB($D54,$E54,$G54,IF(YEAR($F54)=P$3,0,MIN($G54,(DATE(P$3,1,1)-$F54)/365)),MIN($G54,(DATE(P$3,12,31)-$F54)/365),$I54))))</f>
        <v>0</v>
      </c>
      <c r="Q75" s="376">
        <f>IF(D54=0,0,IF($H54="SL",SLN($D54,$E54,$G54)*IF(YEAR($F54)&lt;Q$3,IF(YEAR($F54)+$G54=Q$3,(MONTH($F54)-1)/12,IF(YEAR($F54)+$G54&lt;Q$3,0,1)),IF(YEAR($F54)&gt;Q$3,0,(12-MONTH($F54)+1)/12)),IF(YEAR($F54)&gt;Q$3,0,VDB($D54,$E54,$G54,IF(YEAR($F54)=Q$3,0,MIN($G54,(DATE(Q$3,1,1)-$F54)/365)),MIN($G54,(DATE(Q$3,12,31)-$F54)/365),$I54))))</f>
        <v>0</v>
      </c>
      <c r="R75" s="376">
        <f>IF(D54=0,0,IF($H54="SL",SLN($D54,$E54,$G54)*IF(YEAR($F54)&lt;R$3,IF(YEAR($F54)+$G54=R$3,(MONTH($F54)-1)/12,IF(YEAR($F54)+$G54&lt;R$3,0,1)),IF(YEAR($F54)&gt;R$3,0,(12-MONTH($F54)+1)/12)),IF(YEAR($F54)&gt;R$3,0,VDB($D54,$E54,$G54,IF(YEAR($F54)=R$3,0,MIN($G54,(DATE(R$3,1,1)-$F54)/365)),MIN($G54,(DATE(R$3,12,31)-$F54)/365),$I54))))</f>
        <v>0</v>
      </c>
      <c r="S75" s="376">
        <f>IF(D54=0,0,IF($H54="SL",SLN($D54,$E54,$G54)*IF(YEAR($F54)&lt;S$3,IF(YEAR($F54)+$G54=S$3,(MONTH($F54)-1)/12,IF(YEAR($F54)+$G54&lt;S$3,0,1)),IF(YEAR($F54)&gt;S$3,0,(12-MONTH($F54)+1)/12)),IF(YEAR($F54)&gt;S$3,0,VDB($D54,$E54,$G54,IF(YEAR($F54)=S$3,0,MIN($G54,(DATE(S$3,1,1)-$F54)/365)),MIN($G54,(DATE(S$3,12,31)-$F54)/365),$I54))))</f>
        <v>0</v>
      </c>
      <c r="T75" s="376">
        <f>IF(D54=0,0,IF($H54="SL",SLN($D54,$E54,$G54)*IF(YEAR($F54)&lt;T$3,IF(YEAR($F54)+$G54=T$3,(MONTH($F54)-1)/12,IF(YEAR($F54)+$G54&lt;T$3,0,1)),IF(YEAR($F54)&gt;T$3,0,(12-MONTH($F54)+1)/12)),IF(YEAR($F54)&gt;T$3,0,VDB($D54,$E54,$G54,IF(YEAR($F54)=T$3,0,MIN($G54,(DATE(T$3,1,1)-$F54)/365)),MIN($G54,(DATE(T$3,12,31)-$F54)/365),$I54))))</f>
        <v>0</v>
      </c>
      <c r="U75" s="376">
        <f>IF(D54=0,0,IF($H54="SL",SLN($D54,$E54,$G54)*IF(YEAR($F54)&lt;U$3,IF(YEAR($F54)+$G54=U$3,(MONTH($F54)-1)/12,IF(YEAR($F54)+$G54&lt;U$3,0,1)),IF(YEAR($F54)&gt;U$3,0,(12-MONTH($F54)+1)/12)),IF(YEAR($F54)&gt;U$3,0,VDB($D54,$E54,$G54,IF(YEAR($F54)=U$3,0,MIN($G54,(DATE(U$3,1,1)-$F54)/365)),MIN($G54,(DATE(U$3,12,31)-$F54)/365),$I54))))</f>
        <v>0</v>
      </c>
      <c r="V75" s="376">
        <f>IF(D54=0,0,IF($H54="SL",SLN($D54,$E54,$G54)*IF(YEAR($F54)&lt;V$3,IF(YEAR($F54)+$G54=V$3,(MONTH($F54)-1)/12,IF(YEAR($F54)+$G54&lt;V$3,0,1)),IF(YEAR($F54)&gt;V$3,0,(12-MONTH($F54)+1)/12)),IF(YEAR($F54)&gt;V$3,0,VDB($D54,$E54,$G54,IF(YEAR($F54)=V$3,0,MIN($G54,(DATE(V$3,1,1)-$F54)/365)),MIN($G54,(DATE(V$3,12,31)-$F54)/365),$I54))))</f>
        <v>0</v>
      </c>
      <c r="W75" s="376">
        <f>IF(D54=0,0,IF($H54="SL",SLN($D54,$E54,$G54)*IF(YEAR($F54)&lt;W$3,IF(YEAR($F54)+$G54=W$3,(MONTH($F54)-1)/12,IF(YEAR($F54)+$G54&lt;W$3,0,1)),IF(YEAR($F54)&gt;W$3,0,(12-MONTH($F54)+1)/12)),IF(YEAR($F54)&gt;W$3,0,VDB($D54,$E54,$G54,IF(YEAR($F54)=W$3,0,MIN($G54,(DATE(W$3,1,1)-$F54)/365)),MIN($G54,(DATE(W$3,12,31)-$F54)/365),$I54))))</f>
        <v>0</v>
      </c>
      <c r="X75" s="376">
        <f>IF(D54=0,0,IF($H54="SL",SLN($D54,$E54,$G54)*IF(YEAR($F54)&lt;X$3,IF(YEAR($F54)+$G54=X$3,(MONTH($F54)-1)/12,IF(YEAR($F54)+$G54&lt;X$3,0,1)),IF(YEAR($F54)&gt;X$3,0,(12-MONTH($F54)+1)/12)),IF(YEAR($F54)&gt;X$3,0,VDB($D54,$E54,$G54,IF(YEAR($F54)=X$3,0,MIN($G54,(DATE(X$3,1,1)-$F54)/365)),MIN($G54,(DATE(X$3,12,31)-$F54)/365),$I54))))</f>
        <v>0</v>
      </c>
      <c r="Y75" s="376">
        <f>IF(D54=0,0,IF($H54="SL",SLN($D54,$E54,$G54)*IF(YEAR($F54)&lt;Y$3,IF(YEAR($F54)+$G54=Y$3,(MONTH($F54)-1)/12,IF(YEAR($F54)+$G54&lt;Y$3,0,1)),IF(YEAR($F54)&gt;Y$3,0,(12-MONTH($F54)+1)/12)),IF(YEAR($F54)&gt;Y$3,0,VDB($D54,$E54,$G54,IF(YEAR($F54)=Y$3,0,MIN($G54,(DATE(Y$3,1,1)-$F54)/365)),MIN($G54,(DATE(Y$3,12,31)-$F54)/365),$I54))))</f>
        <v>0</v>
      </c>
      <c r="Z75" s="376">
        <f>IF(D54=0,0,IF($H54="SL",SLN($D54,$E54,$G54)*IF(YEAR($F54)&lt;Z$3,IF(YEAR($F54)+$G54=Z$3,(MONTH($F54)-1)/12,IF(YEAR($F54)+$G54&lt;Z$3,0,1)),IF(YEAR($F54)&gt;Z$3,0,(12-MONTH($F54)+1)/12)),IF(YEAR($F54)&gt;Z$3,0,VDB($D54,$E54,$G54,IF(YEAR($F54)=Z$3,0,MIN($G54,(DATE(Z$3,1,1)-$F54)/365)),MIN($G54,(DATE(Z$3,12,31)-$F54)/365),$I54))))</f>
        <v>0</v>
      </c>
      <c r="AA75" s="376">
        <f>IF(D54=0,0,IF($H54="SL",SLN($D54,$E54,$G54)*IF(YEAR($F54)&lt;AA$3,IF(YEAR($F54)+$G54=AA$3,(MONTH($F54)-1)/12,IF(YEAR($F54)+$G54&lt;AA$3,0,1)),IF(YEAR($F54)&gt;AA$3,0,(12-MONTH($F54)+1)/12)),IF(YEAR($F54)&gt;AA$3,0,VDB($D54,$E54,$G54,IF(YEAR($F54)=AA$3,0,MIN($G54,(DATE(AA$3,1,1)-$F54)/365)),MIN($G54,(DATE(AA$3,12,31)-$F54)/365),$I54))))</f>
        <v>0</v>
      </c>
      <c r="AB75" s="376">
        <f>IF(D54=0,0,IF($H54="SL",SLN($D54,$E54,$G54)*IF(YEAR($F54)&lt;AB$3,IF(YEAR($F54)+$G54=AB$3,(MONTH($F54)-1)/12,IF(YEAR($F54)+$G54&lt;AB$3,0,1)),IF(YEAR($F54)&gt;AB$3,0,(12-MONTH($F54)+1)/12)),IF(YEAR($F54)&gt;AB$3,0,VDB($D54,$E54,$G54,IF(YEAR($F54)=AB$3,0,MIN($G54,(DATE(AB$3,1,1)-$F54)/365)),MIN($G54,(DATE(AB$3,12,31)-$F54)/365),$I54))))</f>
        <v>0</v>
      </c>
      <c r="AC75" s="376">
        <f t="shared" ref="AC75:AF76" si="24">IF(D54=0,0,IF($H54="SL",SLN($D54,$E54,$G54)*IF(YEAR($F54)&lt;AC$3,IF(YEAR($F54)+$G54=AC$3,(MONTH($F54)-1)/12,IF(YEAR($F54)+$G54&lt;AC$3,0,1)),IF(YEAR($F54)&gt;AC$3,0,(12-MONTH($F54)+1)/12)),IF(YEAR($F54)&gt;AC$3,0,VDB($D54,$E54,$G54,IF(YEAR($F54)=AC$3,0,MIN($G54,(DATE(AC$3,1,1)-$F54)/365)),MIN($G54,(DATE(AC$3,12,31)-$F54)/365),$I54))))</f>
        <v>0</v>
      </c>
      <c r="AD75" s="376">
        <f t="shared" si="24"/>
        <v>0</v>
      </c>
      <c r="AE75" s="376">
        <f t="shared" si="24"/>
        <v>0</v>
      </c>
      <c r="AF75" s="376">
        <f t="shared" si="24"/>
        <v>0</v>
      </c>
    </row>
    <row r="76" spans="1:32" outlineLevel="1">
      <c r="A76" s="337"/>
      <c r="C76" s="287" t="str">
        <f>+C55</f>
        <v>Funding 2</v>
      </c>
      <c r="I76" s="376">
        <f>IF(D55=0,0,IF($H55="SL",SLN($D55,$E55,$G55)*IF(YEAR($F55)&lt;(J$3-1),IF(YEAR($F55)+$G55=J$3-1,(MONTH($F55)-1)/12,IF(YEAR($F55)+$G55&lt;J$3-1,0,1)),IF(YEAR($F55)&gt;J$3-1,0,(12-MONTH($F55)+1)/12)),IF(YEAR($F55)&gt;J$3-1,0,VDB($D55,$E55,$G55,IF(YEAR($F55)=J$3-1,0,MIN($G55,(DATE(J$3-1,1,1)-$F55)/365)),MIN($G55,(DATE(J$3-1,12,31)-$F55)/365),$I55))))</f>
        <v>0</v>
      </c>
      <c r="J76" s="376">
        <f>IF(D55=0,0,IF($H55="SL",SLN($D55,$E55,$G55)*IF(YEAR($F55)&lt;J$3,IF(YEAR($F55)+$G55=J$3,(MONTH($F55)-1)/12,IF(YEAR($F55)+$G55&lt;J$3,0,1)),IF(YEAR($F55)&gt;J$3,0,(12-MONTH($F55)+1)/12)),IF(YEAR($F55)&gt;J$3,0,VDB($D55,$E55,$G55,IF(YEAR($F55)=J$3,0,MIN($G55,(DATE(J$3,1,1)-$F55)/365)),MIN($G55,(DATE(J$3,12,31)-$F55)/365),$I55))))</f>
        <v>0</v>
      </c>
      <c r="K76" s="376">
        <f>IF(D55=0,0,IF($H55="SL",SLN($D55,$E55,$G55)*IF(YEAR($F55)&lt;K$3,IF(YEAR($F55)+$G55=K$3,(MONTH($F55)-1)/12,IF(YEAR($F55)+$G55&lt;K$3,0,1)),IF(YEAR($F55)&gt;K$3,0,(12-MONTH($F55)+1)/12)),IF(YEAR($F55)&gt;K$3,0,VDB($D55,$E55,$G55,IF(YEAR($F55)=K$3,0,MIN($G55,(DATE(K$3,1,1)-$F55)/365)),MIN($G55,(DATE(K$3,12,31)-$F55)/365),$I55))))</f>
        <v>0</v>
      </c>
      <c r="L76" s="376">
        <f>IF(D55=0,0,IF($H55="SL",SLN($D55,$E55,$G55)*IF(YEAR($F55)&lt;L$3,IF(YEAR($F55)+$G55=L$3,(MONTH($F55)-1)/12,IF(YEAR($F55)+$G55&lt;L$3,0,1)),IF(YEAR($F55)&gt;L$3,0,(12-MONTH($F55)+1)/12)),IF(YEAR($F55)&gt;L$3,0,VDB($D55,$E55,$G55,IF(YEAR($F55)=L$3,0,MIN($G55,(DATE(L$3,1,1)-$F55)/365)),MIN($G55,(DATE(L$3,12,31)-$F55)/365),$I55))))</f>
        <v>0</v>
      </c>
      <c r="M76" s="376">
        <f>IF(D55=0,0,IF($H55="SL",SLN($D55,$E55,$G55)*IF(YEAR($F55)&lt;M$3,IF(YEAR($F55)+$G55=M$3,(MONTH($F55)-1)/12,IF(YEAR($F55)+$G55&lt;M$3,0,1)),IF(YEAR($F55)&gt;M$3,0,(12-MONTH($F55)+1)/12)),IF(YEAR($F55)&gt;M$3,0,VDB($D55,$E55,$G55,IF(YEAR($F55)=M$3,0,MIN($G55,(DATE(M$3,1,1)-$F55)/365)),MIN($G55,(DATE(M$3,12,31)-$F55)/365),$I55))))</f>
        <v>0</v>
      </c>
      <c r="N76" s="376">
        <f>IF(D55=0,0,IF($H55="SL",SLN($D55,$E55,$G55)*IF(YEAR($F55)&lt;N$3,IF(YEAR($F55)+$G55=N$3,(MONTH($F55)-1)/12,IF(YEAR($F55)+$G55&lt;N$3,0,1)),IF(YEAR($F55)&gt;N$3,0,(12-MONTH($F55)+1)/12)),IF(YEAR($F55)&gt;N$3,0,VDB($D55,$E55,$G55,IF(YEAR($F55)=N$3,0,MIN($G55,(DATE(N$3,1,1)-$F55)/365)),MIN($G55,(DATE(N$3,12,31)-$F55)/365),$I55))))</f>
        <v>0</v>
      </c>
      <c r="O76" s="376">
        <f>IF(D55=0,0,IF($H55="SL",SLN($D55,$E55,$G55)*IF(YEAR($F55)&lt;O$3,IF(YEAR($F55)+$G55=O$3,(MONTH($F55)-1)/12,IF(YEAR($F55)+$G55&lt;O$3,0,1)),IF(YEAR($F55)&gt;O$3,0,(12-MONTH($F55)+1)/12)),IF(YEAR($F55)&gt;O$3,0,VDB($D55,$E55,$G55,IF(YEAR($F55)=O$3,0,MIN($G55,(DATE(O$3,1,1)-$F55)/365)),MIN($G55,(DATE(O$3,12,31)-$F55)/365),$I55))))</f>
        <v>0</v>
      </c>
      <c r="P76" s="376">
        <f>IF(D55=0,0,IF($H55="SL",SLN($D55,$E55,$G55)*IF(YEAR($F55)&lt;P$3,IF(YEAR($F55)+$G55=P$3,(MONTH($F55)-1)/12,IF(YEAR($F55)+$G55&lt;P$3,0,1)),IF(YEAR($F55)&gt;P$3,0,(12-MONTH($F55)+1)/12)),IF(YEAR($F55)&gt;P$3,0,VDB($D55,$E55,$G55,IF(YEAR($F55)=P$3,0,MIN($G55,(DATE(P$3,1,1)-$F55)/365)),MIN($G55,(DATE(P$3,12,31)-$F55)/365),$I55))))</f>
        <v>0</v>
      </c>
      <c r="Q76" s="376">
        <f>IF(D55=0,0,IF($H55="SL",SLN($D55,$E55,$G55)*IF(YEAR($F55)&lt;Q$3,IF(YEAR($F55)+$G55=Q$3,(MONTH($F55)-1)/12,IF(YEAR($F55)+$G55&lt;Q$3,0,1)),IF(YEAR($F55)&gt;Q$3,0,(12-MONTH($F55)+1)/12)),IF(YEAR($F55)&gt;Q$3,0,VDB($D55,$E55,$G55,IF(YEAR($F55)=Q$3,0,MIN($G55,(DATE(Q$3,1,1)-$F55)/365)),MIN($G55,(DATE(Q$3,12,31)-$F55)/365),$I55))))</f>
        <v>0</v>
      </c>
      <c r="R76" s="376">
        <f>IF(D55=0,0,IF($H55="SL",SLN($D55,$E55,$G55)*IF(YEAR($F55)&lt;R$3,IF(YEAR($F55)+$G55=R$3,(MONTH($F55)-1)/12,IF(YEAR($F55)+$G55&lt;R$3,0,1)),IF(YEAR($F55)&gt;R$3,0,(12-MONTH($F55)+1)/12)),IF(YEAR($F55)&gt;R$3,0,VDB($D55,$E55,$G55,IF(YEAR($F55)=R$3,0,MIN($G55,(DATE(R$3,1,1)-$F55)/365)),MIN($G55,(DATE(R$3,12,31)-$F55)/365),$I55))))</f>
        <v>0</v>
      </c>
      <c r="S76" s="376">
        <f>IF(D55=0,0,IF($H55="SL",SLN($D55,$E55,$G55)*IF(YEAR($F55)&lt;S$3,IF(YEAR($F55)+$G55=S$3,(MONTH($F55)-1)/12,IF(YEAR($F55)+$G55&lt;S$3,0,1)),IF(YEAR($F55)&gt;S$3,0,(12-MONTH($F55)+1)/12)),IF(YEAR($F55)&gt;S$3,0,VDB($D55,$E55,$G55,IF(YEAR($F55)=S$3,0,MIN($G55,(DATE(S$3,1,1)-$F55)/365)),MIN($G55,(DATE(S$3,12,31)-$F55)/365),$I55))))</f>
        <v>0</v>
      </c>
      <c r="T76" s="376">
        <f>IF(D55=0,0,IF($H55="SL",SLN($D55,$E55,$G55)*IF(YEAR($F55)&lt;T$3,IF(YEAR($F55)+$G55=T$3,(MONTH($F55)-1)/12,IF(YEAR($F55)+$G55&lt;T$3,0,1)),IF(YEAR($F55)&gt;T$3,0,(12-MONTH($F55)+1)/12)),IF(YEAR($F55)&gt;T$3,0,VDB($D55,$E55,$G55,IF(YEAR($F55)=T$3,0,MIN($G55,(DATE(T$3,1,1)-$F55)/365)),MIN($G55,(DATE(T$3,12,31)-$F55)/365),$I55))))</f>
        <v>0</v>
      </c>
      <c r="U76" s="376">
        <f>IF(D55=0,0,IF($H55="SL",SLN($D55,$E55,$G55)*IF(YEAR($F55)&lt;U$3,IF(YEAR($F55)+$G55=U$3,(MONTH($F55)-1)/12,IF(YEAR($F55)+$G55&lt;U$3,0,1)),IF(YEAR($F55)&gt;U$3,0,(12-MONTH($F55)+1)/12)),IF(YEAR($F55)&gt;U$3,0,VDB($D55,$E55,$G55,IF(YEAR($F55)=U$3,0,MIN($G55,(DATE(U$3,1,1)-$F55)/365)),MIN($G55,(DATE(U$3,12,31)-$F55)/365),$I55))))</f>
        <v>0</v>
      </c>
      <c r="V76" s="376">
        <f>IF(D55=0,0,IF($H55="SL",SLN($D55,$E55,$G55)*IF(YEAR($F55)&lt;V$3,IF(YEAR($F55)+$G55=V$3,(MONTH($F55)-1)/12,IF(YEAR($F55)+$G55&lt;V$3,0,1)),IF(YEAR($F55)&gt;V$3,0,(12-MONTH($F55)+1)/12)),IF(YEAR($F55)&gt;V$3,0,VDB($D55,$E55,$G55,IF(YEAR($F55)=V$3,0,MIN($G55,(DATE(V$3,1,1)-$F55)/365)),MIN($G55,(DATE(V$3,12,31)-$F55)/365),$I55))))</f>
        <v>0</v>
      </c>
      <c r="W76" s="376">
        <f>IF(D55=0,0,IF($H55="SL",SLN($D55,$E55,$G55)*IF(YEAR($F55)&lt;W$3,IF(YEAR($F55)+$G55=W$3,(MONTH($F55)-1)/12,IF(YEAR($F55)+$G55&lt;W$3,0,1)),IF(YEAR($F55)&gt;W$3,0,(12-MONTH($F55)+1)/12)),IF(YEAR($F55)&gt;W$3,0,VDB($D55,$E55,$G55,IF(YEAR($F55)=W$3,0,MIN($G55,(DATE(W$3,1,1)-$F55)/365)),MIN($G55,(DATE(W$3,12,31)-$F55)/365),$I55))))</f>
        <v>0</v>
      </c>
      <c r="X76" s="376">
        <f>IF(D55=0,0,IF($H55="SL",SLN($D55,$E55,$G55)*IF(YEAR($F55)&lt;X$3,IF(YEAR($F55)+$G55=X$3,(MONTH($F55)-1)/12,IF(YEAR($F55)+$G55&lt;X$3,0,1)),IF(YEAR($F55)&gt;X$3,0,(12-MONTH($F55)+1)/12)),IF(YEAR($F55)&gt;X$3,0,VDB($D55,$E55,$G55,IF(YEAR($F55)=X$3,0,MIN($G55,(DATE(X$3,1,1)-$F55)/365)),MIN($G55,(DATE(X$3,12,31)-$F55)/365),$I55))))</f>
        <v>0</v>
      </c>
      <c r="Y76" s="376">
        <f>IF(D55=0,0,IF($H55="SL",SLN($D55,$E55,$G55)*IF(YEAR($F55)&lt;Y$3,IF(YEAR($F55)+$G55=Y$3,(MONTH($F55)-1)/12,IF(YEAR($F55)+$G55&lt;Y$3,0,1)),IF(YEAR($F55)&gt;Y$3,0,(12-MONTH($F55)+1)/12)),IF(YEAR($F55)&gt;Y$3,0,VDB($D55,$E55,$G55,IF(YEAR($F55)=Y$3,0,MIN($G55,(DATE(Y$3,1,1)-$F55)/365)),MIN($G55,(DATE(Y$3,12,31)-$F55)/365),$I55))))</f>
        <v>0</v>
      </c>
      <c r="Z76" s="376">
        <f>IF(D55=0,0,IF($H55="SL",SLN($D55,$E55,$G55)*IF(YEAR($F55)&lt;Z$3,IF(YEAR($F55)+$G55=Z$3,(MONTH($F55)-1)/12,IF(YEAR($F55)+$G55&lt;Z$3,0,1)),IF(YEAR($F55)&gt;Z$3,0,(12-MONTH($F55)+1)/12)),IF(YEAR($F55)&gt;Z$3,0,VDB($D55,$E55,$G55,IF(YEAR($F55)=Z$3,0,MIN($G55,(DATE(Z$3,1,1)-$F55)/365)),MIN($G55,(DATE(Z$3,12,31)-$F55)/365),$I55))))</f>
        <v>0</v>
      </c>
      <c r="AA76" s="376">
        <f>IF(D55=0,0,IF($H55="SL",SLN($D55,$E55,$G55)*IF(YEAR($F55)&lt;AA$3,IF(YEAR($F55)+$G55=AA$3,(MONTH($F55)-1)/12,IF(YEAR($F55)+$G55&lt;AA$3,0,1)),IF(YEAR($F55)&gt;AA$3,0,(12-MONTH($F55)+1)/12)),IF(YEAR($F55)&gt;AA$3,0,VDB($D55,$E55,$G55,IF(YEAR($F55)=AA$3,0,MIN($G55,(DATE(AA$3,1,1)-$F55)/365)),MIN($G55,(DATE(AA$3,12,31)-$F55)/365),$I55))))</f>
        <v>0</v>
      </c>
      <c r="AB76" s="376">
        <f>IF(D55=0,0,IF($H55="SL",SLN($D55,$E55,$G55)*IF(YEAR($F55)&lt;AB$3,IF(YEAR($F55)+$G55=AB$3,(MONTH($F55)-1)/12,IF(YEAR($F55)+$G55&lt;AB$3,0,1)),IF(YEAR($F55)&gt;AB$3,0,(12-MONTH($F55)+1)/12)),IF(YEAR($F55)&gt;AB$3,0,VDB($D55,$E55,$G55,IF(YEAR($F55)=AB$3,0,MIN($G55,(DATE(AB$3,1,1)-$F55)/365)),MIN($G55,(DATE(AB$3,12,31)-$F55)/365),$I55))))</f>
        <v>0</v>
      </c>
      <c r="AC76" s="376">
        <f t="shared" si="24"/>
        <v>0</v>
      </c>
      <c r="AD76" s="376">
        <f t="shared" si="24"/>
        <v>0</v>
      </c>
      <c r="AE76" s="376">
        <f t="shared" si="24"/>
        <v>0</v>
      </c>
      <c r="AF76" s="376">
        <f t="shared" si="24"/>
        <v>0</v>
      </c>
    </row>
    <row r="77" spans="1:32" collapsed="1">
      <c r="A77" s="337"/>
      <c r="B77" s="369" t="s">
        <v>965</v>
      </c>
      <c r="I77" s="378">
        <f t="shared" ref="I77:R77" si="25">+I76+I75</f>
        <v>0</v>
      </c>
      <c r="J77" s="378">
        <f t="shared" si="25"/>
        <v>0</v>
      </c>
      <c r="K77" s="378">
        <f t="shared" si="25"/>
        <v>0</v>
      </c>
      <c r="L77" s="378">
        <f t="shared" si="25"/>
        <v>0</v>
      </c>
      <c r="M77" s="378">
        <f t="shared" si="25"/>
        <v>0</v>
      </c>
      <c r="N77" s="378">
        <f t="shared" si="25"/>
        <v>0</v>
      </c>
      <c r="O77" s="378">
        <f t="shared" si="25"/>
        <v>0</v>
      </c>
      <c r="P77" s="378">
        <f t="shared" si="25"/>
        <v>0</v>
      </c>
      <c r="Q77" s="378">
        <f t="shared" si="25"/>
        <v>0</v>
      </c>
      <c r="R77" s="378">
        <f t="shared" si="25"/>
        <v>0</v>
      </c>
      <c r="S77" s="378">
        <f t="shared" ref="S77:AC77" si="26">+S76+S75</f>
        <v>0</v>
      </c>
      <c r="T77" s="378">
        <f t="shared" si="26"/>
        <v>0</v>
      </c>
      <c r="U77" s="378">
        <f t="shared" si="26"/>
        <v>0</v>
      </c>
      <c r="V77" s="378">
        <f t="shared" si="26"/>
        <v>0</v>
      </c>
      <c r="W77" s="378">
        <f t="shared" si="26"/>
        <v>0</v>
      </c>
      <c r="X77" s="378">
        <f t="shared" si="26"/>
        <v>0</v>
      </c>
      <c r="Y77" s="378">
        <f t="shared" si="26"/>
        <v>0</v>
      </c>
      <c r="Z77" s="378">
        <f t="shared" si="26"/>
        <v>0</v>
      </c>
      <c r="AA77" s="378">
        <f t="shared" si="26"/>
        <v>0</v>
      </c>
      <c r="AB77" s="378">
        <f t="shared" si="26"/>
        <v>0</v>
      </c>
      <c r="AC77" s="378">
        <f t="shared" si="26"/>
        <v>0</v>
      </c>
      <c r="AD77" s="378">
        <f>+AD76+AD75</f>
        <v>0</v>
      </c>
      <c r="AE77" s="378">
        <f>+AE76+AE75</f>
        <v>0</v>
      </c>
      <c r="AF77" s="378">
        <f>+AF76+AF75</f>
        <v>0</v>
      </c>
    </row>
    <row r="78" spans="1:32">
      <c r="A78" s="337"/>
      <c r="I78" s="376"/>
      <c r="J78" s="376"/>
      <c r="K78" s="376"/>
      <c r="L78" s="376"/>
      <c r="M78" s="376"/>
      <c r="N78" s="376"/>
      <c r="O78" s="376"/>
      <c r="P78" s="376"/>
      <c r="Q78" s="376"/>
      <c r="R78" s="376"/>
      <c r="S78" s="376"/>
      <c r="T78" s="376"/>
      <c r="U78" s="376"/>
      <c r="V78" s="376"/>
      <c r="W78" s="376"/>
      <c r="X78" s="376"/>
      <c r="Y78" s="376"/>
      <c r="Z78" s="376"/>
      <c r="AA78" s="376"/>
      <c r="AB78" s="376"/>
      <c r="AC78" s="376"/>
      <c r="AD78" s="376"/>
      <c r="AE78" s="376"/>
      <c r="AF78" s="376"/>
    </row>
    <row r="79" spans="1:32">
      <c r="A79" s="369" t="s">
        <v>966</v>
      </c>
      <c r="I79" s="316">
        <f ca="1">+I77+I72</f>
        <v>2186.515431111111</v>
      </c>
      <c r="J79" s="316">
        <f t="shared" ref="J79:S79" ca="1" si="27">SUM(J72:J76)</f>
        <v>5247.6370346666663</v>
      </c>
      <c r="K79" s="316">
        <f t="shared" ca="1" si="27"/>
        <v>5247.6370346666663</v>
      </c>
      <c r="L79" s="316">
        <f t="shared" ca="1" si="27"/>
        <v>5247.6370346666663</v>
      </c>
      <c r="M79" s="316">
        <f t="shared" ca="1" si="27"/>
        <v>5317.0070667280097</v>
      </c>
      <c r="N79" s="316">
        <f t="shared" ca="1" si="27"/>
        <v>5414.125111613891</v>
      </c>
      <c r="O79" s="316">
        <f t="shared" ca="1" si="27"/>
        <v>5414.125111613891</v>
      </c>
      <c r="P79" s="316">
        <f t="shared" ca="1" si="27"/>
        <v>5414.125111613891</v>
      </c>
      <c r="Q79" s="316">
        <f t="shared" ca="1" si="27"/>
        <v>5414.125111613891</v>
      </c>
      <c r="R79" s="316">
        <f t="shared" ca="1" si="27"/>
        <v>5414.125111613891</v>
      </c>
      <c r="S79" s="316">
        <f t="shared" ca="1" si="27"/>
        <v>5414.125111613891</v>
      </c>
      <c r="T79" s="316">
        <f t="shared" ref="T79:AC79" ca="1" si="28">SUM(T72:T76)</f>
        <v>5414.125111613891</v>
      </c>
      <c r="U79" s="316">
        <f t="shared" ca="1" si="28"/>
        <v>5442.1850438222173</v>
      </c>
      <c r="V79" s="316">
        <f t="shared" ca="1" si="28"/>
        <v>5481.4689489138736</v>
      </c>
      <c r="W79" s="316">
        <f t="shared" ca="1" si="28"/>
        <v>5481.4689489138736</v>
      </c>
      <c r="X79" s="316">
        <f t="shared" ca="1" si="28"/>
        <v>3294.9535178027631</v>
      </c>
      <c r="Y79" s="316">
        <f t="shared" ca="1" si="28"/>
        <v>570.48595261647438</v>
      </c>
      <c r="Z79" s="316">
        <f t="shared" ca="1" si="28"/>
        <v>1041.8016063334476</v>
      </c>
      <c r="AA79" s="316">
        <f t="shared" ca="1" si="28"/>
        <v>1041.8016063334476</v>
      </c>
      <c r="AB79" s="316">
        <f t="shared" ca="1" si="28"/>
        <v>1041.8016063334476</v>
      </c>
      <c r="AC79" s="316">
        <f t="shared" ca="1" si="28"/>
        <v>944.37164206377781</v>
      </c>
      <c r="AD79" s="316">
        <f ca="1">SUM(AD72:AD76)</f>
        <v>807.96969208624</v>
      </c>
      <c r="AE79" s="316">
        <f ca="1">SUM(AE72:AE76)</f>
        <v>807.96969208624</v>
      </c>
      <c r="AF79" s="316">
        <f ca="1">SUM(AF72:AF76)</f>
        <v>807.96969208624</v>
      </c>
    </row>
    <row r="80" spans="1:32">
      <c r="A80" s="379" t="s">
        <v>967</v>
      </c>
      <c r="B80" s="316">
        <f ca="1">+SUM(I79:AF79)-D51-D56</f>
        <v>-5083.0554735127225</v>
      </c>
      <c r="I80" s="316"/>
      <c r="J80" s="316"/>
      <c r="K80" s="316"/>
      <c r="L80" s="316"/>
      <c r="M80" s="316"/>
      <c r="N80" s="316"/>
      <c r="O80" s="316"/>
      <c r="P80" s="316"/>
      <c r="Q80" s="316"/>
      <c r="R80" s="316"/>
      <c r="S80" s="316"/>
      <c r="T80" s="316"/>
      <c r="U80" s="316"/>
      <c r="V80" s="316"/>
      <c r="W80" s="316"/>
      <c r="X80" s="316"/>
      <c r="Y80" s="316"/>
      <c r="Z80" s="316"/>
      <c r="AA80" s="316"/>
      <c r="AB80" s="316"/>
      <c r="AC80" s="316"/>
      <c r="AD80" s="316"/>
      <c r="AE80" s="316"/>
      <c r="AF80" s="316"/>
    </row>
    <row r="82" spans="1:32">
      <c r="A82" s="336" t="s">
        <v>968</v>
      </c>
      <c r="G82" s="287" t="s">
        <v>630</v>
      </c>
      <c r="I82" s="1226">
        <v>3.7499999999999999E-2</v>
      </c>
      <c r="J82" s="1226">
        <v>7.2190000000000004E-2</v>
      </c>
      <c r="K82" s="1226">
        <v>6.6769999999999996E-2</v>
      </c>
      <c r="L82" s="1226">
        <v>6.1769999999999999E-2</v>
      </c>
      <c r="M82" s="1226">
        <v>5.713E-2</v>
      </c>
      <c r="N82" s="1226">
        <v>5.2850000000000001E-2</v>
      </c>
      <c r="O82" s="1226">
        <v>4.888E-2</v>
      </c>
      <c r="P82" s="1226">
        <v>4.5220000000000003E-2</v>
      </c>
      <c r="Q82" s="1226">
        <v>4.462E-2</v>
      </c>
      <c r="R82" s="1226">
        <v>4.4609999999999997E-2</v>
      </c>
      <c r="S82" s="1226">
        <v>4.462E-2</v>
      </c>
      <c r="T82" s="1226">
        <v>4.4609999999999997E-2</v>
      </c>
      <c r="U82" s="1226">
        <v>4.462E-2</v>
      </c>
      <c r="V82" s="1226">
        <v>4.4609999999999997E-2</v>
      </c>
      <c r="W82" s="1226">
        <v>4.462E-2</v>
      </c>
      <c r="X82" s="1226">
        <v>4.4609999999999997E-2</v>
      </c>
      <c r="Y82" s="1226">
        <v>4.462E-2</v>
      </c>
      <c r="Z82" s="1226">
        <v>4.4609999999999997E-2</v>
      </c>
      <c r="AA82" s="1226">
        <v>4.462E-2</v>
      </c>
      <c r="AB82" s="1226">
        <v>4.4609999999999997E-2</v>
      </c>
      <c r="AC82" s="1226">
        <v>2.231E-2</v>
      </c>
      <c r="AD82" s="1226">
        <v>0</v>
      </c>
      <c r="AE82" s="1226">
        <v>0</v>
      </c>
      <c r="AF82" s="1226">
        <v>0</v>
      </c>
    </row>
    <row r="83" spans="1:32">
      <c r="A83" s="369" t="s">
        <v>916</v>
      </c>
      <c r="B83" s="299"/>
      <c r="C83" s="287" t="str">
        <f t="shared" ref="C83:C92" si="29">+L41</f>
        <v>Purchase Price</v>
      </c>
      <c r="I83" s="376">
        <f t="shared" ref="I83:I92" ca="1" si="30">IF($N41=0,0,IF($R41="SL",SLN($N41,$O41,$Q41)*IF(YEAR($P41)&lt;(J$3-1),IF(YEAR($P41)+$Q41=J$3-1,(MONTH($P41)-1)/12,IF(YEAR($P41)+$Q41&lt;J$3-1,0,1)),IF(YEAR($P41)&gt;J$3-1,0,(12-MONTH($P41)+1)/12)),IF(YEAR($P41)&gt;J$3-1,0,VDB($N41,$O41,$Q41,IF(YEAR($P41)=J$3-1,0,MIN($Q41,(DATE(J$3-1,1,1)-$P41)/365)),MIN($Q41,(DATE(J$3-1,12,31)-$P41)/365),$S41))))</f>
        <v>3277.9760106958902</v>
      </c>
      <c r="J83" s="376">
        <f t="shared" ref="J83:AD83" ca="1" si="31">IF($N41=0,0,IF($R41="SL",SLN($N41,$O41,$Q41)*IF(YEAR($P41)&lt;(K$3-1),IF(YEAR($P41)+$Q41=K$3-1,(MONTH($P41)-1)/12,IF(YEAR($P41)+$Q41&lt;K$3-1,0,1)),IF(YEAR($P41)&gt;K$3-1,0,(12-MONTH($P41)+1)/12)),IF(YEAR($P41)&gt;K$3-1,0,VDB($N41,$O41,$Q41,IF(YEAR($P41)=K$3-1,0,MIN($Q41,(DATE(K$3-1,1,1)-$P41)/365)),MIN($Q41,(DATE(K$3-1,12,31)-$P41)/365),$S41))))</f>
        <v>7541.5013877654783</v>
      </c>
      <c r="K83" s="376">
        <f t="shared" ca="1" si="31"/>
        <v>6766.8201768195613</v>
      </c>
      <c r="L83" s="376">
        <f t="shared" ca="1" si="31"/>
        <v>6090.1381591376066</v>
      </c>
      <c r="M83" s="376">
        <f t="shared" ca="1" si="31"/>
        <v>5481.1243432238462</v>
      </c>
      <c r="N83" s="376">
        <f t="shared" ca="1" si="31"/>
        <v>4946.5641394204195</v>
      </c>
      <c r="O83" s="376">
        <f t="shared" ca="1" si="31"/>
        <v>4635.2814990678753</v>
      </c>
      <c r="P83" s="376">
        <f t="shared" ca="1" si="31"/>
        <v>4635.2814990678753</v>
      </c>
      <c r="Q83" s="376">
        <f t="shared" ca="1" si="31"/>
        <v>4635.2814990678708</v>
      </c>
      <c r="R83" s="376">
        <f t="shared" ca="1" si="31"/>
        <v>4648.0157889004795</v>
      </c>
      <c r="S83" s="376">
        <f t="shared" ca="1" si="31"/>
        <v>4635.2814990678789</v>
      </c>
      <c r="T83" s="376">
        <f t="shared" ca="1" si="31"/>
        <v>4635.2814990678789</v>
      </c>
      <c r="U83" s="376">
        <f t="shared" ca="1" si="31"/>
        <v>4635.2814990678789</v>
      </c>
      <c r="V83" s="376">
        <f t="shared" ca="1" si="31"/>
        <v>4648.0157889004795</v>
      </c>
      <c r="W83" s="376">
        <f t="shared" ca="1" si="31"/>
        <v>4635.2814990678698</v>
      </c>
      <c r="X83" s="376">
        <f t="shared" ca="1" si="31"/>
        <v>2648.7322851816398</v>
      </c>
      <c r="Y83" s="376">
        <f t="shared" ca="1" si="31"/>
        <v>0</v>
      </c>
      <c r="Z83" s="376">
        <f t="shared" ca="1" si="31"/>
        <v>0</v>
      </c>
      <c r="AA83" s="376">
        <f t="shared" ca="1" si="31"/>
        <v>0</v>
      </c>
      <c r="AB83" s="376">
        <f t="shared" ca="1" si="31"/>
        <v>0</v>
      </c>
      <c r="AC83" s="376">
        <f t="shared" ca="1" si="31"/>
        <v>0</v>
      </c>
      <c r="AD83" s="376">
        <f t="shared" ca="1" si="31"/>
        <v>0</v>
      </c>
      <c r="AE83" s="376">
        <f ca="1">IF($N41=0,0,IF($R41="SL",SLN($N41,$O41,$Q41)*IF(YEAR($P41)&lt;(AF$3-1),IF(YEAR($P41)+$Q41=AF$3-1,(MONTH($P41)-1)/12,IF(YEAR($P41)+$Q41&lt;AF$3-1,0,1)),IF(YEAR($P41)&gt;AF$3-1,0,(12-MONTH($P41)+1)/12)),IF(YEAR($P41)&gt;AF$3-1,0,VDB($N41,$O41,$Q41,IF(YEAR($P41)=AF$3-1,0,MIN($Q41,(DATE(AF$3-1,1,1)-$P41)/365)),MIN($Q41,(DATE(AF$3-1,12,31)-$P41)/365),$S41))))</f>
        <v>0</v>
      </c>
      <c r="AF83" s="376">
        <f ca="1">IF($N41=0,0,IF($R41="SL",SLN($N41,$O41,$Q41)*IF(YEAR($P41)&lt;(AG$3-1),IF(YEAR($P41)+$Q41=AG$3-1,(MONTH($P41)-1)/12,IF(YEAR($P41)+$Q41&lt;AG$3-1,0,1)),IF(YEAR($P41)&gt;AG$3-1,0,(12-MONTH($P41)+1)/12)),IF(YEAR($P41)&gt;AG$3-1,0,VDB($N41,$O41,$Q41,IF(YEAR($P41)=AG$3-1,0,MIN($Q41,(DATE(AG$3-1,1,1)-$P41)/365)),MIN($Q41,(DATE(AG$3-1,12,31)-$P41)/365),$S41))))</f>
        <v>0</v>
      </c>
    </row>
    <row r="84" spans="1:32">
      <c r="C84" s="287" t="str">
        <f t="shared" si="29"/>
        <v>Partial Overhaul 1</v>
      </c>
      <c r="I84" s="376">
        <f t="shared" si="30"/>
        <v>0</v>
      </c>
      <c r="J84" s="376">
        <f t="shared" ref="J84:S92" si="32">IF($N42=0,0,IF($R42="SL",SLN($N42,$O42,$Q42)*IF(YEAR($P42)&lt;J$3,IF(YEAR($P42)+$Q42=J$3,(MONTH($P42)-1)/12,IF(YEAR($P42)+$Q42&lt;J$3,0,1)),IF(YEAR($P42)&gt;J$3,0,(12-MONTH($P42)+1)/12)),IF(YEAR($P42)&gt;J$3,0,VDB($N42,$O42,$Q42,IF(YEAR($P42)=J$3,0,MIN($Q42,(DATE(J$3,1,1)-$P42)/365)),MIN($Q42,(DATE(J$3,12,31)-$P42)/365),$S42))))</f>
        <v>0</v>
      </c>
      <c r="K84" s="376">
        <f t="shared" si="32"/>
        <v>0</v>
      </c>
      <c r="L84" s="376">
        <f t="shared" si="32"/>
        <v>0</v>
      </c>
      <c r="M84" s="376">
        <f t="shared" si="32"/>
        <v>103.9980316273077</v>
      </c>
      <c r="N84" s="376">
        <f t="shared" si="32"/>
        <v>230.10419744512444</v>
      </c>
      <c r="O84" s="376">
        <f t="shared" si="32"/>
        <v>186.3434945223602</v>
      </c>
      <c r="P84" s="376">
        <f t="shared" si="32"/>
        <v>151.40408929941771</v>
      </c>
      <c r="Q84" s="376">
        <f t="shared" si="32"/>
        <v>143.30987506996547</v>
      </c>
      <c r="R84" s="376">
        <f t="shared" si="32"/>
        <v>143.70358351795983</v>
      </c>
      <c r="S84" s="376">
        <f t="shared" si="32"/>
        <v>143.31569920871661</v>
      </c>
      <c r="T84" s="376">
        <f t="shared" ref="T84:AC92" si="33">IF($N42=0,0,IF($R42="SL",SLN($N42,$O42,$Q42)*IF(YEAR($P42)&lt;T$3,IF(YEAR($P42)+$Q42=T$3,(MONTH($P42)-1)/12,IF(YEAR($P42)+$Q42&lt;T$3,0,1)),IF(YEAR($P42)&gt;T$3,0,(12-MONTH($P42)+1)/12)),IF(YEAR($P42)&gt;T$3,0,VDB($N42,$O42,$Q42,IF(YEAR($P42)=T$3,0,MIN($Q42,(DATE(T$3,1,1)-$P42)/365)),MIN($Q42,(DATE(T$3,12,31)-$P42)/365),$S42))))</f>
        <v>143.31569920871661</v>
      </c>
      <c r="U84" s="376">
        <f t="shared" si="33"/>
        <v>82.682134158874931</v>
      </c>
      <c r="V84" s="376">
        <f t="shared" si="33"/>
        <v>0</v>
      </c>
      <c r="W84" s="376">
        <f t="shared" si="33"/>
        <v>0</v>
      </c>
      <c r="X84" s="376">
        <f t="shared" si="33"/>
        <v>0</v>
      </c>
      <c r="Y84" s="376">
        <f t="shared" si="33"/>
        <v>0</v>
      </c>
      <c r="Z84" s="376">
        <f t="shared" si="33"/>
        <v>0</v>
      </c>
      <c r="AA84" s="376">
        <f t="shared" si="33"/>
        <v>0</v>
      </c>
      <c r="AB84" s="376">
        <f t="shared" si="33"/>
        <v>0</v>
      </c>
      <c r="AC84" s="376">
        <f t="shared" si="33"/>
        <v>0</v>
      </c>
      <c r="AD84" s="376">
        <f t="shared" ref="AD84:AF92" si="34">IF($N42=0,0,IF($R42="SL",SLN($N42,$O42,$Q42)*IF(YEAR($P42)&lt;AD$3,IF(YEAR($P42)+$Q42=AD$3,(MONTH($P42)-1)/12,IF(YEAR($P42)+$Q42&lt;AD$3,0,1)),IF(YEAR($P42)&gt;AD$3,0,(12-MONTH($P42)+1)/12)),IF(YEAR($P42)&gt;AD$3,0,VDB($N42,$O42,$Q42,IF(YEAR($P42)=AD$3,0,MIN($Q42,(DATE(AD$3,1,1)-$P42)/365)),MIN($Q42,(DATE(AD$3,12,31)-$P42)/365),$S42))))</f>
        <v>0</v>
      </c>
      <c r="AE84" s="376">
        <f t="shared" si="34"/>
        <v>0</v>
      </c>
      <c r="AF84" s="376">
        <f t="shared" si="34"/>
        <v>0</v>
      </c>
    </row>
    <row r="85" spans="1:32" outlineLevel="1">
      <c r="C85" s="287" t="str">
        <f t="shared" si="29"/>
        <v>Complete Overhaul 1</v>
      </c>
      <c r="I85" s="376">
        <f t="shared" si="30"/>
        <v>0</v>
      </c>
      <c r="J85" s="376">
        <f t="shared" si="32"/>
        <v>0</v>
      </c>
      <c r="K85" s="376">
        <f t="shared" si="32"/>
        <v>0</v>
      </c>
      <c r="L85" s="376">
        <f t="shared" si="32"/>
        <v>0</v>
      </c>
      <c r="M85" s="376">
        <f t="shared" si="32"/>
        <v>0</v>
      </c>
      <c r="N85" s="376">
        <f t="shared" si="32"/>
        <v>0</v>
      </c>
      <c r="O85" s="376">
        <f t="shared" si="32"/>
        <v>0</v>
      </c>
      <c r="P85" s="376">
        <f t="shared" si="32"/>
        <v>0</v>
      </c>
      <c r="Q85" s="376">
        <f t="shared" si="32"/>
        <v>360.09475305254</v>
      </c>
      <c r="R85" s="376">
        <f t="shared" si="32"/>
        <v>796.73925418409431</v>
      </c>
      <c r="S85" s="376">
        <f t="shared" si="32"/>
        <v>645.2171602963034</v>
      </c>
      <c r="T85" s="376">
        <f t="shared" si="33"/>
        <v>524.23894274074655</v>
      </c>
      <c r="U85" s="376">
        <f t="shared" si="33"/>
        <v>496.21260389085234</v>
      </c>
      <c r="V85" s="376">
        <f t="shared" si="33"/>
        <v>497.57582533011282</v>
      </c>
      <c r="W85" s="376">
        <f t="shared" si="33"/>
        <v>496.23277005912036</v>
      </c>
      <c r="X85" s="376">
        <f t="shared" si="33"/>
        <v>496.23277005912036</v>
      </c>
      <c r="Y85" s="376">
        <f t="shared" si="33"/>
        <v>286.28813657256927</v>
      </c>
      <c r="Z85" s="376">
        <f t="shared" si="33"/>
        <v>0</v>
      </c>
      <c r="AA85" s="376">
        <f t="shared" si="33"/>
        <v>0</v>
      </c>
      <c r="AB85" s="376">
        <f t="shared" si="33"/>
        <v>0</v>
      </c>
      <c r="AC85" s="376">
        <f t="shared" si="33"/>
        <v>0</v>
      </c>
      <c r="AD85" s="376">
        <f t="shared" si="34"/>
        <v>0</v>
      </c>
      <c r="AE85" s="376">
        <f t="shared" si="34"/>
        <v>0</v>
      </c>
      <c r="AF85" s="376">
        <f t="shared" si="34"/>
        <v>0</v>
      </c>
    </row>
    <row r="86" spans="1:32" outlineLevel="1">
      <c r="C86" s="287" t="str">
        <f t="shared" si="29"/>
        <v>Partial Overhaul 2</v>
      </c>
      <c r="I86" s="376">
        <f t="shared" si="30"/>
        <v>0</v>
      </c>
      <c r="J86" s="376">
        <f t="shared" si="32"/>
        <v>0</v>
      </c>
      <c r="K86" s="376">
        <f t="shared" si="32"/>
        <v>0</v>
      </c>
      <c r="L86" s="376">
        <f t="shared" si="32"/>
        <v>0</v>
      </c>
      <c r="M86" s="376">
        <f t="shared" si="32"/>
        <v>0</v>
      </c>
      <c r="N86" s="376">
        <f t="shared" si="32"/>
        <v>0</v>
      </c>
      <c r="O86" s="376">
        <f t="shared" si="32"/>
        <v>0</v>
      </c>
      <c r="P86" s="376">
        <f t="shared" si="32"/>
        <v>0</v>
      </c>
      <c r="Q86" s="376">
        <f t="shared" si="32"/>
        <v>0</v>
      </c>
      <c r="R86" s="376">
        <f t="shared" si="32"/>
        <v>0</v>
      </c>
      <c r="S86" s="376">
        <f t="shared" si="32"/>
        <v>0</v>
      </c>
      <c r="T86" s="376">
        <f t="shared" si="33"/>
        <v>0</v>
      </c>
      <c r="U86" s="376">
        <f t="shared" si="33"/>
        <v>146.06486698181737</v>
      </c>
      <c r="V86" s="376">
        <f t="shared" si="33"/>
        <v>323.18053011067406</v>
      </c>
      <c r="W86" s="376">
        <f t="shared" si="33"/>
        <v>261.71877788875975</v>
      </c>
      <c r="X86" s="376">
        <f t="shared" si="33"/>
        <v>212.64650703461737</v>
      </c>
      <c r="Y86" s="376">
        <f t="shared" si="33"/>
        <v>201.27821182510658</v>
      </c>
      <c r="Z86" s="376">
        <f t="shared" si="33"/>
        <v>201.83117394550516</v>
      </c>
      <c r="AA86" s="376">
        <f t="shared" si="33"/>
        <v>201.28639180734913</v>
      </c>
      <c r="AB86" s="376">
        <f t="shared" si="33"/>
        <v>201.28639180734913</v>
      </c>
      <c r="AC86" s="376">
        <f t="shared" si="33"/>
        <v>116.12676450423982</v>
      </c>
      <c r="AD86" s="376">
        <f t="shared" si="34"/>
        <v>0</v>
      </c>
      <c r="AE86" s="376">
        <f t="shared" si="34"/>
        <v>0</v>
      </c>
      <c r="AF86" s="376">
        <f t="shared" si="34"/>
        <v>0</v>
      </c>
    </row>
    <row r="87" spans="1:32" outlineLevel="1">
      <c r="C87" s="287" t="str">
        <f t="shared" si="29"/>
        <v>Complete Overhaul 2</v>
      </c>
      <c r="I87" s="376">
        <f t="shared" si="30"/>
        <v>0</v>
      </c>
      <c r="J87" s="376">
        <f t="shared" si="32"/>
        <v>0</v>
      </c>
      <c r="K87" s="376">
        <f t="shared" si="32"/>
        <v>0</v>
      </c>
      <c r="L87" s="376">
        <f t="shared" si="32"/>
        <v>0</v>
      </c>
      <c r="M87" s="376">
        <f t="shared" si="32"/>
        <v>0</v>
      </c>
      <c r="N87" s="376">
        <f t="shared" si="32"/>
        <v>0</v>
      </c>
      <c r="O87" s="376">
        <f t="shared" si="32"/>
        <v>0</v>
      </c>
      <c r="P87" s="376">
        <f t="shared" si="32"/>
        <v>0</v>
      </c>
      <c r="Q87" s="376">
        <f t="shared" si="32"/>
        <v>0</v>
      </c>
      <c r="R87" s="376">
        <f t="shared" si="32"/>
        <v>0</v>
      </c>
      <c r="S87" s="376">
        <f t="shared" si="32"/>
        <v>0</v>
      </c>
      <c r="T87" s="376">
        <f t="shared" si="33"/>
        <v>0</v>
      </c>
      <c r="U87" s="376">
        <f t="shared" si="33"/>
        <v>0</v>
      </c>
      <c r="V87" s="376">
        <f t="shared" si="33"/>
        <v>0</v>
      </c>
      <c r="W87" s="376">
        <f t="shared" si="33"/>
        <v>0</v>
      </c>
      <c r="X87" s="376">
        <f t="shared" si="33"/>
        <v>0</v>
      </c>
      <c r="Y87" s="376">
        <f t="shared" si="33"/>
        <v>504.70435560455547</v>
      </c>
      <c r="Z87" s="376">
        <f t="shared" si="33"/>
        <v>1116.6998920674805</v>
      </c>
      <c r="AA87" s="376">
        <f t="shared" si="33"/>
        <v>904.32839787819296</v>
      </c>
      <c r="AB87" s="376">
        <f t="shared" si="33"/>
        <v>734.76682327603191</v>
      </c>
      <c r="AC87" s="376">
        <f t="shared" si="33"/>
        <v>695.48545311086593</v>
      </c>
      <c r="AD87" s="376">
        <f t="shared" si="34"/>
        <v>697.39612743259897</v>
      </c>
      <c r="AE87" s="376">
        <f t="shared" si="34"/>
        <v>695.51371776308417</v>
      </c>
      <c r="AF87" s="376">
        <f t="shared" si="34"/>
        <v>695.51371776308417</v>
      </c>
    </row>
    <row r="88" spans="1:32" outlineLevel="1">
      <c r="C88" s="1332" t="str">
        <f>+L46</f>
        <v>Contract Buy-Out</v>
      </c>
      <c r="D88" s="1332"/>
      <c r="E88" s="1332"/>
      <c r="F88" s="1332"/>
      <c r="G88" s="1332"/>
      <c r="H88" s="1332"/>
      <c r="I88" s="1333">
        <f>IF(Summary!O109=1,-1,1)*IF($N46=0,0,IF($R46="SL",SLN($N46,$O46,$Q46)*IF(YEAR($P46)&lt;(J$3-1),IF(YEAR($P46)+$Q46=J$3-1,(MONTH($P46)-1)/12,IF(YEAR($P46)+$Q46&lt;J$3-1,0,1)),IF(YEAR($P46)&gt;J$3-1,0,(12-MONTH($P46)+1)/12)),IF(YEAR($P46)&gt;J$3-1,0,VDB($N46,$O46,$Q46,IF(YEAR($P46)=J$3-1,0,MIN($Q46,(DATE(J$3-1,1,1)-$P46)/365)),MIN($Q46,(DATE(J$3-1,12,31)-$P46)/365),$S46))))</f>
        <v>0</v>
      </c>
      <c r="J88" s="1333">
        <f>IF(Summary!O109=1,-1,1)*IF($N46=0,0,IF($R46="SL",SLN($N46,$O46,$Q46)*IF(YEAR($P46)&lt;J$3,IF(YEAR($P46)+$Q46=J$3,(MONTH($P46)-1)/12,IF(YEAR($P46)+$Q46&lt;J$3,0,1)),IF(YEAR($P46)&gt;J$3,0,(12-MONTH($P46)+1)/12)),IF(YEAR($P46)&gt;J$3,0,VDB($N46,$O46,$Q46,IF(YEAR($P46)=J$3,0,MIN($Q46,(DATE(J$3,1,1)-$P46)/365)),MIN($Q46,(DATE(J$3,12,31)-$P46)/365),$S46))))</f>
        <v>0</v>
      </c>
      <c r="K88" s="1333">
        <f>IF(Summary!O109=1,-1,1)*IF($N46=0,0,IF($R46="SL",SLN($N46,$O46,$Q46)*IF(YEAR($P46)&lt;K$3,IF(YEAR($P46)+$Q46=K$3,(MONTH($P46)-1)/12,IF(YEAR($P46)+$Q46&lt;K$3,0,1)),IF(YEAR($P46)&gt;K$3,0,(12-MONTH($P46)+1)/12)),IF(YEAR($P46)&gt;K$3,0,VDB($N46,$O46,$Q46,IF(YEAR($P46)=K$3,0,MIN($Q46,(DATE(K$3,1,1)-$P46)/365)),MIN($Q46,(DATE(K$3,12,31)-$P46)/365),$S46))))</f>
        <v>0</v>
      </c>
      <c r="L88" s="1333">
        <f>IF(Summary!O109=1,-1,1)*IF($N46=0,0,IF($R46="SL",SLN($N46,$O46,$Q46)*IF(YEAR($P46)&lt;L$3,IF(YEAR($P46)+$Q46=L$3,(MONTH($P46)-1)/12,IF(YEAR($P46)+$Q46&lt;L$3,0,1)),IF(YEAR($P46)&gt;L$3,0,(12-MONTH($P46)+1)/12)),IF(YEAR($P46)&gt;L$3,0,VDB($N46,$O46,$Q46,IF(YEAR($P46)=L$3,0,MIN($Q46,(DATE(L$3,1,1)-$P46)/365)),MIN($Q46,(DATE(L$3,12,31)-$P46)/365),$S46))))</f>
        <v>0</v>
      </c>
      <c r="M88" s="1333">
        <f>IF(Summary!O109=1,-1,1)*IF($N46=0,0,IF($R46="SL",SLN($N46,$O46,$Q46)*IF(YEAR($P46)&lt;M$3,IF(YEAR($P46)+$Q46=M$3,(MONTH($P46)-1)/12,IF(YEAR($P46)+$Q46&lt;M$3,0,1)),IF(YEAR($P46)&gt;M$3,0,(12-MONTH($P46)+1)/12)),IF(YEAR($P46)&gt;M$3,0,VDB($N46,$O46,$Q46,IF(YEAR($P46)=M$3,0,MIN($Q46,(DATE(M$3,1,1)-$P46)/365)),MIN($Q46,(DATE(M$3,12,31)-$P46)/365),$S46))))</f>
        <v>0</v>
      </c>
      <c r="N88" s="1333">
        <f>IF(Summary!O109=1,-1,1)*IF($N46=0,0,IF($R46="SL",SLN($N46,$O46,$Q46)*IF(YEAR($P46)&lt;N$3,IF(YEAR($P46)+$Q46=N$3,(MONTH($P46)-1)/12,IF(YEAR($P46)+$Q46&lt;N$3,0,1)),IF(YEAR($P46)&gt;N$3,0,(12-MONTH($P46)+1)/12)),IF(YEAR($P46)&gt;N$3,0,VDB($N46,$O46,$Q46,IF(YEAR($P46)=N$3,0,MIN($Q46,(DATE(N$3,1,1)-$P46)/365)),MIN($Q46,(DATE(N$3,12,31)-$P46)/365),$S46))))</f>
        <v>0</v>
      </c>
      <c r="O88" s="1333">
        <f>IF(Summary!O109=1,-1,1)*IF($N46=0,0,IF($R46="SL",SLN($N46,$O46,$Q46)*IF(YEAR($P46)&lt;O$3,IF(YEAR($P46)+$Q46=O$3,(MONTH($P46)-1)/12,IF(YEAR($P46)+$Q46&lt;O$3,0,1)),IF(YEAR($P46)&gt;O$3,0,(12-MONTH($P46)+1)/12)),IF(YEAR($P46)&gt;O$3,0,VDB($N46,$O46,$Q46,IF(YEAR($P46)=O$3,0,MIN($Q46,(DATE(O$3,1,1)-$P46)/365)),MIN($Q46,(DATE(O$3,12,31)-$P46)/365),$S46))))</f>
        <v>0</v>
      </c>
      <c r="P88" s="1333">
        <f>IF(Summary!O109=1,-1,1)*IF($N46=0,0,IF($R46="SL",SLN($N46,$O46,$Q46)*IF(YEAR($P46)&lt;P$3,IF(YEAR($P46)+$Q46=P$3,(MONTH($P46)-1)/12,IF(YEAR($P46)+$Q46&lt;P$3,0,1)),IF(YEAR($P46)&gt;P$3,0,(12-MONTH($P46)+1)/12)),IF(YEAR($P46)&gt;P$3,0,VDB($N46,$O46,$Q46,IF(YEAR($P46)=P$3,0,MIN($Q46,(DATE(P$3,1,1)-$P46)/365)),MIN($Q46,(DATE(P$3,12,31)-$P46)/365),$S46))))</f>
        <v>0</v>
      </c>
      <c r="Q88" s="1333">
        <f>IF(Summary!O109=1,-1,1)*IF($N46=0,0,IF($R46="SL",SLN($N46,$O46,$Q46)*IF(YEAR($P46)&lt;Q$3,IF(YEAR($P46)+$Q46=Q$3,(MONTH($P46)-1)/12,IF(YEAR($P46)+$Q46&lt;Q$3,0,1)),IF(YEAR($P46)&gt;Q$3,0,(12-MONTH($P46)+1)/12)),IF(YEAR($P46)&gt;Q$3,0,VDB($N46,$O46,$Q46,IF(YEAR($P46)=Q$3,0,MIN($Q46,(DATE(Q$3,1,1)-$P46)/365)),MIN($Q46,(DATE(Q$3,12,31)-$P46)/365),$S46))))</f>
        <v>0</v>
      </c>
      <c r="R88" s="1333">
        <f>IF(Summary!O109=1,-1,1)*IF($N46=0,0,IF($R46="SL",SLN($N46,$O46,$Q46)*IF(YEAR($P46)&lt;R$3,IF(YEAR($P46)+$Q46=R$3,(MONTH($P46)-1)/12,IF(YEAR($P46)+$Q46&lt;R$3,0,1)),IF(YEAR($P46)&gt;R$3,0,(12-MONTH($P46)+1)/12)),IF(YEAR($P46)&gt;R$3,0,VDB($N46,$O46,$Q46,IF(YEAR($P46)=R$3,0,MIN($Q46,(DATE(R$3,1,1)-$P46)/365)),MIN($Q46,(DATE(R$3,12,31)-$P46)/365),$S46))))</f>
        <v>0</v>
      </c>
      <c r="S88" s="1333">
        <f>IF(Summary!O109=1,-1,1)*IF($N46=0,0,IF($R46="SL",SLN($N46,$O46,$Q46)*IF(YEAR($P46)&lt;S$3,IF(YEAR($P46)+$Q46=S$3,(MONTH($P46)-1)/12,IF(YEAR($P46)+$Q46&lt;S$3,0,1)),IF(YEAR($P46)&gt;S$3,0,(12-MONTH($P46)+1)/12)),IF(YEAR($P46)&gt;S$3,0,VDB($N46,$O46,$Q46,IF(YEAR($P46)=S$3,0,MIN($Q46,(DATE(S$3,1,1)-$P46)/365)),MIN($Q46,(DATE(S$3,12,31)-$P46)/365),$S46))))</f>
        <v>0</v>
      </c>
      <c r="T88" s="1333">
        <f>IF(Summary!O109=1,-1,1)*IF($N46=0,0,IF($R46="SL",SLN($N46,$O46,$Q46)*IF(YEAR($P46)&lt;T$3,IF(YEAR($P46)+$Q46=T$3,(MONTH($P46)-1)/12,IF(YEAR($P46)+$Q46&lt;T$3,0,1)),IF(YEAR($P46)&gt;T$3,0,(12-MONTH($P46)+1)/12)),IF(YEAR($P46)&gt;T$3,0,VDB($N46,$O46,$Q46,IF(YEAR($P46)=T$3,0,MIN($Q46,(DATE(T$3,1,1)-$P46)/365)),MIN($Q46,(DATE(T$3,12,31)-$P46)/365),$S46))))</f>
        <v>0</v>
      </c>
      <c r="U88" s="1333">
        <f>IF(Summary!O109=1,-1,1)*IF($N46=0,0,IF($R46="SL",SLN($N46,$O46,$Q46)*IF(YEAR($P46)&lt;U$3,IF(YEAR($P46)+$Q46=U$3,(MONTH($P46)-1)/12,IF(YEAR($P46)+$Q46&lt;U$3,0,1)),IF(YEAR($P46)&gt;U$3,0,(12-MONTH($P46)+1)/12)),IF(YEAR($P46)&gt;U$3,0,VDB($N46,$O46,$Q46,IF(YEAR($P46)=U$3,0,MIN($Q46,(DATE(U$3,1,1)-$P46)/365)),MIN($Q46,(DATE(U$3,12,31)-$P46)/365),$S46))))</f>
        <v>0</v>
      </c>
      <c r="V88" s="1333">
        <f>IF(Summary!O109=1,-1,1)*IF($N46=0,0,IF($R46="SL",SLN($N46,$O46,$Q46)*IF(YEAR($P46)&lt;V$3,IF(YEAR($P46)+$Q46=V$3,(MONTH($P46)-1)/12,IF(YEAR($P46)+$Q46&lt;V$3,0,1)),IF(YEAR($P46)&gt;V$3,0,(12-MONTH($P46)+1)/12)),IF(YEAR($P46)&gt;V$3,0,VDB($N46,$O46,$Q46,IF(YEAR($P46)=V$3,0,MIN($Q46,(DATE(V$3,1,1)-$P46)/365)),MIN($Q46,(DATE(V$3,12,31)-$P46)/365),$S46))))</f>
        <v>0</v>
      </c>
      <c r="W88" s="1333">
        <f>IF(Summary!O109=1,-1,1)*IF($N46=0,0,IF($R46="SL",SLN($N46,$O46,$Q46)*IF(YEAR($P46)&lt;W$3,IF(YEAR($P46)+$Q46=W$3,(MONTH($P46)-1)/12,IF(YEAR($P46)+$Q46&lt;W$3,0,1)),IF(YEAR($P46)&gt;W$3,0,(12-MONTH($P46)+1)/12)),IF(YEAR($P46)&gt;W$3,0,VDB($N46,$O46,$Q46,IF(YEAR($P46)=W$3,0,MIN($Q46,(DATE(W$3,1,1)-$P46)/365)),MIN($Q46,(DATE(W$3,12,31)-$P46)/365),$S46))))</f>
        <v>0</v>
      </c>
      <c r="X88" s="1333">
        <f>IF(Summary!O109=1,-1,1)*IF($N46=0,0,IF($R46="SL",SLN($N46,$O46,$Q46)*IF(YEAR($P46)&lt;X$3,IF(YEAR($P46)+$Q46=X$3,(MONTH($P46)-1)/12,IF(YEAR($P46)+$Q46&lt;X$3,0,1)),IF(YEAR($P46)&gt;X$3,0,(12-MONTH($P46)+1)/12)),IF(YEAR($P46)&gt;X$3,0,VDB($N46,$O46,$Q46,IF(YEAR($P46)=X$3,0,MIN($Q46,(DATE(X$3,1,1)-$P46)/365)),MIN($Q46,(DATE(X$3,12,31)-$P46)/365),$S46))))</f>
        <v>0</v>
      </c>
      <c r="Y88" s="1333">
        <f>IF(Summary!O109=1,-1,1)*IF($N46=0,0,IF($R46="SL",SLN($N46,$O46,$Q46)*IF(YEAR($P46)&lt;Y$3,IF(YEAR($P46)+$Q46=Y$3,(MONTH($P46)-1)/12,IF(YEAR($P46)+$Q46&lt;Y$3,0,1)),IF(YEAR($P46)&gt;Y$3,0,(12-MONTH($P46)+1)/12)),IF(YEAR($P46)&gt;Y$3,0,VDB($N46,$O46,$Q46,IF(YEAR($P46)=Y$3,0,MIN($Q46,(DATE(Y$3,1,1)-$P46)/365)),MIN($Q46,(DATE(Y$3,12,31)-$P46)/365),$S46))))</f>
        <v>0</v>
      </c>
      <c r="Z88" s="1333">
        <f>IF(Summary!O109=1,-1,1)*IF($N46=0,0,IF($R46="SL",SLN($N46,$O46,$Q46)*IF(YEAR($P46)&lt;Z$3,IF(YEAR($P46)+$Q46=Z$3,(MONTH($P46)-1)/12,IF(YEAR($P46)+$Q46&lt;Z$3,0,1)),IF(YEAR($P46)&gt;Z$3,0,(12-MONTH($P46)+1)/12)),IF(YEAR($P46)&gt;Z$3,0,VDB($N46,$O46,$Q46,IF(YEAR($P46)=Z$3,0,MIN($Q46,(DATE(Z$3,1,1)-$P46)/365)),MIN($Q46,(DATE(Z$3,12,31)-$P46)/365),$S46))))</f>
        <v>0</v>
      </c>
      <c r="AA88" s="1333">
        <f>IF(Summary!O109=1,-1,1)*IF($N46=0,0,IF($R46="SL",SLN($N46,$O46,$Q46)*IF(YEAR($P46)&lt;AA$3,IF(YEAR($P46)+$Q46=AA$3,(MONTH($P46)-1)/12,IF(YEAR($P46)+$Q46&lt;AA$3,0,1)),IF(YEAR($P46)&gt;AA$3,0,(12-MONTH($P46)+1)/12)),IF(YEAR($P46)&gt;AA$3,0,VDB($N46,$O46,$Q46,IF(YEAR($P46)=AA$3,0,MIN($Q46,(DATE(AA$3,1,1)-$P46)/365)),MIN($Q46,(DATE(AA$3,12,31)-$P46)/365),$S46))))</f>
        <v>0</v>
      </c>
      <c r="AB88" s="1333">
        <f>IF(Summary!O109=1,-1,1)*IF($N46=0,0,IF($R46="SL",SLN($N46,$O46,$Q46)*IF(YEAR($P46)&lt;AB$3,IF(YEAR($P46)+$Q46=AB$3,(MONTH($P46)-1)/12,IF(YEAR($P46)+$Q46&lt;AB$3,0,1)),IF(YEAR($P46)&gt;AB$3,0,(12-MONTH($P46)+1)/12)),IF(YEAR($P46)&gt;AB$3,0,VDB($N46,$O46,$Q46,IF(YEAR($P46)=AB$3,0,MIN($Q46,(DATE(AB$3,1,1)-$P46)/365)),MIN($Q46,(DATE(AB$3,12,31)-$P46)/365),$S46))))</f>
        <v>0</v>
      </c>
      <c r="AC88" s="1333">
        <f>IF(Summary!O109=1,-1,1)*IF($N46=0,0,IF($R46="SL",SLN($N46,$O46,$Q46)*IF(YEAR($P46)&lt;AC$3,IF(YEAR($P46)+$Q46=AC$3,(MONTH($P46)-1)/12,IF(YEAR($P46)+$Q46&lt;AC$3,0,1)),IF(YEAR($P46)&gt;AC$3,0,(12-MONTH($P46)+1)/12)),IF(YEAR($P46)&gt;AC$3,0,VDB($N46,$O46,$Q46,IF(YEAR($P46)=AC$3,0,MIN($Q46,(DATE(AC$3,1,1)-$P46)/365)),MIN($Q46,(DATE(AC$3,12,31)-$P46)/365),$S46))))</f>
        <v>0</v>
      </c>
      <c r="AD88" s="1333">
        <f>IF(Summary!O109=1,-1,1)*IF($N46=0,0,IF($R46="SL",SLN($N46,$O46,$Q46)*IF(YEAR($P46)&lt;AD$3,IF(YEAR($P46)+$Q46=AD$3,(MONTH($P46)-1)/12,IF(YEAR($P46)+$Q46&lt;AD$3,0,1)),IF(YEAR($P46)&gt;AD$3,0,(12-MONTH($P46)+1)/12)),IF(YEAR($P46)&gt;AD$3,0,VDB($N46,$O46,$Q46,IF(YEAR($P46)=AD$3,0,MIN($Q46,(DATE(AD$3,1,1)-$P46)/365)),MIN($Q46,(DATE(AD$3,12,31)-$P46)/365),$S46))))</f>
        <v>0</v>
      </c>
      <c r="AE88" s="1333">
        <f>IF(Summary!O109=1,-1,1)*IF($N46=0,0,IF($R46="SL",SLN($N46,$O46,$Q46)*IF(YEAR($P46)&lt;AE$3,IF(YEAR($P46)+$Q46=AE$3,(MONTH($P46)-1)/12,IF(YEAR($P46)+$Q46&lt;AE$3,0,1)),IF(YEAR($P46)&gt;AE$3,0,(12-MONTH($P46)+1)/12)),IF(YEAR($P46)&gt;AE$3,0,VDB($N46,$O46,$Q46,IF(YEAR($P46)=AE$3,0,MIN($Q46,(DATE(AE$3,1,1)-$P46)/365)),MIN($Q46,(DATE(AE$3,12,31)-$P46)/365),$S46))))</f>
        <v>0</v>
      </c>
      <c r="AF88" s="1333">
        <f>IF(Summary!O109=1,-1,1)*IF($N46=0,0,IF($R46="SL",SLN($N46,$O46,$Q46)*IF(YEAR($P46)&lt;AF$3,IF(YEAR($P46)+$Q46=AF$3,(MONTH($P46)-1)/12,IF(YEAR($P46)+$Q46&lt;AF$3,0,1)),IF(YEAR($P46)&gt;AF$3,0,(12-MONTH($P46)+1)/12)),IF(YEAR($P46)&gt;AF$3,0,VDB($N46,$O46,$Q46,IF(YEAR($P46)=AF$3,0,MIN($Q46,(DATE(AF$3,1,1)-$P46)/365)),MIN($Q46,(DATE(AF$3,12,31)-$P46)/365),$S46))))</f>
        <v>0</v>
      </c>
    </row>
    <row r="89" spans="1:32" outlineLevel="1">
      <c r="C89" s="287" t="str">
        <f t="shared" si="29"/>
        <v>Asset 6</v>
      </c>
      <c r="I89" s="376">
        <f t="shared" si="30"/>
        <v>0</v>
      </c>
      <c r="J89" s="376">
        <f t="shared" si="32"/>
        <v>0</v>
      </c>
      <c r="K89" s="376">
        <f t="shared" si="32"/>
        <v>0</v>
      </c>
      <c r="L89" s="376">
        <f t="shared" si="32"/>
        <v>0</v>
      </c>
      <c r="M89" s="376">
        <f t="shared" si="32"/>
        <v>0</v>
      </c>
      <c r="N89" s="376">
        <f t="shared" si="32"/>
        <v>0</v>
      </c>
      <c r="O89" s="376">
        <f t="shared" si="32"/>
        <v>0</v>
      </c>
      <c r="P89" s="376">
        <f t="shared" si="32"/>
        <v>0</v>
      </c>
      <c r="Q89" s="376">
        <f t="shared" si="32"/>
        <v>0</v>
      </c>
      <c r="R89" s="376">
        <f t="shared" si="32"/>
        <v>0</v>
      </c>
      <c r="S89" s="376">
        <f t="shared" si="32"/>
        <v>0</v>
      </c>
      <c r="T89" s="376">
        <f t="shared" si="33"/>
        <v>0</v>
      </c>
      <c r="U89" s="376">
        <f t="shared" si="33"/>
        <v>0</v>
      </c>
      <c r="V89" s="376">
        <f t="shared" si="33"/>
        <v>0</v>
      </c>
      <c r="W89" s="376">
        <f t="shared" si="33"/>
        <v>0</v>
      </c>
      <c r="X89" s="376">
        <f t="shared" si="33"/>
        <v>0</v>
      </c>
      <c r="Y89" s="376">
        <f t="shared" si="33"/>
        <v>0</v>
      </c>
      <c r="Z89" s="376">
        <f t="shared" si="33"/>
        <v>0</v>
      </c>
      <c r="AA89" s="376">
        <f t="shared" si="33"/>
        <v>0</v>
      </c>
      <c r="AB89" s="376">
        <f t="shared" si="33"/>
        <v>0</v>
      </c>
      <c r="AC89" s="376">
        <f t="shared" si="33"/>
        <v>0</v>
      </c>
      <c r="AD89" s="376">
        <f t="shared" si="34"/>
        <v>0</v>
      </c>
      <c r="AE89" s="376">
        <f t="shared" si="34"/>
        <v>0</v>
      </c>
      <c r="AF89" s="376">
        <f t="shared" si="34"/>
        <v>0</v>
      </c>
    </row>
    <row r="90" spans="1:32" outlineLevel="1">
      <c r="C90" s="287" t="str">
        <f t="shared" si="29"/>
        <v>Asset 8</v>
      </c>
      <c r="I90" s="376">
        <f t="shared" si="30"/>
        <v>0</v>
      </c>
      <c r="J90" s="376">
        <f t="shared" si="32"/>
        <v>0</v>
      </c>
      <c r="K90" s="376">
        <f t="shared" si="32"/>
        <v>0</v>
      </c>
      <c r="L90" s="376">
        <f t="shared" si="32"/>
        <v>0</v>
      </c>
      <c r="M90" s="376">
        <f t="shared" si="32"/>
        <v>0</v>
      </c>
      <c r="N90" s="376">
        <f t="shared" si="32"/>
        <v>0</v>
      </c>
      <c r="O90" s="376">
        <f t="shared" si="32"/>
        <v>0</v>
      </c>
      <c r="P90" s="376">
        <f t="shared" si="32"/>
        <v>0</v>
      </c>
      <c r="Q90" s="376">
        <f t="shared" si="32"/>
        <v>0</v>
      </c>
      <c r="R90" s="376">
        <f t="shared" si="32"/>
        <v>0</v>
      </c>
      <c r="S90" s="376">
        <f t="shared" si="32"/>
        <v>0</v>
      </c>
      <c r="T90" s="376">
        <f t="shared" si="33"/>
        <v>0</v>
      </c>
      <c r="U90" s="376">
        <f t="shared" si="33"/>
        <v>0</v>
      </c>
      <c r="V90" s="376">
        <f t="shared" si="33"/>
        <v>0</v>
      </c>
      <c r="W90" s="376">
        <f t="shared" si="33"/>
        <v>0</v>
      </c>
      <c r="X90" s="376">
        <f t="shared" si="33"/>
        <v>0</v>
      </c>
      <c r="Y90" s="376">
        <f t="shared" si="33"/>
        <v>0</v>
      </c>
      <c r="Z90" s="376">
        <f t="shared" si="33"/>
        <v>0</v>
      </c>
      <c r="AA90" s="376">
        <f t="shared" si="33"/>
        <v>0</v>
      </c>
      <c r="AB90" s="376">
        <f t="shared" si="33"/>
        <v>0</v>
      </c>
      <c r="AC90" s="376">
        <f t="shared" si="33"/>
        <v>0</v>
      </c>
      <c r="AD90" s="376">
        <f t="shared" si="34"/>
        <v>0</v>
      </c>
      <c r="AE90" s="376">
        <f t="shared" si="34"/>
        <v>0</v>
      </c>
      <c r="AF90" s="376">
        <f t="shared" si="34"/>
        <v>0</v>
      </c>
    </row>
    <row r="91" spans="1:32" outlineLevel="1">
      <c r="C91" s="287" t="str">
        <f t="shared" si="29"/>
        <v>Asset 9</v>
      </c>
      <c r="I91" s="376">
        <f t="shared" si="30"/>
        <v>0</v>
      </c>
      <c r="J91" s="376">
        <f t="shared" si="32"/>
        <v>0</v>
      </c>
      <c r="K91" s="376">
        <f t="shared" si="32"/>
        <v>0</v>
      </c>
      <c r="L91" s="376">
        <f t="shared" si="32"/>
        <v>0</v>
      </c>
      <c r="M91" s="376">
        <f t="shared" si="32"/>
        <v>0</v>
      </c>
      <c r="N91" s="376">
        <f t="shared" si="32"/>
        <v>0</v>
      </c>
      <c r="O91" s="376">
        <f t="shared" si="32"/>
        <v>0</v>
      </c>
      <c r="P91" s="376">
        <f t="shared" si="32"/>
        <v>0</v>
      </c>
      <c r="Q91" s="376">
        <f t="shared" si="32"/>
        <v>0</v>
      </c>
      <c r="R91" s="376">
        <f t="shared" si="32"/>
        <v>0</v>
      </c>
      <c r="S91" s="376">
        <f t="shared" si="32"/>
        <v>0</v>
      </c>
      <c r="T91" s="376">
        <f t="shared" si="33"/>
        <v>0</v>
      </c>
      <c r="U91" s="376">
        <f t="shared" si="33"/>
        <v>0</v>
      </c>
      <c r="V91" s="376">
        <f t="shared" si="33"/>
        <v>0</v>
      </c>
      <c r="W91" s="376">
        <f t="shared" si="33"/>
        <v>0</v>
      </c>
      <c r="X91" s="376">
        <f t="shared" si="33"/>
        <v>0</v>
      </c>
      <c r="Y91" s="376">
        <f t="shared" si="33"/>
        <v>0</v>
      </c>
      <c r="Z91" s="376">
        <f t="shared" si="33"/>
        <v>0</v>
      </c>
      <c r="AA91" s="376">
        <f t="shared" si="33"/>
        <v>0</v>
      </c>
      <c r="AB91" s="376">
        <f t="shared" si="33"/>
        <v>0</v>
      </c>
      <c r="AC91" s="376">
        <f t="shared" si="33"/>
        <v>0</v>
      </c>
      <c r="AD91" s="376">
        <f t="shared" si="34"/>
        <v>0</v>
      </c>
      <c r="AE91" s="376">
        <f t="shared" si="34"/>
        <v>0</v>
      </c>
      <c r="AF91" s="376">
        <f t="shared" si="34"/>
        <v>0</v>
      </c>
    </row>
    <row r="92" spans="1:32" outlineLevel="1">
      <c r="C92" s="287" t="str">
        <f t="shared" si="29"/>
        <v>Asset 10</v>
      </c>
      <c r="I92" s="376">
        <f t="shared" si="30"/>
        <v>0</v>
      </c>
      <c r="J92" s="376">
        <f t="shared" si="32"/>
        <v>0</v>
      </c>
      <c r="K92" s="376">
        <f t="shared" si="32"/>
        <v>0</v>
      </c>
      <c r="L92" s="376">
        <f t="shared" si="32"/>
        <v>0</v>
      </c>
      <c r="M92" s="376">
        <f t="shared" si="32"/>
        <v>0</v>
      </c>
      <c r="N92" s="376">
        <f t="shared" si="32"/>
        <v>0</v>
      </c>
      <c r="O92" s="376">
        <f t="shared" si="32"/>
        <v>0</v>
      </c>
      <c r="P92" s="376">
        <f t="shared" si="32"/>
        <v>0</v>
      </c>
      <c r="Q92" s="376">
        <f t="shared" si="32"/>
        <v>0</v>
      </c>
      <c r="R92" s="376">
        <f t="shared" si="32"/>
        <v>0</v>
      </c>
      <c r="S92" s="376">
        <f t="shared" si="32"/>
        <v>0</v>
      </c>
      <c r="T92" s="376">
        <f t="shared" si="33"/>
        <v>0</v>
      </c>
      <c r="U92" s="376">
        <f t="shared" si="33"/>
        <v>0</v>
      </c>
      <c r="V92" s="376">
        <f t="shared" si="33"/>
        <v>0</v>
      </c>
      <c r="W92" s="376">
        <f t="shared" si="33"/>
        <v>0</v>
      </c>
      <c r="X92" s="376">
        <f t="shared" si="33"/>
        <v>0</v>
      </c>
      <c r="Y92" s="376">
        <f t="shared" si="33"/>
        <v>0</v>
      </c>
      <c r="Z92" s="376">
        <f t="shared" si="33"/>
        <v>0</v>
      </c>
      <c r="AA92" s="376">
        <f t="shared" si="33"/>
        <v>0</v>
      </c>
      <c r="AB92" s="376">
        <f t="shared" si="33"/>
        <v>0</v>
      </c>
      <c r="AC92" s="376">
        <f t="shared" si="33"/>
        <v>0</v>
      </c>
      <c r="AD92" s="376">
        <f t="shared" si="34"/>
        <v>0</v>
      </c>
      <c r="AE92" s="376">
        <f t="shared" si="34"/>
        <v>0</v>
      </c>
      <c r="AF92" s="376">
        <f t="shared" si="34"/>
        <v>0</v>
      </c>
    </row>
    <row r="93" spans="1:32">
      <c r="B93" s="369" t="s">
        <v>964</v>
      </c>
      <c r="C93" s="326"/>
      <c r="D93" s="348"/>
      <c r="E93" s="348"/>
      <c r="F93" s="348"/>
      <c r="G93" s="348"/>
      <c r="H93" s="348"/>
      <c r="I93" s="377">
        <f t="shared" ref="I93:R93" ca="1" si="35">SUM(I83:I92)</f>
        <v>3277.9760106958902</v>
      </c>
      <c r="J93" s="377">
        <f t="shared" ca="1" si="35"/>
        <v>7541.5013877654783</v>
      </c>
      <c r="K93" s="377">
        <f t="shared" ca="1" si="35"/>
        <v>6766.8201768195613</v>
      </c>
      <c r="L93" s="377">
        <f t="shared" ca="1" si="35"/>
        <v>6090.1381591376066</v>
      </c>
      <c r="M93" s="377">
        <f t="shared" ca="1" si="35"/>
        <v>5585.1223748511538</v>
      </c>
      <c r="N93" s="377">
        <f t="shared" ca="1" si="35"/>
        <v>5176.668336865544</v>
      </c>
      <c r="O93" s="377">
        <f t="shared" ca="1" si="35"/>
        <v>4821.6249935902351</v>
      </c>
      <c r="P93" s="377">
        <f t="shared" ca="1" si="35"/>
        <v>4786.6855883672933</v>
      </c>
      <c r="Q93" s="377">
        <f t="shared" ca="1" si="35"/>
        <v>5138.6861271903763</v>
      </c>
      <c r="R93" s="377">
        <f t="shared" ca="1" si="35"/>
        <v>5588.4586266025335</v>
      </c>
      <c r="S93" s="377">
        <f t="shared" ref="S93:AC93" ca="1" si="36">SUM(S83:S92)</f>
        <v>5423.8143585728994</v>
      </c>
      <c r="T93" s="377">
        <f t="shared" ca="1" si="36"/>
        <v>5302.836141017342</v>
      </c>
      <c r="U93" s="377">
        <f t="shared" ca="1" si="36"/>
        <v>5360.2411040994239</v>
      </c>
      <c r="V93" s="377">
        <f t="shared" ca="1" si="36"/>
        <v>5468.7721443412665</v>
      </c>
      <c r="W93" s="377">
        <f t="shared" ca="1" si="36"/>
        <v>5393.2330470157503</v>
      </c>
      <c r="X93" s="377">
        <f t="shared" ca="1" si="36"/>
        <v>3357.6115622753778</v>
      </c>
      <c r="Y93" s="377">
        <f t="shared" ca="1" si="36"/>
        <v>992.27070400223124</v>
      </c>
      <c r="Z93" s="377">
        <f t="shared" ca="1" si="36"/>
        <v>1318.5310660129858</v>
      </c>
      <c r="AA93" s="377">
        <f t="shared" ca="1" si="36"/>
        <v>1105.6147896855421</v>
      </c>
      <c r="AB93" s="377">
        <f t="shared" ca="1" si="36"/>
        <v>936.05321508338102</v>
      </c>
      <c r="AC93" s="377">
        <f t="shared" ca="1" si="36"/>
        <v>811.61221761510569</v>
      </c>
      <c r="AD93" s="377">
        <f ca="1">SUM(AD83:AD92)</f>
        <v>697.39612743259897</v>
      </c>
      <c r="AE93" s="377">
        <f ca="1">SUM(AE83:AE92)</f>
        <v>695.51371776308417</v>
      </c>
      <c r="AF93" s="377">
        <f ca="1">SUM(AF83:AF92)</f>
        <v>695.51371776308417</v>
      </c>
    </row>
    <row r="94" spans="1:32">
      <c r="C94" s="348"/>
      <c r="D94" s="348"/>
      <c r="E94" s="348"/>
      <c r="F94" s="348"/>
      <c r="G94" s="348"/>
      <c r="H94" s="348"/>
      <c r="I94" s="348"/>
      <c r="J94" s="367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48"/>
      <c r="AB94" s="348"/>
      <c r="AC94" s="348"/>
      <c r="AD94" s="348"/>
      <c r="AE94" s="348"/>
      <c r="AF94" s="348"/>
    </row>
    <row r="95" spans="1:32">
      <c r="A95" s="369" t="s">
        <v>934</v>
      </c>
      <c r="D95" s="348"/>
      <c r="E95" s="348"/>
      <c r="F95" s="348"/>
      <c r="G95" s="348"/>
      <c r="H95" s="367"/>
    </row>
    <row r="96" spans="1:32">
      <c r="C96" s="287" t="str">
        <f>+C75</f>
        <v>Funding 1</v>
      </c>
      <c r="D96" s="348"/>
      <c r="E96" s="348"/>
      <c r="F96" s="348"/>
      <c r="G96" s="348"/>
      <c r="H96" s="367"/>
      <c r="I96" s="376">
        <f>IF($N54=0,0,IF($R54="SL",SLN($N54,$O54,$Q54)*IF(YEAR($P54)&lt;(J$3-1),IF(YEAR($P54)+$Q54=J$3-1,(MONTH($P54)-1)/12,IF(YEAR($P54)+$Q54&lt;J$3-1,0,1)),IF(YEAR($P54)&gt;J$3-1,0,(12-MONTH($P54)+1)/12)),IF(YEAR($P54)&gt;J$3-1,0,VDB($N54,$O54,$Q54,IF(YEAR($P54)=J$3-1,0,MIN($Q54,(DATE(J$3-1,1,1)-$P54)/365)),MIN($Q54,(DATE(J$3-1,12,31)-$P54)/365),$S54))))</f>
        <v>0</v>
      </c>
      <c r="J96" s="376">
        <f t="shared" ref="J96:S97" si="37">IF($N54=0,0,IF($R54="SL",SLN($N54,$O54,$Q54)*IF(YEAR($P54)&lt;J$3,IF(YEAR($P54)+$Q54=J$3,(MONTH($P54)-1)/12,IF(YEAR($P54)+$Q54&lt;J$3,0,1)),IF(YEAR($P54)&gt;J$3,0,(12-MONTH($P54)+1)/12)),IF(YEAR($P54)&gt;J$3,0,VDB($N54,$O54,$Q54,IF(YEAR($P54)=J$3,0,MIN($Q54,(DATE(J$3,1,1)-$P54)/365)),MIN($Q54,(DATE(J$3,12,31)-$P54)/365),$S54))))</f>
        <v>0</v>
      </c>
      <c r="K96" s="376">
        <f t="shared" si="37"/>
        <v>0</v>
      </c>
      <c r="L96" s="376">
        <f t="shared" si="37"/>
        <v>0</v>
      </c>
      <c r="M96" s="376">
        <f t="shared" si="37"/>
        <v>0</v>
      </c>
      <c r="N96" s="376">
        <f t="shared" si="37"/>
        <v>0</v>
      </c>
      <c r="O96" s="376">
        <f t="shared" si="37"/>
        <v>0</v>
      </c>
      <c r="P96" s="376">
        <f t="shared" si="37"/>
        <v>0</v>
      </c>
      <c r="Q96" s="376">
        <f t="shared" si="37"/>
        <v>0</v>
      </c>
      <c r="R96" s="376">
        <f t="shared" si="37"/>
        <v>0</v>
      </c>
      <c r="S96" s="376">
        <f t="shared" si="37"/>
        <v>0</v>
      </c>
      <c r="T96" s="376">
        <f t="shared" ref="T96:AC97" si="38">IF($N54=0,0,IF($R54="SL",SLN($N54,$O54,$Q54)*IF(YEAR($P54)&lt;T$3,IF(YEAR($P54)+$Q54=T$3,(MONTH($P54)-1)/12,IF(YEAR($P54)+$Q54&lt;T$3,0,1)),IF(YEAR($P54)&gt;T$3,0,(12-MONTH($P54)+1)/12)),IF(YEAR($P54)&gt;T$3,0,VDB($N54,$O54,$Q54,IF(YEAR($P54)=T$3,0,MIN($Q54,(DATE(T$3,1,1)-$P54)/365)),MIN($Q54,(DATE(T$3,12,31)-$P54)/365),$S54))))</f>
        <v>0</v>
      </c>
      <c r="U96" s="376">
        <f t="shared" si="38"/>
        <v>0</v>
      </c>
      <c r="V96" s="376">
        <f t="shared" si="38"/>
        <v>0</v>
      </c>
      <c r="W96" s="376">
        <f t="shared" si="38"/>
        <v>0</v>
      </c>
      <c r="X96" s="376">
        <f t="shared" si="38"/>
        <v>0</v>
      </c>
      <c r="Y96" s="376">
        <f t="shared" si="38"/>
        <v>0</v>
      </c>
      <c r="Z96" s="376">
        <f t="shared" si="38"/>
        <v>0</v>
      </c>
      <c r="AA96" s="376">
        <f t="shared" si="38"/>
        <v>0</v>
      </c>
      <c r="AB96" s="376">
        <f t="shared" si="38"/>
        <v>0</v>
      </c>
      <c r="AC96" s="376">
        <f t="shared" si="38"/>
        <v>0</v>
      </c>
      <c r="AD96" s="376">
        <f t="shared" ref="AD96:AF97" si="39">IF($N54=0,0,IF($R54="SL",SLN($N54,$O54,$Q54)*IF(YEAR($P54)&lt;AD$3,IF(YEAR($P54)+$Q54=AD$3,(MONTH($P54)-1)/12,IF(YEAR($P54)+$Q54&lt;AD$3,0,1)),IF(YEAR($P54)&gt;AD$3,0,(12-MONTH($P54)+1)/12)),IF(YEAR($P54)&gt;AD$3,0,VDB($N54,$O54,$Q54,IF(YEAR($P54)=AD$3,0,MIN($Q54,(DATE(AD$3,1,1)-$P54)/365)),MIN($Q54,(DATE(AD$3,12,31)-$P54)/365),$S54))))</f>
        <v>0</v>
      </c>
      <c r="AE96" s="376">
        <f t="shared" si="39"/>
        <v>0</v>
      </c>
      <c r="AF96" s="376">
        <f t="shared" si="39"/>
        <v>0</v>
      </c>
    </row>
    <row r="97" spans="1:32" outlineLevel="1">
      <c r="A97" s="337"/>
      <c r="C97" s="287" t="str">
        <f>+C76</f>
        <v>Funding 2</v>
      </c>
      <c r="D97" s="348"/>
      <c r="E97" s="348"/>
      <c r="F97" s="348"/>
      <c r="G97" s="348"/>
      <c r="H97" s="367"/>
      <c r="I97" s="376">
        <f>IF($N55=0,0,IF($R55="SL",SLN($N55,$O55,$Q55)*IF(YEAR($P55)&lt;(J$3-1),IF(YEAR($P55)+$Q55=J$3-1,(MONTH($P55)-1)/12,IF(YEAR($P55)+$Q55&lt;J$3-1,0,1)),IF(YEAR($P55)&gt;J$3-1,0,(12-MONTH($P55)+1)/12)),IF(YEAR($P55)&gt;J$3-1,0,VDB($N55,$O55,$Q55,IF(YEAR($P55)=J$3-1,0,MIN($Q55,(DATE(J$3-1,1,1)-$P55)/365)),MIN($Q55,(DATE(J$3-1,12,31)-$P55)/365),$S55))))</f>
        <v>0</v>
      </c>
      <c r="J97" s="376">
        <f t="shared" si="37"/>
        <v>0</v>
      </c>
      <c r="K97" s="376">
        <f t="shared" si="37"/>
        <v>0</v>
      </c>
      <c r="L97" s="376">
        <f t="shared" si="37"/>
        <v>0</v>
      </c>
      <c r="M97" s="376">
        <f t="shared" si="37"/>
        <v>0</v>
      </c>
      <c r="N97" s="376">
        <f t="shared" si="37"/>
        <v>0</v>
      </c>
      <c r="O97" s="376">
        <f t="shared" si="37"/>
        <v>0</v>
      </c>
      <c r="P97" s="376">
        <f t="shared" si="37"/>
        <v>0</v>
      </c>
      <c r="Q97" s="376">
        <f t="shared" si="37"/>
        <v>0</v>
      </c>
      <c r="R97" s="376">
        <f t="shared" si="37"/>
        <v>0</v>
      </c>
      <c r="S97" s="376">
        <f t="shared" si="37"/>
        <v>0</v>
      </c>
      <c r="T97" s="376">
        <f t="shared" si="38"/>
        <v>0</v>
      </c>
      <c r="U97" s="376">
        <f t="shared" si="38"/>
        <v>0</v>
      </c>
      <c r="V97" s="376">
        <f t="shared" si="38"/>
        <v>0</v>
      </c>
      <c r="W97" s="376">
        <f t="shared" si="38"/>
        <v>0</v>
      </c>
      <c r="X97" s="376">
        <f t="shared" si="38"/>
        <v>0</v>
      </c>
      <c r="Y97" s="376">
        <f t="shared" si="38"/>
        <v>0</v>
      </c>
      <c r="Z97" s="376">
        <f t="shared" si="38"/>
        <v>0</v>
      </c>
      <c r="AA97" s="376">
        <f t="shared" si="38"/>
        <v>0</v>
      </c>
      <c r="AB97" s="376">
        <f t="shared" si="38"/>
        <v>0</v>
      </c>
      <c r="AC97" s="376">
        <f t="shared" si="38"/>
        <v>0</v>
      </c>
      <c r="AD97" s="376">
        <f t="shared" si="39"/>
        <v>0</v>
      </c>
      <c r="AE97" s="376">
        <f t="shared" si="39"/>
        <v>0</v>
      </c>
      <c r="AF97" s="376">
        <f t="shared" si="39"/>
        <v>0</v>
      </c>
    </row>
    <row r="98" spans="1:32" collapsed="1">
      <c r="A98" s="337"/>
      <c r="B98" s="369" t="s">
        <v>965</v>
      </c>
      <c r="D98" s="348"/>
      <c r="E98" s="348"/>
      <c r="F98" s="348"/>
      <c r="G98" s="348"/>
      <c r="H98" s="367"/>
      <c r="I98" s="378">
        <f t="shared" ref="I98:R98" si="40">+I97+I96</f>
        <v>0</v>
      </c>
      <c r="J98" s="378">
        <f t="shared" si="40"/>
        <v>0</v>
      </c>
      <c r="K98" s="378">
        <f t="shared" si="40"/>
        <v>0</v>
      </c>
      <c r="L98" s="378">
        <f t="shared" si="40"/>
        <v>0</v>
      </c>
      <c r="M98" s="378">
        <f t="shared" si="40"/>
        <v>0</v>
      </c>
      <c r="N98" s="378">
        <f t="shared" si="40"/>
        <v>0</v>
      </c>
      <c r="O98" s="378">
        <f t="shared" si="40"/>
        <v>0</v>
      </c>
      <c r="P98" s="378">
        <f t="shared" si="40"/>
        <v>0</v>
      </c>
      <c r="Q98" s="378">
        <f t="shared" si="40"/>
        <v>0</v>
      </c>
      <c r="R98" s="378">
        <f t="shared" si="40"/>
        <v>0</v>
      </c>
      <c r="S98" s="378">
        <f t="shared" ref="S98:AC98" si="41">+S97+S96</f>
        <v>0</v>
      </c>
      <c r="T98" s="378">
        <f t="shared" si="41"/>
        <v>0</v>
      </c>
      <c r="U98" s="378">
        <f t="shared" si="41"/>
        <v>0</v>
      </c>
      <c r="V98" s="378">
        <f t="shared" si="41"/>
        <v>0</v>
      </c>
      <c r="W98" s="378">
        <f t="shared" si="41"/>
        <v>0</v>
      </c>
      <c r="X98" s="378">
        <f t="shared" si="41"/>
        <v>0</v>
      </c>
      <c r="Y98" s="378">
        <f t="shared" si="41"/>
        <v>0</v>
      </c>
      <c r="Z98" s="378">
        <f t="shared" si="41"/>
        <v>0</v>
      </c>
      <c r="AA98" s="378">
        <f t="shared" si="41"/>
        <v>0</v>
      </c>
      <c r="AB98" s="378">
        <f t="shared" si="41"/>
        <v>0</v>
      </c>
      <c r="AC98" s="378">
        <f t="shared" si="41"/>
        <v>0</v>
      </c>
      <c r="AD98" s="378">
        <f>+AD97+AD96</f>
        <v>0</v>
      </c>
      <c r="AE98" s="378">
        <f>+AE97+AE96</f>
        <v>0</v>
      </c>
      <c r="AF98" s="378">
        <f>+AF97+AF96</f>
        <v>0</v>
      </c>
    </row>
    <row r="99" spans="1:32"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Z99" s="348"/>
      <c r="AA99" s="348"/>
      <c r="AB99" s="348"/>
      <c r="AC99" s="348"/>
      <c r="AD99" s="348"/>
      <c r="AE99" s="348"/>
      <c r="AF99" s="348"/>
    </row>
    <row r="100" spans="1:32">
      <c r="A100" s="369" t="s">
        <v>969</v>
      </c>
      <c r="I100" s="316">
        <f t="shared" ref="I100:R100" ca="1" si="42">+I93+I98</f>
        <v>3277.9760106958902</v>
      </c>
      <c r="J100" s="316">
        <f t="shared" ca="1" si="42"/>
        <v>7541.5013877654783</v>
      </c>
      <c r="K100" s="316">
        <f t="shared" ca="1" si="42"/>
        <v>6766.8201768195613</v>
      </c>
      <c r="L100" s="316">
        <f t="shared" ca="1" si="42"/>
        <v>6090.1381591376066</v>
      </c>
      <c r="M100" s="316">
        <f t="shared" ca="1" si="42"/>
        <v>5585.1223748511538</v>
      </c>
      <c r="N100" s="316">
        <f t="shared" ca="1" si="42"/>
        <v>5176.668336865544</v>
      </c>
      <c r="O100" s="316">
        <f t="shared" ca="1" si="42"/>
        <v>4821.6249935902351</v>
      </c>
      <c r="P100" s="316">
        <f t="shared" ca="1" si="42"/>
        <v>4786.6855883672933</v>
      </c>
      <c r="Q100" s="316">
        <f t="shared" ca="1" si="42"/>
        <v>5138.6861271903763</v>
      </c>
      <c r="R100" s="316">
        <f t="shared" ca="1" si="42"/>
        <v>5588.4586266025335</v>
      </c>
      <c r="S100" s="316">
        <f t="shared" ref="S100:AC100" ca="1" si="43">+S93+S98</f>
        <v>5423.8143585728994</v>
      </c>
      <c r="T100" s="316">
        <f t="shared" ca="1" si="43"/>
        <v>5302.836141017342</v>
      </c>
      <c r="U100" s="316">
        <f t="shared" ca="1" si="43"/>
        <v>5360.2411040994239</v>
      </c>
      <c r="V100" s="316">
        <f t="shared" ca="1" si="43"/>
        <v>5468.7721443412665</v>
      </c>
      <c r="W100" s="316">
        <f t="shared" ca="1" si="43"/>
        <v>5393.2330470157503</v>
      </c>
      <c r="X100" s="316">
        <f t="shared" ca="1" si="43"/>
        <v>3357.6115622753778</v>
      </c>
      <c r="Y100" s="316">
        <f t="shared" ca="1" si="43"/>
        <v>992.27070400223124</v>
      </c>
      <c r="Z100" s="316">
        <f t="shared" ca="1" si="43"/>
        <v>1318.5310660129858</v>
      </c>
      <c r="AA100" s="316">
        <f t="shared" ca="1" si="43"/>
        <v>1105.6147896855421</v>
      </c>
      <c r="AB100" s="316">
        <f t="shared" ca="1" si="43"/>
        <v>936.05321508338102</v>
      </c>
      <c r="AC100" s="316">
        <f t="shared" ca="1" si="43"/>
        <v>811.61221761510569</v>
      </c>
      <c r="AD100" s="316">
        <f ca="1">+AD93+AD98</f>
        <v>697.39612743259897</v>
      </c>
      <c r="AE100" s="316">
        <f ca="1">+AE93+AE98</f>
        <v>695.51371776308417</v>
      </c>
      <c r="AF100" s="316">
        <f ca="1">+AF93+AF98</f>
        <v>695.51371776308417</v>
      </c>
    </row>
    <row r="101" spans="1:32">
      <c r="A101" s="1219" t="s">
        <v>967</v>
      </c>
      <c r="B101" s="316">
        <f ca="1">+SUM(I100:AF100)-N51</f>
        <v>-659.91711147534079</v>
      </c>
      <c r="I101" s="316"/>
      <c r="J101" s="316"/>
      <c r="K101" s="316"/>
      <c r="L101" s="316"/>
      <c r="M101" s="316"/>
      <c r="N101" s="316"/>
      <c r="O101" s="316"/>
      <c r="P101" s="316"/>
      <c r="Q101" s="316"/>
      <c r="R101" s="316"/>
      <c r="S101" s="316"/>
      <c r="T101" s="316"/>
      <c r="U101" s="316"/>
      <c r="V101" s="316"/>
      <c r="W101" s="316"/>
      <c r="X101" s="316"/>
      <c r="Y101" s="316"/>
      <c r="Z101" s="316"/>
      <c r="AA101" s="316"/>
      <c r="AB101" s="316"/>
      <c r="AC101" s="316"/>
      <c r="AD101" s="316"/>
      <c r="AE101" s="316"/>
      <c r="AF101" s="316"/>
    </row>
    <row r="102" spans="1:32" ht="10.8" thickBot="1">
      <c r="A102" s="380"/>
      <c r="B102" s="381"/>
      <c r="C102" s="381"/>
      <c r="D102" s="381"/>
      <c r="E102" s="381"/>
      <c r="F102" s="381"/>
      <c r="G102" s="381"/>
      <c r="H102" s="381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  <c r="AA102" s="382"/>
      <c r="AB102" s="382"/>
      <c r="AC102" s="382"/>
      <c r="AD102" s="382"/>
      <c r="AE102" s="382"/>
      <c r="AF102" s="382"/>
    </row>
    <row r="103" spans="1:32" ht="11.4" thickTop="1" thickBot="1">
      <c r="A103" s="369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16"/>
      <c r="Y103" s="316"/>
      <c r="Z103" s="316"/>
      <c r="AA103" s="316"/>
      <c r="AB103" s="316"/>
      <c r="AC103" s="316"/>
      <c r="AD103" s="316"/>
      <c r="AE103" s="316"/>
      <c r="AF103" s="316"/>
    </row>
    <row r="104" spans="1:32" ht="11.4" thickTop="1" thickBot="1">
      <c r="A104" s="383" t="s">
        <v>970</v>
      </c>
      <c r="I104" s="310">
        <f t="shared" ref="I104:R104" si="44">+I$3</f>
        <v>36525</v>
      </c>
      <c r="J104" s="311">
        <f t="shared" si="44"/>
        <v>2000</v>
      </c>
      <c r="K104" s="311">
        <f t="shared" si="44"/>
        <v>2001</v>
      </c>
      <c r="L104" s="311">
        <f t="shared" si="44"/>
        <v>2002</v>
      </c>
      <c r="M104" s="311">
        <f t="shared" si="44"/>
        <v>2003</v>
      </c>
      <c r="N104" s="311">
        <f t="shared" si="44"/>
        <v>2004</v>
      </c>
      <c r="O104" s="311">
        <f t="shared" si="44"/>
        <v>2005</v>
      </c>
      <c r="P104" s="311">
        <f t="shared" si="44"/>
        <v>2006</v>
      </c>
      <c r="Q104" s="311">
        <f t="shared" si="44"/>
        <v>2007</v>
      </c>
      <c r="R104" s="311">
        <f t="shared" si="44"/>
        <v>2008</v>
      </c>
      <c r="S104" s="311">
        <f t="shared" ref="S104:AF104" si="45">+S$3</f>
        <v>2009</v>
      </c>
      <c r="T104" s="311">
        <f t="shared" si="45"/>
        <v>2010</v>
      </c>
      <c r="U104" s="311">
        <f t="shared" si="45"/>
        <v>2011</v>
      </c>
      <c r="V104" s="311">
        <f t="shared" si="45"/>
        <v>2012</v>
      </c>
      <c r="W104" s="311">
        <f t="shared" si="45"/>
        <v>2013</v>
      </c>
      <c r="X104" s="311">
        <f t="shared" si="45"/>
        <v>2014</v>
      </c>
      <c r="Y104" s="311">
        <f t="shared" si="45"/>
        <v>2015</v>
      </c>
      <c r="Z104" s="311">
        <f t="shared" si="45"/>
        <v>2016</v>
      </c>
      <c r="AA104" s="311">
        <f t="shared" si="45"/>
        <v>2017</v>
      </c>
      <c r="AB104" s="311">
        <f t="shared" si="45"/>
        <v>2018</v>
      </c>
      <c r="AC104" s="311">
        <f t="shared" si="45"/>
        <v>2019</v>
      </c>
      <c r="AD104" s="311">
        <f t="shared" si="45"/>
        <v>2020</v>
      </c>
      <c r="AE104" s="311">
        <f t="shared" si="45"/>
        <v>2021</v>
      </c>
      <c r="AF104" s="311">
        <f t="shared" si="45"/>
        <v>2022</v>
      </c>
    </row>
    <row r="105" spans="1:32" ht="10.8" thickTop="1">
      <c r="A105" s="369"/>
      <c r="B105" s="369" t="s">
        <v>916</v>
      </c>
      <c r="H105" s="384">
        <f ca="1">+H20</f>
        <v>78714.555519999994</v>
      </c>
      <c r="I105" s="384">
        <f>+I20</f>
        <v>0</v>
      </c>
      <c r="J105" s="384">
        <f t="shared" ref="J105:AC105" si="46">+J20</f>
        <v>0</v>
      </c>
      <c r="K105" s="384">
        <f t="shared" si="46"/>
        <v>0</v>
      </c>
      <c r="L105" s="384">
        <f t="shared" si="46"/>
        <v>0</v>
      </c>
      <c r="M105" s="384">
        <f t="shared" si="46"/>
        <v>1331.9046155778003</v>
      </c>
      <c r="N105" s="384">
        <f t="shared" si="46"/>
        <v>0</v>
      </c>
      <c r="O105" s="384">
        <f t="shared" si="46"/>
        <v>0</v>
      </c>
      <c r="P105" s="384">
        <f t="shared" si="46"/>
        <v>0</v>
      </c>
      <c r="Q105" s="384">
        <f t="shared" si="46"/>
        <v>4611.7398197956873</v>
      </c>
      <c r="R105" s="384">
        <f t="shared" si="46"/>
        <v>0</v>
      </c>
      <c r="S105" s="384">
        <f t="shared" si="46"/>
        <v>0</v>
      </c>
      <c r="T105" s="384">
        <f t="shared" si="46"/>
        <v>0</v>
      </c>
      <c r="U105" s="384">
        <f t="shared" si="46"/>
        <v>1870.6553139776611</v>
      </c>
      <c r="V105" s="384">
        <f t="shared" si="46"/>
        <v>0</v>
      </c>
      <c r="W105" s="384">
        <f t="shared" si="46"/>
        <v>0</v>
      </c>
      <c r="X105" s="384">
        <f t="shared" si="46"/>
        <v>0</v>
      </c>
      <c r="Y105" s="384">
        <f t="shared" si="46"/>
        <v>6463.75753668992</v>
      </c>
      <c r="Z105" s="384">
        <f t="shared" si="46"/>
        <v>0</v>
      </c>
      <c r="AA105" s="384">
        <f t="shared" si="46"/>
        <v>0</v>
      </c>
      <c r="AB105" s="384">
        <f t="shared" si="46"/>
        <v>0</v>
      </c>
      <c r="AC105" s="384">
        <f t="shared" si="46"/>
        <v>0</v>
      </c>
      <c r="AD105" s="384">
        <f>+AD20</f>
        <v>0</v>
      </c>
      <c r="AE105" s="384">
        <f>+AE20</f>
        <v>0</v>
      </c>
      <c r="AF105" s="384">
        <f>+AF20</f>
        <v>0</v>
      </c>
    </row>
    <row r="106" spans="1:32">
      <c r="A106" s="369"/>
      <c r="B106" s="383" t="s">
        <v>971</v>
      </c>
      <c r="H106" s="384">
        <f>+H25</f>
        <v>0</v>
      </c>
      <c r="I106" s="384">
        <f>+I25</f>
        <v>0</v>
      </c>
      <c r="J106" s="384">
        <f t="shared" ref="J106:AC106" si="47">+J25</f>
        <v>0</v>
      </c>
      <c r="K106" s="384">
        <f t="shared" si="47"/>
        <v>0</v>
      </c>
      <c r="L106" s="384">
        <f t="shared" si="47"/>
        <v>0</v>
      </c>
      <c r="M106" s="384">
        <f t="shared" si="47"/>
        <v>0</v>
      </c>
      <c r="N106" s="384">
        <f t="shared" si="47"/>
        <v>0</v>
      </c>
      <c r="O106" s="384">
        <f t="shared" si="47"/>
        <v>0</v>
      </c>
      <c r="P106" s="384">
        <f t="shared" si="47"/>
        <v>0</v>
      </c>
      <c r="Q106" s="384">
        <f t="shared" si="47"/>
        <v>0</v>
      </c>
      <c r="R106" s="384">
        <f t="shared" si="47"/>
        <v>0</v>
      </c>
      <c r="S106" s="384">
        <f t="shared" si="47"/>
        <v>0</v>
      </c>
      <c r="T106" s="384">
        <f t="shared" si="47"/>
        <v>0</v>
      </c>
      <c r="U106" s="384">
        <f t="shared" si="47"/>
        <v>0</v>
      </c>
      <c r="V106" s="384">
        <f t="shared" si="47"/>
        <v>0</v>
      </c>
      <c r="W106" s="384">
        <f t="shared" si="47"/>
        <v>0</v>
      </c>
      <c r="X106" s="384">
        <f t="shared" si="47"/>
        <v>0</v>
      </c>
      <c r="Y106" s="384">
        <f t="shared" si="47"/>
        <v>0</v>
      </c>
      <c r="Z106" s="384">
        <f t="shared" si="47"/>
        <v>0</v>
      </c>
      <c r="AA106" s="384">
        <f t="shared" si="47"/>
        <v>0</v>
      </c>
      <c r="AB106" s="384">
        <f t="shared" si="47"/>
        <v>0</v>
      </c>
      <c r="AC106" s="384">
        <f t="shared" si="47"/>
        <v>0</v>
      </c>
      <c r="AD106" s="384">
        <f>+AD25</f>
        <v>0</v>
      </c>
      <c r="AE106" s="384">
        <f>+AE25</f>
        <v>0</v>
      </c>
      <c r="AF106" s="384">
        <f>+AF25</f>
        <v>0</v>
      </c>
    </row>
    <row r="107" spans="1:32">
      <c r="A107" s="369"/>
      <c r="B107" s="383" t="s">
        <v>972</v>
      </c>
      <c r="H107" s="384">
        <f>+H27</f>
        <v>0</v>
      </c>
      <c r="I107" s="384">
        <f>+I27</f>
        <v>0</v>
      </c>
      <c r="J107" s="384">
        <f t="shared" ref="J107:AC107" si="48">+J27</f>
        <v>0</v>
      </c>
      <c r="K107" s="384">
        <f t="shared" si="48"/>
        <v>0</v>
      </c>
      <c r="L107" s="384">
        <f t="shared" si="48"/>
        <v>0</v>
      </c>
      <c r="M107" s="384">
        <f t="shared" si="48"/>
        <v>0</v>
      </c>
      <c r="N107" s="384">
        <f t="shared" si="48"/>
        <v>0</v>
      </c>
      <c r="O107" s="384">
        <f t="shared" si="48"/>
        <v>0</v>
      </c>
      <c r="P107" s="384">
        <f t="shared" si="48"/>
        <v>0</v>
      </c>
      <c r="Q107" s="384">
        <f t="shared" si="48"/>
        <v>0</v>
      </c>
      <c r="R107" s="384">
        <f t="shared" si="48"/>
        <v>0</v>
      </c>
      <c r="S107" s="384">
        <f t="shared" si="48"/>
        <v>0</v>
      </c>
      <c r="T107" s="384">
        <f t="shared" si="48"/>
        <v>0</v>
      </c>
      <c r="U107" s="384">
        <f t="shared" si="48"/>
        <v>0</v>
      </c>
      <c r="V107" s="384">
        <f t="shared" si="48"/>
        <v>0</v>
      </c>
      <c r="W107" s="384">
        <f t="shared" si="48"/>
        <v>0</v>
      </c>
      <c r="X107" s="384">
        <f t="shared" si="48"/>
        <v>0</v>
      </c>
      <c r="Y107" s="384">
        <f t="shared" si="48"/>
        <v>0</v>
      </c>
      <c r="Z107" s="384">
        <f t="shared" si="48"/>
        <v>0</v>
      </c>
      <c r="AA107" s="384">
        <f t="shared" si="48"/>
        <v>0</v>
      </c>
      <c r="AB107" s="384">
        <f t="shared" si="48"/>
        <v>0</v>
      </c>
      <c r="AC107" s="384">
        <f t="shared" si="48"/>
        <v>0</v>
      </c>
      <c r="AD107" s="384">
        <f>+AD27</f>
        <v>0</v>
      </c>
      <c r="AE107" s="384">
        <f>+AE27</f>
        <v>0</v>
      </c>
      <c r="AF107" s="384">
        <f>+AF27</f>
        <v>0</v>
      </c>
    </row>
    <row r="108" spans="1:32">
      <c r="A108" s="369"/>
      <c r="B108" s="385" t="s">
        <v>940</v>
      </c>
      <c r="E108" s="386">
        <v>0</v>
      </c>
      <c r="F108" s="386">
        <v>0</v>
      </c>
      <c r="G108" s="386">
        <v>0</v>
      </c>
      <c r="H108" s="377">
        <f ca="1">+H29</f>
        <v>78714.555519999994</v>
      </c>
      <c r="I108" s="377">
        <f>+I29</f>
        <v>0</v>
      </c>
      <c r="J108" s="377">
        <f t="shared" ref="J108:AC108" si="49">+J29</f>
        <v>0</v>
      </c>
      <c r="K108" s="377">
        <f t="shared" si="49"/>
        <v>0</v>
      </c>
      <c r="L108" s="377">
        <f t="shared" si="49"/>
        <v>0</v>
      </c>
      <c r="M108" s="377">
        <f t="shared" si="49"/>
        <v>1331.9046155778003</v>
      </c>
      <c r="N108" s="377">
        <f t="shared" si="49"/>
        <v>0</v>
      </c>
      <c r="O108" s="377">
        <f t="shared" si="49"/>
        <v>0</v>
      </c>
      <c r="P108" s="377">
        <f t="shared" si="49"/>
        <v>0</v>
      </c>
      <c r="Q108" s="377">
        <f t="shared" si="49"/>
        <v>4611.7398197956873</v>
      </c>
      <c r="R108" s="377">
        <f t="shared" si="49"/>
        <v>0</v>
      </c>
      <c r="S108" s="377">
        <f t="shared" si="49"/>
        <v>0</v>
      </c>
      <c r="T108" s="377">
        <f t="shared" si="49"/>
        <v>0</v>
      </c>
      <c r="U108" s="377">
        <f t="shared" si="49"/>
        <v>1870.6553139776611</v>
      </c>
      <c r="V108" s="377">
        <f t="shared" si="49"/>
        <v>0</v>
      </c>
      <c r="W108" s="377">
        <f t="shared" si="49"/>
        <v>0</v>
      </c>
      <c r="X108" s="377">
        <f t="shared" si="49"/>
        <v>0</v>
      </c>
      <c r="Y108" s="377">
        <f t="shared" si="49"/>
        <v>6463.75753668992</v>
      </c>
      <c r="Z108" s="377">
        <f t="shared" si="49"/>
        <v>0</v>
      </c>
      <c r="AA108" s="377">
        <f t="shared" si="49"/>
        <v>0</v>
      </c>
      <c r="AB108" s="377">
        <f t="shared" si="49"/>
        <v>0</v>
      </c>
      <c r="AC108" s="377">
        <f t="shared" si="49"/>
        <v>0</v>
      </c>
      <c r="AD108" s="377">
        <f>+AD29</f>
        <v>0</v>
      </c>
      <c r="AE108" s="377">
        <f>+AE29</f>
        <v>0</v>
      </c>
      <c r="AF108" s="377">
        <f>+AF29</f>
        <v>0</v>
      </c>
    </row>
    <row r="109" spans="1:32">
      <c r="A109" s="369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16"/>
      <c r="Y109" s="316"/>
      <c r="Z109" s="316"/>
      <c r="AA109" s="316"/>
      <c r="AB109" s="316"/>
      <c r="AC109" s="316"/>
      <c r="AD109" s="316"/>
      <c r="AE109" s="316"/>
      <c r="AF109" s="316"/>
    </row>
    <row r="110" spans="1:32">
      <c r="A110" s="369"/>
      <c r="I110" s="316"/>
      <c r="J110" s="316"/>
      <c r="K110" s="316"/>
      <c r="L110" s="316"/>
      <c r="M110" s="316"/>
      <c r="N110" s="316"/>
      <c r="O110" s="316"/>
      <c r="P110" s="316"/>
      <c r="Q110" s="316"/>
      <c r="R110" s="316"/>
      <c r="S110" s="316"/>
      <c r="T110" s="316"/>
      <c r="U110" s="316"/>
      <c r="V110" s="316"/>
      <c r="W110" s="316"/>
      <c r="X110" s="316"/>
      <c r="Y110" s="316"/>
      <c r="Z110" s="316"/>
      <c r="AA110" s="316"/>
      <c r="AB110" s="316"/>
      <c r="AC110" s="316"/>
      <c r="AD110" s="316"/>
      <c r="AE110" s="316"/>
      <c r="AF110" s="316"/>
    </row>
    <row r="111" spans="1:32">
      <c r="A111" s="369"/>
      <c r="B111" s="369" t="s">
        <v>973</v>
      </c>
      <c r="I111" s="316"/>
      <c r="J111" s="316"/>
      <c r="K111" s="316"/>
      <c r="L111" s="316"/>
      <c r="M111" s="316"/>
      <c r="N111" s="316"/>
      <c r="O111" s="316"/>
      <c r="P111" s="316"/>
      <c r="Q111" s="316"/>
      <c r="R111" s="316"/>
      <c r="S111" s="316"/>
      <c r="T111" s="316"/>
      <c r="U111" s="316"/>
      <c r="V111" s="316"/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6"/>
    </row>
    <row r="112" spans="1:32">
      <c r="A112" s="369"/>
      <c r="B112" s="287" t="s">
        <v>974</v>
      </c>
      <c r="E112" s="387">
        <v>0</v>
      </c>
      <c r="F112" s="387">
        <v>0</v>
      </c>
      <c r="G112" s="387">
        <v>0</v>
      </c>
      <c r="H112" s="387">
        <v>0</v>
      </c>
      <c r="I112" s="387">
        <v>0</v>
      </c>
      <c r="J112" s="387">
        <v>0</v>
      </c>
      <c r="K112" s="387">
        <v>0</v>
      </c>
      <c r="L112" s="387">
        <v>0</v>
      </c>
      <c r="M112" s="387">
        <v>0</v>
      </c>
      <c r="N112" s="387">
        <v>0</v>
      </c>
      <c r="O112" s="387">
        <v>0</v>
      </c>
      <c r="P112" s="387">
        <v>0</v>
      </c>
      <c r="Q112" s="387">
        <v>0</v>
      </c>
      <c r="R112" s="387">
        <v>0</v>
      </c>
      <c r="S112" s="387">
        <v>0</v>
      </c>
      <c r="T112" s="387">
        <v>0</v>
      </c>
      <c r="U112" s="387">
        <v>0</v>
      </c>
      <c r="V112" s="387">
        <v>0</v>
      </c>
      <c r="W112" s="387">
        <v>0</v>
      </c>
      <c r="X112" s="387">
        <v>0</v>
      </c>
      <c r="Y112" s="387">
        <v>0</v>
      </c>
      <c r="Z112" s="387">
        <v>0</v>
      </c>
      <c r="AA112" s="387">
        <v>0</v>
      </c>
      <c r="AB112" s="387">
        <v>0</v>
      </c>
      <c r="AC112" s="387">
        <v>0</v>
      </c>
      <c r="AD112" s="387">
        <v>0</v>
      </c>
      <c r="AE112" s="387">
        <v>0</v>
      </c>
      <c r="AF112" s="387">
        <v>0</v>
      </c>
    </row>
    <row r="113" spans="1:32">
      <c r="A113" s="369"/>
      <c r="B113" s="337" t="s">
        <v>975</v>
      </c>
      <c r="I113" s="316">
        <f t="shared" ref="I113:R113" ca="1" si="50">+I72</f>
        <v>2186.515431111111</v>
      </c>
      <c r="J113" s="316">
        <f t="shared" ca="1" si="50"/>
        <v>5247.6370346666663</v>
      </c>
      <c r="K113" s="316">
        <f t="shared" ca="1" si="50"/>
        <v>5247.6370346666663</v>
      </c>
      <c r="L113" s="316">
        <f t="shared" ca="1" si="50"/>
        <v>5247.6370346666663</v>
      </c>
      <c r="M113" s="316">
        <f t="shared" ca="1" si="50"/>
        <v>5317.0070667280097</v>
      </c>
      <c r="N113" s="316">
        <f t="shared" ca="1" si="50"/>
        <v>5414.125111613891</v>
      </c>
      <c r="O113" s="316">
        <f t="shared" ca="1" si="50"/>
        <v>5414.125111613891</v>
      </c>
      <c r="P113" s="316">
        <f t="shared" ca="1" si="50"/>
        <v>5414.125111613891</v>
      </c>
      <c r="Q113" s="316">
        <f t="shared" ca="1" si="50"/>
        <v>5414.125111613891</v>
      </c>
      <c r="R113" s="316">
        <f t="shared" ca="1" si="50"/>
        <v>5414.125111613891</v>
      </c>
      <c r="S113" s="316">
        <f t="shared" ref="S113:AC113" ca="1" si="51">+S72</f>
        <v>5414.125111613891</v>
      </c>
      <c r="T113" s="316">
        <f t="shared" ca="1" si="51"/>
        <v>5414.125111613891</v>
      </c>
      <c r="U113" s="316">
        <f t="shared" ca="1" si="51"/>
        <v>5442.1850438222173</v>
      </c>
      <c r="V113" s="316">
        <f t="shared" ca="1" si="51"/>
        <v>5481.4689489138736</v>
      </c>
      <c r="W113" s="316">
        <f t="shared" ca="1" si="51"/>
        <v>5481.4689489138736</v>
      </c>
      <c r="X113" s="316">
        <f t="shared" ca="1" si="51"/>
        <v>3294.9535178027631</v>
      </c>
      <c r="Y113" s="316">
        <f t="shared" ca="1" si="51"/>
        <v>570.48595261647438</v>
      </c>
      <c r="Z113" s="316">
        <f t="shared" ca="1" si="51"/>
        <v>1041.8016063334476</v>
      </c>
      <c r="AA113" s="316">
        <f t="shared" ca="1" si="51"/>
        <v>1041.8016063334476</v>
      </c>
      <c r="AB113" s="316">
        <f t="shared" ca="1" si="51"/>
        <v>1041.8016063334476</v>
      </c>
      <c r="AC113" s="316">
        <f t="shared" ca="1" si="51"/>
        <v>944.37164206377781</v>
      </c>
      <c r="AD113" s="316">
        <f ca="1">+AD72</f>
        <v>807.96969208624</v>
      </c>
      <c r="AE113" s="316">
        <f ca="1">+AE72</f>
        <v>807.96969208624</v>
      </c>
      <c r="AF113" s="316">
        <f ca="1">+AF72</f>
        <v>807.96969208624</v>
      </c>
    </row>
    <row r="114" spans="1:32">
      <c r="A114" s="369"/>
      <c r="B114" s="337" t="s">
        <v>976</v>
      </c>
      <c r="E114" s="388">
        <f>+E112</f>
        <v>0</v>
      </c>
      <c r="F114" s="388">
        <f>+F112</f>
        <v>0</v>
      </c>
      <c r="G114" s="388">
        <f>+G112</f>
        <v>0</v>
      </c>
      <c r="H114" s="388">
        <f>+H112</f>
        <v>0</v>
      </c>
      <c r="I114" s="377">
        <f t="shared" ref="I114:R114" ca="1" si="52">+I113+I112</f>
        <v>2186.515431111111</v>
      </c>
      <c r="J114" s="377">
        <f t="shared" ca="1" si="52"/>
        <v>5247.6370346666663</v>
      </c>
      <c r="K114" s="377">
        <f t="shared" ca="1" si="52"/>
        <v>5247.6370346666663</v>
      </c>
      <c r="L114" s="377">
        <f t="shared" ca="1" si="52"/>
        <v>5247.6370346666663</v>
      </c>
      <c r="M114" s="377">
        <f t="shared" ca="1" si="52"/>
        <v>5317.0070667280097</v>
      </c>
      <c r="N114" s="377">
        <f t="shared" ca="1" si="52"/>
        <v>5414.125111613891</v>
      </c>
      <c r="O114" s="377">
        <f t="shared" ca="1" si="52"/>
        <v>5414.125111613891</v>
      </c>
      <c r="P114" s="377">
        <f t="shared" ca="1" si="52"/>
        <v>5414.125111613891</v>
      </c>
      <c r="Q114" s="377">
        <f t="shared" ca="1" si="52"/>
        <v>5414.125111613891</v>
      </c>
      <c r="R114" s="377">
        <f t="shared" ca="1" si="52"/>
        <v>5414.125111613891</v>
      </c>
      <c r="S114" s="377">
        <f t="shared" ref="S114:AC114" ca="1" si="53">+S113+S112</f>
        <v>5414.125111613891</v>
      </c>
      <c r="T114" s="377">
        <f t="shared" ca="1" si="53"/>
        <v>5414.125111613891</v>
      </c>
      <c r="U114" s="377">
        <f t="shared" ca="1" si="53"/>
        <v>5442.1850438222173</v>
      </c>
      <c r="V114" s="377">
        <f t="shared" ca="1" si="53"/>
        <v>5481.4689489138736</v>
      </c>
      <c r="W114" s="377">
        <f t="shared" ca="1" si="53"/>
        <v>5481.4689489138736</v>
      </c>
      <c r="X114" s="377">
        <f t="shared" ca="1" si="53"/>
        <v>3294.9535178027631</v>
      </c>
      <c r="Y114" s="377">
        <f t="shared" ca="1" si="53"/>
        <v>570.48595261647438</v>
      </c>
      <c r="Z114" s="377">
        <f t="shared" ca="1" si="53"/>
        <v>1041.8016063334476</v>
      </c>
      <c r="AA114" s="377">
        <f t="shared" ca="1" si="53"/>
        <v>1041.8016063334476</v>
      </c>
      <c r="AB114" s="377">
        <f t="shared" ca="1" si="53"/>
        <v>1041.8016063334476</v>
      </c>
      <c r="AC114" s="377">
        <f t="shared" ca="1" si="53"/>
        <v>944.37164206377781</v>
      </c>
      <c r="AD114" s="377">
        <f ca="1">+AD113+AD112</f>
        <v>807.96969208624</v>
      </c>
      <c r="AE114" s="377">
        <f ca="1">+AE113+AE112</f>
        <v>807.96969208624</v>
      </c>
      <c r="AF114" s="377">
        <f ca="1">+AF113+AF112</f>
        <v>807.96969208624</v>
      </c>
    </row>
    <row r="115" spans="1:32">
      <c r="A115" s="369"/>
      <c r="B115" s="337" t="s">
        <v>977</v>
      </c>
      <c r="E115" s="389"/>
      <c r="F115" s="389"/>
      <c r="G115" s="389"/>
      <c r="H115" s="389"/>
      <c r="I115" s="367">
        <f t="shared" ref="I115:R115" si="54">+I77</f>
        <v>0</v>
      </c>
      <c r="J115" s="367">
        <f t="shared" si="54"/>
        <v>0</v>
      </c>
      <c r="K115" s="367">
        <f t="shared" si="54"/>
        <v>0</v>
      </c>
      <c r="L115" s="367">
        <f t="shared" si="54"/>
        <v>0</v>
      </c>
      <c r="M115" s="367">
        <f t="shared" si="54"/>
        <v>0</v>
      </c>
      <c r="N115" s="367">
        <f t="shared" si="54"/>
        <v>0</v>
      </c>
      <c r="O115" s="367">
        <f t="shared" si="54"/>
        <v>0</v>
      </c>
      <c r="P115" s="367">
        <f t="shared" si="54"/>
        <v>0</v>
      </c>
      <c r="Q115" s="367">
        <f t="shared" si="54"/>
        <v>0</v>
      </c>
      <c r="R115" s="367">
        <f t="shared" si="54"/>
        <v>0</v>
      </c>
      <c r="S115" s="367">
        <f t="shared" ref="S115:AC115" si="55">+S77</f>
        <v>0</v>
      </c>
      <c r="T115" s="367">
        <f t="shared" si="55"/>
        <v>0</v>
      </c>
      <c r="U115" s="367">
        <f t="shared" si="55"/>
        <v>0</v>
      </c>
      <c r="V115" s="367">
        <f t="shared" si="55"/>
        <v>0</v>
      </c>
      <c r="W115" s="367">
        <f t="shared" si="55"/>
        <v>0</v>
      </c>
      <c r="X115" s="367">
        <f t="shared" si="55"/>
        <v>0</v>
      </c>
      <c r="Y115" s="367">
        <f t="shared" si="55"/>
        <v>0</v>
      </c>
      <c r="Z115" s="367">
        <f t="shared" si="55"/>
        <v>0</v>
      </c>
      <c r="AA115" s="367">
        <f t="shared" si="55"/>
        <v>0</v>
      </c>
      <c r="AB115" s="367">
        <f t="shared" si="55"/>
        <v>0</v>
      </c>
      <c r="AC115" s="367">
        <f t="shared" si="55"/>
        <v>0</v>
      </c>
      <c r="AD115" s="367">
        <f>+AD77</f>
        <v>0</v>
      </c>
      <c r="AE115" s="367">
        <f>+AE77</f>
        <v>0</v>
      </c>
      <c r="AF115" s="367">
        <f>+AF77</f>
        <v>0</v>
      </c>
    </row>
    <row r="116" spans="1:32">
      <c r="A116" s="369"/>
      <c r="I116" s="316"/>
      <c r="J116" s="316"/>
      <c r="K116" s="316"/>
      <c r="L116" s="316"/>
      <c r="M116" s="316"/>
      <c r="N116" s="316"/>
      <c r="O116" s="316"/>
      <c r="P116" s="316"/>
      <c r="Q116" s="316"/>
      <c r="R116" s="316"/>
      <c r="S116" s="316"/>
      <c r="T116" s="316"/>
      <c r="U116" s="316"/>
      <c r="V116" s="316"/>
      <c r="W116" s="316"/>
      <c r="X116" s="316"/>
      <c r="Y116" s="316"/>
      <c r="Z116" s="316"/>
      <c r="AA116" s="316"/>
      <c r="AB116" s="316"/>
      <c r="AC116" s="316"/>
      <c r="AD116" s="316"/>
      <c r="AE116" s="316"/>
      <c r="AF116" s="316"/>
    </row>
    <row r="117" spans="1:32">
      <c r="A117" s="369"/>
      <c r="B117" s="369" t="s">
        <v>978</v>
      </c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16"/>
      <c r="Y117" s="316"/>
      <c r="Z117" s="316"/>
      <c r="AA117" s="316"/>
      <c r="AB117" s="316"/>
      <c r="AC117" s="316"/>
      <c r="AD117" s="316"/>
      <c r="AE117" s="316"/>
      <c r="AF117" s="316"/>
    </row>
    <row r="118" spans="1:32">
      <c r="A118" s="369"/>
      <c r="B118" s="287" t="s">
        <v>974</v>
      </c>
      <c r="E118" s="387">
        <v>0</v>
      </c>
      <c r="F118" s="387">
        <v>0</v>
      </c>
      <c r="G118" s="387">
        <v>0</v>
      </c>
      <c r="H118" s="387">
        <v>0</v>
      </c>
      <c r="I118" s="387">
        <v>0</v>
      </c>
      <c r="J118" s="387">
        <v>0</v>
      </c>
      <c r="K118" s="387">
        <v>0</v>
      </c>
      <c r="L118" s="387">
        <v>0</v>
      </c>
      <c r="M118" s="387">
        <v>0</v>
      </c>
      <c r="N118" s="387">
        <v>0</v>
      </c>
      <c r="O118" s="387">
        <v>0</v>
      </c>
      <c r="P118" s="387">
        <v>0</v>
      </c>
      <c r="Q118" s="387">
        <v>0</v>
      </c>
      <c r="R118" s="387">
        <v>0</v>
      </c>
      <c r="S118" s="387">
        <v>0</v>
      </c>
      <c r="T118" s="387">
        <v>0</v>
      </c>
      <c r="U118" s="387">
        <v>0</v>
      </c>
      <c r="V118" s="387">
        <v>0</v>
      </c>
      <c r="W118" s="387">
        <v>0</v>
      </c>
      <c r="X118" s="387">
        <v>0</v>
      </c>
      <c r="Y118" s="387">
        <v>0</v>
      </c>
      <c r="Z118" s="387">
        <v>0</v>
      </c>
      <c r="AA118" s="387">
        <v>0</v>
      </c>
      <c r="AB118" s="387">
        <v>0</v>
      </c>
      <c r="AC118" s="387">
        <v>0</v>
      </c>
      <c r="AD118" s="387">
        <v>0</v>
      </c>
      <c r="AE118" s="387">
        <v>0</v>
      </c>
      <c r="AF118" s="387">
        <v>0</v>
      </c>
    </row>
    <row r="119" spans="1:32">
      <c r="A119" s="369"/>
      <c r="B119" s="337" t="s">
        <v>975</v>
      </c>
      <c r="I119" s="316">
        <f t="shared" ref="I119:R119" ca="1" si="56">+I93</f>
        <v>3277.9760106958902</v>
      </c>
      <c r="J119" s="316">
        <f t="shared" ca="1" si="56"/>
        <v>7541.5013877654783</v>
      </c>
      <c r="K119" s="316">
        <f t="shared" ca="1" si="56"/>
        <v>6766.8201768195613</v>
      </c>
      <c r="L119" s="316">
        <f t="shared" ca="1" si="56"/>
        <v>6090.1381591376066</v>
      </c>
      <c r="M119" s="316">
        <f t="shared" ca="1" si="56"/>
        <v>5585.1223748511538</v>
      </c>
      <c r="N119" s="316">
        <f t="shared" ca="1" si="56"/>
        <v>5176.668336865544</v>
      </c>
      <c r="O119" s="316">
        <f t="shared" ca="1" si="56"/>
        <v>4821.6249935902351</v>
      </c>
      <c r="P119" s="316">
        <f t="shared" ca="1" si="56"/>
        <v>4786.6855883672933</v>
      </c>
      <c r="Q119" s="316">
        <f t="shared" ca="1" si="56"/>
        <v>5138.6861271903763</v>
      </c>
      <c r="R119" s="316">
        <f t="shared" ca="1" si="56"/>
        <v>5588.4586266025335</v>
      </c>
      <c r="S119" s="316">
        <f t="shared" ref="S119:AC119" ca="1" si="57">+S93</f>
        <v>5423.8143585728994</v>
      </c>
      <c r="T119" s="316">
        <f t="shared" ca="1" si="57"/>
        <v>5302.836141017342</v>
      </c>
      <c r="U119" s="316">
        <f t="shared" ca="1" si="57"/>
        <v>5360.2411040994239</v>
      </c>
      <c r="V119" s="316">
        <f t="shared" ca="1" si="57"/>
        <v>5468.7721443412665</v>
      </c>
      <c r="W119" s="316">
        <f t="shared" ca="1" si="57"/>
        <v>5393.2330470157503</v>
      </c>
      <c r="X119" s="316">
        <f t="shared" ca="1" si="57"/>
        <v>3357.6115622753778</v>
      </c>
      <c r="Y119" s="316">
        <f t="shared" ca="1" si="57"/>
        <v>992.27070400223124</v>
      </c>
      <c r="Z119" s="316">
        <f t="shared" ca="1" si="57"/>
        <v>1318.5310660129858</v>
      </c>
      <c r="AA119" s="316">
        <f t="shared" ca="1" si="57"/>
        <v>1105.6147896855421</v>
      </c>
      <c r="AB119" s="316">
        <f t="shared" ca="1" si="57"/>
        <v>936.05321508338102</v>
      </c>
      <c r="AC119" s="316">
        <f t="shared" ca="1" si="57"/>
        <v>811.61221761510569</v>
      </c>
      <c r="AD119" s="316">
        <f ca="1">+AD93</f>
        <v>697.39612743259897</v>
      </c>
      <c r="AE119" s="316">
        <f ca="1">+AE93</f>
        <v>695.51371776308417</v>
      </c>
      <c r="AF119" s="316">
        <f ca="1">+AF93</f>
        <v>695.51371776308417</v>
      </c>
    </row>
    <row r="120" spans="1:32">
      <c r="B120" s="337" t="s">
        <v>979</v>
      </c>
      <c r="E120" s="388">
        <f>+E118</f>
        <v>0</v>
      </c>
      <c r="F120" s="388">
        <f>+F118</f>
        <v>0</v>
      </c>
      <c r="G120" s="388">
        <f>+G118</f>
        <v>0</v>
      </c>
      <c r="H120" s="388">
        <f>+H118</f>
        <v>0</v>
      </c>
      <c r="I120" s="377">
        <f t="shared" ref="I120:R120" ca="1" si="58">+I119+I118</f>
        <v>3277.9760106958902</v>
      </c>
      <c r="J120" s="377">
        <f t="shared" ca="1" si="58"/>
        <v>7541.5013877654783</v>
      </c>
      <c r="K120" s="377">
        <f t="shared" ca="1" si="58"/>
        <v>6766.8201768195613</v>
      </c>
      <c r="L120" s="377">
        <f t="shared" ca="1" si="58"/>
        <v>6090.1381591376066</v>
      </c>
      <c r="M120" s="377">
        <f t="shared" ca="1" si="58"/>
        <v>5585.1223748511538</v>
      </c>
      <c r="N120" s="377">
        <f t="shared" ca="1" si="58"/>
        <v>5176.668336865544</v>
      </c>
      <c r="O120" s="377">
        <f t="shared" ca="1" si="58"/>
        <v>4821.6249935902351</v>
      </c>
      <c r="P120" s="377">
        <f t="shared" ca="1" si="58"/>
        <v>4786.6855883672933</v>
      </c>
      <c r="Q120" s="377">
        <f t="shared" ca="1" si="58"/>
        <v>5138.6861271903763</v>
      </c>
      <c r="R120" s="377">
        <f t="shared" ca="1" si="58"/>
        <v>5588.4586266025335</v>
      </c>
      <c r="S120" s="377">
        <f t="shared" ref="S120:AC120" ca="1" si="59">+S119+S118</f>
        <v>5423.8143585728994</v>
      </c>
      <c r="T120" s="377">
        <f t="shared" ca="1" si="59"/>
        <v>5302.836141017342</v>
      </c>
      <c r="U120" s="377">
        <f t="shared" ca="1" si="59"/>
        <v>5360.2411040994239</v>
      </c>
      <c r="V120" s="377">
        <f t="shared" ca="1" si="59"/>
        <v>5468.7721443412665</v>
      </c>
      <c r="W120" s="377">
        <f t="shared" ca="1" si="59"/>
        <v>5393.2330470157503</v>
      </c>
      <c r="X120" s="377">
        <f t="shared" ca="1" si="59"/>
        <v>3357.6115622753778</v>
      </c>
      <c r="Y120" s="377">
        <f t="shared" ca="1" si="59"/>
        <v>992.27070400223124</v>
      </c>
      <c r="Z120" s="377">
        <f t="shared" ca="1" si="59"/>
        <v>1318.5310660129858</v>
      </c>
      <c r="AA120" s="377">
        <f t="shared" ca="1" si="59"/>
        <v>1105.6147896855421</v>
      </c>
      <c r="AB120" s="377">
        <f t="shared" ca="1" si="59"/>
        <v>936.05321508338102</v>
      </c>
      <c r="AC120" s="377">
        <f t="shared" ca="1" si="59"/>
        <v>811.61221761510569</v>
      </c>
      <c r="AD120" s="377">
        <f ca="1">+AD119+AD118</f>
        <v>697.39612743259897</v>
      </c>
      <c r="AE120" s="377">
        <f ca="1">+AE119+AE118</f>
        <v>695.51371776308417</v>
      </c>
      <c r="AF120" s="377">
        <f ca="1">+AF119+AF118</f>
        <v>695.51371776308417</v>
      </c>
    </row>
    <row r="121" spans="1:32">
      <c r="B121" s="337" t="s">
        <v>980</v>
      </c>
      <c r="E121" s="389"/>
      <c r="F121" s="389"/>
      <c r="G121" s="389"/>
      <c r="H121" s="389"/>
      <c r="I121" s="367">
        <f t="shared" ref="I121:R121" si="60">+I98</f>
        <v>0</v>
      </c>
      <c r="J121" s="367">
        <f t="shared" si="60"/>
        <v>0</v>
      </c>
      <c r="K121" s="367">
        <f t="shared" si="60"/>
        <v>0</v>
      </c>
      <c r="L121" s="367">
        <f t="shared" si="60"/>
        <v>0</v>
      </c>
      <c r="M121" s="367">
        <f t="shared" si="60"/>
        <v>0</v>
      </c>
      <c r="N121" s="367">
        <f t="shared" si="60"/>
        <v>0</v>
      </c>
      <c r="O121" s="367">
        <f t="shared" si="60"/>
        <v>0</v>
      </c>
      <c r="P121" s="367">
        <f t="shared" si="60"/>
        <v>0</v>
      </c>
      <c r="Q121" s="367">
        <f t="shared" si="60"/>
        <v>0</v>
      </c>
      <c r="R121" s="367">
        <f t="shared" si="60"/>
        <v>0</v>
      </c>
      <c r="S121" s="367">
        <f t="shared" ref="S121:AC121" si="61">+S98</f>
        <v>0</v>
      </c>
      <c r="T121" s="367">
        <f t="shared" si="61"/>
        <v>0</v>
      </c>
      <c r="U121" s="367">
        <f t="shared" si="61"/>
        <v>0</v>
      </c>
      <c r="V121" s="367">
        <f t="shared" si="61"/>
        <v>0</v>
      </c>
      <c r="W121" s="367">
        <f t="shared" si="61"/>
        <v>0</v>
      </c>
      <c r="X121" s="367">
        <f t="shared" si="61"/>
        <v>0</v>
      </c>
      <c r="Y121" s="367">
        <f t="shared" si="61"/>
        <v>0</v>
      </c>
      <c r="Z121" s="367">
        <f t="shared" si="61"/>
        <v>0</v>
      </c>
      <c r="AA121" s="367">
        <f t="shared" si="61"/>
        <v>0</v>
      </c>
      <c r="AB121" s="367">
        <f t="shared" si="61"/>
        <v>0</v>
      </c>
      <c r="AC121" s="367">
        <f t="shared" si="61"/>
        <v>0</v>
      </c>
      <c r="AD121" s="367">
        <f>+AD98</f>
        <v>0</v>
      </c>
      <c r="AE121" s="367">
        <f>+AE98</f>
        <v>0</v>
      </c>
      <c r="AF121" s="367">
        <f>+AF98</f>
        <v>0</v>
      </c>
    </row>
    <row r="122" spans="1:32">
      <c r="B122" s="337"/>
      <c r="E122" s="389"/>
      <c r="F122" s="389"/>
      <c r="G122" s="389"/>
      <c r="H122" s="389"/>
      <c r="I122" s="367"/>
      <c r="J122" s="367"/>
      <c r="K122" s="367"/>
      <c r="L122" s="367"/>
      <c r="M122" s="367"/>
      <c r="N122" s="367"/>
      <c r="O122" s="367"/>
      <c r="P122" s="367"/>
      <c r="Q122" s="367"/>
      <c r="R122" s="367"/>
      <c r="S122" s="367"/>
      <c r="T122" s="367"/>
      <c r="U122" s="367"/>
      <c r="V122" s="367"/>
      <c r="W122" s="367"/>
      <c r="X122" s="367"/>
      <c r="Y122" s="367"/>
      <c r="Z122" s="367"/>
      <c r="AA122" s="367"/>
      <c r="AB122" s="367"/>
      <c r="AC122" s="367"/>
      <c r="AD122" s="367"/>
      <c r="AE122" s="367"/>
      <c r="AF122" s="367"/>
    </row>
    <row r="123" spans="1:32" ht="10.8" thickBot="1">
      <c r="A123" s="381"/>
      <c r="B123" s="390"/>
      <c r="C123" s="381"/>
      <c r="D123" s="381"/>
      <c r="E123" s="391"/>
      <c r="F123" s="391"/>
      <c r="G123" s="391"/>
      <c r="H123" s="391"/>
      <c r="I123" s="382"/>
      <c r="J123" s="382"/>
      <c r="K123" s="382"/>
      <c r="L123" s="382"/>
      <c r="M123" s="382"/>
      <c r="N123" s="382"/>
      <c r="O123" s="382"/>
      <c r="P123" s="382"/>
      <c r="Q123" s="382"/>
      <c r="R123" s="382"/>
      <c r="S123" s="382"/>
      <c r="T123" s="382"/>
      <c r="U123" s="382"/>
      <c r="V123" s="382"/>
      <c r="W123" s="382"/>
      <c r="X123" s="382"/>
      <c r="Y123" s="382"/>
      <c r="Z123" s="382"/>
      <c r="AA123" s="382"/>
      <c r="AB123" s="382"/>
      <c r="AC123" s="382"/>
      <c r="AD123" s="382"/>
      <c r="AE123" s="382"/>
      <c r="AF123" s="382"/>
    </row>
    <row r="124" spans="1:32" ht="10.8" thickTop="1">
      <c r="A124" s="392" t="s">
        <v>981</v>
      </c>
      <c r="B124" s="337"/>
      <c r="E124" s="393"/>
      <c r="F124" s="393"/>
      <c r="G124" s="393"/>
      <c r="H124" s="393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16"/>
      <c r="Y124" s="316"/>
      <c r="Z124" s="316"/>
      <c r="AA124" s="316"/>
      <c r="AB124" s="316"/>
      <c r="AC124" s="316"/>
      <c r="AD124" s="316"/>
      <c r="AE124" s="316"/>
      <c r="AF124" s="316"/>
    </row>
    <row r="125" spans="1:32" ht="10.8" thickBot="1">
      <c r="A125" s="392"/>
      <c r="B125" s="337"/>
      <c r="E125" s="393"/>
      <c r="F125" s="393"/>
      <c r="G125" s="393"/>
      <c r="H125" s="393">
        <v>1</v>
      </c>
      <c r="I125" s="1264">
        <v>1</v>
      </c>
      <c r="J125" s="1264">
        <f t="shared" ref="J125:AF125" si="62">(1+J129)*I125</f>
        <v>1.03</v>
      </c>
      <c r="K125" s="1264">
        <f t="shared" si="62"/>
        <v>1.0609</v>
      </c>
      <c r="L125" s="1264">
        <f t="shared" si="62"/>
        <v>1.092727</v>
      </c>
      <c r="M125" s="1264">
        <f t="shared" si="62"/>
        <v>1.1255088100000001</v>
      </c>
      <c r="N125" s="1264">
        <f t="shared" si="62"/>
        <v>1.1592740743000001</v>
      </c>
      <c r="O125" s="1264">
        <f t="shared" si="62"/>
        <v>1.1940522965290001</v>
      </c>
      <c r="P125" s="1264">
        <f t="shared" si="62"/>
        <v>1.2298738654248702</v>
      </c>
      <c r="Q125" s="1264">
        <f t="shared" si="62"/>
        <v>1.2667700813876164</v>
      </c>
      <c r="R125" s="1264">
        <f t="shared" si="62"/>
        <v>1.3047731838292449</v>
      </c>
      <c r="S125" s="1264">
        <f t="shared" si="62"/>
        <v>1.3439163793441222</v>
      </c>
      <c r="T125" s="1264">
        <f t="shared" si="62"/>
        <v>1.3842338707244459</v>
      </c>
      <c r="U125" s="1264">
        <f t="shared" si="62"/>
        <v>1.4257608868461793</v>
      </c>
      <c r="V125" s="1264">
        <f t="shared" si="62"/>
        <v>1.4685337134515648</v>
      </c>
      <c r="W125" s="1264">
        <f t="shared" si="62"/>
        <v>1.5125897248551119</v>
      </c>
      <c r="X125" s="1264">
        <f t="shared" si="62"/>
        <v>1.5579674166007653</v>
      </c>
      <c r="Y125" s="1264">
        <f t="shared" si="62"/>
        <v>1.6047064390987884</v>
      </c>
      <c r="Z125" s="1264">
        <f t="shared" si="62"/>
        <v>1.652847632271752</v>
      </c>
      <c r="AA125" s="1264">
        <f t="shared" si="62"/>
        <v>1.7024330612399046</v>
      </c>
      <c r="AB125" s="1264">
        <f t="shared" si="62"/>
        <v>1.7535060530771018</v>
      </c>
      <c r="AC125" s="1264">
        <f t="shared" si="62"/>
        <v>1.806111234669415</v>
      </c>
      <c r="AD125" s="1264">
        <f t="shared" si="62"/>
        <v>1.8602945717094976</v>
      </c>
      <c r="AE125" s="1264">
        <f t="shared" si="62"/>
        <v>1.9161034088607827</v>
      </c>
      <c r="AF125" s="1264">
        <f t="shared" si="62"/>
        <v>1.9735865111266062</v>
      </c>
    </row>
    <row r="126" spans="1:32" ht="11.4" thickTop="1" thickBot="1">
      <c r="A126" s="369" t="s">
        <v>982</v>
      </c>
      <c r="I126" s="310">
        <f t="shared" ref="I126:R126" si="63">+I$3</f>
        <v>36525</v>
      </c>
      <c r="J126" s="311">
        <f t="shared" si="63"/>
        <v>2000</v>
      </c>
      <c r="K126" s="311">
        <f t="shared" si="63"/>
        <v>2001</v>
      </c>
      <c r="L126" s="311">
        <f t="shared" si="63"/>
        <v>2002</v>
      </c>
      <c r="M126" s="311">
        <f t="shared" si="63"/>
        <v>2003</v>
      </c>
      <c r="N126" s="311">
        <f t="shared" si="63"/>
        <v>2004</v>
      </c>
      <c r="O126" s="311">
        <f t="shared" si="63"/>
        <v>2005</v>
      </c>
      <c r="P126" s="311">
        <f t="shared" si="63"/>
        <v>2006</v>
      </c>
      <c r="Q126" s="311">
        <f t="shared" si="63"/>
        <v>2007</v>
      </c>
      <c r="R126" s="311">
        <f t="shared" si="63"/>
        <v>2008</v>
      </c>
      <c r="S126" s="311">
        <f t="shared" ref="S126:AF126" si="64">+S$3</f>
        <v>2009</v>
      </c>
      <c r="T126" s="311">
        <f t="shared" si="64"/>
        <v>2010</v>
      </c>
      <c r="U126" s="311">
        <f t="shared" si="64"/>
        <v>2011</v>
      </c>
      <c r="V126" s="311">
        <f t="shared" si="64"/>
        <v>2012</v>
      </c>
      <c r="W126" s="311">
        <f t="shared" si="64"/>
        <v>2013</v>
      </c>
      <c r="X126" s="311">
        <f t="shared" si="64"/>
        <v>2014</v>
      </c>
      <c r="Y126" s="311">
        <f t="shared" si="64"/>
        <v>2015</v>
      </c>
      <c r="Z126" s="311">
        <f t="shared" si="64"/>
        <v>2016</v>
      </c>
      <c r="AA126" s="311">
        <f t="shared" si="64"/>
        <v>2017</v>
      </c>
      <c r="AB126" s="311">
        <f t="shared" si="64"/>
        <v>2018</v>
      </c>
      <c r="AC126" s="311">
        <f t="shared" si="64"/>
        <v>2019</v>
      </c>
      <c r="AD126" s="311">
        <f t="shared" si="64"/>
        <v>2020</v>
      </c>
      <c r="AE126" s="311">
        <f t="shared" si="64"/>
        <v>2021</v>
      </c>
      <c r="AF126" s="311">
        <f t="shared" si="64"/>
        <v>2022</v>
      </c>
    </row>
    <row r="127" spans="1:32" ht="10.8" thickTop="1">
      <c r="A127" s="369"/>
      <c r="H127" s="287">
        <v>1999</v>
      </c>
      <c r="I127" s="1223">
        <f>YEAR(I126)</f>
        <v>1999</v>
      </c>
      <c r="J127" s="1224">
        <f>J126</f>
        <v>2000</v>
      </c>
      <c r="K127" s="1224">
        <f t="shared" ref="K127:AF127" si="65">K126</f>
        <v>2001</v>
      </c>
      <c r="L127" s="1224">
        <f t="shared" si="65"/>
        <v>2002</v>
      </c>
      <c r="M127" s="1224">
        <f t="shared" si="65"/>
        <v>2003</v>
      </c>
      <c r="N127" s="1224">
        <f t="shared" si="65"/>
        <v>2004</v>
      </c>
      <c r="O127" s="1224">
        <f t="shared" si="65"/>
        <v>2005</v>
      </c>
      <c r="P127" s="1224">
        <f t="shared" si="65"/>
        <v>2006</v>
      </c>
      <c r="Q127" s="1224">
        <f t="shared" si="65"/>
        <v>2007</v>
      </c>
      <c r="R127" s="1224">
        <f t="shared" si="65"/>
        <v>2008</v>
      </c>
      <c r="S127" s="1224">
        <f t="shared" si="65"/>
        <v>2009</v>
      </c>
      <c r="T127" s="1224">
        <f t="shared" si="65"/>
        <v>2010</v>
      </c>
      <c r="U127" s="1224">
        <f t="shared" si="65"/>
        <v>2011</v>
      </c>
      <c r="V127" s="1224">
        <f t="shared" si="65"/>
        <v>2012</v>
      </c>
      <c r="W127" s="1224">
        <f t="shared" si="65"/>
        <v>2013</v>
      </c>
      <c r="X127" s="1224">
        <f t="shared" si="65"/>
        <v>2014</v>
      </c>
      <c r="Y127" s="1224">
        <f t="shared" si="65"/>
        <v>2015</v>
      </c>
      <c r="Z127" s="1224">
        <f t="shared" si="65"/>
        <v>2016</v>
      </c>
      <c r="AA127" s="1224">
        <f t="shared" si="65"/>
        <v>2017</v>
      </c>
      <c r="AB127" s="1224">
        <f t="shared" si="65"/>
        <v>2018</v>
      </c>
      <c r="AC127" s="1224">
        <f t="shared" si="65"/>
        <v>2019</v>
      </c>
      <c r="AD127" s="1224">
        <f t="shared" si="65"/>
        <v>2020</v>
      </c>
      <c r="AE127" s="1224">
        <f t="shared" si="65"/>
        <v>2021</v>
      </c>
      <c r="AF127" s="1224">
        <f t="shared" si="65"/>
        <v>2022</v>
      </c>
    </row>
    <row r="128" spans="1:32">
      <c r="A128" s="394" t="s">
        <v>983</v>
      </c>
      <c r="B128" s="395" t="s">
        <v>984</v>
      </c>
      <c r="D128" s="306"/>
      <c r="I128" s="1442">
        <v>2.6763990267639759E-2</v>
      </c>
      <c r="J128" s="1442">
        <f>Summary!E71</f>
        <v>0.03</v>
      </c>
      <c r="K128" s="1442">
        <f>J128</f>
        <v>0.03</v>
      </c>
      <c r="L128" s="1442">
        <f t="shared" ref="L128:AF128" si="66">K128</f>
        <v>0.03</v>
      </c>
      <c r="M128" s="1442">
        <f t="shared" si="66"/>
        <v>0.03</v>
      </c>
      <c r="N128" s="1442">
        <f t="shared" si="66"/>
        <v>0.03</v>
      </c>
      <c r="O128" s="1442">
        <f t="shared" si="66"/>
        <v>0.03</v>
      </c>
      <c r="P128" s="1442">
        <f t="shared" si="66"/>
        <v>0.03</v>
      </c>
      <c r="Q128" s="1442">
        <f t="shared" si="66"/>
        <v>0.03</v>
      </c>
      <c r="R128" s="1442">
        <f t="shared" si="66"/>
        <v>0.03</v>
      </c>
      <c r="S128" s="1442">
        <f t="shared" si="66"/>
        <v>0.03</v>
      </c>
      <c r="T128" s="1442">
        <f t="shared" si="66"/>
        <v>0.03</v>
      </c>
      <c r="U128" s="1442">
        <f t="shared" si="66"/>
        <v>0.03</v>
      </c>
      <c r="V128" s="1442">
        <f t="shared" si="66"/>
        <v>0.03</v>
      </c>
      <c r="W128" s="1442">
        <f t="shared" si="66"/>
        <v>0.03</v>
      </c>
      <c r="X128" s="1442">
        <f t="shared" si="66"/>
        <v>0.03</v>
      </c>
      <c r="Y128" s="1442">
        <f t="shared" si="66"/>
        <v>0.03</v>
      </c>
      <c r="Z128" s="1442">
        <f t="shared" si="66"/>
        <v>0.03</v>
      </c>
      <c r="AA128" s="1442">
        <f t="shared" si="66"/>
        <v>0.03</v>
      </c>
      <c r="AB128" s="1442">
        <f t="shared" si="66"/>
        <v>0.03</v>
      </c>
      <c r="AC128" s="1442">
        <f t="shared" si="66"/>
        <v>0.03</v>
      </c>
      <c r="AD128" s="1442">
        <f t="shared" si="66"/>
        <v>0.03</v>
      </c>
      <c r="AE128" s="1442">
        <f t="shared" si="66"/>
        <v>0.03</v>
      </c>
      <c r="AF128" s="1442">
        <f t="shared" si="66"/>
        <v>0.03</v>
      </c>
    </row>
    <row r="129" spans="1:32">
      <c r="B129" s="337" t="s">
        <v>985</v>
      </c>
      <c r="I129" s="1334">
        <f>IF(Summary!$E$70="no",Summary!$E$71,CCFMODEL!I128)</f>
        <v>2.6763990267639759E-2</v>
      </c>
      <c r="J129" s="1334">
        <f>IF(Summary!$E$70="no",Summary!$E$71,CCFMODEL!J128)</f>
        <v>0.03</v>
      </c>
      <c r="K129" s="1334">
        <f>IF(Summary!$E$70="no",Summary!$E$71,CCFMODEL!K128)</f>
        <v>0.03</v>
      </c>
      <c r="L129" s="1334">
        <f>IF(Summary!$E$70="no",Summary!$E$71,CCFMODEL!L128)</f>
        <v>0.03</v>
      </c>
      <c r="M129" s="1334">
        <f>IF(Summary!$E$70="no",Summary!$E$71,CCFMODEL!M128)</f>
        <v>0.03</v>
      </c>
      <c r="N129" s="1334">
        <f>IF(Summary!$E$70="no",Summary!$E$71,CCFMODEL!N128)</f>
        <v>0.03</v>
      </c>
      <c r="O129" s="1334">
        <f>IF(Summary!$E$70="no",Summary!$E$71,CCFMODEL!O128)</f>
        <v>0.03</v>
      </c>
      <c r="P129" s="1334">
        <f>IF(Summary!$E$70="no",Summary!$E$71,CCFMODEL!P128)</f>
        <v>0.03</v>
      </c>
      <c r="Q129" s="1334">
        <f>IF(Summary!$E$70="no",Summary!$E$71,CCFMODEL!Q128)</f>
        <v>0.03</v>
      </c>
      <c r="R129" s="1334">
        <f>IF(Summary!$E$70="no",Summary!$E$71,CCFMODEL!R128)</f>
        <v>0.03</v>
      </c>
      <c r="S129" s="1334">
        <f>IF(Summary!$E$70="no",Summary!$E$71,CCFMODEL!S128)</f>
        <v>0.03</v>
      </c>
      <c r="T129" s="1334">
        <f>IF(Summary!$E$70="no",Summary!$E$71,CCFMODEL!T128)</f>
        <v>0.03</v>
      </c>
      <c r="U129" s="1334">
        <f>IF(Summary!$E$70="no",Summary!$E$71,CCFMODEL!U128)</f>
        <v>0.03</v>
      </c>
      <c r="V129" s="1334">
        <f>IF(Summary!$E$70="no",Summary!$E$71,CCFMODEL!V128)</f>
        <v>0.03</v>
      </c>
      <c r="W129" s="1334">
        <f>IF(Summary!$E$70="no",Summary!$E$71,CCFMODEL!W128)</f>
        <v>0.03</v>
      </c>
      <c r="X129" s="1334">
        <f>IF(Summary!$E$70="no",Summary!$E$71,CCFMODEL!X128)</f>
        <v>0.03</v>
      </c>
      <c r="Y129" s="1334">
        <f>IF(Summary!$E$70="no",Summary!$E$71,CCFMODEL!Y128)</f>
        <v>0.03</v>
      </c>
      <c r="Z129" s="1334">
        <f>IF(Summary!$E$70="no",Summary!$E$71,CCFMODEL!Z128)</f>
        <v>0.03</v>
      </c>
      <c r="AA129" s="1334">
        <f>IF(Summary!$E$70="no",Summary!$E$71,CCFMODEL!AA128)</f>
        <v>0.03</v>
      </c>
      <c r="AB129" s="1334">
        <f>IF(Summary!$E$70="no",Summary!$E$71,CCFMODEL!AB128)</f>
        <v>0.03</v>
      </c>
      <c r="AC129" s="1334">
        <f>IF(Summary!$E$70="no",Summary!$E$71,CCFMODEL!AC128)</f>
        <v>0.03</v>
      </c>
      <c r="AD129" s="1334">
        <f>IF(Summary!$E$70="no",Summary!$E$71,CCFMODEL!AD128)</f>
        <v>0.03</v>
      </c>
      <c r="AE129" s="1334">
        <f>IF(Summary!$E$70="no",Summary!$E$71,CCFMODEL!AE128)</f>
        <v>0.03</v>
      </c>
      <c r="AF129" s="1334">
        <f>IF(Summary!$E$70="no",Summary!$E$71,CCFMODEL!AF128)</f>
        <v>0.03</v>
      </c>
    </row>
    <row r="130" spans="1:32">
      <c r="B130" s="287" t="s">
        <v>986</v>
      </c>
      <c r="H130" s="286"/>
      <c r="I130" s="1445">
        <f>1+I129</f>
        <v>1.0267639902676398</v>
      </c>
      <c r="J130" s="1445">
        <f t="shared" ref="J130:S130" si="67">+I130*(1+J129)</f>
        <v>1.057566909975669</v>
      </c>
      <c r="K130" s="1445">
        <f t="shared" si="67"/>
        <v>1.0892939172749392</v>
      </c>
      <c r="L130" s="1445">
        <f t="shared" si="67"/>
        <v>1.1219727347931874</v>
      </c>
      <c r="M130" s="397">
        <f t="shared" si="67"/>
        <v>1.1556319168369831</v>
      </c>
      <c r="N130" s="397">
        <f t="shared" si="67"/>
        <v>1.1903008743420926</v>
      </c>
      <c r="O130" s="397">
        <f t="shared" si="67"/>
        <v>1.2260099005723555</v>
      </c>
      <c r="P130" s="397">
        <f t="shared" si="67"/>
        <v>1.2627901975895262</v>
      </c>
      <c r="Q130" s="397">
        <f t="shared" si="67"/>
        <v>1.3006739035172119</v>
      </c>
      <c r="R130" s="397">
        <f t="shared" si="67"/>
        <v>1.3396941206227282</v>
      </c>
      <c r="S130" s="397">
        <f t="shared" si="67"/>
        <v>1.3798849442414101</v>
      </c>
      <c r="T130" s="397">
        <f t="shared" ref="T130:AC130" si="68">+S130*(1+T129)</f>
        <v>1.4212814925686523</v>
      </c>
      <c r="U130" s="397">
        <f t="shared" si="68"/>
        <v>1.4639199373457119</v>
      </c>
      <c r="V130" s="397">
        <f t="shared" si="68"/>
        <v>1.5078375354660833</v>
      </c>
      <c r="W130" s="397">
        <f t="shared" si="68"/>
        <v>1.5530726615300658</v>
      </c>
      <c r="X130" s="397">
        <f t="shared" si="68"/>
        <v>1.5996648413759678</v>
      </c>
      <c r="Y130" s="397">
        <f t="shared" si="68"/>
        <v>1.6476547866172468</v>
      </c>
      <c r="Z130" s="397">
        <f t="shared" si="68"/>
        <v>1.6970844302157644</v>
      </c>
      <c r="AA130" s="397">
        <f t="shared" si="68"/>
        <v>1.7479969631222374</v>
      </c>
      <c r="AB130" s="397">
        <f t="shared" si="68"/>
        <v>1.8004368720159045</v>
      </c>
      <c r="AC130" s="397">
        <f t="shared" si="68"/>
        <v>1.8544499781763817</v>
      </c>
      <c r="AD130" s="397">
        <f>+AC130*(1+AD129)</f>
        <v>1.9100834775216733</v>
      </c>
      <c r="AE130" s="397">
        <f>+AD130*(1+AE129)</f>
        <v>1.9673859818473236</v>
      </c>
      <c r="AF130" s="397">
        <f>+AE130*(1+AF129)</f>
        <v>2.0264075613027432</v>
      </c>
    </row>
    <row r="131" spans="1:32">
      <c r="B131" s="379" t="s">
        <v>810</v>
      </c>
      <c r="H131" s="286"/>
      <c r="I131" s="397">
        <f>(1+(+I129*0.8))</f>
        <v>1.0214111922141118</v>
      </c>
      <c r="J131" s="397">
        <f>+I131*(1+J129*0.8)</f>
        <v>1.0459250608272506</v>
      </c>
      <c r="K131" s="397">
        <f t="shared" ref="K131:AF131" si="69">+J131*(1+K129*0.8)</f>
        <v>1.0710272622871047</v>
      </c>
      <c r="L131" s="397">
        <f t="shared" si="69"/>
        <v>1.0967319165819951</v>
      </c>
      <c r="M131" s="397">
        <f t="shared" si="69"/>
        <v>1.123053482579963</v>
      </c>
      <c r="N131" s="397">
        <f t="shared" si="69"/>
        <v>1.150006766161882</v>
      </c>
      <c r="O131" s="397">
        <f t="shared" si="69"/>
        <v>1.1776069285497672</v>
      </c>
      <c r="P131" s="397">
        <f t="shared" si="69"/>
        <v>1.2058694948349618</v>
      </c>
      <c r="Q131" s="397">
        <f t="shared" si="69"/>
        <v>1.2348103627110008</v>
      </c>
      <c r="R131" s="397">
        <f t="shared" si="69"/>
        <v>1.2644458114160648</v>
      </c>
      <c r="S131" s="397">
        <f t="shared" si="69"/>
        <v>1.2947925108900504</v>
      </c>
      <c r="T131" s="397">
        <f t="shared" si="69"/>
        <v>1.3258675311514116</v>
      </c>
      <c r="U131" s="397">
        <f t="shared" si="69"/>
        <v>1.3576883518990455</v>
      </c>
      <c r="V131" s="397">
        <f t="shared" si="69"/>
        <v>1.3902728723446225</v>
      </c>
      <c r="W131" s="397">
        <f t="shared" si="69"/>
        <v>1.4236394212808934</v>
      </c>
      <c r="X131" s="397">
        <f t="shared" si="69"/>
        <v>1.4578067673916348</v>
      </c>
      <c r="Y131" s="397">
        <f t="shared" si="69"/>
        <v>1.4927941298090341</v>
      </c>
      <c r="Z131" s="397">
        <f t="shared" si="69"/>
        <v>1.528621188924451</v>
      </c>
      <c r="AA131" s="397">
        <f t="shared" si="69"/>
        <v>1.5653080974586377</v>
      </c>
      <c r="AB131" s="397">
        <f t="shared" si="69"/>
        <v>1.6028754917976451</v>
      </c>
      <c r="AC131" s="397">
        <f t="shared" si="69"/>
        <v>1.6413445036007885</v>
      </c>
      <c r="AD131" s="397">
        <f t="shared" si="69"/>
        <v>1.6807367716872075</v>
      </c>
      <c r="AE131" s="397">
        <f t="shared" si="69"/>
        <v>1.7210744542077006</v>
      </c>
      <c r="AF131" s="397">
        <f t="shared" si="69"/>
        <v>1.7623802411086853</v>
      </c>
    </row>
    <row r="132" spans="1:32" s="371" customFormat="1" outlineLevel="1">
      <c r="B132" s="398"/>
      <c r="E132" s="399"/>
      <c r="F132" s="399"/>
      <c r="G132" s="399"/>
      <c r="H132" s="399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374"/>
      <c r="Z132" s="374"/>
      <c r="AA132" s="374"/>
      <c r="AB132" s="374"/>
      <c r="AC132" s="374"/>
      <c r="AD132" s="374"/>
      <c r="AE132" s="374"/>
      <c r="AF132" s="374"/>
    </row>
    <row r="133" spans="1:32" s="400" customFormat="1" outlineLevel="1"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</row>
    <row r="134" spans="1:32" outlineLevel="1">
      <c r="A134" s="402" t="s">
        <v>987</v>
      </c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309"/>
      <c r="S134" s="309"/>
      <c r="T134" s="309"/>
      <c r="U134" s="309"/>
      <c r="V134" s="309"/>
      <c r="W134" s="309"/>
      <c r="X134" s="309"/>
      <c r="Y134" s="309"/>
      <c r="Z134" s="309"/>
      <c r="AA134" s="309"/>
      <c r="AB134" s="309"/>
      <c r="AC134" s="309"/>
      <c r="AD134" s="309"/>
      <c r="AE134" s="309"/>
      <c r="AF134" s="309"/>
    </row>
    <row r="135" spans="1:32" outlineLevel="1">
      <c r="A135" s="403"/>
      <c r="B135" s="309" t="s">
        <v>988</v>
      </c>
      <c r="C135" s="309"/>
      <c r="D135" s="404" t="s">
        <v>989</v>
      </c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309"/>
      <c r="S135" s="309"/>
      <c r="T135" s="309"/>
      <c r="U135" s="309"/>
      <c r="V135" s="309"/>
      <c r="W135" s="309"/>
      <c r="X135" s="309"/>
      <c r="Y135" s="309"/>
      <c r="Z135" s="309"/>
      <c r="AA135" s="309"/>
      <c r="AB135" s="309"/>
      <c r="AC135" s="309"/>
      <c r="AD135" s="309"/>
      <c r="AE135" s="309"/>
      <c r="AF135" s="309"/>
    </row>
    <row r="136" spans="1:32" outlineLevel="1">
      <c r="A136" s="405" t="str">
        <f>curr2&amp;" Exchange Rate"</f>
        <v>Reis Exchange Rate</v>
      </c>
      <c r="B136" s="309"/>
      <c r="C136" s="309"/>
      <c r="D136" s="406"/>
      <c r="E136" s="309"/>
      <c r="F136" s="309"/>
      <c r="G136" s="309"/>
      <c r="H136" s="309"/>
      <c r="I136" s="407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  <c r="X136" s="309"/>
      <c r="Y136" s="309"/>
      <c r="Z136" s="309"/>
      <c r="AA136" s="309"/>
      <c r="AB136" s="309"/>
      <c r="AC136" s="309"/>
      <c r="AD136" s="309"/>
      <c r="AE136" s="309"/>
      <c r="AF136" s="309"/>
    </row>
    <row r="137" spans="1:32" outlineLevel="1">
      <c r="A137" s="408" t="s">
        <v>983</v>
      </c>
      <c r="B137" s="409" t="s">
        <v>984</v>
      </c>
      <c r="C137" s="329"/>
      <c r="D137" s="410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309"/>
      <c r="V137" s="309"/>
      <c r="W137" s="309"/>
      <c r="X137" s="309"/>
      <c r="Y137" s="309"/>
      <c r="Z137" s="309"/>
      <c r="AA137" s="309"/>
      <c r="AB137" s="309"/>
      <c r="AC137" s="309"/>
      <c r="AD137" s="309"/>
      <c r="AE137" s="309"/>
      <c r="AF137" s="309"/>
    </row>
    <row r="138" spans="1:32" outlineLevel="1">
      <c r="A138" s="403"/>
      <c r="B138" s="403" t="str">
        <f>"Exchange rate: "&amp;curr2&amp;"/USD"</f>
        <v>Exchange rate: Reis/USD</v>
      </c>
      <c r="C138" s="329"/>
      <c r="D138" s="329"/>
      <c r="E138" s="411">
        <v>1</v>
      </c>
      <c r="F138" s="411">
        <v>1</v>
      </c>
      <c r="G138" s="411">
        <v>1</v>
      </c>
      <c r="H138" s="411">
        <v>1</v>
      </c>
      <c r="I138" s="411">
        <v>1</v>
      </c>
      <c r="J138" s="411">
        <v>1</v>
      </c>
      <c r="K138" s="411">
        <v>1</v>
      </c>
      <c r="L138" s="411">
        <v>1</v>
      </c>
      <c r="M138" s="411">
        <v>1</v>
      </c>
      <c r="N138" s="411">
        <v>1</v>
      </c>
      <c r="O138" s="411">
        <v>1</v>
      </c>
      <c r="P138" s="411">
        <v>1</v>
      </c>
      <c r="Q138" s="411">
        <v>1</v>
      </c>
      <c r="R138" s="411">
        <v>1</v>
      </c>
      <c r="S138" s="411">
        <v>1</v>
      </c>
      <c r="T138" s="411">
        <v>1</v>
      </c>
      <c r="U138" s="411">
        <v>1</v>
      </c>
      <c r="V138" s="411">
        <v>1</v>
      </c>
      <c r="W138" s="411">
        <v>1</v>
      </c>
      <c r="X138" s="411">
        <v>1</v>
      </c>
      <c r="Y138" s="411">
        <v>1</v>
      </c>
      <c r="Z138" s="411">
        <v>1</v>
      </c>
      <c r="AA138" s="411">
        <v>1</v>
      </c>
      <c r="AB138" s="411">
        <v>1</v>
      </c>
      <c r="AC138" s="411">
        <v>1</v>
      </c>
      <c r="AD138" s="411">
        <v>1</v>
      </c>
      <c r="AE138" s="411">
        <v>1</v>
      </c>
      <c r="AF138" s="411">
        <v>1</v>
      </c>
    </row>
    <row r="139" spans="1:32" outlineLevel="1">
      <c r="A139" s="403"/>
      <c r="B139" s="309" t="str">
        <f>"Dollar Value of "&amp;curr2</f>
        <v>Dollar Value of Reis</v>
      </c>
      <c r="C139" s="329"/>
      <c r="D139" s="329"/>
      <c r="E139" s="412">
        <f t="shared" ref="E139:N139" si="70">IF(E138=0,0,1/E138)</f>
        <v>1</v>
      </c>
      <c r="F139" s="412">
        <f t="shared" si="70"/>
        <v>1</v>
      </c>
      <c r="G139" s="412">
        <f t="shared" si="70"/>
        <v>1</v>
      </c>
      <c r="H139" s="412">
        <f t="shared" si="70"/>
        <v>1</v>
      </c>
      <c r="I139" s="412">
        <f t="shared" si="70"/>
        <v>1</v>
      </c>
      <c r="J139" s="412">
        <f t="shared" si="70"/>
        <v>1</v>
      </c>
      <c r="K139" s="412">
        <f t="shared" si="70"/>
        <v>1</v>
      </c>
      <c r="L139" s="412">
        <f t="shared" si="70"/>
        <v>1</v>
      </c>
      <c r="M139" s="412">
        <f t="shared" si="70"/>
        <v>1</v>
      </c>
      <c r="N139" s="412">
        <f t="shared" si="70"/>
        <v>1</v>
      </c>
      <c r="O139" s="412">
        <f t="shared" ref="O139:AC139" si="71">IF(O138=0,0,1/O138)</f>
        <v>1</v>
      </c>
      <c r="P139" s="412">
        <f t="shared" si="71"/>
        <v>1</v>
      </c>
      <c r="Q139" s="412">
        <f t="shared" si="71"/>
        <v>1</v>
      </c>
      <c r="R139" s="412">
        <f t="shared" si="71"/>
        <v>1</v>
      </c>
      <c r="S139" s="412">
        <f t="shared" si="71"/>
        <v>1</v>
      </c>
      <c r="T139" s="412">
        <f t="shared" si="71"/>
        <v>1</v>
      </c>
      <c r="U139" s="412">
        <f t="shared" si="71"/>
        <v>1</v>
      </c>
      <c r="V139" s="412">
        <f t="shared" si="71"/>
        <v>1</v>
      </c>
      <c r="W139" s="412">
        <f t="shared" si="71"/>
        <v>1</v>
      </c>
      <c r="X139" s="412">
        <f t="shared" si="71"/>
        <v>1</v>
      </c>
      <c r="Y139" s="412">
        <f t="shared" si="71"/>
        <v>1</v>
      </c>
      <c r="Z139" s="412">
        <f t="shared" si="71"/>
        <v>1</v>
      </c>
      <c r="AA139" s="412">
        <f t="shared" si="71"/>
        <v>1</v>
      </c>
      <c r="AB139" s="412">
        <f t="shared" si="71"/>
        <v>1</v>
      </c>
      <c r="AC139" s="412">
        <f t="shared" si="71"/>
        <v>1</v>
      </c>
      <c r="AD139" s="412">
        <f>IF(AD138=0,0,1/AD138)</f>
        <v>1</v>
      </c>
      <c r="AE139" s="412">
        <f>IF(AE138=0,0,1/AE138)</f>
        <v>1</v>
      </c>
      <c r="AF139" s="412">
        <f>IF(AF138=0,0,1/AF138)</f>
        <v>1</v>
      </c>
    </row>
    <row r="140" spans="1:32" s="280" customFormat="1" outlineLevel="1"/>
    <row r="141" spans="1:32" s="280" customFormat="1" outlineLevel="1"/>
    <row r="142" spans="1:32" outlineLevel="1">
      <c r="A142" s="312" t="str">
        <f>curr2&amp;" Escalation Factors"</f>
        <v>Reis Escalation Factors</v>
      </c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09"/>
      <c r="R142" s="309"/>
      <c r="S142" s="309"/>
      <c r="T142" s="309"/>
      <c r="U142" s="309"/>
      <c r="V142" s="309"/>
      <c r="W142" s="309"/>
      <c r="X142" s="309"/>
      <c r="Y142" s="309"/>
      <c r="Z142" s="309"/>
      <c r="AA142" s="309"/>
      <c r="AB142" s="309"/>
      <c r="AC142" s="309"/>
      <c r="AD142" s="309"/>
      <c r="AE142" s="309"/>
      <c r="AF142" s="309"/>
    </row>
    <row r="143" spans="1:32" outlineLevel="1">
      <c r="A143" s="408" t="s">
        <v>983</v>
      </c>
      <c r="B143" s="409" t="s">
        <v>984</v>
      </c>
      <c r="C143" s="329" t="s">
        <v>990</v>
      </c>
      <c r="D143" s="410" t="s">
        <v>991</v>
      </c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29"/>
      <c r="Z143" s="329"/>
      <c r="AA143" s="329"/>
      <c r="AB143" s="329"/>
      <c r="AC143" s="329"/>
      <c r="AD143" s="329"/>
      <c r="AE143" s="329"/>
      <c r="AF143" s="329"/>
    </row>
    <row r="144" spans="1:32" outlineLevel="1">
      <c r="A144" s="329"/>
      <c r="B144" s="413" t="s">
        <v>985</v>
      </c>
      <c r="C144" s="329"/>
      <c r="D144" s="329"/>
      <c r="E144" s="329"/>
      <c r="F144" s="329"/>
      <c r="G144" s="329"/>
      <c r="H144" s="396">
        <v>0</v>
      </c>
      <c r="I144" s="396">
        <v>0</v>
      </c>
      <c r="J144" s="396">
        <v>0</v>
      </c>
      <c r="K144" s="396">
        <v>0</v>
      </c>
      <c r="L144" s="396">
        <v>0</v>
      </c>
      <c r="M144" s="396">
        <v>0</v>
      </c>
      <c r="N144" s="396">
        <v>0</v>
      </c>
      <c r="O144" s="396">
        <v>0</v>
      </c>
      <c r="P144" s="396">
        <v>0</v>
      </c>
      <c r="Q144" s="396">
        <v>0</v>
      </c>
      <c r="R144" s="396">
        <v>0</v>
      </c>
      <c r="S144" s="396">
        <v>0</v>
      </c>
      <c r="T144" s="396">
        <v>0</v>
      </c>
      <c r="U144" s="396">
        <v>0</v>
      </c>
      <c r="V144" s="396">
        <v>0</v>
      </c>
      <c r="W144" s="396">
        <v>0</v>
      </c>
      <c r="X144" s="396">
        <v>0</v>
      </c>
      <c r="Y144" s="396">
        <v>0</v>
      </c>
      <c r="Z144" s="396">
        <v>0</v>
      </c>
      <c r="AA144" s="396">
        <v>0</v>
      </c>
      <c r="AB144" s="396">
        <v>0</v>
      </c>
      <c r="AC144" s="396">
        <v>0</v>
      </c>
      <c r="AD144" s="396">
        <v>0</v>
      </c>
      <c r="AE144" s="396">
        <v>0</v>
      </c>
      <c r="AF144" s="396">
        <v>0</v>
      </c>
    </row>
    <row r="145" spans="1:32" outlineLevel="1">
      <c r="A145" s="329"/>
      <c r="B145" s="329" t="s">
        <v>986</v>
      </c>
      <c r="C145" s="329"/>
      <c r="D145" s="329"/>
      <c r="E145" s="329"/>
      <c r="F145" s="329"/>
      <c r="G145" s="329"/>
      <c r="H145" s="414"/>
      <c r="I145" s="397">
        <f>(1+(+I144/12))^(+stub)</f>
        <v>1</v>
      </c>
      <c r="J145" s="415">
        <f t="shared" ref="J145:S145" si="72">+I145*(1+J144)</f>
        <v>1</v>
      </c>
      <c r="K145" s="415">
        <f t="shared" si="72"/>
        <v>1</v>
      </c>
      <c r="L145" s="415">
        <f t="shared" si="72"/>
        <v>1</v>
      </c>
      <c r="M145" s="415">
        <f t="shared" si="72"/>
        <v>1</v>
      </c>
      <c r="N145" s="415">
        <f t="shared" si="72"/>
        <v>1</v>
      </c>
      <c r="O145" s="415">
        <f t="shared" si="72"/>
        <v>1</v>
      </c>
      <c r="P145" s="415">
        <f t="shared" si="72"/>
        <v>1</v>
      </c>
      <c r="Q145" s="415">
        <f t="shared" si="72"/>
        <v>1</v>
      </c>
      <c r="R145" s="415">
        <f t="shared" si="72"/>
        <v>1</v>
      </c>
      <c r="S145" s="415">
        <f t="shared" si="72"/>
        <v>1</v>
      </c>
      <c r="T145" s="415">
        <f t="shared" ref="T145:AC145" si="73">+S145*(1+T144)</f>
        <v>1</v>
      </c>
      <c r="U145" s="415">
        <f t="shared" si="73"/>
        <v>1</v>
      </c>
      <c r="V145" s="415">
        <f t="shared" si="73"/>
        <v>1</v>
      </c>
      <c r="W145" s="415">
        <f t="shared" si="73"/>
        <v>1</v>
      </c>
      <c r="X145" s="415">
        <f t="shared" si="73"/>
        <v>1</v>
      </c>
      <c r="Y145" s="415">
        <f t="shared" si="73"/>
        <v>1</v>
      </c>
      <c r="Z145" s="415">
        <f t="shared" si="73"/>
        <v>1</v>
      </c>
      <c r="AA145" s="415">
        <f t="shared" si="73"/>
        <v>1</v>
      </c>
      <c r="AB145" s="415">
        <f t="shared" si="73"/>
        <v>1</v>
      </c>
      <c r="AC145" s="415">
        <f t="shared" si="73"/>
        <v>1</v>
      </c>
      <c r="AD145" s="415">
        <f>+AC145*(1+AD144)</f>
        <v>1</v>
      </c>
      <c r="AE145" s="415">
        <f>+AD145*(1+AE144)</f>
        <v>1</v>
      </c>
      <c r="AF145" s="415">
        <f>+AE145*(1+AF144)</f>
        <v>1</v>
      </c>
    </row>
    <row r="146" spans="1:32" ht="10.8" outlineLevel="1" thickBot="1">
      <c r="A146" s="381"/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81"/>
      <c r="AB146" s="381"/>
      <c r="AC146" s="381"/>
      <c r="AD146" s="381"/>
      <c r="AE146" s="381"/>
      <c r="AF146" s="381"/>
    </row>
    <row r="147" spans="1:32" ht="10.8" outlineLevel="1" thickTop="1">
      <c r="A147" s="348"/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48"/>
      <c r="AB147" s="348"/>
      <c r="AC147" s="348"/>
      <c r="AD147" s="348"/>
      <c r="AE147" s="348"/>
      <c r="AF147" s="348"/>
    </row>
    <row r="148" spans="1:32" collapsed="1">
      <c r="A148" s="280"/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</row>
    <row r="149" spans="1:32" ht="10.8" thickBot="1">
      <c r="A149" s="893" t="s">
        <v>419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400"/>
      <c r="AA149" s="400"/>
      <c r="AB149" s="400"/>
      <c r="AC149" s="400"/>
      <c r="AD149" s="400"/>
      <c r="AE149" s="400"/>
      <c r="AF149" s="400"/>
    </row>
    <row r="150" spans="1:32" ht="11.4" thickTop="1" thickBot="1">
      <c r="A150" s="336" t="s">
        <v>992</v>
      </c>
      <c r="I150" s="310">
        <f t="shared" ref="I150:R150" si="74">+I$3</f>
        <v>36525</v>
      </c>
      <c r="J150" s="311">
        <f t="shared" si="74"/>
        <v>2000</v>
      </c>
      <c r="K150" s="311">
        <f t="shared" si="74"/>
        <v>2001</v>
      </c>
      <c r="L150" s="311">
        <f t="shared" si="74"/>
        <v>2002</v>
      </c>
      <c r="M150" s="311">
        <f t="shared" si="74"/>
        <v>2003</v>
      </c>
      <c r="N150" s="311">
        <f t="shared" si="74"/>
        <v>2004</v>
      </c>
      <c r="O150" s="311">
        <f t="shared" si="74"/>
        <v>2005</v>
      </c>
      <c r="P150" s="311">
        <f t="shared" si="74"/>
        <v>2006</v>
      </c>
      <c r="Q150" s="311">
        <f t="shared" si="74"/>
        <v>2007</v>
      </c>
      <c r="R150" s="311">
        <f t="shared" si="74"/>
        <v>2008</v>
      </c>
      <c r="S150" s="311">
        <f t="shared" ref="S150:AF150" si="75">+S$3</f>
        <v>2009</v>
      </c>
      <c r="T150" s="311">
        <f t="shared" si="75"/>
        <v>2010</v>
      </c>
      <c r="U150" s="311">
        <f t="shared" si="75"/>
        <v>2011</v>
      </c>
      <c r="V150" s="311">
        <f t="shared" si="75"/>
        <v>2012</v>
      </c>
      <c r="W150" s="311">
        <f t="shared" si="75"/>
        <v>2013</v>
      </c>
      <c r="X150" s="311">
        <f t="shared" si="75"/>
        <v>2014</v>
      </c>
      <c r="Y150" s="311">
        <f t="shared" si="75"/>
        <v>2015</v>
      </c>
      <c r="Z150" s="311">
        <f t="shared" si="75"/>
        <v>2016</v>
      </c>
      <c r="AA150" s="311">
        <f t="shared" si="75"/>
        <v>2017</v>
      </c>
      <c r="AB150" s="311">
        <f t="shared" si="75"/>
        <v>2018</v>
      </c>
      <c r="AC150" s="311">
        <f t="shared" si="75"/>
        <v>2019</v>
      </c>
      <c r="AD150" s="311">
        <f t="shared" si="75"/>
        <v>2020</v>
      </c>
      <c r="AE150" s="311">
        <f t="shared" si="75"/>
        <v>2021</v>
      </c>
      <c r="AF150" s="311">
        <f t="shared" si="75"/>
        <v>2022</v>
      </c>
    </row>
    <row r="151" spans="1:32" ht="14.25" customHeight="1" thickTop="1">
      <c r="A151" s="739" t="s">
        <v>787</v>
      </c>
      <c r="B151" s="413" t="str">
        <f>"Currency (USD-1, "&amp;curr2&amp;"-2)"</f>
        <v>Currency (USD-1, Reis-2)</v>
      </c>
      <c r="D151" s="416">
        <v>1</v>
      </c>
      <c r="I151" s="417"/>
      <c r="J151" s="417"/>
      <c r="K151" s="417"/>
      <c r="L151" s="417"/>
      <c r="M151" s="417"/>
      <c r="N151" s="417"/>
      <c r="O151" s="417"/>
      <c r="P151" s="417"/>
      <c r="Q151" s="417"/>
      <c r="R151" s="417"/>
      <c r="S151" s="417"/>
      <c r="T151" s="417"/>
      <c r="U151" s="417"/>
      <c r="V151" s="417"/>
      <c r="W151" s="417"/>
      <c r="X151" s="417"/>
      <c r="Y151" s="417"/>
      <c r="Z151" s="417"/>
      <c r="AA151" s="417"/>
      <c r="AB151" s="417"/>
      <c r="AC151" s="417"/>
      <c r="AD151" s="417"/>
      <c r="AE151" s="417"/>
      <c r="AF151" s="417"/>
    </row>
    <row r="152" spans="1:32">
      <c r="B152" s="418" t="s">
        <v>993</v>
      </c>
      <c r="C152" s="329"/>
      <c r="D152" s="419">
        <v>1</v>
      </c>
    </row>
    <row r="153" spans="1:32">
      <c r="B153" s="395" t="s">
        <v>994</v>
      </c>
      <c r="D153" s="420">
        <v>0</v>
      </c>
      <c r="G153" s="395" t="s">
        <v>995</v>
      </c>
      <c r="I153" s="421">
        <f>+$D$153*IF($D151=1,CHOOSE($D$152,1,I130),CHOOSE($D$152,1,I145))</f>
        <v>0</v>
      </c>
      <c r="J153" s="421">
        <f t="shared" ref="J153:AF153" si="76">+$D$153*IF($D151=1,CHOOSE($D$152,1,J130),CHOOSE($D$152,1,J145))</f>
        <v>0</v>
      </c>
      <c r="K153" s="421">
        <f t="shared" si="76"/>
        <v>0</v>
      </c>
      <c r="L153" s="421">
        <f t="shared" si="76"/>
        <v>0</v>
      </c>
      <c r="M153" s="421">
        <f t="shared" si="76"/>
        <v>0</v>
      </c>
      <c r="N153" s="421">
        <f t="shared" si="76"/>
        <v>0</v>
      </c>
      <c r="O153" s="421">
        <f t="shared" si="76"/>
        <v>0</v>
      </c>
      <c r="P153" s="421">
        <f t="shared" si="76"/>
        <v>0</v>
      </c>
      <c r="Q153" s="421">
        <f t="shared" si="76"/>
        <v>0</v>
      </c>
      <c r="R153" s="421">
        <f t="shared" si="76"/>
        <v>0</v>
      </c>
      <c r="S153" s="421">
        <f t="shared" si="76"/>
        <v>0</v>
      </c>
      <c r="T153" s="421">
        <f t="shared" si="76"/>
        <v>0</v>
      </c>
      <c r="U153" s="421">
        <f t="shared" si="76"/>
        <v>0</v>
      </c>
      <c r="V153" s="421">
        <f t="shared" si="76"/>
        <v>0</v>
      </c>
      <c r="W153" s="421">
        <f t="shared" si="76"/>
        <v>0</v>
      </c>
      <c r="X153" s="421">
        <f t="shared" si="76"/>
        <v>0</v>
      </c>
      <c r="Y153" s="421">
        <f t="shared" si="76"/>
        <v>0</v>
      </c>
      <c r="Z153" s="421">
        <f t="shared" si="76"/>
        <v>0</v>
      </c>
      <c r="AA153" s="421">
        <f t="shared" si="76"/>
        <v>0</v>
      </c>
      <c r="AB153" s="421">
        <f t="shared" si="76"/>
        <v>0</v>
      </c>
      <c r="AC153" s="421">
        <f t="shared" si="76"/>
        <v>0</v>
      </c>
      <c r="AD153" s="421">
        <f t="shared" si="76"/>
        <v>0</v>
      </c>
      <c r="AE153" s="421">
        <f t="shared" si="76"/>
        <v>0</v>
      </c>
      <c r="AF153" s="421">
        <f t="shared" si="76"/>
        <v>0</v>
      </c>
    </row>
    <row r="154" spans="1:32">
      <c r="G154" s="422" t="s">
        <v>996</v>
      </c>
      <c r="I154" s="423">
        <f t="array" ref="I154:AF154">+TRANSPOSE(CALC!HS17:HS40)</f>
        <v>0</v>
      </c>
      <c r="J154" s="423">
        <v>66.728698825353533</v>
      </c>
      <c r="K154" s="423">
        <v>68.320171561851339</v>
      </c>
      <c r="L154" s="423">
        <v>69.959855679335774</v>
      </c>
      <c r="M154" s="423">
        <v>71.638892215639856</v>
      </c>
      <c r="N154" s="423">
        <v>73.317851460165798</v>
      </c>
      <c r="O154" s="423">
        <v>75.118823043906772</v>
      </c>
      <c r="P154" s="423">
        <v>76.921674796960545</v>
      </c>
      <c r="Q154" s="423">
        <v>78.767794992087588</v>
      </c>
      <c r="R154" s="423">
        <v>80.613830204005879</v>
      </c>
      <c r="S154" s="423">
        <v>82.594019401623257</v>
      </c>
      <c r="T154" s="423">
        <v>84.576275867262197</v>
      </c>
      <c r="U154" s="423">
        <v>86.606106488076492</v>
      </c>
      <c r="V154" s="423">
        <v>88.635843668864553</v>
      </c>
      <c r="W154" s="423">
        <v>90.813084716841288</v>
      </c>
      <c r="X154" s="423">
        <v>92.992598750045502</v>
      </c>
      <c r="Y154" s="423">
        <v>95.224421120046571</v>
      </c>
      <c r="Z154" s="423">
        <v>97.456140751652342</v>
      </c>
      <c r="AA154" s="423">
        <v>99.850042600373953</v>
      </c>
      <c r="AB154" s="423">
        <v>102.24644362278295</v>
      </c>
      <c r="AC154" s="423">
        <v>104.70035826972973</v>
      </c>
      <c r="AD154" s="423">
        <v>107.15415995461626</v>
      </c>
      <c r="AE154" s="423">
        <v>109.78628287304015</v>
      </c>
      <c r="AF154" s="423">
        <v>112.42115366199313</v>
      </c>
    </row>
    <row r="155" spans="1:32">
      <c r="G155" s="422" t="s">
        <v>996</v>
      </c>
      <c r="I155" s="423">
        <v>0</v>
      </c>
      <c r="J155" s="423">
        <v>0</v>
      </c>
      <c r="K155" s="423">
        <v>0</v>
      </c>
      <c r="L155" s="423">
        <v>0</v>
      </c>
      <c r="M155" s="423">
        <v>0</v>
      </c>
      <c r="N155" s="423">
        <v>0</v>
      </c>
      <c r="O155" s="423">
        <v>0</v>
      </c>
      <c r="P155" s="423">
        <v>0</v>
      </c>
      <c r="Q155" s="423">
        <v>0</v>
      </c>
      <c r="R155" s="423">
        <v>0</v>
      </c>
      <c r="S155" s="423">
        <v>0</v>
      </c>
      <c r="T155" s="423">
        <v>0</v>
      </c>
      <c r="U155" s="423">
        <v>0</v>
      </c>
      <c r="V155" s="423">
        <v>0</v>
      </c>
      <c r="W155" s="423">
        <v>0</v>
      </c>
      <c r="X155" s="423">
        <v>0</v>
      </c>
      <c r="Y155" s="423">
        <v>0</v>
      </c>
      <c r="Z155" s="423">
        <v>0</v>
      </c>
      <c r="AA155" s="423">
        <v>0</v>
      </c>
      <c r="AB155" s="423">
        <v>0</v>
      </c>
      <c r="AC155" s="423">
        <v>0</v>
      </c>
      <c r="AD155" s="423">
        <v>0</v>
      </c>
      <c r="AE155" s="423">
        <v>0</v>
      </c>
      <c r="AF155" s="423">
        <v>0</v>
      </c>
    </row>
    <row r="156" spans="1:32">
      <c r="G156" s="422" t="s">
        <v>996</v>
      </c>
      <c r="I156" s="423">
        <v>0</v>
      </c>
      <c r="J156" s="423">
        <v>0</v>
      </c>
      <c r="K156" s="423">
        <v>0</v>
      </c>
      <c r="L156" s="423">
        <v>0</v>
      </c>
      <c r="M156" s="423">
        <v>0</v>
      </c>
      <c r="N156" s="423">
        <v>0</v>
      </c>
      <c r="O156" s="423">
        <v>0</v>
      </c>
      <c r="P156" s="423">
        <v>0</v>
      </c>
      <c r="Q156" s="423">
        <v>0</v>
      </c>
      <c r="R156" s="423">
        <v>0</v>
      </c>
      <c r="S156" s="423">
        <v>0</v>
      </c>
      <c r="T156" s="423">
        <v>0</v>
      </c>
      <c r="U156" s="423">
        <v>0</v>
      </c>
      <c r="V156" s="423">
        <v>0</v>
      </c>
      <c r="W156" s="423">
        <v>0</v>
      </c>
      <c r="X156" s="423">
        <v>0</v>
      </c>
      <c r="Y156" s="423">
        <v>0</v>
      </c>
      <c r="Z156" s="423">
        <v>0</v>
      </c>
      <c r="AA156" s="423">
        <v>0</v>
      </c>
      <c r="AB156" s="423">
        <v>0</v>
      </c>
      <c r="AC156" s="423">
        <v>0</v>
      </c>
      <c r="AD156" s="423">
        <v>0</v>
      </c>
      <c r="AE156" s="423">
        <v>0</v>
      </c>
      <c r="AF156" s="423">
        <v>0</v>
      </c>
    </row>
    <row r="157" spans="1:32">
      <c r="G157" s="422" t="s">
        <v>996</v>
      </c>
      <c r="I157" s="423">
        <v>0</v>
      </c>
      <c r="J157" s="423">
        <v>0</v>
      </c>
      <c r="K157" s="423">
        <v>0</v>
      </c>
      <c r="L157" s="423">
        <v>0</v>
      </c>
      <c r="M157" s="423">
        <v>0</v>
      </c>
      <c r="N157" s="423">
        <v>0</v>
      </c>
      <c r="O157" s="423">
        <v>0</v>
      </c>
      <c r="P157" s="423">
        <v>0</v>
      </c>
      <c r="Q157" s="423">
        <v>0</v>
      </c>
      <c r="R157" s="423">
        <v>0</v>
      </c>
      <c r="S157" s="423">
        <v>0</v>
      </c>
      <c r="T157" s="423">
        <v>0</v>
      </c>
      <c r="U157" s="423">
        <v>0</v>
      </c>
      <c r="V157" s="423">
        <v>0</v>
      </c>
      <c r="W157" s="423">
        <v>0</v>
      </c>
      <c r="X157" s="423">
        <v>0</v>
      </c>
      <c r="Y157" s="423">
        <v>0</v>
      </c>
      <c r="Z157" s="423">
        <v>0</v>
      </c>
      <c r="AA157" s="423">
        <v>0</v>
      </c>
      <c r="AB157" s="423">
        <v>0</v>
      </c>
      <c r="AC157" s="423">
        <v>0</v>
      </c>
      <c r="AD157" s="423">
        <v>0</v>
      </c>
      <c r="AE157" s="423">
        <v>0</v>
      </c>
      <c r="AF157" s="423">
        <v>0</v>
      </c>
    </row>
    <row r="158" spans="1:32">
      <c r="G158" s="424" t="s">
        <v>997</v>
      </c>
      <c r="I158" s="397">
        <f t="shared" ref="I158:R158" si="77">SUM(I153:I157)</f>
        <v>0</v>
      </c>
      <c r="J158" s="397">
        <f t="shared" si="77"/>
        <v>66.728698825353533</v>
      </c>
      <c r="K158" s="397">
        <f t="shared" si="77"/>
        <v>68.320171561851339</v>
      </c>
      <c r="L158" s="397">
        <f t="shared" si="77"/>
        <v>69.959855679335774</v>
      </c>
      <c r="M158" s="397">
        <f t="shared" si="77"/>
        <v>71.638892215639856</v>
      </c>
      <c r="N158" s="397">
        <f t="shared" si="77"/>
        <v>73.317851460165798</v>
      </c>
      <c r="O158" s="397">
        <f t="shared" si="77"/>
        <v>75.118823043906772</v>
      </c>
      <c r="P158" s="397">
        <f t="shared" si="77"/>
        <v>76.921674796960545</v>
      </c>
      <c r="Q158" s="397">
        <f t="shared" si="77"/>
        <v>78.767794992087588</v>
      </c>
      <c r="R158" s="397">
        <f t="shared" si="77"/>
        <v>80.613830204005879</v>
      </c>
      <c r="S158" s="397">
        <f t="shared" ref="S158:AC158" si="78">SUM(S153:S157)</f>
        <v>82.594019401623257</v>
      </c>
      <c r="T158" s="397">
        <f t="shared" si="78"/>
        <v>84.576275867262197</v>
      </c>
      <c r="U158" s="397">
        <f t="shared" si="78"/>
        <v>86.606106488076492</v>
      </c>
      <c r="V158" s="397">
        <f t="shared" si="78"/>
        <v>88.635843668864553</v>
      </c>
      <c r="W158" s="397">
        <f t="shared" si="78"/>
        <v>90.813084716841288</v>
      </c>
      <c r="X158" s="397">
        <f t="shared" si="78"/>
        <v>92.992598750045502</v>
      </c>
      <c r="Y158" s="397">
        <f t="shared" si="78"/>
        <v>95.224421120046571</v>
      </c>
      <c r="Z158" s="397">
        <f t="shared" si="78"/>
        <v>97.456140751652342</v>
      </c>
      <c r="AA158" s="397">
        <f t="shared" si="78"/>
        <v>99.850042600373953</v>
      </c>
      <c r="AB158" s="397">
        <f t="shared" si="78"/>
        <v>102.24644362278295</v>
      </c>
      <c r="AC158" s="397">
        <f t="shared" si="78"/>
        <v>104.70035826972973</v>
      </c>
      <c r="AD158" s="397">
        <f>SUM(AD153:AD157)</f>
        <v>107.15415995461626</v>
      </c>
      <c r="AE158" s="397">
        <f>SUM(AE153:AE157)</f>
        <v>109.78628287304015</v>
      </c>
      <c r="AF158" s="397">
        <f>SUM(AF153:AF157)</f>
        <v>112.42115366199313</v>
      </c>
    </row>
    <row r="159" spans="1:32">
      <c r="G159" s="337" t="s">
        <v>998</v>
      </c>
      <c r="I159" s="397">
        <f t="shared" ref="I159:AC159" si="79">IF($D151=1,I158,+I158*I$139)</f>
        <v>0</v>
      </c>
      <c r="J159" s="397">
        <f t="shared" si="79"/>
        <v>66.728698825353533</v>
      </c>
      <c r="K159" s="397">
        <f t="shared" si="79"/>
        <v>68.320171561851339</v>
      </c>
      <c r="L159" s="397">
        <f t="shared" si="79"/>
        <v>69.959855679335774</v>
      </c>
      <c r="M159" s="397">
        <f t="shared" si="79"/>
        <v>71.638892215639856</v>
      </c>
      <c r="N159" s="397">
        <f t="shared" si="79"/>
        <v>73.317851460165798</v>
      </c>
      <c r="O159" s="397">
        <f t="shared" si="79"/>
        <v>75.118823043906772</v>
      </c>
      <c r="P159" s="397">
        <f t="shared" si="79"/>
        <v>76.921674796960545</v>
      </c>
      <c r="Q159" s="397">
        <f t="shared" si="79"/>
        <v>78.767794992087588</v>
      </c>
      <c r="R159" s="397">
        <f t="shared" si="79"/>
        <v>80.613830204005879</v>
      </c>
      <c r="S159" s="397">
        <f t="shared" si="79"/>
        <v>82.594019401623257</v>
      </c>
      <c r="T159" s="397">
        <f t="shared" si="79"/>
        <v>84.576275867262197</v>
      </c>
      <c r="U159" s="397">
        <f t="shared" si="79"/>
        <v>86.606106488076492</v>
      </c>
      <c r="V159" s="397">
        <f t="shared" si="79"/>
        <v>88.635843668864553</v>
      </c>
      <c r="W159" s="397">
        <f t="shared" si="79"/>
        <v>90.813084716841288</v>
      </c>
      <c r="X159" s="397">
        <f t="shared" si="79"/>
        <v>92.992598750045502</v>
      </c>
      <c r="Y159" s="397">
        <f t="shared" si="79"/>
        <v>95.224421120046571</v>
      </c>
      <c r="Z159" s="397">
        <f t="shared" si="79"/>
        <v>97.456140751652342</v>
      </c>
      <c r="AA159" s="397">
        <f t="shared" si="79"/>
        <v>99.850042600373953</v>
      </c>
      <c r="AB159" s="397">
        <f t="shared" si="79"/>
        <v>102.24644362278295</v>
      </c>
      <c r="AC159" s="397">
        <f t="shared" si="79"/>
        <v>104.70035826972973</v>
      </c>
      <c r="AD159" s="397">
        <f>IF($D151=1,AD158,+AD158*AD$139)</f>
        <v>107.15415995461626</v>
      </c>
      <c r="AE159" s="397">
        <f>IF($D151=1,AE158,+AE158*AE$139)</f>
        <v>109.78628287304015</v>
      </c>
      <c r="AF159" s="397">
        <f>IF($D151=1,AF158,+AF158*AF$139)</f>
        <v>112.42115366199313</v>
      </c>
    </row>
    <row r="161" spans="1:32" ht="10.8" thickBot="1"/>
    <row r="162" spans="1:32" ht="11.4" thickTop="1" thickBot="1">
      <c r="A162" s="425" t="s">
        <v>999</v>
      </c>
      <c r="B162" s="348"/>
      <c r="C162" s="348"/>
      <c r="D162" s="348"/>
      <c r="E162" s="348"/>
      <c r="F162" s="348"/>
      <c r="G162" s="426"/>
      <c r="H162" s="348"/>
      <c r="I162" s="310">
        <f t="shared" ref="I162:R162" si="80">+I$3</f>
        <v>36525</v>
      </c>
      <c r="J162" s="311">
        <f t="shared" si="80"/>
        <v>2000</v>
      </c>
      <c r="K162" s="311">
        <f t="shared" si="80"/>
        <v>2001</v>
      </c>
      <c r="L162" s="311">
        <f t="shared" si="80"/>
        <v>2002</v>
      </c>
      <c r="M162" s="311">
        <f t="shared" si="80"/>
        <v>2003</v>
      </c>
      <c r="N162" s="311">
        <f t="shared" si="80"/>
        <v>2004</v>
      </c>
      <c r="O162" s="311">
        <f t="shared" si="80"/>
        <v>2005</v>
      </c>
      <c r="P162" s="311">
        <f t="shared" si="80"/>
        <v>2006</v>
      </c>
      <c r="Q162" s="311">
        <f t="shared" si="80"/>
        <v>2007</v>
      </c>
      <c r="R162" s="311">
        <f t="shared" si="80"/>
        <v>2008</v>
      </c>
      <c r="S162" s="311">
        <f t="shared" ref="S162:AF162" si="81">+S$3</f>
        <v>2009</v>
      </c>
      <c r="T162" s="311">
        <f t="shared" si="81"/>
        <v>2010</v>
      </c>
      <c r="U162" s="311">
        <f t="shared" si="81"/>
        <v>2011</v>
      </c>
      <c r="V162" s="311">
        <f t="shared" si="81"/>
        <v>2012</v>
      </c>
      <c r="W162" s="311">
        <f t="shared" si="81"/>
        <v>2013</v>
      </c>
      <c r="X162" s="311">
        <f t="shared" si="81"/>
        <v>2014</v>
      </c>
      <c r="Y162" s="311">
        <f t="shared" si="81"/>
        <v>2015</v>
      </c>
      <c r="Z162" s="311">
        <f t="shared" si="81"/>
        <v>2016</v>
      </c>
      <c r="AA162" s="311">
        <f t="shared" si="81"/>
        <v>2017</v>
      </c>
      <c r="AB162" s="311">
        <f t="shared" si="81"/>
        <v>2018</v>
      </c>
      <c r="AC162" s="311">
        <f t="shared" si="81"/>
        <v>2019</v>
      </c>
      <c r="AD162" s="311">
        <f t="shared" si="81"/>
        <v>2020</v>
      </c>
      <c r="AE162" s="311">
        <f t="shared" si="81"/>
        <v>2021</v>
      </c>
      <c r="AF162" s="311">
        <f t="shared" si="81"/>
        <v>2022</v>
      </c>
    </row>
    <row r="163" spans="1:32" ht="10.8" thickTop="1">
      <c r="A163" s="427"/>
      <c r="B163" s="348"/>
      <c r="C163" s="348"/>
      <c r="D163" s="348"/>
      <c r="E163" s="348"/>
      <c r="F163" s="348"/>
      <c r="G163" s="426"/>
      <c r="H163" s="348"/>
      <c r="I163" s="417"/>
      <c r="J163" s="417"/>
      <c r="K163" s="417"/>
      <c r="L163" s="417"/>
      <c r="M163" s="417"/>
      <c r="N163" s="417"/>
      <c r="O163" s="417"/>
      <c r="P163" s="417"/>
      <c r="Q163" s="417"/>
      <c r="R163" s="417"/>
      <c r="S163" s="417"/>
      <c r="T163" s="417"/>
      <c r="U163" s="417"/>
      <c r="V163" s="417"/>
      <c r="W163" s="417"/>
      <c r="X163" s="417"/>
      <c r="Y163" s="417"/>
      <c r="Z163" s="417"/>
      <c r="AA163" s="417"/>
      <c r="AB163" s="417"/>
      <c r="AC163" s="417"/>
      <c r="AD163" s="417"/>
      <c r="AE163" s="417"/>
      <c r="AF163" s="417"/>
    </row>
    <row r="164" spans="1:32">
      <c r="A164" s="428" t="s">
        <v>787</v>
      </c>
      <c r="C164" s="280"/>
      <c r="D164" s="280"/>
      <c r="E164" s="348"/>
      <c r="F164" s="348" t="s">
        <v>875</v>
      </c>
      <c r="G164" s="426"/>
      <c r="H164" s="348"/>
      <c r="I164" s="357">
        <f t="array" ref="I164:AF164">+TRANSPOSE(CALC!HR17:HR40)/1000</f>
        <v>0</v>
      </c>
      <c r="J164" s="357">
        <v>204.116625</v>
      </c>
      <c r="K164" s="357">
        <v>203.54040000000001</v>
      </c>
      <c r="L164" s="357">
        <v>203.54040000000001</v>
      </c>
      <c r="M164" s="357">
        <v>203.54039999999998</v>
      </c>
      <c r="N164" s="357">
        <v>204.11662499999997</v>
      </c>
      <c r="O164" s="357">
        <v>203.54039999999998</v>
      </c>
      <c r="P164" s="357">
        <v>203.54040000000001</v>
      </c>
      <c r="Q164" s="357">
        <v>203.54040000000001</v>
      </c>
      <c r="R164" s="357">
        <v>204.11662499999997</v>
      </c>
      <c r="S164" s="357">
        <v>203.54039999999998</v>
      </c>
      <c r="T164" s="357">
        <v>203.54039999999998</v>
      </c>
      <c r="U164" s="357">
        <v>203.54039999999998</v>
      </c>
      <c r="V164" s="357">
        <v>204.116625</v>
      </c>
      <c r="W164" s="357">
        <v>203.54040000000001</v>
      </c>
      <c r="X164" s="357">
        <v>203.54039999999998</v>
      </c>
      <c r="Y164" s="357">
        <v>203.54039999999998</v>
      </c>
      <c r="Z164" s="357">
        <v>204.11662499999997</v>
      </c>
      <c r="AA164" s="357">
        <v>203.54040000000001</v>
      </c>
      <c r="AB164" s="357">
        <v>203.54040000000001</v>
      </c>
      <c r="AC164" s="357">
        <v>203.54040000000001</v>
      </c>
      <c r="AD164" s="357">
        <v>204.11662499999997</v>
      </c>
      <c r="AE164" s="357">
        <v>203.54039999999998</v>
      </c>
      <c r="AF164" s="357">
        <v>203.54039999999998</v>
      </c>
    </row>
    <row r="165" spans="1:32">
      <c r="A165" s="348"/>
      <c r="C165" s="280"/>
      <c r="D165" s="280"/>
      <c r="E165" s="348"/>
      <c r="F165" s="348" t="s">
        <v>784</v>
      </c>
      <c r="G165" s="426"/>
      <c r="H165" s="348"/>
      <c r="I165" s="429">
        <f t="shared" ref="I165:R165" si="82">+I159</f>
        <v>0</v>
      </c>
      <c r="J165" s="429">
        <f t="shared" si="82"/>
        <v>66.728698825353533</v>
      </c>
      <c r="K165" s="429">
        <f t="shared" si="82"/>
        <v>68.320171561851339</v>
      </c>
      <c r="L165" s="429">
        <f t="shared" si="82"/>
        <v>69.959855679335774</v>
      </c>
      <c r="M165" s="429">
        <f t="shared" si="82"/>
        <v>71.638892215639856</v>
      </c>
      <c r="N165" s="429">
        <f t="shared" si="82"/>
        <v>73.317851460165798</v>
      </c>
      <c r="O165" s="429">
        <f t="shared" si="82"/>
        <v>75.118823043906772</v>
      </c>
      <c r="P165" s="429">
        <f t="shared" si="82"/>
        <v>76.921674796960545</v>
      </c>
      <c r="Q165" s="429">
        <f t="shared" si="82"/>
        <v>78.767794992087588</v>
      </c>
      <c r="R165" s="429">
        <f t="shared" si="82"/>
        <v>80.613830204005879</v>
      </c>
      <c r="S165" s="429">
        <f t="shared" ref="S165:AC165" si="83">+S159</f>
        <v>82.594019401623257</v>
      </c>
      <c r="T165" s="429">
        <f t="shared" si="83"/>
        <v>84.576275867262197</v>
      </c>
      <c r="U165" s="429">
        <f t="shared" si="83"/>
        <v>86.606106488076492</v>
      </c>
      <c r="V165" s="429">
        <f t="shared" si="83"/>
        <v>88.635843668864553</v>
      </c>
      <c r="W165" s="429">
        <f t="shared" si="83"/>
        <v>90.813084716841288</v>
      </c>
      <c r="X165" s="429">
        <f t="shared" si="83"/>
        <v>92.992598750045502</v>
      </c>
      <c r="Y165" s="429">
        <f t="shared" si="83"/>
        <v>95.224421120046571</v>
      </c>
      <c r="Z165" s="429">
        <f t="shared" si="83"/>
        <v>97.456140751652342</v>
      </c>
      <c r="AA165" s="429">
        <f t="shared" si="83"/>
        <v>99.850042600373953</v>
      </c>
      <c r="AB165" s="429">
        <f t="shared" si="83"/>
        <v>102.24644362278295</v>
      </c>
      <c r="AC165" s="429">
        <f t="shared" si="83"/>
        <v>104.70035826972973</v>
      </c>
      <c r="AD165" s="429">
        <f>+AD159</f>
        <v>107.15415995461626</v>
      </c>
      <c r="AE165" s="429">
        <f>+AE159</f>
        <v>109.78628287304015</v>
      </c>
      <c r="AF165" s="429">
        <f>+AF159</f>
        <v>112.42115366199313</v>
      </c>
    </row>
    <row r="166" spans="1:32">
      <c r="A166" s="348"/>
      <c r="C166" s="280"/>
      <c r="D166" s="280"/>
      <c r="E166" s="348"/>
      <c r="F166" s="430" t="s">
        <v>1000</v>
      </c>
      <c r="G166" s="426"/>
      <c r="H166" s="348"/>
      <c r="I166" s="431">
        <f>I165*I164</f>
        <v>0</v>
      </c>
      <c r="J166" s="431">
        <f t="shared" ref="J166:AF166" si="84">+J165*J164</f>
        <v>13620.436794872627</v>
      </c>
      <c r="K166" s="431">
        <f t="shared" si="84"/>
        <v>13905.915047767847</v>
      </c>
      <c r="L166" s="431">
        <f t="shared" si="84"/>
        <v>14239.657008914275</v>
      </c>
      <c r="M166" s="431">
        <f t="shared" si="84"/>
        <v>14581.408777128221</v>
      </c>
      <c r="N166" s="431">
        <f t="shared" si="84"/>
        <v>14965.392392300362</v>
      </c>
      <c r="O166" s="431">
        <f t="shared" si="84"/>
        <v>15289.715289886</v>
      </c>
      <c r="P166" s="431">
        <f t="shared" si="84"/>
        <v>15656.668456843268</v>
      </c>
      <c r="Q166" s="431">
        <f t="shared" si="84"/>
        <v>16032.428499807505</v>
      </c>
      <c r="R166" s="431">
        <f t="shared" si="84"/>
        <v>16454.622949564739</v>
      </c>
      <c r="S166" s="431">
        <f t="shared" si="84"/>
        <v>16811.219746614155</v>
      </c>
      <c r="T166" s="431">
        <f t="shared" si="84"/>
        <v>17214.689020532893</v>
      </c>
      <c r="U166" s="431">
        <f t="shared" si="84"/>
        <v>17627.841557025684</v>
      </c>
      <c r="V166" s="431">
        <f t="shared" si="84"/>
        <v>18092.04926371625</v>
      </c>
      <c r="W166" s="431">
        <f t="shared" si="84"/>
        <v>18484.131588499764</v>
      </c>
      <c r="X166" s="431">
        <f t="shared" si="84"/>
        <v>18927.750746623758</v>
      </c>
      <c r="Y166" s="431">
        <f t="shared" si="84"/>
        <v>19382.016764542725</v>
      </c>
      <c r="Z166" s="431">
        <f t="shared" si="84"/>
        <v>19892.418535752236</v>
      </c>
      <c r="AA166" s="431">
        <f t="shared" si="84"/>
        <v>20323.517610897154</v>
      </c>
      <c r="AB166" s="431">
        <f t="shared" si="84"/>
        <v>20811.282033558691</v>
      </c>
      <c r="AC166" s="431">
        <f t="shared" si="84"/>
        <v>21310.752802364099</v>
      </c>
      <c r="AD166" s="431">
        <f t="shared" si="84"/>
        <v>21871.945484646421</v>
      </c>
      <c r="AE166" s="431">
        <f t="shared" si="84"/>
        <v>22345.94393049174</v>
      </c>
      <c r="AF166" s="431">
        <f t="shared" si="84"/>
        <v>22882.246584823544</v>
      </c>
    </row>
    <row r="167" spans="1:32">
      <c r="A167" s="371"/>
      <c r="B167" s="371"/>
      <c r="C167" s="432"/>
      <c r="D167" s="432"/>
      <c r="E167" s="371"/>
      <c r="F167" s="971">
        <f>XNPV(0.1,I166:AF166,I638:AF638)</f>
        <v>144254.37245596875</v>
      </c>
      <c r="G167" s="434"/>
      <c r="H167" s="371"/>
      <c r="I167" s="435"/>
      <c r="J167" s="435"/>
      <c r="K167" s="435"/>
      <c r="L167" s="435"/>
      <c r="M167" s="435"/>
      <c r="N167" s="435"/>
      <c r="O167" s="435"/>
      <c r="P167" s="435"/>
      <c r="Q167" s="435"/>
      <c r="R167" s="435"/>
      <c r="S167" s="435"/>
      <c r="T167" s="435"/>
      <c r="U167" s="435"/>
      <c r="V167" s="435"/>
      <c r="W167" s="435"/>
      <c r="X167" s="435"/>
      <c r="Y167" s="435"/>
      <c r="Z167" s="435"/>
      <c r="AA167" s="435"/>
      <c r="AB167" s="435"/>
      <c r="AC167" s="435"/>
      <c r="AD167" s="435"/>
      <c r="AE167" s="435"/>
      <c r="AF167" s="435"/>
    </row>
    <row r="168" spans="1:32">
      <c r="A168" s="867" t="s">
        <v>420</v>
      </c>
      <c r="B168" s="348"/>
      <c r="C168" s="281"/>
      <c r="D168" s="281"/>
      <c r="E168" s="348"/>
      <c r="F168" s="430"/>
      <c r="G168" s="426"/>
      <c r="H168" s="348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436"/>
      <c r="AA168" s="436"/>
      <c r="AB168" s="436"/>
      <c r="AC168" s="436"/>
      <c r="AD168" s="436"/>
      <c r="AE168" s="436"/>
      <c r="AF168" s="436"/>
    </row>
    <row r="169" spans="1:32">
      <c r="A169" s="427" t="s">
        <v>992</v>
      </c>
      <c r="B169" s="348"/>
      <c r="C169" s="281"/>
      <c r="D169" s="281"/>
      <c r="E169" s="348"/>
      <c r="F169" s="430"/>
      <c r="G169" s="426"/>
      <c r="H169" s="348"/>
      <c r="I169" s="436"/>
      <c r="J169" s="436"/>
      <c r="K169" s="436"/>
      <c r="L169" s="436"/>
      <c r="M169" s="436"/>
      <c r="N169" s="436"/>
      <c r="O169" s="436"/>
      <c r="P169" s="436"/>
      <c r="Q169" s="436"/>
      <c r="R169" s="436"/>
      <c r="S169" s="436"/>
      <c r="T169" s="436"/>
      <c r="U169" s="436"/>
      <c r="V169" s="436"/>
      <c r="W169" s="436"/>
      <c r="X169" s="436"/>
      <c r="Y169" s="436"/>
      <c r="Z169" s="436"/>
      <c r="AA169" s="436"/>
      <c r="AB169" s="436"/>
      <c r="AC169" s="436"/>
      <c r="AD169" s="436"/>
      <c r="AE169" s="436"/>
      <c r="AF169" s="436"/>
    </row>
    <row r="170" spans="1:32">
      <c r="A170" s="739" t="s">
        <v>787</v>
      </c>
      <c r="B170" s="413" t="str">
        <f>"Currency (USD-1, "&amp;curr2&amp;"-2)"</f>
        <v>Currency (USD-1, Reis-2)</v>
      </c>
      <c r="D170" s="416">
        <v>1</v>
      </c>
      <c r="I170" s="417"/>
      <c r="J170" s="417"/>
      <c r="K170" s="417"/>
      <c r="L170" s="417"/>
      <c r="M170" s="417"/>
      <c r="N170" s="417"/>
      <c r="O170" s="417"/>
      <c r="P170" s="417"/>
      <c r="Q170" s="417"/>
      <c r="R170" s="417"/>
      <c r="S170" s="417"/>
      <c r="T170" s="417"/>
      <c r="U170" s="417"/>
      <c r="V170" s="417"/>
      <c r="W170" s="417"/>
      <c r="X170" s="417"/>
      <c r="Y170" s="417"/>
      <c r="Z170" s="417"/>
      <c r="AA170" s="417"/>
      <c r="AB170" s="417"/>
      <c r="AC170" s="417"/>
      <c r="AD170" s="417"/>
      <c r="AE170" s="417"/>
      <c r="AF170" s="417"/>
    </row>
    <row r="171" spans="1:32">
      <c r="B171" s="418" t="s">
        <v>993</v>
      </c>
      <c r="C171" s="329"/>
      <c r="D171" s="419">
        <v>1</v>
      </c>
    </row>
    <row r="172" spans="1:32">
      <c r="B172" s="395" t="s">
        <v>994</v>
      </c>
      <c r="D172" s="420">
        <v>0</v>
      </c>
      <c r="G172" s="395" t="s">
        <v>995</v>
      </c>
      <c r="I172" s="421">
        <f>+$D$153*IF($D170=1,CHOOSE($D$152,1,I147),CHOOSE($D$152,1,I162))</f>
        <v>0</v>
      </c>
      <c r="J172" s="421">
        <f t="shared" ref="J172:AF172" si="85">+$D$153*IF($D170=1,CHOOSE($D$152,1,J147),CHOOSE($D$152,1,J162))</f>
        <v>0</v>
      </c>
      <c r="K172" s="421">
        <f t="shared" si="85"/>
        <v>0</v>
      </c>
      <c r="L172" s="421">
        <f t="shared" si="85"/>
        <v>0</v>
      </c>
      <c r="M172" s="421">
        <f t="shared" si="85"/>
        <v>0</v>
      </c>
      <c r="N172" s="421">
        <f t="shared" si="85"/>
        <v>0</v>
      </c>
      <c r="O172" s="421">
        <f t="shared" si="85"/>
        <v>0</v>
      </c>
      <c r="P172" s="421">
        <f t="shared" si="85"/>
        <v>0</v>
      </c>
      <c r="Q172" s="421">
        <f t="shared" si="85"/>
        <v>0</v>
      </c>
      <c r="R172" s="421">
        <f t="shared" si="85"/>
        <v>0</v>
      </c>
      <c r="S172" s="421">
        <f t="shared" si="85"/>
        <v>0</v>
      </c>
      <c r="T172" s="421">
        <f t="shared" si="85"/>
        <v>0</v>
      </c>
      <c r="U172" s="421">
        <f t="shared" si="85"/>
        <v>0</v>
      </c>
      <c r="V172" s="421">
        <f t="shared" si="85"/>
        <v>0</v>
      </c>
      <c r="W172" s="421">
        <f t="shared" si="85"/>
        <v>0</v>
      </c>
      <c r="X172" s="421">
        <f t="shared" si="85"/>
        <v>0</v>
      </c>
      <c r="Y172" s="421">
        <f t="shared" si="85"/>
        <v>0</v>
      </c>
      <c r="Z172" s="421">
        <f t="shared" si="85"/>
        <v>0</v>
      </c>
      <c r="AA172" s="421">
        <f t="shared" si="85"/>
        <v>0</v>
      </c>
      <c r="AB172" s="421">
        <f t="shared" si="85"/>
        <v>0</v>
      </c>
      <c r="AC172" s="421">
        <f t="shared" si="85"/>
        <v>0</v>
      </c>
      <c r="AD172" s="421">
        <f t="shared" si="85"/>
        <v>0</v>
      </c>
      <c r="AE172" s="421">
        <f t="shared" si="85"/>
        <v>0</v>
      </c>
      <c r="AF172" s="421">
        <f t="shared" si="85"/>
        <v>0</v>
      </c>
    </row>
    <row r="173" spans="1:32">
      <c r="G173" s="422" t="s">
        <v>996</v>
      </c>
      <c r="I173" s="423">
        <f t="array" ref="I173:AF173">TRANSPOSE(CALC!HV17:HV40)</f>
        <v>0</v>
      </c>
      <c r="J173" s="423">
        <v>72.42985786106847</v>
      </c>
      <c r="K173" s="423">
        <v>59.823340990926361</v>
      </c>
      <c r="L173" s="423">
        <v>47.699201568829729</v>
      </c>
      <c r="M173" s="423">
        <v>40.063698977174852</v>
      </c>
      <c r="N173" s="423">
        <v>36.825706531856703</v>
      </c>
      <c r="O173" s="423">
        <v>39.338676175695333</v>
      </c>
      <c r="P173" s="423">
        <v>39.771926351111645</v>
      </c>
      <c r="Q173" s="423">
        <v>41.53442507454006</v>
      </c>
      <c r="R173" s="423">
        <v>42.527117072392741</v>
      </c>
      <c r="S173" s="423">
        <v>44.028801229713608</v>
      </c>
      <c r="T173" s="423">
        <v>44.29827034437816</v>
      </c>
      <c r="U173" s="423">
        <v>45.456414031894496</v>
      </c>
      <c r="V173" s="423">
        <v>46.369673800654738</v>
      </c>
      <c r="W173" s="423">
        <v>47.607787428684134</v>
      </c>
      <c r="X173" s="423">
        <v>48.257896671697502</v>
      </c>
      <c r="Y173" s="423">
        <v>49.823097344226881</v>
      </c>
      <c r="Z173" s="423">
        <v>50.995820140839626</v>
      </c>
      <c r="AA173" s="423">
        <v>51.520247924443261</v>
      </c>
      <c r="AB173" s="423">
        <v>51.641955193038356</v>
      </c>
      <c r="AC173" s="423">
        <v>53.845878198015136</v>
      </c>
      <c r="AD173" s="423">
        <v>53.84204060738859</v>
      </c>
      <c r="AE173" s="423">
        <v>55.457696978380213</v>
      </c>
      <c r="AF173" s="423">
        <v>56.206874309111512</v>
      </c>
    </row>
    <row r="174" spans="1:32">
      <c r="G174" s="422" t="s">
        <v>996</v>
      </c>
      <c r="I174" s="423">
        <v>0</v>
      </c>
      <c r="J174" s="423">
        <v>0</v>
      </c>
      <c r="K174" s="423">
        <v>0</v>
      </c>
      <c r="L174" s="423">
        <v>0</v>
      </c>
      <c r="M174" s="423">
        <v>0</v>
      </c>
      <c r="N174" s="423">
        <v>0</v>
      </c>
      <c r="O174" s="423">
        <v>0</v>
      </c>
      <c r="P174" s="423">
        <v>0</v>
      </c>
      <c r="Q174" s="423">
        <v>0</v>
      </c>
      <c r="R174" s="423">
        <v>0</v>
      </c>
      <c r="S174" s="423">
        <v>0</v>
      </c>
      <c r="T174" s="423">
        <v>0</v>
      </c>
      <c r="U174" s="423">
        <v>0</v>
      </c>
      <c r="V174" s="423">
        <v>0</v>
      </c>
      <c r="W174" s="423">
        <v>0</v>
      </c>
      <c r="X174" s="423">
        <v>0</v>
      </c>
      <c r="Y174" s="423">
        <v>0</v>
      </c>
      <c r="Z174" s="423">
        <v>0</v>
      </c>
      <c r="AA174" s="423">
        <v>0</v>
      </c>
      <c r="AB174" s="423">
        <v>0</v>
      </c>
      <c r="AC174" s="423">
        <v>0</v>
      </c>
      <c r="AD174" s="423">
        <v>0</v>
      </c>
      <c r="AE174" s="423">
        <v>0</v>
      </c>
      <c r="AF174" s="423">
        <v>0</v>
      </c>
    </row>
    <row r="175" spans="1:32">
      <c r="G175" s="422" t="s">
        <v>996</v>
      </c>
      <c r="I175" s="423">
        <v>0</v>
      </c>
      <c r="J175" s="423">
        <v>0</v>
      </c>
      <c r="K175" s="423">
        <v>0</v>
      </c>
      <c r="L175" s="423">
        <v>0</v>
      </c>
      <c r="M175" s="423">
        <v>0</v>
      </c>
      <c r="N175" s="423">
        <v>0</v>
      </c>
      <c r="O175" s="423">
        <v>0</v>
      </c>
      <c r="P175" s="423">
        <v>0</v>
      </c>
      <c r="Q175" s="423">
        <v>0</v>
      </c>
      <c r="R175" s="423">
        <v>0</v>
      </c>
      <c r="S175" s="423">
        <v>0</v>
      </c>
      <c r="T175" s="423">
        <v>0</v>
      </c>
      <c r="U175" s="423">
        <v>0</v>
      </c>
      <c r="V175" s="423">
        <v>0</v>
      </c>
      <c r="W175" s="423">
        <v>0</v>
      </c>
      <c r="X175" s="423">
        <v>0</v>
      </c>
      <c r="Y175" s="423">
        <v>0</v>
      </c>
      <c r="Z175" s="423">
        <v>0</v>
      </c>
      <c r="AA175" s="423">
        <v>0</v>
      </c>
      <c r="AB175" s="423">
        <v>0</v>
      </c>
      <c r="AC175" s="423">
        <v>0</v>
      </c>
      <c r="AD175" s="423">
        <v>0</v>
      </c>
      <c r="AE175" s="423">
        <v>0</v>
      </c>
      <c r="AF175" s="423">
        <v>0</v>
      </c>
    </row>
    <row r="176" spans="1:32">
      <c r="G176" s="422" t="s">
        <v>996</v>
      </c>
      <c r="I176" s="423">
        <v>0</v>
      </c>
      <c r="J176" s="423">
        <v>0</v>
      </c>
      <c r="K176" s="423">
        <v>0</v>
      </c>
      <c r="L176" s="423">
        <v>0</v>
      </c>
      <c r="M176" s="423">
        <v>0</v>
      </c>
      <c r="N176" s="423">
        <v>0</v>
      </c>
      <c r="O176" s="423">
        <v>0</v>
      </c>
      <c r="P176" s="423">
        <v>0</v>
      </c>
      <c r="Q176" s="423">
        <v>0</v>
      </c>
      <c r="R176" s="423">
        <v>0</v>
      </c>
      <c r="S176" s="423">
        <v>0</v>
      </c>
      <c r="T176" s="423">
        <v>0</v>
      </c>
      <c r="U176" s="423">
        <v>0</v>
      </c>
      <c r="V176" s="423">
        <v>0</v>
      </c>
      <c r="W176" s="423">
        <v>0</v>
      </c>
      <c r="X176" s="423">
        <v>0</v>
      </c>
      <c r="Y176" s="423">
        <v>0</v>
      </c>
      <c r="Z176" s="423">
        <v>0</v>
      </c>
      <c r="AA176" s="423">
        <v>0</v>
      </c>
      <c r="AB176" s="423">
        <v>0</v>
      </c>
      <c r="AC176" s="423">
        <v>0</v>
      </c>
      <c r="AD176" s="423">
        <v>0</v>
      </c>
      <c r="AE176" s="423">
        <v>0</v>
      </c>
      <c r="AF176" s="423">
        <v>0</v>
      </c>
    </row>
    <row r="177" spans="1:32">
      <c r="G177" s="424" t="s">
        <v>997</v>
      </c>
      <c r="I177" s="397">
        <f t="shared" ref="I177:AF177" si="86">SUM(I172:I176)</f>
        <v>0</v>
      </c>
      <c r="J177" s="397">
        <f t="shared" si="86"/>
        <v>72.42985786106847</v>
      </c>
      <c r="K177" s="397">
        <f t="shared" si="86"/>
        <v>59.823340990926361</v>
      </c>
      <c r="L177" s="397">
        <f t="shared" si="86"/>
        <v>47.699201568829729</v>
      </c>
      <c r="M177" s="397">
        <f t="shared" si="86"/>
        <v>40.063698977174852</v>
      </c>
      <c r="N177" s="397">
        <f t="shared" si="86"/>
        <v>36.825706531856703</v>
      </c>
      <c r="O177" s="397">
        <f t="shared" si="86"/>
        <v>39.338676175695333</v>
      </c>
      <c r="P177" s="397">
        <f t="shared" si="86"/>
        <v>39.771926351111645</v>
      </c>
      <c r="Q177" s="397">
        <f t="shared" si="86"/>
        <v>41.53442507454006</v>
      </c>
      <c r="R177" s="397">
        <f t="shared" si="86"/>
        <v>42.527117072392741</v>
      </c>
      <c r="S177" s="397">
        <f t="shared" si="86"/>
        <v>44.028801229713608</v>
      </c>
      <c r="T177" s="397">
        <f t="shared" si="86"/>
        <v>44.29827034437816</v>
      </c>
      <c r="U177" s="397">
        <f t="shared" si="86"/>
        <v>45.456414031894496</v>
      </c>
      <c r="V177" s="397">
        <f t="shared" si="86"/>
        <v>46.369673800654738</v>
      </c>
      <c r="W177" s="397">
        <f t="shared" si="86"/>
        <v>47.607787428684134</v>
      </c>
      <c r="X177" s="397">
        <f t="shared" si="86"/>
        <v>48.257896671697502</v>
      </c>
      <c r="Y177" s="397">
        <f t="shared" si="86"/>
        <v>49.823097344226881</v>
      </c>
      <c r="Z177" s="397">
        <f t="shared" si="86"/>
        <v>50.995820140839626</v>
      </c>
      <c r="AA177" s="397">
        <f t="shared" si="86"/>
        <v>51.520247924443261</v>
      </c>
      <c r="AB177" s="397">
        <f t="shared" si="86"/>
        <v>51.641955193038356</v>
      </c>
      <c r="AC177" s="397">
        <f t="shared" si="86"/>
        <v>53.845878198015136</v>
      </c>
      <c r="AD177" s="397">
        <f t="shared" si="86"/>
        <v>53.84204060738859</v>
      </c>
      <c r="AE177" s="397">
        <f t="shared" si="86"/>
        <v>55.457696978380213</v>
      </c>
      <c r="AF177" s="397">
        <f t="shared" si="86"/>
        <v>56.206874309111512</v>
      </c>
    </row>
    <row r="178" spans="1:32">
      <c r="G178" s="337" t="s">
        <v>998</v>
      </c>
      <c r="I178" s="397">
        <f t="shared" ref="I178:AF178" si="87">IF($D170=1,I177,+I177*I$139)</f>
        <v>0</v>
      </c>
      <c r="J178" s="397">
        <f t="shared" si="87"/>
        <v>72.42985786106847</v>
      </c>
      <c r="K178" s="397">
        <f t="shared" si="87"/>
        <v>59.823340990926361</v>
      </c>
      <c r="L178" s="397">
        <f t="shared" si="87"/>
        <v>47.699201568829729</v>
      </c>
      <c r="M178" s="397">
        <f t="shared" si="87"/>
        <v>40.063698977174852</v>
      </c>
      <c r="N178" s="397">
        <f t="shared" si="87"/>
        <v>36.825706531856703</v>
      </c>
      <c r="O178" s="397">
        <f t="shared" si="87"/>
        <v>39.338676175695333</v>
      </c>
      <c r="P178" s="397">
        <f t="shared" si="87"/>
        <v>39.771926351111645</v>
      </c>
      <c r="Q178" s="397">
        <f t="shared" si="87"/>
        <v>41.53442507454006</v>
      </c>
      <c r="R178" s="397">
        <f t="shared" si="87"/>
        <v>42.527117072392741</v>
      </c>
      <c r="S178" s="397">
        <f t="shared" si="87"/>
        <v>44.028801229713608</v>
      </c>
      <c r="T178" s="397">
        <f t="shared" si="87"/>
        <v>44.29827034437816</v>
      </c>
      <c r="U178" s="397">
        <f t="shared" si="87"/>
        <v>45.456414031894496</v>
      </c>
      <c r="V178" s="397">
        <f t="shared" si="87"/>
        <v>46.369673800654738</v>
      </c>
      <c r="W178" s="397">
        <f t="shared" si="87"/>
        <v>47.607787428684134</v>
      </c>
      <c r="X178" s="397">
        <f t="shared" si="87"/>
        <v>48.257896671697502</v>
      </c>
      <c r="Y178" s="397">
        <f t="shared" si="87"/>
        <v>49.823097344226881</v>
      </c>
      <c r="Z178" s="397">
        <f t="shared" si="87"/>
        <v>50.995820140839626</v>
      </c>
      <c r="AA178" s="397">
        <f t="shared" si="87"/>
        <v>51.520247924443261</v>
      </c>
      <c r="AB178" s="397">
        <f t="shared" si="87"/>
        <v>51.641955193038356</v>
      </c>
      <c r="AC178" s="397">
        <f t="shared" si="87"/>
        <v>53.845878198015136</v>
      </c>
      <c r="AD178" s="397">
        <f t="shared" si="87"/>
        <v>53.84204060738859</v>
      </c>
      <c r="AE178" s="397">
        <f t="shared" si="87"/>
        <v>55.457696978380213</v>
      </c>
      <c r="AF178" s="397">
        <f t="shared" si="87"/>
        <v>56.206874309111512</v>
      </c>
    </row>
    <row r="180" spans="1:32" ht="10.8" thickBot="1"/>
    <row r="181" spans="1:32" ht="11.4" thickTop="1" thickBot="1">
      <c r="A181" s="425" t="s">
        <v>999</v>
      </c>
      <c r="B181" s="348"/>
      <c r="C181" s="348"/>
      <c r="D181" s="348"/>
      <c r="E181" s="348"/>
      <c r="F181" s="348"/>
      <c r="G181" s="426"/>
      <c r="H181" s="348"/>
      <c r="I181" s="310">
        <f t="shared" ref="I181:AF181" si="88">+I$3</f>
        <v>36525</v>
      </c>
      <c r="J181" s="311">
        <f t="shared" si="88"/>
        <v>2000</v>
      </c>
      <c r="K181" s="311">
        <f t="shared" si="88"/>
        <v>2001</v>
      </c>
      <c r="L181" s="311">
        <f t="shared" si="88"/>
        <v>2002</v>
      </c>
      <c r="M181" s="311">
        <f t="shared" si="88"/>
        <v>2003</v>
      </c>
      <c r="N181" s="311">
        <f t="shared" si="88"/>
        <v>2004</v>
      </c>
      <c r="O181" s="311">
        <f t="shared" si="88"/>
        <v>2005</v>
      </c>
      <c r="P181" s="311">
        <f t="shared" si="88"/>
        <v>2006</v>
      </c>
      <c r="Q181" s="311">
        <f t="shared" si="88"/>
        <v>2007</v>
      </c>
      <c r="R181" s="311">
        <f t="shared" si="88"/>
        <v>2008</v>
      </c>
      <c r="S181" s="311">
        <f t="shared" si="88"/>
        <v>2009</v>
      </c>
      <c r="T181" s="311">
        <f t="shared" si="88"/>
        <v>2010</v>
      </c>
      <c r="U181" s="311">
        <f t="shared" si="88"/>
        <v>2011</v>
      </c>
      <c r="V181" s="311">
        <f t="shared" si="88"/>
        <v>2012</v>
      </c>
      <c r="W181" s="311">
        <f t="shared" si="88"/>
        <v>2013</v>
      </c>
      <c r="X181" s="311">
        <f t="shared" si="88"/>
        <v>2014</v>
      </c>
      <c r="Y181" s="311">
        <f t="shared" si="88"/>
        <v>2015</v>
      </c>
      <c r="Z181" s="311">
        <f t="shared" si="88"/>
        <v>2016</v>
      </c>
      <c r="AA181" s="311">
        <f t="shared" si="88"/>
        <v>2017</v>
      </c>
      <c r="AB181" s="311">
        <f t="shared" si="88"/>
        <v>2018</v>
      </c>
      <c r="AC181" s="311">
        <f t="shared" si="88"/>
        <v>2019</v>
      </c>
      <c r="AD181" s="311">
        <f t="shared" si="88"/>
        <v>2020</v>
      </c>
      <c r="AE181" s="311">
        <f t="shared" si="88"/>
        <v>2021</v>
      </c>
      <c r="AF181" s="311">
        <f t="shared" si="88"/>
        <v>2022</v>
      </c>
    </row>
    <row r="182" spans="1:32" ht="10.8" thickTop="1">
      <c r="A182" s="427"/>
      <c r="B182" s="348"/>
      <c r="C182" s="348"/>
      <c r="D182" s="348" t="s">
        <v>787</v>
      </c>
      <c r="E182" s="348"/>
      <c r="F182" s="348" t="s">
        <v>517</v>
      </c>
      <c r="G182" s="426"/>
      <c r="H182" s="348"/>
      <c r="I182" s="357">
        <f t="array" ref="I182:AF182">+TRANSPOSE(CALC!HX17:HX40)/1000</f>
        <v>0</v>
      </c>
      <c r="J182" s="357">
        <v>0</v>
      </c>
      <c r="K182" s="357">
        <v>0</v>
      </c>
      <c r="L182" s="357">
        <v>0</v>
      </c>
      <c r="M182" s="357">
        <v>0</v>
      </c>
      <c r="N182" s="357">
        <v>0</v>
      </c>
      <c r="O182" s="357">
        <v>0</v>
      </c>
      <c r="P182" s="357">
        <v>0</v>
      </c>
      <c r="Q182" s="357">
        <v>0</v>
      </c>
      <c r="R182" s="357">
        <v>0</v>
      </c>
      <c r="S182" s="357">
        <v>0</v>
      </c>
      <c r="T182" s="357">
        <v>0</v>
      </c>
      <c r="U182" s="357">
        <v>0</v>
      </c>
      <c r="V182" s="357">
        <v>0</v>
      </c>
      <c r="W182" s="357">
        <v>0</v>
      </c>
      <c r="X182" s="357">
        <v>0</v>
      </c>
      <c r="Y182" s="357">
        <v>0</v>
      </c>
      <c r="Z182" s="357">
        <v>0</v>
      </c>
      <c r="AA182" s="357">
        <v>0</v>
      </c>
      <c r="AB182" s="357">
        <v>0</v>
      </c>
      <c r="AC182" s="357">
        <v>0</v>
      </c>
      <c r="AD182" s="357">
        <v>0</v>
      </c>
      <c r="AE182" s="357">
        <v>0</v>
      </c>
      <c r="AF182" s="357">
        <v>0</v>
      </c>
    </row>
    <row r="183" spans="1:32">
      <c r="A183" s="428" t="s">
        <v>787</v>
      </c>
      <c r="C183" s="280"/>
      <c r="D183" s="280"/>
      <c r="E183" s="348"/>
      <c r="F183" s="348" t="s">
        <v>875</v>
      </c>
      <c r="G183" s="426"/>
      <c r="H183" s="348"/>
      <c r="I183" s="357">
        <f t="array" ref="I183:AF183">+TRANSPOSE(CALC!HU17:HU40)/1000</f>
        <v>0</v>
      </c>
      <c r="J183" s="357">
        <v>67.479670799999994</v>
      </c>
      <c r="K183" s="357">
        <v>126.21641264999997</v>
      </c>
      <c r="L183" s="357">
        <v>119.68060275000001</v>
      </c>
      <c r="M183" s="357">
        <v>113.02502669999997</v>
      </c>
      <c r="N183" s="357">
        <v>104.33342609999998</v>
      </c>
      <c r="O183" s="357">
        <v>90.389224350000006</v>
      </c>
      <c r="P183" s="357">
        <v>98.772854850000002</v>
      </c>
      <c r="Q183" s="357">
        <v>99.730984049999989</v>
      </c>
      <c r="R183" s="357">
        <v>103.1015457</v>
      </c>
      <c r="S183" s="357">
        <v>98.653088699999998</v>
      </c>
      <c r="T183" s="357">
        <v>101.95521255</v>
      </c>
      <c r="U183" s="357">
        <v>98.481994200000003</v>
      </c>
      <c r="V183" s="357">
        <v>98.841292649999986</v>
      </c>
      <c r="W183" s="357">
        <v>97.198785450000003</v>
      </c>
      <c r="X183" s="357">
        <v>97.506755550000008</v>
      </c>
      <c r="Y183" s="357">
        <v>97.506755549999994</v>
      </c>
      <c r="Z183" s="357">
        <v>97.250113800000008</v>
      </c>
      <c r="AA183" s="357">
        <v>97.164566549999989</v>
      </c>
      <c r="AB183" s="357">
        <v>96.514407449999993</v>
      </c>
      <c r="AC183" s="357">
        <v>96.514407449999993</v>
      </c>
      <c r="AD183" s="357">
        <v>97.215894899999981</v>
      </c>
      <c r="AE183" s="357">
        <v>95.676044400000009</v>
      </c>
      <c r="AF183" s="357">
        <v>20.890638449999997</v>
      </c>
    </row>
    <row r="184" spans="1:32">
      <c r="A184" s="348"/>
      <c r="C184" s="280"/>
      <c r="D184" s="280"/>
      <c r="E184" s="348"/>
      <c r="F184" s="348" t="s">
        <v>784</v>
      </c>
      <c r="G184" s="426"/>
      <c r="H184" s="348"/>
      <c r="I184" s="429">
        <f t="shared" ref="I184:AC184" si="89">+I178</f>
        <v>0</v>
      </c>
      <c r="J184" s="429">
        <f t="shared" si="89"/>
        <v>72.42985786106847</v>
      </c>
      <c r="K184" s="429">
        <f t="shared" si="89"/>
        <v>59.823340990926361</v>
      </c>
      <c r="L184" s="429">
        <f t="shared" si="89"/>
        <v>47.699201568829729</v>
      </c>
      <c r="M184" s="429">
        <f t="shared" si="89"/>
        <v>40.063698977174852</v>
      </c>
      <c r="N184" s="429">
        <f t="shared" si="89"/>
        <v>36.825706531856703</v>
      </c>
      <c r="O184" s="429">
        <f t="shared" si="89"/>
        <v>39.338676175695333</v>
      </c>
      <c r="P184" s="429">
        <f t="shared" si="89"/>
        <v>39.771926351111645</v>
      </c>
      <c r="Q184" s="429">
        <f t="shared" si="89"/>
        <v>41.53442507454006</v>
      </c>
      <c r="R184" s="429">
        <f t="shared" si="89"/>
        <v>42.527117072392741</v>
      </c>
      <c r="S184" s="429">
        <f t="shared" si="89"/>
        <v>44.028801229713608</v>
      </c>
      <c r="T184" s="429">
        <f t="shared" si="89"/>
        <v>44.29827034437816</v>
      </c>
      <c r="U184" s="429">
        <f t="shared" si="89"/>
        <v>45.456414031894496</v>
      </c>
      <c r="V184" s="429">
        <f t="shared" si="89"/>
        <v>46.369673800654738</v>
      </c>
      <c r="W184" s="429">
        <f t="shared" si="89"/>
        <v>47.607787428684134</v>
      </c>
      <c r="X184" s="429">
        <f t="shared" si="89"/>
        <v>48.257896671697502</v>
      </c>
      <c r="Y184" s="429">
        <f t="shared" si="89"/>
        <v>49.823097344226881</v>
      </c>
      <c r="Z184" s="429">
        <f t="shared" si="89"/>
        <v>50.995820140839626</v>
      </c>
      <c r="AA184" s="429">
        <f t="shared" si="89"/>
        <v>51.520247924443261</v>
      </c>
      <c r="AB184" s="429">
        <f t="shared" si="89"/>
        <v>51.641955193038356</v>
      </c>
      <c r="AC184" s="429">
        <f t="shared" si="89"/>
        <v>53.845878198015136</v>
      </c>
      <c r="AD184" s="429">
        <f>+AD178</f>
        <v>53.84204060738859</v>
      </c>
      <c r="AE184" s="429">
        <f>+AE178</f>
        <v>55.457696978380213</v>
      </c>
      <c r="AF184" s="429">
        <f>+AF178</f>
        <v>56.206874309111512</v>
      </c>
    </row>
    <row r="185" spans="1:32">
      <c r="A185" s="348"/>
      <c r="C185" s="280" t="s">
        <v>787</v>
      </c>
      <c r="D185" s="280"/>
      <c r="E185" s="348"/>
      <c r="F185" s="430" t="s">
        <v>1001</v>
      </c>
      <c r="G185" s="426"/>
      <c r="H185" s="348"/>
      <c r="I185" s="849">
        <f>(I183*I184)+I182</f>
        <v>0</v>
      </c>
      <c r="J185" s="849">
        <f t="shared" ref="J185:AF185" si="90">(J183*J184)+J182</f>
        <v>4887.5429645556924</v>
      </c>
      <c r="K185" s="849">
        <f t="shared" si="90"/>
        <v>7550.6874926124192</v>
      </c>
      <c r="L185" s="849">
        <f t="shared" si="90"/>
        <v>5708.6691944512877</v>
      </c>
      <c r="M185" s="849">
        <f t="shared" si="90"/>
        <v>4528.2006465959494</v>
      </c>
      <c r="N185" s="849">
        <f t="shared" si="90"/>
        <v>3842.1521310217581</v>
      </c>
      <c r="O185" s="849">
        <f t="shared" si="90"/>
        <v>3555.7924264769258</v>
      </c>
      <c r="P185" s="849">
        <f t="shared" si="90"/>
        <v>3928.3867085832408</v>
      </c>
      <c r="Q185" s="849">
        <f t="shared" si="90"/>
        <v>4142.2690846348742</v>
      </c>
      <c r="R185" s="849">
        <f t="shared" si="90"/>
        <v>4384.6115043285508</v>
      </c>
      <c r="S185" s="849">
        <f t="shared" si="90"/>
        <v>4343.5772330696054</v>
      </c>
      <c r="T185" s="849">
        <f t="shared" si="90"/>
        <v>4516.4395685584368</v>
      </c>
      <c r="U185" s="849">
        <f t="shared" si="90"/>
        <v>4476.6383030418328</v>
      </c>
      <c r="V185" s="849">
        <f t="shared" si="90"/>
        <v>4583.2384982155518</v>
      </c>
      <c r="W185" s="849">
        <f t="shared" si="90"/>
        <v>4627.419116029876</v>
      </c>
      <c r="X185" s="849">
        <f t="shared" si="90"/>
        <v>4705.470934124367</v>
      </c>
      <c r="Y185" s="849">
        <f t="shared" si="90"/>
        <v>4858.0885734873846</v>
      </c>
      <c r="Z185" s="849">
        <f t="shared" si="90"/>
        <v>4959.349312020986</v>
      </c>
      <c r="AA185" s="849">
        <f t="shared" si="90"/>
        <v>5005.9425581270661</v>
      </c>
      <c r="AB185" s="849">
        <f t="shared" si="90"/>
        <v>4984.1927050155473</v>
      </c>
      <c r="AC185" s="849">
        <f t="shared" si="90"/>
        <v>5196.9030279063045</v>
      </c>
      <c r="AD185" s="849">
        <f t="shared" si="90"/>
        <v>5234.3021608894205</v>
      </c>
      <c r="AE185" s="849">
        <f t="shared" si="90"/>
        <v>5305.9730784252515</v>
      </c>
      <c r="AF185" s="849">
        <f t="shared" si="90"/>
        <v>1174.1974895962419</v>
      </c>
    </row>
    <row r="186" spans="1:32">
      <c r="A186" s="371"/>
      <c r="B186" s="371"/>
      <c r="C186" s="432"/>
      <c r="D186" s="432"/>
      <c r="E186" s="371"/>
      <c r="F186" s="433"/>
      <c r="G186" s="434"/>
      <c r="H186" s="371"/>
      <c r="I186" s="435"/>
      <c r="J186" s="435"/>
      <c r="K186" s="435"/>
      <c r="L186" s="435"/>
      <c r="M186" s="435"/>
      <c r="N186" s="435"/>
      <c r="O186" s="435"/>
      <c r="P186" s="435"/>
      <c r="Q186" s="435"/>
      <c r="R186" s="435"/>
      <c r="S186" s="435"/>
      <c r="T186" s="435"/>
      <c r="U186" s="435"/>
      <c r="V186" s="435"/>
      <c r="W186" s="435"/>
      <c r="X186" s="435"/>
      <c r="Y186" s="435"/>
      <c r="Z186" s="435"/>
      <c r="AA186" s="435"/>
      <c r="AB186" s="435"/>
      <c r="AC186" s="435"/>
      <c r="AD186" s="435"/>
      <c r="AE186" s="435"/>
      <c r="AF186" s="435"/>
    </row>
    <row r="187" spans="1:32">
      <c r="A187" s="867" t="s">
        <v>421</v>
      </c>
      <c r="B187" s="348"/>
      <c r="C187" s="281"/>
      <c r="D187" s="281"/>
      <c r="E187" s="348"/>
      <c r="F187" s="430"/>
      <c r="G187" s="426"/>
      <c r="H187" s="348"/>
      <c r="I187" s="436"/>
      <c r="J187" s="436"/>
      <c r="K187" s="436"/>
      <c r="L187" s="436"/>
      <c r="M187" s="436"/>
      <c r="N187" s="436"/>
      <c r="O187" s="436"/>
      <c r="P187" s="436"/>
      <c r="Q187" s="436"/>
      <c r="R187" s="436"/>
      <c r="S187" s="436"/>
      <c r="T187" s="436"/>
      <c r="U187" s="436"/>
      <c r="V187" s="436"/>
      <c r="W187" s="436"/>
      <c r="X187" s="436"/>
      <c r="Y187" s="436"/>
      <c r="Z187" s="436"/>
      <c r="AA187" s="436"/>
      <c r="AB187" s="436"/>
      <c r="AC187" s="436"/>
      <c r="AD187" s="436"/>
      <c r="AE187" s="436"/>
      <c r="AF187" s="436"/>
    </row>
    <row r="188" spans="1:32">
      <c r="A188" s="427" t="s">
        <v>992</v>
      </c>
      <c r="C188" s="280"/>
      <c r="D188" s="280"/>
      <c r="E188" s="348"/>
      <c r="F188" s="430"/>
      <c r="G188" s="426"/>
      <c r="H188" s="348"/>
      <c r="I188" s="1435">
        <v>1999</v>
      </c>
      <c r="J188" s="1435">
        <f>+I188+1</f>
        <v>2000</v>
      </c>
      <c r="K188" s="1435">
        <f t="shared" ref="K188:AF188" si="91">+J188+1</f>
        <v>2001</v>
      </c>
      <c r="L188" s="1435">
        <f t="shared" si="91"/>
        <v>2002</v>
      </c>
      <c r="M188" s="1435">
        <f t="shared" si="91"/>
        <v>2003</v>
      </c>
      <c r="N188" s="1435">
        <f t="shared" si="91"/>
        <v>2004</v>
      </c>
      <c r="O188" s="1435">
        <f t="shared" si="91"/>
        <v>2005</v>
      </c>
      <c r="P188" s="1435">
        <f t="shared" si="91"/>
        <v>2006</v>
      </c>
      <c r="Q188" s="1435">
        <f t="shared" si="91"/>
        <v>2007</v>
      </c>
      <c r="R188" s="1435">
        <f t="shared" si="91"/>
        <v>2008</v>
      </c>
      <c r="S188" s="1435">
        <f t="shared" si="91"/>
        <v>2009</v>
      </c>
      <c r="T188" s="1435">
        <f t="shared" si="91"/>
        <v>2010</v>
      </c>
      <c r="U188" s="1435">
        <f t="shared" si="91"/>
        <v>2011</v>
      </c>
      <c r="V188" s="1435">
        <f t="shared" si="91"/>
        <v>2012</v>
      </c>
      <c r="W188" s="1435">
        <f t="shared" si="91"/>
        <v>2013</v>
      </c>
      <c r="X188" s="1435">
        <f t="shared" si="91"/>
        <v>2014</v>
      </c>
      <c r="Y188" s="1435">
        <f t="shared" si="91"/>
        <v>2015</v>
      </c>
      <c r="Z188" s="1435">
        <f t="shared" si="91"/>
        <v>2016</v>
      </c>
      <c r="AA188" s="1435">
        <f t="shared" si="91"/>
        <v>2017</v>
      </c>
      <c r="AB188" s="1435">
        <f t="shared" si="91"/>
        <v>2018</v>
      </c>
      <c r="AC188" s="1435">
        <f t="shared" si="91"/>
        <v>2019</v>
      </c>
      <c r="AD188" s="1435">
        <f t="shared" si="91"/>
        <v>2020</v>
      </c>
      <c r="AE188" s="1435">
        <f t="shared" si="91"/>
        <v>2021</v>
      </c>
      <c r="AF188" s="1435">
        <f t="shared" si="91"/>
        <v>2022</v>
      </c>
    </row>
    <row r="189" spans="1:32">
      <c r="A189" s="739" t="s">
        <v>787</v>
      </c>
      <c r="B189" s="413" t="str">
        <f>"Currency (USD-1, "&amp;curr2&amp;"-2)"</f>
        <v>Currency (USD-1, Reis-2)</v>
      </c>
      <c r="D189" s="416">
        <v>1</v>
      </c>
      <c r="I189" s="417"/>
      <c r="J189" s="417"/>
      <c r="K189" s="417"/>
      <c r="L189" s="417"/>
      <c r="M189" s="417"/>
      <c r="N189" s="417"/>
      <c r="O189" s="417"/>
      <c r="P189" s="417"/>
      <c r="Q189" s="417"/>
      <c r="R189" s="417"/>
      <c r="S189" s="417"/>
      <c r="T189" s="417"/>
      <c r="U189" s="417"/>
      <c r="V189" s="417"/>
      <c r="W189" s="417"/>
      <c r="X189" s="417"/>
      <c r="Y189" s="417"/>
      <c r="Z189" s="417"/>
      <c r="AA189" s="417"/>
      <c r="AB189" s="417"/>
      <c r="AC189" s="417"/>
      <c r="AD189" s="417"/>
      <c r="AE189" s="417"/>
      <c r="AF189" s="417"/>
    </row>
    <row r="190" spans="1:32">
      <c r="B190" s="418" t="s">
        <v>993</v>
      </c>
      <c r="C190" s="329"/>
      <c r="D190" s="419">
        <v>1</v>
      </c>
      <c r="E190" s="894">
        <v>0.02</v>
      </c>
    </row>
    <row r="191" spans="1:32">
      <c r="B191" s="395" t="s">
        <v>994</v>
      </c>
      <c r="D191" s="420">
        <v>0</v>
      </c>
      <c r="G191" s="395" t="s">
        <v>413</v>
      </c>
      <c r="I191" s="896">
        <v>0</v>
      </c>
      <c r="J191" s="896">
        <v>0</v>
      </c>
      <c r="K191" s="896">
        <v>0</v>
      </c>
      <c r="L191" s="896">
        <v>0</v>
      </c>
      <c r="M191" s="896">
        <v>0</v>
      </c>
      <c r="N191" s="896">
        <v>0</v>
      </c>
      <c r="O191" s="896">
        <v>0</v>
      </c>
      <c r="P191" s="896">
        <v>0</v>
      </c>
      <c r="Q191" s="896">
        <v>0</v>
      </c>
      <c r="R191" s="896">
        <v>0</v>
      </c>
      <c r="S191" s="896">
        <v>0</v>
      </c>
      <c r="T191" s="896">
        <v>0</v>
      </c>
      <c r="U191" s="896">
        <v>0</v>
      </c>
      <c r="V191" s="896">
        <v>0</v>
      </c>
      <c r="W191" s="896">
        <v>0</v>
      </c>
      <c r="X191" s="896">
        <v>0</v>
      </c>
      <c r="Y191" s="896">
        <v>0</v>
      </c>
      <c r="Z191" s="896">
        <v>0</v>
      </c>
      <c r="AA191" s="896">
        <v>0</v>
      </c>
      <c r="AB191" s="896">
        <v>0</v>
      </c>
      <c r="AC191" s="896">
        <v>0</v>
      </c>
      <c r="AD191" s="896">
        <v>0</v>
      </c>
      <c r="AE191" s="896">
        <v>0</v>
      </c>
      <c r="AF191" s="896">
        <v>0</v>
      </c>
    </row>
    <row r="192" spans="1:32">
      <c r="G192" s="895" t="s">
        <v>414</v>
      </c>
      <c r="H192" s="393"/>
      <c r="I192" s="421">
        <v>0</v>
      </c>
      <c r="J192" s="421">
        <v>0</v>
      </c>
      <c r="K192" s="421">
        <v>0</v>
      </c>
      <c r="L192" s="421">
        <v>0</v>
      </c>
      <c r="M192" s="421">
        <v>0</v>
      </c>
      <c r="N192" s="421">
        <v>0</v>
      </c>
      <c r="O192" s="421">
        <v>0</v>
      </c>
      <c r="P192" s="421">
        <v>0</v>
      </c>
      <c r="Q192" s="421">
        <v>0</v>
      </c>
      <c r="R192" s="421">
        <v>0</v>
      </c>
      <c r="S192" s="421">
        <v>0</v>
      </c>
      <c r="T192" s="421">
        <v>0</v>
      </c>
      <c r="U192" s="421">
        <v>0</v>
      </c>
      <c r="V192" s="421">
        <v>0</v>
      </c>
      <c r="W192" s="421">
        <v>0</v>
      </c>
      <c r="X192" s="421">
        <v>0</v>
      </c>
      <c r="Y192" s="421">
        <v>0</v>
      </c>
      <c r="Z192" s="421">
        <v>0</v>
      </c>
      <c r="AA192" s="421">
        <v>0</v>
      </c>
      <c r="AB192" s="421">
        <v>0</v>
      </c>
      <c r="AC192" s="421">
        <v>0</v>
      </c>
      <c r="AD192" s="421">
        <v>0</v>
      </c>
      <c r="AE192" s="421">
        <v>0</v>
      </c>
      <c r="AF192" s="421">
        <v>0</v>
      </c>
    </row>
    <row r="193" spans="1:32">
      <c r="G193" s="422" t="s">
        <v>996</v>
      </c>
      <c r="I193" s="423">
        <v>0</v>
      </c>
      <c r="J193" s="423">
        <v>0</v>
      </c>
      <c r="K193" s="423">
        <v>0</v>
      </c>
      <c r="L193" s="423">
        <v>0</v>
      </c>
      <c r="M193" s="423">
        <v>0</v>
      </c>
      <c r="N193" s="423">
        <v>0</v>
      </c>
      <c r="O193" s="423">
        <v>0</v>
      </c>
      <c r="P193" s="423">
        <v>0</v>
      </c>
      <c r="Q193" s="423">
        <v>0</v>
      </c>
      <c r="R193" s="423">
        <v>0</v>
      </c>
      <c r="S193" s="423">
        <v>0</v>
      </c>
      <c r="T193" s="423">
        <v>0</v>
      </c>
      <c r="U193" s="423">
        <v>0</v>
      </c>
      <c r="V193" s="423">
        <v>0</v>
      </c>
      <c r="W193" s="423">
        <v>0</v>
      </c>
      <c r="X193" s="423">
        <v>0</v>
      </c>
      <c r="Y193" s="423">
        <v>0</v>
      </c>
      <c r="Z193" s="423">
        <v>0</v>
      </c>
      <c r="AA193" s="423">
        <v>0</v>
      </c>
      <c r="AB193" s="423">
        <v>0</v>
      </c>
      <c r="AC193" s="423">
        <v>0</v>
      </c>
      <c r="AD193" s="423">
        <v>0</v>
      </c>
      <c r="AE193" s="423">
        <v>0</v>
      </c>
      <c r="AF193" s="423">
        <v>0</v>
      </c>
    </row>
    <row r="194" spans="1:32">
      <c r="G194" s="422" t="s">
        <v>996</v>
      </c>
      <c r="I194" s="423">
        <v>0</v>
      </c>
      <c r="J194" s="423">
        <v>0</v>
      </c>
      <c r="K194" s="423">
        <v>0</v>
      </c>
      <c r="L194" s="423">
        <v>0</v>
      </c>
      <c r="M194" s="423">
        <v>0</v>
      </c>
      <c r="N194" s="423">
        <v>0</v>
      </c>
      <c r="O194" s="423">
        <v>0</v>
      </c>
      <c r="P194" s="423">
        <v>0</v>
      </c>
      <c r="Q194" s="423">
        <v>0</v>
      </c>
      <c r="R194" s="423">
        <v>0</v>
      </c>
      <c r="S194" s="423">
        <v>0</v>
      </c>
      <c r="T194" s="423">
        <v>0</v>
      </c>
      <c r="U194" s="423">
        <v>0</v>
      </c>
      <c r="V194" s="423">
        <v>0</v>
      </c>
      <c r="W194" s="423">
        <v>0</v>
      </c>
      <c r="X194" s="423">
        <v>0</v>
      </c>
      <c r="Y194" s="423">
        <v>0</v>
      </c>
      <c r="Z194" s="423">
        <v>0</v>
      </c>
      <c r="AA194" s="423">
        <v>0</v>
      </c>
      <c r="AB194" s="423">
        <v>0</v>
      </c>
      <c r="AC194" s="423">
        <v>0</v>
      </c>
      <c r="AD194" s="423">
        <v>0</v>
      </c>
      <c r="AE194" s="423">
        <v>0</v>
      </c>
      <c r="AF194" s="423">
        <v>0</v>
      </c>
    </row>
    <row r="195" spans="1:32">
      <c r="G195" s="422" t="s">
        <v>996</v>
      </c>
      <c r="I195" s="423">
        <v>0</v>
      </c>
      <c r="J195" s="423">
        <v>0</v>
      </c>
      <c r="K195" s="423">
        <v>0</v>
      </c>
      <c r="L195" s="423">
        <v>0</v>
      </c>
      <c r="M195" s="423">
        <v>0</v>
      </c>
      <c r="N195" s="423">
        <v>0</v>
      </c>
      <c r="O195" s="423">
        <v>0</v>
      </c>
      <c r="P195" s="423">
        <v>0</v>
      </c>
      <c r="Q195" s="423">
        <v>0</v>
      </c>
      <c r="R195" s="423">
        <v>0</v>
      </c>
      <c r="S195" s="423">
        <v>0</v>
      </c>
      <c r="T195" s="423">
        <v>0</v>
      </c>
      <c r="U195" s="423">
        <v>0</v>
      </c>
      <c r="V195" s="423">
        <v>0</v>
      </c>
      <c r="W195" s="423">
        <v>0</v>
      </c>
      <c r="X195" s="423">
        <v>0</v>
      </c>
      <c r="Y195" s="423">
        <v>0</v>
      </c>
      <c r="Z195" s="423">
        <v>0</v>
      </c>
      <c r="AA195" s="423">
        <v>0</v>
      </c>
      <c r="AB195" s="423">
        <v>0</v>
      </c>
      <c r="AC195" s="423">
        <v>0</v>
      </c>
      <c r="AD195" s="423">
        <v>0</v>
      </c>
      <c r="AE195" s="423">
        <v>0</v>
      </c>
      <c r="AF195" s="423">
        <v>0</v>
      </c>
    </row>
    <row r="196" spans="1:32">
      <c r="A196" s="425" t="s">
        <v>999</v>
      </c>
      <c r="C196" s="280"/>
      <c r="D196" s="280"/>
      <c r="E196" s="348"/>
      <c r="F196" s="430"/>
      <c r="G196" s="426"/>
      <c r="H196" s="348"/>
      <c r="I196" s="436"/>
      <c r="J196" s="436"/>
      <c r="K196" s="436"/>
      <c r="L196" s="436"/>
      <c r="M196" s="436"/>
      <c r="N196" s="436"/>
      <c r="O196" s="436"/>
      <c r="P196" s="436"/>
      <c r="Q196" s="436"/>
      <c r="R196" s="436"/>
      <c r="S196" s="436"/>
      <c r="T196" s="436"/>
      <c r="U196" s="436"/>
      <c r="V196" s="436"/>
      <c r="W196" s="436"/>
      <c r="X196" s="436"/>
      <c r="Y196" s="436"/>
      <c r="Z196" s="436"/>
      <c r="AA196" s="436"/>
      <c r="AB196" s="436"/>
      <c r="AC196" s="436"/>
      <c r="AD196" s="436"/>
      <c r="AE196" s="436"/>
      <c r="AF196" s="436"/>
    </row>
    <row r="197" spans="1:32">
      <c r="C197" s="280"/>
      <c r="D197" s="280"/>
      <c r="E197" s="348"/>
      <c r="F197" s="430" t="s">
        <v>422</v>
      </c>
      <c r="G197" s="426"/>
      <c r="H197" s="348"/>
      <c r="I197" s="901">
        <f>Summary!O44*stub/1000</f>
        <v>21.666666666666664</v>
      </c>
      <c r="J197" s="901">
        <f>Summary!$O$44*(1+Summary!$N$44)/1000</f>
        <v>65</v>
      </c>
      <c r="K197" s="902">
        <f>J197*(1+Summary!$N$44)</f>
        <v>65</v>
      </c>
      <c r="L197" s="902">
        <f>K197*(1+Summary!$N$44)</f>
        <v>65</v>
      </c>
      <c r="M197" s="902">
        <f>L197*(1+Summary!$N$44)</f>
        <v>65</v>
      </c>
      <c r="N197" s="902">
        <f>M197*(1+Summary!$N$44)</f>
        <v>65</v>
      </c>
      <c r="O197" s="902">
        <f>N197*(1+Summary!$N$44)</f>
        <v>65</v>
      </c>
      <c r="P197" s="902">
        <f>O197*(1+Summary!$N$44)</f>
        <v>65</v>
      </c>
      <c r="Q197" s="902">
        <f>P197*(1+Summary!$N$44)</f>
        <v>65</v>
      </c>
      <c r="R197" s="902">
        <f>Q197*(1+Summary!$N$44)</f>
        <v>65</v>
      </c>
      <c r="S197" s="902">
        <f>R197*(1+Summary!$N$44)</f>
        <v>65</v>
      </c>
      <c r="T197" s="902">
        <f>S197*(1+Summary!$N$44)</f>
        <v>65</v>
      </c>
      <c r="U197" s="902">
        <f>T197*(1+Summary!$N$44)</f>
        <v>65</v>
      </c>
      <c r="V197" s="902">
        <f>U197*(1+Summary!$N$44)</f>
        <v>65</v>
      </c>
      <c r="W197" s="902">
        <f>V197*(1+Summary!$N$44)</f>
        <v>65</v>
      </c>
      <c r="X197" s="902">
        <f>W197*(1+Summary!$N$44)</f>
        <v>65</v>
      </c>
      <c r="Y197" s="902">
        <f>X197*(1+Summary!$N$44)</f>
        <v>65</v>
      </c>
      <c r="Z197" s="902">
        <f>Y197*(1+Summary!$N$44)</f>
        <v>65</v>
      </c>
      <c r="AA197" s="902">
        <f>Z197*(1+Summary!$N$44)</f>
        <v>65</v>
      </c>
      <c r="AB197" s="902">
        <f>AA197*(1+Summary!$N$44)</f>
        <v>65</v>
      </c>
      <c r="AC197" s="902">
        <f>AB197*(1+Summary!$N$44)</f>
        <v>65</v>
      </c>
      <c r="AD197" s="902">
        <f>AC197*(1+Summary!$N$44)</f>
        <v>65</v>
      </c>
      <c r="AE197" s="902">
        <f>AD197*(1+Summary!$N$44)</f>
        <v>65</v>
      </c>
      <c r="AF197" s="902">
        <f>AE197*(1+Summary!$N$44)</f>
        <v>65</v>
      </c>
    </row>
    <row r="198" spans="1:32">
      <c r="A198" s="348"/>
      <c r="C198" s="280"/>
      <c r="D198" s="280"/>
      <c r="E198" s="348"/>
      <c r="F198" s="430" t="s">
        <v>418</v>
      </c>
      <c r="G198" s="426"/>
      <c r="H198" s="348"/>
      <c r="I198" s="901">
        <v>0</v>
      </c>
      <c r="J198" s="901">
        <v>0</v>
      </c>
      <c r="K198" s="901">
        <v>0</v>
      </c>
      <c r="L198" s="901">
        <v>0</v>
      </c>
      <c r="M198" s="901">
        <v>0</v>
      </c>
      <c r="N198" s="901">
        <v>0</v>
      </c>
      <c r="O198" s="901">
        <v>0</v>
      </c>
      <c r="P198" s="901">
        <v>0</v>
      </c>
      <c r="Q198" s="901">
        <v>0</v>
      </c>
      <c r="R198" s="901">
        <v>0</v>
      </c>
      <c r="S198" s="901">
        <v>0</v>
      </c>
      <c r="T198" s="901">
        <v>0</v>
      </c>
      <c r="U198" s="901">
        <v>0</v>
      </c>
      <c r="V198" s="901">
        <v>0</v>
      </c>
      <c r="W198" s="901">
        <v>0</v>
      </c>
      <c r="X198" s="901">
        <v>0</v>
      </c>
      <c r="Y198" s="901">
        <v>0</v>
      </c>
      <c r="Z198" s="901">
        <v>0</v>
      </c>
      <c r="AA198" s="901">
        <v>0</v>
      </c>
      <c r="AB198" s="901">
        <v>0</v>
      </c>
      <c r="AC198" s="901">
        <v>0</v>
      </c>
      <c r="AD198" s="901">
        <v>0</v>
      </c>
      <c r="AE198" s="901">
        <v>0</v>
      </c>
      <c r="AF198" s="901">
        <v>0</v>
      </c>
    </row>
    <row r="199" spans="1:32">
      <c r="A199" s="348"/>
      <c r="C199" s="280"/>
      <c r="D199" s="280"/>
      <c r="E199" s="348"/>
      <c r="F199" s="430"/>
      <c r="G199" s="426"/>
      <c r="H199" s="348"/>
      <c r="I199" s="902"/>
      <c r="J199" s="902"/>
      <c r="K199" s="902"/>
      <c r="L199" s="902"/>
      <c r="M199" s="902"/>
      <c r="N199" s="902"/>
      <c r="O199" s="902"/>
      <c r="P199" s="902"/>
      <c r="Q199" s="902"/>
      <c r="R199" s="902"/>
      <c r="S199" s="902"/>
      <c r="T199" s="902"/>
      <c r="U199" s="902"/>
      <c r="V199" s="902"/>
      <c r="W199" s="902"/>
      <c r="X199" s="902"/>
      <c r="Y199" s="902"/>
      <c r="Z199" s="902"/>
      <c r="AA199" s="902"/>
      <c r="AB199" s="902"/>
      <c r="AC199" s="902"/>
      <c r="AD199" s="902"/>
      <c r="AE199" s="902"/>
      <c r="AF199" s="902"/>
    </row>
    <row r="200" spans="1:32">
      <c r="C200" s="280"/>
      <c r="D200" s="280"/>
      <c r="E200" s="348"/>
      <c r="F200" s="430" t="s">
        <v>416</v>
      </c>
      <c r="G200" s="426"/>
      <c r="H200" s="348"/>
      <c r="I200" s="901">
        <v>0</v>
      </c>
      <c r="J200" s="901">
        <v>0</v>
      </c>
      <c r="K200" s="901">
        <v>0</v>
      </c>
      <c r="L200" s="901">
        <v>0</v>
      </c>
      <c r="M200" s="901">
        <v>0</v>
      </c>
      <c r="N200" s="901">
        <v>0</v>
      </c>
      <c r="O200" s="901">
        <v>0</v>
      </c>
      <c r="P200" s="901">
        <v>0</v>
      </c>
      <c r="Q200" s="901">
        <v>0</v>
      </c>
      <c r="R200" s="901">
        <v>0</v>
      </c>
      <c r="S200" s="901">
        <v>0</v>
      </c>
      <c r="T200" s="901">
        <v>0</v>
      </c>
      <c r="U200" s="901">
        <v>0</v>
      </c>
      <c r="V200" s="901">
        <v>0</v>
      </c>
      <c r="W200" s="901">
        <v>0</v>
      </c>
      <c r="X200" s="901">
        <v>0</v>
      </c>
      <c r="Y200" s="901">
        <v>0</v>
      </c>
      <c r="Z200" s="901">
        <v>0</v>
      </c>
      <c r="AA200" s="901">
        <v>0</v>
      </c>
      <c r="AB200" s="901">
        <v>0</v>
      </c>
      <c r="AC200" s="901">
        <v>0</v>
      </c>
      <c r="AD200" s="901">
        <v>0</v>
      </c>
      <c r="AE200" s="901">
        <v>0</v>
      </c>
      <c r="AF200" s="901">
        <v>0</v>
      </c>
    </row>
    <row r="201" spans="1:32">
      <c r="C201" s="280"/>
      <c r="D201" s="280"/>
      <c r="E201" s="348"/>
      <c r="F201" s="430" t="s">
        <v>417</v>
      </c>
      <c r="G201" s="426"/>
      <c r="H201" s="348"/>
      <c r="I201" s="901">
        <v>0</v>
      </c>
      <c r="J201" s="901">
        <v>0</v>
      </c>
      <c r="K201" s="901">
        <v>0</v>
      </c>
      <c r="L201" s="901">
        <v>0</v>
      </c>
      <c r="M201" s="901">
        <v>0</v>
      </c>
      <c r="N201" s="901">
        <v>0</v>
      </c>
      <c r="O201" s="901">
        <v>0</v>
      </c>
      <c r="P201" s="901">
        <v>0</v>
      </c>
      <c r="Q201" s="901">
        <v>0</v>
      </c>
      <c r="R201" s="901">
        <v>0</v>
      </c>
      <c r="S201" s="901">
        <v>0</v>
      </c>
      <c r="T201" s="901">
        <v>0</v>
      </c>
      <c r="U201" s="901">
        <v>0</v>
      </c>
      <c r="V201" s="901">
        <v>0</v>
      </c>
      <c r="W201" s="901">
        <v>0</v>
      </c>
      <c r="X201" s="901">
        <v>0</v>
      </c>
      <c r="Y201" s="901">
        <v>0</v>
      </c>
      <c r="Z201" s="901">
        <v>0</v>
      </c>
      <c r="AA201" s="901">
        <v>0</v>
      </c>
      <c r="AB201" s="901">
        <v>0</v>
      </c>
      <c r="AC201" s="901">
        <v>0</v>
      </c>
      <c r="AD201" s="901">
        <v>0</v>
      </c>
      <c r="AE201" s="901">
        <v>0</v>
      </c>
      <c r="AF201" s="901">
        <v>0</v>
      </c>
    </row>
    <row r="202" spans="1:32">
      <c r="C202" s="280"/>
      <c r="D202" s="280"/>
      <c r="E202" s="348"/>
      <c r="F202" s="430" t="s">
        <v>629</v>
      </c>
      <c r="G202" s="426"/>
      <c r="H202" s="348"/>
      <c r="I202" s="903">
        <v>0</v>
      </c>
      <c r="J202" s="903">
        <v>0</v>
      </c>
      <c r="K202" s="903">
        <v>0</v>
      </c>
      <c r="L202" s="903">
        <v>0</v>
      </c>
      <c r="M202" s="903">
        <v>0</v>
      </c>
      <c r="N202" s="903">
        <v>0</v>
      </c>
      <c r="O202" s="903">
        <v>0</v>
      </c>
      <c r="P202" s="903">
        <v>0</v>
      </c>
      <c r="Q202" s="903">
        <v>0</v>
      </c>
      <c r="R202" s="903">
        <v>0</v>
      </c>
      <c r="S202" s="903">
        <v>0</v>
      </c>
      <c r="T202" s="903">
        <v>0</v>
      </c>
      <c r="U202" s="903">
        <v>0</v>
      </c>
      <c r="V202" s="903">
        <v>0</v>
      </c>
      <c r="W202" s="903">
        <v>0</v>
      </c>
      <c r="X202" s="903">
        <v>0</v>
      </c>
      <c r="Y202" s="903">
        <v>0</v>
      </c>
      <c r="Z202" s="903">
        <v>0</v>
      </c>
      <c r="AA202" s="903">
        <v>0</v>
      </c>
      <c r="AB202" s="903">
        <v>0</v>
      </c>
      <c r="AC202" s="903">
        <v>0</v>
      </c>
      <c r="AD202" s="903">
        <v>0</v>
      </c>
      <c r="AE202" s="903">
        <v>0</v>
      </c>
      <c r="AF202" s="903">
        <v>0</v>
      </c>
    </row>
    <row r="203" spans="1:32">
      <c r="C203" s="280"/>
      <c r="D203" s="280"/>
      <c r="E203" s="348"/>
      <c r="F203" s="430" t="s">
        <v>423</v>
      </c>
      <c r="G203" s="426"/>
      <c r="H203" s="348"/>
      <c r="I203" s="904">
        <f>I200+I201+I198+I202</f>
        <v>0</v>
      </c>
      <c r="J203" s="904">
        <f t="shared" ref="J203:AF203" si="92">J200+J201+J198+J202</f>
        <v>0</v>
      </c>
      <c r="K203" s="904">
        <f t="shared" si="92"/>
        <v>0</v>
      </c>
      <c r="L203" s="904">
        <f t="shared" si="92"/>
        <v>0</v>
      </c>
      <c r="M203" s="904">
        <f t="shared" si="92"/>
        <v>0</v>
      </c>
      <c r="N203" s="904">
        <f t="shared" si="92"/>
        <v>0</v>
      </c>
      <c r="O203" s="904">
        <f t="shared" si="92"/>
        <v>0</v>
      </c>
      <c r="P203" s="904">
        <f t="shared" si="92"/>
        <v>0</v>
      </c>
      <c r="Q203" s="904">
        <f t="shared" si="92"/>
        <v>0</v>
      </c>
      <c r="R203" s="904">
        <f t="shared" si="92"/>
        <v>0</v>
      </c>
      <c r="S203" s="904">
        <f t="shared" si="92"/>
        <v>0</v>
      </c>
      <c r="T203" s="904">
        <f t="shared" si="92"/>
        <v>0</v>
      </c>
      <c r="U203" s="904">
        <f t="shared" si="92"/>
        <v>0</v>
      </c>
      <c r="V203" s="904">
        <f t="shared" si="92"/>
        <v>0</v>
      </c>
      <c r="W203" s="904">
        <f t="shared" si="92"/>
        <v>0</v>
      </c>
      <c r="X203" s="904">
        <f t="shared" si="92"/>
        <v>0</v>
      </c>
      <c r="Y203" s="904">
        <f t="shared" si="92"/>
        <v>0</v>
      </c>
      <c r="Z203" s="904">
        <f t="shared" si="92"/>
        <v>0</v>
      </c>
      <c r="AA203" s="904">
        <f t="shared" si="92"/>
        <v>0</v>
      </c>
      <c r="AB203" s="904">
        <f t="shared" si="92"/>
        <v>0</v>
      </c>
      <c r="AC203" s="904">
        <f t="shared" si="92"/>
        <v>0</v>
      </c>
      <c r="AD203" s="904">
        <f t="shared" si="92"/>
        <v>0</v>
      </c>
      <c r="AE203" s="904">
        <f t="shared" si="92"/>
        <v>0</v>
      </c>
      <c r="AF203" s="904">
        <f t="shared" si="92"/>
        <v>0</v>
      </c>
    </row>
    <row r="204" spans="1:32">
      <c r="C204" s="280"/>
      <c r="D204" s="280"/>
      <c r="E204" s="348"/>
      <c r="F204" s="430"/>
      <c r="G204" s="426"/>
      <c r="H204" s="348"/>
      <c r="I204" s="904"/>
      <c r="J204" s="904"/>
      <c r="K204" s="904"/>
      <c r="L204" s="904"/>
      <c r="M204" s="904"/>
      <c r="N204" s="904"/>
      <c r="O204" s="904"/>
      <c r="P204" s="904"/>
      <c r="Q204" s="904"/>
      <c r="R204" s="904"/>
      <c r="S204" s="904"/>
      <c r="T204" s="904"/>
      <c r="U204" s="904"/>
      <c r="V204" s="904"/>
      <c r="W204" s="904"/>
      <c r="X204" s="904"/>
      <c r="Y204" s="904"/>
      <c r="Z204" s="904"/>
      <c r="AA204" s="904"/>
      <c r="AB204" s="904"/>
      <c r="AC204" s="904"/>
      <c r="AD204" s="904"/>
      <c r="AE204" s="904"/>
      <c r="AF204" s="904"/>
    </row>
    <row r="205" spans="1:32">
      <c r="A205" s="1289" t="s">
        <v>123</v>
      </c>
      <c r="C205" s="280"/>
      <c r="D205" s="280"/>
      <c r="E205" s="348"/>
      <c r="F205" s="430"/>
      <c r="G205" s="426"/>
      <c r="H205" s="348"/>
      <c r="I205" s="1291">
        <v>0</v>
      </c>
      <c r="J205" s="1291">
        <v>0</v>
      </c>
      <c r="K205" s="1291">
        <v>0</v>
      </c>
      <c r="L205" s="1291">
        <v>0</v>
      </c>
      <c r="M205" s="1291">
        <v>0</v>
      </c>
      <c r="N205" s="1291">
        <v>0</v>
      </c>
      <c r="O205" s="1291">
        <v>0</v>
      </c>
      <c r="P205" s="1291">
        <v>0</v>
      </c>
      <c r="Q205" s="1291">
        <v>0</v>
      </c>
      <c r="R205" s="1291">
        <v>0</v>
      </c>
      <c r="S205" s="1291">
        <v>0</v>
      </c>
      <c r="T205" s="1291">
        <v>0</v>
      </c>
      <c r="U205" s="1291">
        <v>0</v>
      </c>
      <c r="V205" s="1291">
        <v>0</v>
      </c>
      <c r="W205" s="1291">
        <v>0</v>
      </c>
      <c r="X205" s="1291">
        <v>0</v>
      </c>
      <c r="Y205" s="1291">
        <v>0</v>
      </c>
      <c r="Z205" s="1291">
        <v>0</v>
      </c>
      <c r="AA205" s="1291">
        <v>0</v>
      </c>
      <c r="AB205" s="1291">
        <v>0</v>
      </c>
      <c r="AC205" s="1291">
        <v>0</v>
      </c>
      <c r="AD205" s="1291">
        <v>0</v>
      </c>
      <c r="AE205" s="1291">
        <v>0</v>
      </c>
      <c r="AF205" s="1291">
        <v>0</v>
      </c>
    </row>
    <row r="206" spans="1:32" s="371" customFormat="1">
      <c r="A206" s="1456"/>
      <c r="C206" s="432"/>
      <c r="D206" s="432"/>
      <c r="F206" s="433"/>
      <c r="G206" s="434"/>
      <c r="I206" s="1457"/>
      <c r="J206" s="1457"/>
      <c r="K206" s="1457"/>
      <c r="L206" s="1457"/>
      <c r="M206" s="1457"/>
      <c r="N206" s="1457"/>
      <c r="O206" s="1457"/>
      <c r="P206" s="1457"/>
      <c r="Q206" s="1457"/>
      <c r="R206" s="1457"/>
      <c r="S206" s="1457"/>
      <c r="T206" s="1457"/>
      <c r="U206" s="1457"/>
      <c r="V206" s="1457"/>
      <c r="W206" s="1457"/>
      <c r="X206" s="1457"/>
      <c r="Y206" s="1457"/>
      <c r="Z206" s="1457"/>
      <c r="AA206" s="1457"/>
      <c r="AB206" s="1457"/>
      <c r="AC206" s="1457"/>
      <c r="AD206" s="1457"/>
      <c r="AE206" s="1457"/>
      <c r="AF206" s="1457"/>
    </row>
    <row r="207" spans="1:32">
      <c r="A207" s="1289"/>
      <c r="C207" s="280"/>
      <c r="D207" s="280"/>
      <c r="E207" s="348"/>
      <c r="F207" s="430"/>
      <c r="G207" s="426"/>
      <c r="H207" s="348"/>
      <c r="I207" s="1291"/>
      <c r="J207" s="1291"/>
      <c r="K207" s="1291"/>
      <c r="L207" s="1291"/>
      <c r="M207" s="1291"/>
      <c r="N207" s="1291"/>
      <c r="O207" s="1291"/>
      <c r="P207" s="1291"/>
      <c r="Q207" s="1291"/>
      <c r="R207" s="1291"/>
      <c r="S207" s="1291"/>
      <c r="T207" s="1291"/>
      <c r="U207" s="1291"/>
      <c r="V207" s="1291"/>
      <c r="W207" s="1291"/>
      <c r="X207" s="1291"/>
      <c r="Y207" s="1291"/>
      <c r="Z207" s="1291"/>
      <c r="AA207" s="1291"/>
      <c r="AB207" s="1291"/>
      <c r="AC207" s="1291"/>
      <c r="AD207" s="1291"/>
      <c r="AE207" s="1291"/>
      <c r="AF207" s="1291"/>
    </row>
    <row r="208" spans="1:32">
      <c r="A208" s="1320" t="s">
        <v>925</v>
      </c>
      <c r="C208" s="280"/>
      <c r="D208" s="280"/>
      <c r="E208" s="348"/>
      <c r="F208" s="430"/>
      <c r="G208" s="426"/>
      <c r="H208" s="348"/>
      <c r="I208" s="1291"/>
      <c r="J208" s="1291"/>
      <c r="K208" s="1291"/>
      <c r="L208" s="1291"/>
      <c r="M208" s="1291"/>
      <c r="N208" s="1291"/>
      <c r="O208" s="1291"/>
      <c r="P208" s="1291"/>
      <c r="Q208" s="1291"/>
      <c r="R208" s="1291"/>
      <c r="S208" s="1291"/>
      <c r="T208" s="1291"/>
      <c r="U208" s="1291"/>
      <c r="V208" s="1291"/>
      <c r="W208" s="1291"/>
      <c r="X208" s="1291"/>
      <c r="Y208" s="1291"/>
      <c r="Z208" s="1291"/>
      <c r="AA208" s="1291"/>
      <c r="AB208" s="1291"/>
      <c r="AC208" s="1291"/>
      <c r="AD208" s="1291"/>
      <c r="AE208" s="1291"/>
      <c r="AF208" s="1291"/>
    </row>
    <row r="209" spans="1:32">
      <c r="A209" s="1289"/>
      <c r="C209" s="280"/>
      <c r="D209" s="280"/>
      <c r="E209" s="348"/>
      <c r="F209" s="1458" t="s">
        <v>926</v>
      </c>
      <c r="G209" s="426"/>
      <c r="H209" s="348"/>
      <c r="I209" s="1291"/>
      <c r="J209" s="1291">
        <v>0</v>
      </c>
      <c r="K209" s="1291">
        <v>0</v>
      </c>
      <c r="L209" s="1291">
        <v>0</v>
      </c>
      <c r="M209" s="1291">
        <v>0</v>
      </c>
      <c r="N209" s="1291">
        <v>0</v>
      </c>
      <c r="O209" s="1291">
        <v>0</v>
      </c>
      <c r="P209" s="1291">
        <v>0</v>
      </c>
      <c r="Q209" s="1291">
        <v>0</v>
      </c>
      <c r="R209" s="1291">
        <v>0</v>
      </c>
      <c r="S209" s="1291">
        <v>0</v>
      </c>
      <c r="T209" s="1291">
        <v>0</v>
      </c>
      <c r="U209" s="1291">
        <v>0</v>
      </c>
      <c r="V209" s="1291">
        <v>0</v>
      </c>
      <c r="W209" s="1291">
        <v>0</v>
      </c>
      <c r="X209" s="1291">
        <v>0</v>
      </c>
      <c r="Y209" s="1291">
        <v>0</v>
      </c>
      <c r="Z209" s="1291">
        <v>0</v>
      </c>
      <c r="AA209" s="1291">
        <v>0</v>
      </c>
      <c r="AB209" s="1291">
        <v>0</v>
      </c>
      <c r="AC209" s="1291">
        <v>0</v>
      </c>
      <c r="AD209" s="1291">
        <v>0</v>
      </c>
      <c r="AE209" s="1291">
        <v>0</v>
      </c>
      <c r="AF209" s="1291">
        <v>0</v>
      </c>
    </row>
    <row r="210" spans="1:32">
      <c r="A210" s="1289"/>
      <c r="C210" s="280"/>
      <c r="D210" s="280"/>
      <c r="E210" s="348"/>
      <c r="F210" s="1458" t="s">
        <v>927</v>
      </c>
      <c r="G210" s="426"/>
      <c r="H210" s="348"/>
      <c r="I210" s="1457"/>
      <c r="J210" s="1457">
        <v>0</v>
      </c>
      <c r="K210" s="1457">
        <v>0</v>
      </c>
      <c r="L210" s="1457">
        <v>0</v>
      </c>
      <c r="M210" s="1457">
        <v>0</v>
      </c>
      <c r="N210" s="1457">
        <v>0</v>
      </c>
      <c r="O210" s="1457">
        <v>0</v>
      </c>
      <c r="P210" s="1457">
        <v>0</v>
      </c>
      <c r="Q210" s="1457">
        <v>0</v>
      </c>
      <c r="R210" s="1457">
        <v>0</v>
      </c>
      <c r="S210" s="1457">
        <v>0</v>
      </c>
      <c r="T210" s="1457">
        <v>0</v>
      </c>
      <c r="U210" s="1457">
        <v>0</v>
      </c>
      <c r="V210" s="1457">
        <v>0</v>
      </c>
      <c r="W210" s="1457">
        <v>0</v>
      </c>
      <c r="X210" s="1457">
        <v>0</v>
      </c>
      <c r="Y210" s="1457">
        <v>0</v>
      </c>
      <c r="Z210" s="1457">
        <v>0</v>
      </c>
      <c r="AA210" s="1457">
        <v>0</v>
      </c>
      <c r="AB210" s="1457">
        <v>0</v>
      </c>
      <c r="AC210" s="1457">
        <v>0</v>
      </c>
      <c r="AD210" s="1457">
        <v>0</v>
      </c>
      <c r="AE210" s="1457">
        <v>0</v>
      </c>
      <c r="AF210" s="1457">
        <v>0</v>
      </c>
    </row>
    <row r="211" spans="1:32">
      <c r="A211" s="1289"/>
      <c r="C211" s="280"/>
      <c r="D211" s="280"/>
      <c r="E211" s="348"/>
      <c r="F211" s="430"/>
      <c r="G211" s="426"/>
      <c r="H211" s="348"/>
      <c r="I211" s="1291"/>
      <c r="J211" s="1291">
        <f t="shared" ref="J211:AF211" si="93">J209+J210</f>
        <v>0</v>
      </c>
      <c r="K211" s="1291">
        <f t="shared" si="93"/>
        <v>0</v>
      </c>
      <c r="L211" s="1291">
        <f t="shared" si="93"/>
        <v>0</v>
      </c>
      <c r="M211" s="1291">
        <f t="shared" si="93"/>
        <v>0</v>
      </c>
      <c r="N211" s="1291">
        <f t="shared" si="93"/>
        <v>0</v>
      </c>
      <c r="O211" s="1291">
        <f t="shared" si="93"/>
        <v>0</v>
      </c>
      <c r="P211" s="1291">
        <f t="shared" si="93"/>
        <v>0</v>
      </c>
      <c r="Q211" s="1291">
        <f t="shared" si="93"/>
        <v>0</v>
      </c>
      <c r="R211" s="1291">
        <f t="shared" si="93"/>
        <v>0</v>
      </c>
      <c r="S211" s="1291">
        <f t="shared" si="93"/>
        <v>0</v>
      </c>
      <c r="T211" s="1291">
        <f t="shared" si="93"/>
        <v>0</v>
      </c>
      <c r="U211" s="1291">
        <f t="shared" si="93"/>
        <v>0</v>
      </c>
      <c r="V211" s="1291">
        <f t="shared" si="93"/>
        <v>0</v>
      </c>
      <c r="W211" s="1291">
        <f t="shared" si="93"/>
        <v>0</v>
      </c>
      <c r="X211" s="1291">
        <f t="shared" si="93"/>
        <v>0</v>
      </c>
      <c r="Y211" s="1291">
        <f t="shared" si="93"/>
        <v>0</v>
      </c>
      <c r="Z211" s="1291">
        <f t="shared" si="93"/>
        <v>0</v>
      </c>
      <c r="AA211" s="1291">
        <f t="shared" si="93"/>
        <v>0</v>
      </c>
      <c r="AB211" s="1291">
        <f t="shared" si="93"/>
        <v>0</v>
      </c>
      <c r="AC211" s="1291">
        <f t="shared" si="93"/>
        <v>0</v>
      </c>
      <c r="AD211" s="1291">
        <f t="shared" si="93"/>
        <v>0</v>
      </c>
      <c r="AE211" s="1291">
        <f t="shared" si="93"/>
        <v>0</v>
      </c>
      <c r="AF211" s="1291">
        <f t="shared" si="93"/>
        <v>0</v>
      </c>
    </row>
    <row r="212" spans="1:32" ht="13.2">
      <c r="A212" s="371"/>
      <c r="B212" s="371"/>
      <c r="C212" s="432"/>
      <c r="D212" s="432"/>
      <c r="E212" s="371"/>
      <c r="F212" s="433"/>
      <c r="G212" s="434"/>
      <c r="H212" s="371"/>
      <c r="I212" s="900"/>
      <c r="J212" s="900"/>
      <c r="K212" s="900"/>
      <c r="L212" s="900"/>
      <c r="M212" s="900"/>
      <c r="N212" s="900"/>
      <c r="O212" s="900"/>
      <c r="P212" s="900"/>
      <c r="Q212" s="900"/>
      <c r="R212" s="900"/>
      <c r="S212" s="900"/>
      <c r="T212" s="900"/>
      <c r="U212" s="900"/>
      <c r="V212" s="900"/>
      <c r="W212" s="900"/>
      <c r="X212" s="900"/>
      <c r="Y212" s="900"/>
      <c r="Z212" s="900"/>
      <c r="AA212" s="900"/>
      <c r="AB212" s="900"/>
      <c r="AC212" s="900"/>
      <c r="AD212" s="900"/>
      <c r="AE212" s="900"/>
      <c r="AF212" s="900"/>
    </row>
    <row r="213" spans="1:32">
      <c r="A213" s="348"/>
      <c r="C213" s="280"/>
      <c r="D213" s="280"/>
      <c r="E213" s="348"/>
      <c r="F213" s="430"/>
      <c r="G213" s="426"/>
      <c r="H213" s="348"/>
      <c r="I213" s="436"/>
      <c r="J213" s="436"/>
      <c r="K213" s="436"/>
      <c r="L213" s="436"/>
      <c r="M213" s="436"/>
      <c r="N213" s="436"/>
      <c r="O213" s="436"/>
      <c r="P213" s="436"/>
      <c r="Q213" s="436"/>
      <c r="R213" s="436"/>
      <c r="S213" s="436"/>
      <c r="T213" s="436"/>
      <c r="U213" s="436"/>
      <c r="V213" s="436"/>
      <c r="W213" s="436"/>
      <c r="X213" s="436"/>
      <c r="Y213" s="436"/>
      <c r="Z213" s="436"/>
      <c r="AA213" s="436"/>
      <c r="AB213" s="436"/>
      <c r="AC213" s="436"/>
      <c r="AD213" s="436"/>
      <c r="AE213" s="436"/>
      <c r="AF213" s="436"/>
    </row>
    <row r="214" spans="1:32">
      <c r="A214" s="1320" t="s">
        <v>856</v>
      </c>
      <c r="C214" s="280"/>
      <c r="D214" s="280"/>
      <c r="E214" s="348"/>
      <c r="F214" s="430"/>
      <c r="G214" s="426"/>
      <c r="H214" s="899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56"/>
      <c r="AB214" s="356"/>
      <c r="AC214" s="356"/>
      <c r="AD214" s="356"/>
      <c r="AE214" s="356"/>
      <c r="AF214" s="356"/>
    </row>
    <row r="215" spans="1:32">
      <c r="A215" s="348"/>
      <c r="C215" s="280"/>
      <c r="D215" s="280"/>
      <c r="E215" s="348"/>
      <c r="F215" s="430"/>
      <c r="G215" s="426"/>
      <c r="H215" s="348"/>
      <c r="I215" s="436"/>
      <c r="J215" s="436"/>
      <c r="K215" s="436"/>
      <c r="L215" s="436"/>
      <c r="M215" s="436"/>
      <c r="N215" s="436"/>
      <c r="O215" s="436"/>
      <c r="P215" s="436"/>
      <c r="Q215" s="436"/>
      <c r="R215" s="436"/>
      <c r="S215" s="436"/>
      <c r="T215" s="436"/>
      <c r="U215" s="436"/>
      <c r="V215" s="436"/>
      <c r="W215" s="436"/>
      <c r="X215" s="436"/>
      <c r="Y215" s="436"/>
      <c r="Z215" s="436"/>
      <c r="AA215" s="436"/>
      <c r="AB215" s="436"/>
      <c r="AC215" s="436"/>
      <c r="AD215" s="436"/>
      <c r="AE215" s="436"/>
      <c r="AF215" s="436"/>
    </row>
    <row r="216" spans="1:32">
      <c r="A216" s="437" t="s">
        <v>1002</v>
      </c>
      <c r="B216" s="348"/>
      <c r="C216" s="348"/>
      <c r="D216" s="348"/>
      <c r="E216" s="897">
        <v>0</v>
      </c>
      <c r="F216" s="897">
        <v>0</v>
      </c>
      <c r="G216" s="898">
        <v>0</v>
      </c>
      <c r="H216" s="899">
        <v>0</v>
      </c>
      <c r="I216" s="899">
        <f>+I166+I185+I203+I205+I214</f>
        <v>0</v>
      </c>
      <c r="J216" s="899">
        <f>+J166+J185+J203+J205+J214</f>
        <v>18507.979759428319</v>
      </c>
      <c r="K216" s="899">
        <f t="shared" ref="K216:AF216" si="94">+K166+K185+K203+K205+K214</f>
        <v>21456.602540380267</v>
      </c>
      <c r="L216" s="899">
        <f t="shared" si="94"/>
        <v>19948.326203365563</v>
      </c>
      <c r="M216" s="899">
        <f t="shared" si="94"/>
        <v>19109.60942372417</v>
      </c>
      <c r="N216" s="899">
        <f t="shared" si="94"/>
        <v>18807.544523322122</v>
      </c>
      <c r="O216" s="899">
        <f t="shared" si="94"/>
        <v>18845.507716362925</v>
      </c>
      <c r="P216" s="899">
        <f t="shared" si="94"/>
        <v>19585.055165426507</v>
      </c>
      <c r="Q216" s="899">
        <f t="shared" si="94"/>
        <v>20174.69758444238</v>
      </c>
      <c r="R216" s="899">
        <f t="shared" si="94"/>
        <v>20839.234453893288</v>
      </c>
      <c r="S216" s="899">
        <f t="shared" si="94"/>
        <v>21154.796979683761</v>
      </c>
      <c r="T216" s="899">
        <f t="shared" si="94"/>
        <v>21731.128589091328</v>
      </c>
      <c r="U216" s="899">
        <f t="shared" si="94"/>
        <v>22104.479860067517</v>
      </c>
      <c r="V216" s="899">
        <f t="shared" si="94"/>
        <v>22675.287761931802</v>
      </c>
      <c r="W216" s="899">
        <f t="shared" si="94"/>
        <v>23111.55070452964</v>
      </c>
      <c r="X216" s="899">
        <f t="shared" si="94"/>
        <v>23633.221680748124</v>
      </c>
      <c r="Y216" s="899">
        <f t="shared" si="94"/>
        <v>24240.105338030109</v>
      </c>
      <c r="Z216" s="899">
        <f t="shared" si="94"/>
        <v>24851.767847773222</v>
      </c>
      <c r="AA216" s="899">
        <f t="shared" si="94"/>
        <v>25329.46016902422</v>
      </c>
      <c r="AB216" s="899">
        <f t="shared" si="94"/>
        <v>25795.474738574238</v>
      </c>
      <c r="AC216" s="899">
        <f t="shared" si="94"/>
        <v>26507.655830270403</v>
      </c>
      <c r="AD216" s="899">
        <f t="shared" si="94"/>
        <v>27106.247645535841</v>
      </c>
      <c r="AE216" s="899">
        <f t="shared" si="94"/>
        <v>27651.917008916993</v>
      </c>
      <c r="AF216" s="899">
        <f t="shared" si="94"/>
        <v>24056.444074419785</v>
      </c>
    </row>
    <row r="217" spans="1:32" ht="10.8" thickBot="1"/>
    <row r="218" spans="1:32" ht="11.4" thickTop="1" thickBot="1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  <c r="AA218" s="307"/>
      <c r="AB218" s="307"/>
      <c r="AC218" s="307"/>
      <c r="AD218" s="307"/>
      <c r="AE218" s="307"/>
      <c r="AF218" s="307"/>
    </row>
    <row r="219" spans="1:32" ht="11.4" thickTop="1" thickBot="1">
      <c r="A219" s="438" t="s">
        <v>1003</v>
      </c>
      <c r="C219" s="359"/>
      <c r="D219" s="439"/>
      <c r="E219" s="440"/>
      <c r="F219" s="440"/>
      <c r="G219" s="440"/>
      <c r="H219" s="441"/>
      <c r="I219" s="310">
        <f t="shared" ref="I219:R219" si="95">+I$3</f>
        <v>36525</v>
      </c>
      <c r="J219" s="311">
        <f t="shared" si="95"/>
        <v>2000</v>
      </c>
      <c r="K219" s="311">
        <f t="shared" si="95"/>
        <v>2001</v>
      </c>
      <c r="L219" s="311">
        <f t="shared" si="95"/>
        <v>2002</v>
      </c>
      <c r="M219" s="311">
        <f t="shared" si="95"/>
        <v>2003</v>
      </c>
      <c r="N219" s="311">
        <f t="shared" si="95"/>
        <v>2004</v>
      </c>
      <c r="O219" s="311">
        <f t="shared" si="95"/>
        <v>2005</v>
      </c>
      <c r="P219" s="311">
        <f t="shared" si="95"/>
        <v>2006</v>
      </c>
      <c r="Q219" s="311">
        <f t="shared" si="95"/>
        <v>2007</v>
      </c>
      <c r="R219" s="311">
        <f t="shared" si="95"/>
        <v>2008</v>
      </c>
      <c r="S219" s="311">
        <f t="shared" ref="S219:AF219" si="96">+S$3</f>
        <v>2009</v>
      </c>
      <c r="T219" s="311">
        <f t="shared" si="96"/>
        <v>2010</v>
      </c>
      <c r="U219" s="311">
        <f t="shared" si="96"/>
        <v>2011</v>
      </c>
      <c r="V219" s="311">
        <f t="shared" si="96"/>
        <v>2012</v>
      </c>
      <c r="W219" s="311">
        <f t="shared" si="96"/>
        <v>2013</v>
      </c>
      <c r="X219" s="311">
        <f t="shared" si="96"/>
        <v>2014</v>
      </c>
      <c r="Y219" s="311">
        <f t="shared" si="96"/>
        <v>2015</v>
      </c>
      <c r="Z219" s="311">
        <f t="shared" si="96"/>
        <v>2016</v>
      </c>
      <c r="AA219" s="311">
        <f t="shared" si="96"/>
        <v>2017</v>
      </c>
      <c r="AB219" s="311">
        <f t="shared" si="96"/>
        <v>2018</v>
      </c>
      <c r="AC219" s="311">
        <f t="shared" si="96"/>
        <v>2019</v>
      </c>
      <c r="AD219" s="311">
        <f t="shared" si="96"/>
        <v>2020</v>
      </c>
      <c r="AE219" s="311">
        <f t="shared" si="96"/>
        <v>2021</v>
      </c>
      <c r="AF219" s="311">
        <f t="shared" si="96"/>
        <v>2022</v>
      </c>
    </row>
    <row r="220" spans="1:32" ht="10.8" thickTop="1">
      <c r="A220" s="442"/>
      <c r="B220" s="430"/>
      <c r="E220" s="443"/>
      <c r="F220" s="443"/>
      <c r="G220" s="443"/>
      <c r="H220" s="443"/>
      <c r="I220" s="444"/>
      <c r="J220" s="444"/>
      <c r="K220" s="444"/>
      <c r="L220" s="444"/>
      <c r="M220" s="444"/>
      <c r="N220" s="444"/>
      <c r="O220" s="444"/>
      <c r="P220" s="444"/>
      <c r="Q220" s="444"/>
      <c r="R220" s="444"/>
      <c r="S220" s="444"/>
      <c r="T220" s="444"/>
      <c r="U220" s="444"/>
      <c r="V220" s="444"/>
      <c r="W220" s="444"/>
      <c r="X220" s="444"/>
      <c r="Y220" s="444"/>
      <c r="Z220" s="444"/>
      <c r="AA220" s="444"/>
      <c r="AB220" s="444"/>
      <c r="AC220" s="444"/>
      <c r="AD220" s="444"/>
      <c r="AE220" s="444"/>
      <c r="AF220" s="444"/>
    </row>
    <row r="221" spans="1:32">
      <c r="A221" s="405" t="s">
        <v>253</v>
      </c>
      <c r="B221" s="280"/>
      <c r="C221" s="280"/>
      <c r="E221" s="445" t="s">
        <v>1005</v>
      </c>
      <c r="F221" s="443"/>
      <c r="G221" s="443"/>
      <c r="H221" s="446" t="s">
        <v>208</v>
      </c>
      <c r="I221" s="740">
        <f t="array" ref="I221:AF221">+TRANSPOSE(CALC!HZ17:HZ40)/1000</f>
        <v>0</v>
      </c>
      <c r="J221" s="740">
        <v>2105.1705423643848</v>
      </c>
      <c r="K221" s="740">
        <v>2575.6895035496805</v>
      </c>
      <c r="L221" s="740">
        <v>2531.2316588325575</v>
      </c>
      <c r="M221" s="740">
        <v>2484.2737086295683</v>
      </c>
      <c r="N221" s="740">
        <v>2412.3710874231642</v>
      </c>
      <c r="O221" s="740">
        <v>2300.9698543195013</v>
      </c>
      <c r="P221" s="740">
        <v>2372.9725273314671</v>
      </c>
      <c r="Q221" s="740">
        <v>2382.4490779068628</v>
      </c>
      <c r="R221" s="740">
        <v>2387.3078315700068</v>
      </c>
      <c r="S221" s="740">
        <v>2354.9654980686455</v>
      </c>
      <c r="T221" s="740">
        <v>2388.8535253659643</v>
      </c>
      <c r="U221" s="740">
        <v>2367.3075502375364</v>
      </c>
      <c r="V221" s="740">
        <v>2368.3904179773845</v>
      </c>
      <c r="W221" s="740">
        <v>2355.5469327539759</v>
      </c>
      <c r="X221" s="740">
        <v>2362.7816535264765</v>
      </c>
      <c r="Y221" s="740">
        <v>2364.4279120852657</v>
      </c>
      <c r="Z221" s="740">
        <v>2340.7385732081639</v>
      </c>
      <c r="AA221" s="740">
        <v>2343.0525988590216</v>
      </c>
      <c r="AB221" s="740">
        <v>2345.2588572834743</v>
      </c>
      <c r="AC221" s="740">
        <v>2352.6592666506067</v>
      </c>
      <c r="AD221" s="740">
        <v>2370.1854022114539</v>
      </c>
      <c r="AE221" s="740">
        <v>2360.6868556207587</v>
      </c>
      <c r="AF221" s="740">
        <v>1761.8667263389725</v>
      </c>
    </row>
    <row r="222" spans="1:32">
      <c r="A222" s="448"/>
      <c r="B222" s="280"/>
      <c r="C222" s="280"/>
      <c r="D222" s="329"/>
      <c r="E222" s="413" t="str">
        <f>+" Amount per "&amp;H221</f>
        <v xml:space="preserve"> Amount per MMBTU</v>
      </c>
      <c r="F222" s="329"/>
      <c r="G222" s="329"/>
      <c r="H222" s="449"/>
      <c r="I222" s="450">
        <f t="array" ref="I222:AF222">+-TRANSPOSE(CALC!IA17:IA40)</f>
        <v>0</v>
      </c>
      <c r="J222" s="450">
        <v>2.8664851708038954</v>
      </c>
      <c r="K222" s="450">
        <v>2.6665848742915021</v>
      </c>
      <c r="L222" s="450">
        <v>2.5966440843263583</v>
      </c>
      <c r="M222" s="450">
        <v>2.5794658162372603</v>
      </c>
      <c r="N222" s="450">
        <v>2.5959281432498496</v>
      </c>
      <c r="O222" s="450">
        <v>2.6068936823454902</v>
      </c>
      <c r="P222" s="450">
        <v>2.6361249011858616</v>
      </c>
      <c r="Q222" s="450">
        <v>2.6594342641434401</v>
      </c>
      <c r="R222" s="450">
        <v>2.680036733161439</v>
      </c>
      <c r="S222" s="450">
        <v>2.6995581612596933</v>
      </c>
      <c r="T222" s="450">
        <v>3.1285186161413328</v>
      </c>
      <c r="U222" s="450">
        <v>3.4398488829239691</v>
      </c>
      <c r="V222" s="450">
        <v>3.5204537233705766</v>
      </c>
      <c r="W222" s="450">
        <v>3.5973461867964267</v>
      </c>
      <c r="X222" s="450">
        <v>3.6689179579821052</v>
      </c>
      <c r="Y222" s="450">
        <v>3.7315816159329267</v>
      </c>
      <c r="Z222" s="450">
        <v>3.7986002867053239</v>
      </c>
      <c r="AA222" s="450">
        <v>3.8757798626206283</v>
      </c>
      <c r="AB222" s="450">
        <v>3.9554560021392531</v>
      </c>
      <c r="AC222" s="450">
        <v>4.0502057166556149</v>
      </c>
      <c r="AD222" s="450">
        <v>4.1569701002924271</v>
      </c>
      <c r="AE222" s="450">
        <v>4.2586015653077052</v>
      </c>
      <c r="AF222" s="450">
        <v>4.7653113768867037</v>
      </c>
    </row>
    <row r="223" spans="1:32">
      <c r="D223" s="329"/>
      <c r="E223" s="413" t="str">
        <f>"Currency (USD-1, "&amp;curr2&amp;"-2)"</f>
        <v>Currency (USD-1, Reis-2)</v>
      </c>
      <c r="F223" s="329"/>
      <c r="G223" s="329"/>
      <c r="H223" s="419">
        <v>1</v>
      </c>
      <c r="I223" s="451"/>
      <c r="J223" s="451"/>
      <c r="K223" s="451"/>
      <c r="L223" s="451"/>
      <c r="M223" s="451"/>
      <c r="N223" s="451"/>
      <c r="O223" s="451"/>
      <c r="P223" s="451"/>
      <c r="Q223" s="451"/>
      <c r="R223" s="451"/>
      <c r="S223" s="451"/>
      <c r="T223" s="451"/>
      <c r="U223" s="451"/>
      <c r="V223" s="451"/>
      <c r="W223" s="451"/>
      <c r="X223" s="451"/>
      <c r="Y223" s="451"/>
      <c r="Z223" s="451"/>
      <c r="AA223" s="451"/>
      <c r="AB223" s="451"/>
      <c r="AC223" s="451"/>
      <c r="AD223" s="451"/>
      <c r="AE223" s="451"/>
      <c r="AF223" s="451"/>
    </row>
    <row r="224" spans="1:32">
      <c r="A224" s="448"/>
      <c r="B224" s="329"/>
      <c r="C224" s="329"/>
      <c r="D224" s="329"/>
      <c r="E224" s="418" t="s">
        <v>993</v>
      </c>
      <c r="F224" s="329"/>
      <c r="G224" s="329"/>
      <c r="H224" s="419">
        <v>1</v>
      </c>
      <c r="I224" s="451"/>
      <c r="J224" s="451"/>
      <c r="K224" s="451"/>
      <c r="L224" s="451"/>
      <c r="M224" s="451"/>
      <c r="N224" s="451"/>
      <c r="O224" s="451"/>
      <c r="P224" s="451"/>
      <c r="Q224" s="451"/>
      <c r="R224" s="451"/>
      <c r="S224" s="451"/>
      <c r="T224" s="451"/>
      <c r="U224" s="451"/>
      <c r="V224" s="451"/>
      <c r="W224" s="451"/>
      <c r="X224" s="451"/>
      <c r="Y224" s="451"/>
      <c r="Z224" s="451"/>
      <c r="AA224" s="451"/>
      <c r="AB224" s="451"/>
      <c r="AC224" s="451"/>
      <c r="AD224" s="451"/>
      <c r="AE224" s="451"/>
      <c r="AF224" s="451"/>
    </row>
    <row r="225" spans="1:32">
      <c r="A225" s="448"/>
      <c r="C225" s="403" t="s">
        <v>1007</v>
      </c>
      <c r="D225" s="329"/>
      <c r="I225" s="315">
        <f>(I222*I221)*CHOOSE($H223,1,I$139)*IF($H223=1,CHOOSE($H224,1,I$130),CHOOSE($H224,1,I$145))</f>
        <v>0</v>
      </c>
      <c r="J225" s="315">
        <f t="shared" ref="J225:AF225" si="97">(J222*J221)*CHOOSE($H223,1,J$139)*IF($H223=1,CHOOSE($H224,1,J$130),CHOOSE($H224,1,J$145))</f>
        <v>6034.440141700703</v>
      </c>
      <c r="K225" s="315">
        <f t="shared" si="97"/>
        <v>6868.2946710369661</v>
      </c>
      <c r="L225" s="315">
        <f t="shared" si="97"/>
        <v>6572.7077129671552</v>
      </c>
      <c r="M225" s="315">
        <f t="shared" si="97"/>
        <v>6408.0991095869349</v>
      </c>
      <c r="N225" s="315">
        <f t="shared" si="97"/>
        <v>6262.3419978040356</v>
      </c>
      <c r="O225" s="315">
        <f t="shared" si="97"/>
        <v>5998.3837764929312</v>
      </c>
      <c r="P225" s="315">
        <f t="shared" si="97"/>
        <v>6255.4519691284277</v>
      </c>
      <c r="Q225" s="315">
        <f t="shared" si="97"/>
        <v>6335.9667103624552</v>
      </c>
      <c r="R225" s="315">
        <f t="shared" si="97"/>
        <v>6398.0726819716001</v>
      </c>
      <c r="S225" s="315">
        <f t="shared" si="97"/>
        <v>6357.3663297962103</v>
      </c>
      <c r="T225" s="315">
        <f t="shared" si="97"/>
        <v>7473.572725342271</v>
      </c>
      <c r="U225" s="315">
        <f t="shared" si="97"/>
        <v>8143.1802322220674</v>
      </c>
      <c r="V225" s="315">
        <f t="shared" si="97"/>
        <v>8337.8088653636787</v>
      </c>
      <c r="W225" s="315">
        <f t="shared" si="97"/>
        <v>8473.7177763625332</v>
      </c>
      <c r="X225" s="315">
        <f t="shared" si="97"/>
        <v>8668.8520394139414</v>
      </c>
      <c r="Y225" s="315">
        <f t="shared" si="97"/>
        <v>8823.0557289360513</v>
      </c>
      <c r="Z225" s="315">
        <f t="shared" si="97"/>
        <v>8891.5302152907425</v>
      </c>
      <c r="AA225" s="315">
        <f t="shared" si="97"/>
        <v>9081.1560797187249</v>
      </c>
      <c r="AB225" s="315">
        <f t="shared" si="97"/>
        <v>9276.5682236121647</v>
      </c>
      <c r="AC225" s="315">
        <f t="shared" si="97"/>
        <v>9528.7540111310936</v>
      </c>
      <c r="AD225" s="315">
        <f t="shared" si="97"/>
        <v>9852.7898491425949</v>
      </c>
      <c r="AE225" s="315">
        <f t="shared" si="97"/>
        <v>10053.224738547888</v>
      </c>
      <c r="AF225" s="315">
        <f t="shared" si="97"/>
        <v>8395.8435555812375</v>
      </c>
    </row>
    <row r="227" spans="1:32">
      <c r="A227" s="405" t="s">
        <v>430</v>
      </c>
      <c r="B227" s="280"/>
      <c r="C227" s="280"/>
      <c r="E227" s="445" t="s">
        <v>1005</v>
      </c>
      <c r="F227" s="443"/>
      <c r="G227" s="443"/>
      <c r="H227" s="446" t="s">
        <v>1006</v>
      </c>
      <c r="I227" s="447">
        <f t="array" ref="I227:AF227">+TRANSPOSE(CALC!IC17:IC40)/1000</f>
        <v>0</v>
      </c>
      <c r="J227" s="447">
        <v>271.59629580000001</v>
      </c>
      <c r="K227" s="447">
        <v>329.75681265000003</v>
      </c>
      <c r="L227" s="447">
        <v>323.22100275000003</v>
      </c>
      <c r="M227" s="447">
        <v>316.56542669999993</v>
      </c>
      <c r="N227" s="447">
        <v>308.4500511</v>
      </c>
      <c r="O227" s="447">
        <v>293.92962434999993</v>
      </c>
      <c r="P227" s="447">
        <v>302.31325485000002</v>
      </c>
      <c r="Q227" s="447">
        <v>303.27138404999999</v>
      </c>
      <c r="R227" s="447">
        <v>307.21817070000003</v>
      </c>
      <c r="S227" s="447">
        <v>302.19348870000005</v>
      </c>
      <c r="T227" s="447">
        <v>305.49561254999998</v>
      </c>
      <c r="U227" s="447">
        <v>302.02239420000001</v>
      </c>
      <c r="V227" s="447">
        <v>302.95791764999996</v>
      </c>
      <c r="W227" s="447">
        <v>300.73918544999998</v>
      </c>
      <c r="X227" s="447">
        <v>301.04715555000001</v>
      </c>
      <c r="Y227" s="447">
        <v>301.04715555000001</v>
      </c>
      <c r="Z227" s="447">
        <v>301.36673880000006</v>
      </c>
      <c r="AA227" s="447">
        <v>300.70496654999999</v>
      </c>
      <c r="AB227" s="447">
        <v>300.05480744999994</v>
      </c>
      <c r="AC227" s="447">
        <v>300.05480744999994</v>
      </c>
      <c r="AD227" s="447">
        <v>301.33251990000002</v>
      </c>
      <c r="AE227" s="447">
        <v>299.2164444</v>
      </c>
      <c r="AF227" s="447">
        <v>224.43103845000002</v>
      </c>
    </row>
    <row r="228" spans="1:32">
      <c r="A228" s="448"/>
      <c r="B228" s="280"/>
      <c r="C228" s="280"/>
      <c r="D228" s="329"/>
      <c r="E228" s="413" t="str">
        <f>+" Amount per "&amp;H227</f>
        <v xml:space="preserve"> Amount per MWH</v>
      </c>
      <c r="F228" s="329"/>
      <c r="G228" s="329"/>
      <c r="H228" s="449"/>
      <c r="I228" s="450">
        <f t="array" ref="I228:AF228">+-TRANSPOSE(CALC!ID17:ID40)</f>
        <v>0</v>
      </c>
      <c r="J228" s="450">
        <v>0.62607617101102919</v>
      </c>
      <c r="K228" s="450">
        <v>0.54347626227882262</v>
      </c>
      <c r="L228" s="450">
        <v>0.5544658251636464</v>
      </c>
      <c r="M228" s="450">
        <v>0.56612309773750802</v>
      </c>
      <c r="N228" s="450">
        <v>0.57410147564162517</v>
      </c>
      <c r="O228" s="450">
        <v>0.60972078059950074</v>
      </c>
      <c r="P228" s="450">
        <v>0.59281224731254945</v>
      </c>
      <c r="Q228" s="450">
        <v>0.59093936792418578</v>
      </c>
      <c r="R228" s="450">
        <v>0.58494586954455807</v>
      </c>
      <c r="S228" s="450">
        <v>0.59304719228386193</v>
      </c>
      <c r="T228" s="450">
        <v>0.19286692698526614</v>
      </c>
      <c r="U228" s="450">
        <v>0</v>
      </c>
      <c r="V228" s="450">
        <v>0</v>
      </c>
      <c r="W228" s="450">
        <v>0</v>
      </c>
      <c r="X228" s="450">
        <v>0</v>
      </c>
      <c r="Y228" s="450">
        <v>0</v>
      </c>
      <c r="Z228" s="450">
        <v>0</v>
      </c>
      <c r="AA228" s="450">
        <v>0</v>
      </c>
      <c r="AB228" s="450">
        <v>0</v>
      </c>
      <c r="AC228" s="450">
        <v>0</v>
      </c>
      <c r="AD228" s="450">
        <v>0</v>
      </c>
      <c r="AE228" s="450">
        <v>0</v>
      </c>
      <c r="AF228" s="450">
        <v>0</v>
      </c>
    </row>
    <row r="229" spans="1:32">
      <c r="D229" s="329"/>
      <c r="E229" s="413" t="str">
        <f>"Currency (USD-1, "&amp;curr2&amp;"-2)"</f>
        <v>Currency (USD-1, Reis-2)</v>
      </c>
      <c r="F229" s="329"/>
      <c r="G229" s="329"/>
      <c r="H229" s="419">
        <v>1</v>
      </c>
      <c r="I229" s="451"/>
      <c r="J229" s="451"/>
      <c r="K229" s="451"/>
      <c r="L229" s="451"/>
      <c r="M229" s="451"/>
      <c r="N229" s="451"/>
      <c r="O229" s="451"/>
      <c r="P229" s="451"/>
      <c r="Q229" s="451"/>
      <c r="R229" s="451"/>
      <c r="S229" s="451"/>
      <c r="T229" s="451"/>
      <c r="U229" s="451"/>
      <c r="V229" s="451"/>
      <c r="W229" s="451"/>
      <c r="X229" s="451"/>
      <c r="Y229" s="451"/>
      <c r="Z229" s="451"/>
      <c r="AA229" s="451"/>
      <c r="AB229" s="451"/>
      <c r="AC229" s="451"/>
      <c r="AD229" s="451"/>
      <c r="AE229" s="451"/>
      <c r="AF229" s="451"/>
    </row>
    <row r="230" spans="1:32">
      <c r="A230" s="448"/>
      <c r="B230" s="329"/>
      <c r="C230" s="329"/>
      <c r="D230" s="329"/>
      <c r="E230" s="418" t="s">
        <v>993</v>
      </c>
      <c r="F230" s="329"/>
      <c r="G230" s="329"/>
      <c r="H230" s="419">
        <v>1</v>
      </c>
      <c r="I230" s="451"/>
      <c r="J230" s="451"/>
      <c r="K230" s="451"/>
      <c r="L230" s="451"/>
      <c r="M230" s="451"/>
      <c r="N230" s="451"/>
      <c r="O230" s="451"/>
      <c r="P230" s="451"/>
      <c r="Q230" s="451"/>
      <c r="R230" s="451"/>
      <c r="S230" s="451"/>
      <c r="T230" s="451"/>
      <c r="U230" s="451"/>
      <c r="V230" s="451"/>
      <c r="W230" s="451"/>
      <c r="X230" s="451"/>
      <c r="Y230" s="451"/>
      <c r="Z230" s="451"/>
      <c r="AA230" s="451"/>
      <c r="AB230" s="451"/>
      <c r="AC230" s="451"/>
      <c r="AD230" s="451"/>
      <c r="AE230" s="451"/>
      <c r="AF230" s="451"/>
    </row>
    <row r="231" spans="1:32">
      <c r="A231" s="448"/>
      <c r="C231" s="403" t="s">
        <v>1007</v>
      </c>
      <c r="D231" s="329"/>
      <c r="I231" s="315">
        <f t="shared" ref="I231:AF231" si="98">(I228*I227)*CHOOSE($H229,1,I$139)*IF($H229=1,CHOOSE($H230,1,I$130),CHOOSE($H230,1,I$145))</f>
        <v>0</v>
      </c>
      <c r="J231" s="315">
        <f t="shared" si="98"/>
        <v>170.03996893524288</v>
      </c>
      <c r="K231" s="315">
        <f t="shared" si="98"/>
        <v>179.21499999999997</v>
      </c>
      <c r="L231" s="315">
        <f t="shared" si="98"/>
        <v>179.21499999999997</v>
      </c>
      <c r="M231" s="315">
        <f t="shared" si="98"/>
        <v>179.215</v>
      </c>
      <c r="N231" s="315">
        <f t="shared" si="98"/>
        <v>177.08162949824469</v>
      </c>
      <c r="O231" s="315">
        <f t="shared" si="98"/>
        <v>179.21499999999997</v>
      </c>
      <c r="P231" s="315">
        <f t="shared" si="98"/>
        <v>179.215</v>
      </c>
      <c r="Q231" s="315">
        <f t="shared" si="98"/>
        <v>179.215</v>
      </c>
      <c r="R231" s="315">
        <f t="shared" si="98"/>
        <v>179.70599999999999</v>
      </c>
      <c r="S231" s="315">
        <f t="shared" si="98"/>
        <v>179.21499999999997</v>
      </c>
      <c r="T231" s="315">
        <f t="shared" si="98"/>
        <v>58.92</v>
      </c>
      <c r="U231" s="315">
        <f t="shared" si="98"/>
        <v>0</v>
      </c>
      <c r="V231" s="315">
        <f t="shared" si="98"/>
        <v>0</v>
      </c>
      <c r="W231" s="315">
        <f t="shared" si="98"/>
        <v>0</v>
      </c>
      <c r="X231" s="315">
        <f t="shared" si="98"/>
        <v>0</v>
      </c>
      <c r="Y231" s="315">
        <f t="shared" si="98"/>
        <v>0</v>
      </c>
      <c r="Z231" s="315">
        <f t="shared" si="98"/>
        <v>0</v>
      </c>
      <c r="AA231" s="315">
        <f t="shared" si="98"/>
        <v>0</v>
      </c>
      <c r="AB231" s="315">
        <f t="shared" si="98"/>
        <v>0</v>
      </c>
      <c r="AC231" s="315">
        <f t="shared" si="98"/>
        <v>0</v>
      </c>
      <c r="AD231" s="315">
        <f t="shared" si="98"/>
        <v>0</v>
      </c>
      <c r="AE231" s="315">
        <f t="shared" si="98"/>
        <v>0</v>
      </c>
      <c r="AF231" s="315">
        <f t="shared" si="98"/>
        <v>0</v>
      </c>
    </row>
    <row r="232" spans="1:32">
      <c r="A232" s="448"/>
      <c r="B232" s="448"/>
      <c r="C232" s="329"/>
      <c r="D232" s="329"/>
      <c r="I232" s="315"/>
      <c r="J232" s="315"/>
      <c r="K232" s="315"/>
      <c r="L232" s="315"/>
      <c r="M232" s="315"/>
      <c r="N232" s="315"/>
      <c r="O232" s="315"/>
      <c r="P232" s="315"/>
      <c r="Q232" s="315"/>
      <c r="R232" s="315"/>
      <c r="S232" s="315"/>
      <c r="T232" s="315"/>
      <c r="U232" s="315"/>
      <c r="V232" s="315"/>
      <c r="W232" s="315"/>
      <c r="X232" s="315"/>
      <c r="Y232" s="315"/>
      <c r="Z232" s="315"/>
      <c r="AA232" s="315"/>
      <c r="AB232" s="315"/>
      <c r="AC232" s="315"/>
      <c r="AD232" s="315"/>
      <c r="AE232" s="315"/>
      <c r="AF232" s="315"/>
    </row>
    <row r="233" spans="1:32">
      <c r="A233" s="405" t="s">
        <v>210</v>
      </c>
      <c r="B233" s="280"/>
      <c r="C233" s="280"/>
      <c r="E233" s="445" t="s">
        <v>1005</v>
      </c>
      <c r="F233" s="443"/>
      <c r="G233" s="443"/>
      <c r="H233" s="446" t="s">
        <v>1006</v>
      </c>
      <c r="I233" s="447">
        <f t="array" ref="I233:AF233">+TRANSPOSE(CALC!II17:II40)/1000</f>
        <v>0</v>
      </c>
      <c r="J233" s="447">
        <v>0</v>
      </c>
      <c r="K233" s="447">
        <v>0</v>
      </c>
      <c r="L233" s="447">
        <v>0</v>
      </c>
      <c r="M233" s="447">
        <v>0</v>
      </c>
      <c r="N233" s="447">
        <v>0</v>
      </c>
      <c r="O233" s="447">
        <v>0</v>
      </c>
      <c r="P233" s="447">
        <v>0</v>
      </c>
      <c r="Q233" s="447">
        <v>0</v>
      </c>
      <c r="R233" s="447">
        <v>0</v>
      </c>
      <c r="S233" s="447">
        <v>0</v>
      </c>
      <c r="T233" s="447">
        <v>0</v>
      </c>
      <c r="U233" s="447">
        <v>0</v>
      </c>
      <c r="V233" s="447">
        <v>0</v>
      </c>
      <c r="W233" s="447">
        <v>0</v>
      </c>
      <c r="X233" s="447">
        <v>0</v>
      </c>
      <c r="Y233" s="447">
        <v>0</v>
      </c>
      <c r="Z233" s="447">
        <v>0</v>
      </c>
      <c r="AA233" s="447">
        <v>0</v>
      </c>
      <c r="AB233" s="447">
        <v>0</v>
      </c>
      <c r="AC233" s="447">
        <v>0</v>
      </c>
      <c r="AD233" s="447">
        <v>0</v>
      </c>
      <c r="AE233" s="447">
        <v>0</v>
      </c>
      <c r="AF233" s="447">
        <v>0</v>
      </c>
    </row>
    <row r="234" spans="1:32">
      <c r="A234" s="448"/>
      <c r="B234" s="280"/>
      <c r="C234" s="280"/>
      <c r="D234" s="329"/>
      <c r="E234" s="413" t="str">
        <f>+" Amount per "&amp;H233</f>
        <v xml:space="preserve"> Amount per MWH</v>
      </c>
      <c r="F234" s="329"/>
      <c r="G234" s="329"/>
      <c r="H234" s="449"/>
      <c r="I234" s="450">
        <f t="array" ref="I234:AF234">+-TRANSPOSE(CALC!IJ17:IJ40)</f>
        <v>0</v>
      </c>
      <c r="J234" s="450">
        <v>0</v>
      </c>
      <c r="K234" s="450">
        <v>0</v>
      </c>
      <c r="L234" s="450">
        <v>0</v>
      </c>
      <c r="M234" s="450">
        <v>0</v>
      </c>
      <c r="N234" s="450">
        <v>0</v>
      </c>
      <c r="O234" s="450">
        <v>0</v>
      </c>
      <c r="P234" s="450">
        <v>0</v>
      </c>
      <c r="Q234" s="450">
        <v>0</v>
      </c>
      <c r="R234" s="450">
        <v>0</v>
      </c>
      <c r="S234" s="450">
        <v>0</v>
      </c>
      <c r="T234" s="450">
        <v>0</v>
      </c>
      <c r="U234" s="450">
        <v>0</v>
      </c>
      <c r="V234" s="450">
        <v>0</v>
      </c>
      <c r="W234" s="450">
        <v>0</v>
      </c>
      <c r="X234" s="450">
        <v>0</v>
      </c>
      <c r="Y234" s="450">
        <v>0</v>
      </c>
      <c r="Z234" s="450">
        <v>0</v>
      </c>
      <c r="AA234" s="450">
        <v>0</v>
      </c>
      <c r="AB234" s="450">
        <v>0</v>
      </c>
      <c r="AC234" s="450">
        <v>0</v>
      </c>
      <c r="AD234" s="450">
        <v>0</v>
      </c>
      <c r="AE234" s="450">
        <v>0</v>
      </c>
      <c r="AF234" s="450">
        <v>0</v>
      </c>
    </row>
    <row r="235" spans="1:32">
      <c r="D235" s="329"/>
      <c r="E235" s="413" t="str">
        <f>"Currency (USD-1, "&amp;curr2&amp;"-2)"</f>
        <v>Currency (USD-1, Reis-2)</v>
      </c>
      <c r="F235" s="329"/>
      <c r="G235" s="329"/>
      <c r="H235" s="419">
        <v>1</v>
      </c>
      <c r="I235" s="451"/>
      <c r="J235" s="451"/>
      <c r="K235" s="451"/>
      <c r="L235" s="451"/>
      <c r="M235" s="451"/>
      <c r="N235" s="451"/>
      <c r="O235" s="451"/>
      <c r="P235" s="451"/>
      <c r="Q235" s="451"/>
      <c r="R235" s="451"/>
      <c r="S235" s="451"/>
      <c r="T235" s="451"/>
      <c r="U235" s="451"/>
      <c r="V235" s="451"/>
      <c r="W235" s="451"/>
      <c r="X235" s="451"/>
      <c r="Y235" s="451"/>
      <c r="Z235" s="451"/>
      <c r="AA235" s="451"/>
      <c r="AB235" s="451"/>
      <c r="AC235" s="451"/>
      <c r="AD235" s="451"/>
      <c r="AE235" s="451"/>
      <c r="AF235" s="451"/>
    </row>
    <row r="236" spans="1:32">
      <c r="A236" s="448"/>
      <c r="B236" s="329"/>
      <c r="C236" s="329"/>
      <c r="D236" s="329"/>
      <c r="E236" s="418" t="s">
        <v>993</v>
      </c>
      <c r="F236" s="329"/>
      <c r="G236" s="329"/>
      <c r="H236" s="419">
        <v>1</v>
      </c>
      <c r="I236" s="451"/>
      <c r="J236" s="451"/>
      <c r="K236" s="451"/>
      <c r="L236" s="451"/>
      <c r="M236" s="451"/>
      <c r="N236" s="451"/>
      <c r="O236" s="451"/>
      <c r="P236" s="451"/>
      <c r="Q236" s="451"/>
      <c r="R236" s="451"/>
      <c r="S236" s="451"/>
      <c r="T236" s="451"/>
      <c r="U236" s="451"/>
      <c r="V236" s="451"/>
      <c r="W236" s="451"/>
      <c r="X236" s="451"/>
      <c r="Y236" s="451"/>
      <c r="Z236" s="451"/>
      <c r="AA236" s="451"/>
      <c r="AB236" s="451"/>
      <c r="AC236" s="451"/>
      <c r="AD236" s="451"/>
      <c r="AE236" s="451"/>
      <c r="AF236" s="451"/>
    </row>
    <row r="237" spans="1:32">
      <c r="A237" s="448"/>
      <c r="C237" s="403" t="s">
        <v>1007</v>
      </c>
      <c r="D237" s="329"/>
      <c r="I237" s="315">
        <f t="shared" ref="I237:AF237" si="99">(I234*I233)*CHOOSE($H235,1,I$139)*IF($H235=1,CHOOSE($H236,1,I$130),CHOOSE($H236,1,I$145))</f>
        <v>0</v>
      </c>
      <c r="J237" s="315">
        <f t="shared" si="99"/>
        <v>0</v>
      </c>
      <c r="K237" s="315">
        <f t="shared" si="99"/>
        <v>0</v>
      </c>
      <c r="L237" s="315">
        <f t="shared" si="99"/>
        <v>0</v>
      </c>
      <c r="M237" s="315">
        <f t="shared" si="99"/>
        <v>0</v>
      </c>
      <c r="N237" s="315">
        <f t="shared" si="99"/>
        <v>0</v>
      </c>
      <c r="O237" s="315">
        <f t="shared" si="99"/>
        <v>0</v>
      </c>
      <c r="P237" s="315">
        <f t="shared" si="99"/>
        <v>0</v>
      </c>
      <c r="Q237" s="315">
        <f t="shared" si="99"/>
        <v>0</v>
      </c>
      <c r="R237" s="315">
        <f t="shared" si="99"/>
        <v>0</v>
      </c>
      <c r="S237" s="315">
        <f t="shared" si="99"/>
        <v>0</v>
      </c>
      <c r="T237" s="315">
        <f t="shared" si="99"/>
        <v>0</v>
      </c>
      <c r="U237" s="315">
        <f t="shared" si="99"/>
        <v>0</v>
      </c>
      <c r="V237" s="315">
        <f t="shared" si="99"/>
        <v>0</v>
      </c>
      <c r="W237" s="315">
        <f t="shared" si="99"/>
        <v>0</v>
      </c>
      <c r="X237" s="315">
        <f t="shared" si="99"/>
        <v>0</v>
      </c>
      <c r="Y237" s="315">
        <f t="shared" si="99"/>
        <v>0</v>
      </c>
      <c r="Z237" s="315">
        <f t="shared" si="99"/>
        <v>0</v>
      </c>
      <c r="AA237" s="315">
        <f t="shared" si="99"/>
        <v>0</v>
      </c>
      <c r="AB237" s="315">
        <f t="shared" si="99"/>
        <v>0</v>
      </c>
      <c r="AC237" s="315">
        <f t="shared" si="99"/>
        <v>0</v>
      </c>
      <c r="AD237" s="315">
        <f t="shared" si="99"/>
        <v>0</v>
      </c>
      <c r="AE237" s="315">
        <f t="shared" si="99"/>
        <v>0</v>
      </c>
      <c r="AF237" s="315">
        <f t="shared" si="99"/>
        <v>0</v>
      </c>
    </row>
    <row r="238" spans="1:32">
      <c r="A238" s="448"/>
      <c r="B238" s="448"/>
      <c r="C238" s="329"/>
      <c r="D238" s="329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15"/>
      <c r="Z238" s="315"/>
      <c r="AA238" s="315"/>
      <c r="AB238" s="315"/>
      <c r="AC238" s="315"/>
      <c r="AD238" s="315"/>
      <c r="AE238" s="315"/>
      <c r="AF238" s="315"/>
    </row>
    <row r="239" spans="1:32">
      <c r="A239" s="405" t="s">
        <v>470</v>
      </c>
      <c r="B239" s="448"/>
      <c r="C239" s="329"/>
      <c r="D239" s="329"/>
      <c r="I239" s="315"/>
      <c r="J239" s="315"/>
      <c r="K239" s="315"/>
      <c r="L239" s="315"/>
      <c r="M239" s="315"/>
      <c r="N239" s="315"/>
      <c r="O239" s="315"/>
      <c r="P239" s="315"/>
      <c r="Q239" s="315"/>
      <c r="R239" s="315"/>
      <c r="S239" s="315"/>
      <c r="T239" s="315"/>
      <c r="U239" s="315"/>
      <c r="V239" s="315"/>
      <c r="W239" s="315"/>
      <c r="X239" s="315"/>
      <c r="Y239" s="315"/>
      <c r="Z239" s="315"/>
      <c r="AA239" s="315"/>
      <c r="AB239" s="315"/>
      <c r="AC239" s="315"/>
      <c r="AD239" s="315"/>
      <c r="AE239" s="315"/>
      <c r="AF239" s="315"/>
    </row>
    <row r="240" spans="1:32">
      <c r="A240" s="448"/>
      <c r="B240" s="448"/>
      <c r="C240" s="403" t="s">
        <v>1007</v>
      </c>
      <c r="D240" s="329"/>
      <c r="I240" s="740">
        <f t="array" ref="I240:AF240">-TRANSPOSE(CALC!IH17:IH40)/1000</f>
        <v>0</v>
      </c>
      <c r="J240" s="740">
        <v>374.66240140418978</v>
      </c>
      <c r="K240" s="740">
        <v>721.80554543952053</v>
      </c>
      <c r="L240" s="740">
        <v>704.96145913785142</v>
      </c>
      <c r="M240" s="740">
        <v>293.88448857571245</v>
      </c>
      <c r="N240" s="740">
        <v>279.42337869735627</v>
      </c>
      <c r="O240" s="740">
        <v>249.34068890585061</v>
      </c>
      <c r="P240" s="740">
        <v>280.64113400815444</v>
      </c>
      <c r="Q240" s="740">
        <v>291.86434873333411</v>
      </c>
      <c r="R240" s="740">
        <v>310.78020285316245</v>
      </c>
      <c r="S240" s="740">
        <v>306.29230155009532</v>
      </c>
      <c r="T240" s="740">
        <v>326.04087750349095</v>
      </c>
      <c r="U240" s="740">
        <v>324.38194825262565</v>
      </c>
      <c r="V240" s="740">
        <v>335.33237500123028</v>
      </c>
      <c r="W240" s="740">
        <v>339.65274693672296</v>
      </c>
      <c r="X240" s="740">
        <v>350.95078946244598</v>
      </c>
      <c r="Y240" s="740">
        <v>361.47931314631944</v>
      </c>
      <c r="Z240" s="740">
        <v>371.34372142505515</v>
      </c>
      <c r="AA240" s="740">
        <v>382.14757631809908</v>
      </c>
      <c r="AB240" s="740">
        <v>390.97822017092972</v>
      </c>
      <c r="AC240" s="740">
        <v>402.7075667760576</v>
      </c>
      <c r="AD240" s="740">
        <v>417.80356785219027</v>
      </c>
      <c r="AE240" s="740">
        <v>423.52134424011473</v>
      </c>
      <c r="AF240" s="740">
        <v>95.24913235992409</v>
      </c>
    </row>
    <row r="241" spans="1:32">
      <c r="A241" s="405" t="s">
        <v>452</v>
      </c>
      <c r="B241" s="448"/>
      <c r="C241" s="329"/>
      <c r="D241" s="329"/>
      <c r="I241" s="315"/>
      <c r="J241" s="315">
        <f>SUMIF(SharingAgrmt!$Y$6:$Y$30,CCFMODEL!J3,SharingAgrmt!$AB$6:$AB$30)/1000</f>
        <v>2631.8174408895156</v>
      </c>
      <c r="K241" s="315">
        <f>SUMIF(SharingAgrmt!$Y$6:$Y$30,CCFMODEL!K3,SharingAgrmt!$AB$6:$AB$30)/1000</f>
        <v>526.83439595033542</v>
      </c>
      <c r="L241" s="315">
        <f>SUMIF(SharingAgrmt!$Y$6:$Y$30,CCFMODEL!L3,SharingAgrmt!$AB$6:$AB$30)/1000</f>
        <v>308.57850632914352</v>
      </c>
      <c r="M241" s="315">
        <f>SUMIF(SharingAgrmt!$Y$6:$Y$30,CCFMODEL!M3,SharingAgrmt!$AB$6:$AB$30)/1000</f>
        <v>264.30969483519425</v>
      </c>
      <c r="N241" s="315">
        <f>SUMIF(SharingAgrmt!$Y$6:$Y$30,CCFMODEL!N3,SharingAgrmt!$AB$6:$AB$30)/1000</f>
        <v>166.53615676466126</v>
      </c>
      <c r="O241" s="315">
        <f>SUMIF(SharingAgrmt!$Y$6:$Y$30,CCFMODEL!O3,SharingAgrmt!$AB$6:$AB$30)/1000</f>
        <v>274.02377962433741</v>
      </c>
      <c r="P241" s="315">
        <f>SUMIF(SharingAgrmt!$Y$6:$Y$30,CCFMODEL!P3,SharingAgrmt!$AB$6:$AB$30)/1000</f>
        <v>305.3345392451032</v>
      </c>
      <c r="Q241" s="315">
        <f>SUMIF(SharingAgrmt!$Y$6:$Y$30,CCFMODEL!Q3,SharingAgrmt!$AB$6:$AB$30)/1000</f>
        <v>338.25762318801731</v>
      </c>
      <c r="R241" s="315">
        <f>SUMIF(SharingAgrmt!$Y$6:$Y$30,CCFMODEL!R3,SharingAgrmt!$AB$6:$AB$30)/1000</f>
        <v>382.00591026785287</v>
      </c>
      <c r="S241" s="315">
        <f>SUMIF(SharingAgrmt!$Y$6:$Y$30,CCFMODEL!S3,SharingAgrmt!$AB$6:$AB$30)/1000</f>
        <v>392.21610769517395</v>
      </c>
      <c r="T241" s="315">
        <f>SUMIF(SharingAgrmt!$Y$6:$Y$30,CCFMODEL!T3,SharingAgrmt!$AB$6:$AB$30)/1000</f>
        <v>392.53639213688132</v>
      </c>
      <c r="U241" s="315">
        <f>SUMIF(SharingAgrmt!$Y$6:$Y$30,CCFMODEL!U3,SharingAgrmt!$AB$6:$AB$30)/1000</f>
        <v>400.86386339707161</v>
      </c>
      <c r="V241" s="315">
        <f>SUMIF(SharingAgrmt!$Y$6:$Y$30,CCFMODEL!V3,SharingAgrmt!$AB$6:$AB$30)/1000</f>
        <v>413.01764854181482</v>
      </c>
      <c r="W241" s="315">
        <f>SUMIF(SharingAgrmt!$Y$6:$Y$30,CCFMODEL!W3,SharingAgrmt!$AB$6:$AB$30)/1000</f>
        <v>426.28964771916503</v>
      </c>
      <c r="X241" s="315">
        <f>SUMIF(SharingAgrmt!$Y$6:$Y$30,CCFMODEL!X3,SharingAgrmt!$AB$6:$AB$30)/1000</f>
        <v>426.39318315410418</v>
      </c>
      <c r="Y241" s="315">
        <f>SUMIF(SharingAgrmt!$Y$6:$Y$30,CCFMODEL!Y3,SharingAgrmt!$AB$6:$AB$30)/1000</f>
        <v>467.98200352532405</v>
      </c>
      <c r="Z241" s="315">
        <f>SUMIF(SharingAgrmt!$Y$6:$Y$30,CCFMODEL!Z3,SharingAgrmt!$AB$6:$AB$30)/1000</f>
        <v>492.19765817409694</v>
      </c>
      <c r="AA241" s="315">
        <f>SUMIF(SharingAgrmt!$Y$6:$Y$30,CCFMODEL!AA3,SharingAgrmt!$AB$6:$AB$30)/1000</f>
        <v>487.52619414714536</v>
      </c>
      <c r="AB241" s="315">
        <f>SUMIF(SharingAgrmt!$Y$6:$Y$30,CCFMODEL!AB3,SharingAgrmt!$AB$6:$AB$30)/1000</f>
        <v>469.97062445045793</v>
      </c>
      <c r="AC241" s="315">
        <f>SUMIF(SharingAgrmt!$Y$6:$Y$30,CCFMODEL!AC3,SharingAgrmt!$AB$6:$AB$30)/1000</f>
        <v>513.82019954318275</v>
      </c>
      <c r="AD241" s="315">
        <f>SUMIF(SharingAgrmt!$Y$6:$Y$30,CCFMODEL!AD3,SharingAgrmt!$AB$6:$AB$30)/1000</f>
        <v>490.19430018616026</v>
      </c>
      <c r="AE241" s="315">
        <f>SUMIF(SharingAgrmt!$Y$6:$Y$30,CCFMODEL!AE3,SharingAgrmt!$AB$6:$AB$30)/1000</f>
        <v>515.31175485355402</v>
      </c>
      <c r="AF241" s="315">
        <f>SUMIF(SharingAgrmt!$Y$6:$Y$30,CCFMODEL!AF3,SharingAgrmt!$AB$6:$AB$30)/1000</f>
        <v>91.803067325020407</v>
      </c>
    </row>
    <row r="242" spans="1:32">
      <c r="A242" s="448"/>
      <c r="B242" s="448" t="s">
        <v>1008</v>
      </c>
      <c r="C242" s="329"/>
      <c r="D242" s="329"/>
      <c r="I242" s="452">
        <f>+I225+I231+I237+I240</f>
        <v>0</v>
      </c>
      <c r="J242" s="452">
        <f>+J225+J231+J237+J240+J241</f>
        <v>9210.9599529296502</v>
      </c>
      <c r="K242" s="452">
        <f t="shared" ref="K242:AF242" si="100">+K225+K231+K237+K240+K241</f>
        <v>8296.1496124268233</v>
      </c>
      <c r="L242" s="452">
        <f t="shared" si="100"/>
        <v>7765.4626784341499</v>
      </c>
      <c r="M242" s="452">
        <f t="shared" si="100"/>
        <v>7145.5082929978416</v>
      </c>
      <c r="N242" s="452">
        <f t="shared" si="100"/>
        <v>6885.3831627642985</v>
      </c>
      <c r="O242" s="452">
        <f t="shared" si="100"/>
        <v>6700.9632450231193</v>
      </c>
      <c r="P242" s="452">
        <f t="shared" si="100"/>
        <v>7020.6426423816847</v>
      </c>
      <c r="Q242" s="452">
        <f t="shared" si="100"/>
        <v>7145.3036822838067</v>
      </c>
      <c r="R242" s="452">
        <f t="shared" si="100"/>
        <v>7270.5647950926159</v>
      </c>
      <c r="S242" s="452">
        <f t="shared" si="100"/>
        <v>7235.0897390414802</v>
      </c>
      <c r="T242" s="452">
        <f t="shared" si="100"/>
        <v>8251.069994982643</v>
      </c>
      <c r="U242" s="452">
        <f t="shared" si="100"/>
        <v>8868.4260438717647</v>
      </c>
      <c r="V242" s="452">
        <f t="shared" si="100"/>
        <v>9086.1588889067225</v>
      </c>
      <c r="W242" s="452">
        <f t="shared" si="100"/>
        <v>9239.6601710184204</v>
      </c>
      <c r="X242" s="452">
        <f t="shared" si="100"/>
        <v>9446.1960120304921</v>
      </c>
      <c r="Y242" s="452">
        <f t="shared" si="100"/>
        <v>9652.5170456076939</v>
      </c>
      <c r="Z242" s="452">
        <f t="shared" si="100"/>
        <v>9755.0715948898942</v>
      </c>
      <c r="AA242" s="452">
        <f t="shared" si="100"/>
        <v>9950.829850183969</v>
      </c>
      <c r="AB242" s="452">
        <f t="shared" si="100"/>
        <v>10137.517068233552</v>
      </c>
      <c r="AC242" s="452">
        <f t="shared" si="100"/>
        <v>10445.281777450335</v>
      </c>
      <c r="AD242" s="452">
        <f t="shared" si="100"/>
        <v>10760.787717180945</v>
      </c>
      <c r="AE242" s="452">
        <f t="shared" si="100"/>
        <v>10992.057837641556</v>
      </c>
      <c r="AF242" s="452">
        <f t="shared" si="100"/>
        <v>8582.8957552661814</v>
      </c>
    </row>
    <row r="243" spans="1:32">
      <c r="A243" s="448"/>
      <c r="B243" s="448"/>
      <c r="C243" s="329"/>
      <c r="D243" s="329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  <c r="S243" s="315"/>
      <c r="T243" s="315"/>
      <c r="U243" s="315"/>
      <c r="V243" s="315"/>
      <c r="W243" s="315"/>
      <c r="X243" s="315"/>
      <c r="Y243" s="315"/>
      <c r="Z243" s="315"/>
      <c r="AA243" s="315"/>
      <c r="AB243" s="315"/>
      <c r="AC243" s="315"/>
      <c r="AD243" s="315"/>
      <c r="AE243" s="315"/>
      <c r="AF243" s="315"/>
    </row>
    <row r="244" spans="1:32" ht="13.2">
      <c r="A244" s="453" t="s">
        <v>1009</v>
      </c>
      <c r="B244" s="280"/>
      <c r="C244" s="280" t="s">
        <v>255</v>
      </c>
      <c r="E244" s="280"/>
      <c r="F244" s="280"/>
      <c r="G244"/>
      <c r="H244" s="280" t="s">
        <v>787</v>
      </c>
      <c r="I244" s="444"/>
      <c r="J244" s="444"/>
      <c r="K244" s="444"/>
      <c r="L244" s="444"/>
      <c r="M244" s="444"/>
      <c r="N244" s="444"/>
      <c r="O244" s="444"/>
      <c r="P244" s="444"/>
      <c r="Q244" s="444"/>
      <c r="R244" s="444"/>
      <c r="S244" s="444"/>
      <c r="T244" s="444"/>
      <c r="U244" s="444"/>
      <c r="V244" s="444"/>
      <c r="W244" s="444"/>
      <c r="X244" s="444"/>
      <c r="Y244" s="444"/>
      <c r="Z244" s="444"/>
      <c r="AA244" s="444"/>
      <c r="AB244" s="444"/>
      <c r="AC244" s="444"/>
      <c r="AD244" s="444"/>
      <c r="AE244" s="444"/>
      <c r="AF244" s="444"/>
    </row>
    <row r="245" spans="1:32">
      <c r="A245" s="442"/>
      <c r="B245" s="280"/>
      <c r="C245" s="280"/>
      <c r="E245" s="280" t="s">
        <v>175</v>
      </c>
      <c r="F245" s="280"/>
      <c r="G245" s="280"/>
      <c r="H245" s="877">
        <v>1</v>
      </c>
      <c r="I245" s="1446"/>
      <c r="J245" s="1448">
        <v>0</v>
      </c>
      <c r="K245" s="1448">
        <v>0</v>
      </c>
      <c r="L245" s="1448">
        <v>0</v>
      </c>
      <c r="M245" s="1448">
        <v>0</v>
      </c>
      <c r="N245" s="1448">
        <v>0</v>
      </c>
      <c r="O245" s="1448">
        <v>0</v>
      </c>
      <c r="P245" s="1448">
        <v>0</v>
      </c>
      <c r="Q245" s="1448">
        <v>0</v>
      </c>
      <c r="R245" s="1448">
        <v>0</v>
      </c>
      <c r="S245" s="1448">
        <v>0</v>
      </c>
      <c r="T245" s="1448">
        <v>0</v>
      </c>
      <c r="U245" s="1448">
        <v>0</v>
      </c>
      <c r="V245" s="1448">
        <v>0</v>
      </c>
      <c r="W245" s="1448">
        <v>0</v>
      </c>
      <c r="X245" s="1448">
        <v>0</v>
      </c>
      <c r="Y245" s="1448">
        <v>0</v>
      </c>
      <c r="Z245" s="1448">
        <v>0</v>
      </c>
      <c r="AA245" s="1448">
        <v>0</v>
      </c>
      <c r="AB245" s="1448">
        <v>0</v>
      </c>
      <c r="AC245" s="1448">
        <v>0</v>
      </c>
      <c r="AD245" s="1448">
        <v>0</v>
      </c>
      <c r="AE245" s="1448">
        <v>0</v>
      </c>
      <c r="AF245" s="1448">
        <v>0</v>
      </c>
    </row>
    <row r="246" spans="1:32">
      <c r="A246" s="442"/>
      <c r="B246" s="280"/>
      <c r="C246" s="280"/>
      <c r="E246" s="409" t="s">
        <v>1010</v>
      </c>
      <c r="F246" s="329"/>
      <c r="G246" s="329"/>
      <c r="H246" s="877">
        <v>0</v>
      </c>
      <c r="I246" s="444"/>
      <c r="J246" s="444"/>
      <c r="K246" s="444"/>
      <c r="L246" s="444"/>
      <c r="M246" s="444"/>
      <c r="N246" s="444"/>
      <c r="O246" s="444"/>
      <c r="P246" s="444"/>
      <c r="Q246" s="444"/>
      <c r="R246" s="444"/>
      <c r="S246" s="444"/>
      <c r="T246" s="444"/>
      <c r="U246" s="444"/>
      <c r="V246" s="444"/>
      <c r="W246" s="444"/>
      <c r="X246" s="444"/>
      <c r="Y246" s="444"/>
      <c r="Z246" s="444"/>
      <c r="AA246" s="444"/>
      <c r="AB246" s="444"/>
      <c r="AC246" s="444"/>
      <c r="AD246" s="444"/>
      <c r="AE246" s="444"/>
      <c r="AF246" s="444"/>
    </row>
    <row r="247" spans="1:32">
      <c r="A247" s="442"/>
      <c r="B247" s="430"/>
      <c r="E247" s="413" t="str">
        <f>"Currency (USD-1, "&amp;curr2&amp;"-2)"</f>
        <v>Currency (USD-1, Reis-2)</v>
      </c>
      <c r="F247" s="329"/>
      <c r="G247" s="329"/>
      <c r="H247" s="419">
        <v>1</v>
      </c>
      <c r="I247" s="444"/>
      <c r="J247" s="444"/>
      <c r="K247" s="444"/>
      <c r="L247" s="444"/>
      <c r="M247" s="444"/>
      <c r="N247" s="444"/>
      <c r="O247" s="444"/>
      <c r="P247" s="444"/>
      <c r="Q247" s="444"/>
      <c r="R247" s="444"/>
      <c r="S247" s="444"/>
      <c r="T247" s="444"/>
      <c r="U247" s="444"/>
      <c r="V247" s="444"/>
      <c r="W247" s="444"/>
      <c r="X247" s="444"/>
      <c r="Y247" s="444"/>
      <c r="Z247" s="444"/>
      <c r="AA247" s="444"/>
      <c r="AB247" s="444"/>
      <c r="AC247" s="444"/>
      <c r="AD247" s="444"/>
      <c r="AE247" s="444"/>
      <c r="AF247" s="444"/>
    </row>
    <row r="248" spans="1:32">
      <c r="A248" s="442"/>
      <c r="B248" s="430"/>
      <c r="E248" s="418" t="s">
        <v>993</v>
      </c>
      <c r="F248" s="329"/>
      <c r="G248" s="329"/>
      <c r="H248" s="419">
        <v>1</v>
      </c>
      <c r="I248" s="444"/>
      <c r="J248" s="444"/>
      <c r="K248" s="444"/>
      <c r="L248" s="444"/>
      <c r="M248" s="444"/>
      <c r="N248" s="444"/>
      <c r="O248" s="444"/>
      <c r="P248" s="444"/>
      <c r="Q248" s="444"/>
      <c r="R248" s="444"/>
      <c r="S248" s="444"/>
      <c r="T248" s="444"/>
      <c r="U248" s="444"/>
      <c r="V248" s="444"/>
      <c r="W248" s="444"/>
      <c r="X248" s="444"/>
      <c r="Y248" s="444"/>
      <c r="Z248" s="444"/>
      <c r="AA248" s="444"/>
      <c r="AB248" s="444"/>
      <c r="AC248" s="444"/>
      <c r="AD248" s="444"/>
      <c r="AE248" s="444"/>
      <c r="AF248" s="444"/>
    </row>
    <row r="249" spans="1:32">
      <c r="A249" s="442"/>
      <c r="C249" s="403" t="s">
        <v>1007</v>
      </c>
      <c r="D249" s="329"/>
      <c r="I249" s="912">
        <f>'O&amp;M'!D60*stub</f>
        <v>0</v>
      </c>
      <c r="J249" s="1447">
        <f>'O&amp;M'!E60</f>
        <v>3338.2039103400912</v>
      </c>
      <c r="K249" s="1447">
        <f>'O&amp;M'!F60</f>
        <v>3322.8999016564458</v>
      </c>
      <c r="L249" s="1447">
        <f>'O&amp;M'!G60</f>
        <v>3157.9401148955899</v>
      </c>
      <c r="M249" s="1447">
        <f>'O&amp;M'!H60</f>
        <v>3227.9407813204562</v>
      </c>
      <c r="N249" s="1447">
        <f>'O&amp;M'!I60</f>
        <v>3302.9339767583901</v>
      </c>
      <c r="O249" s="1447">
        <f>'O&amp;M'!J60</f>
        <v>3374.1774537546439</v>
      </c>
      <c r="P249" s="1447">
        <f>'O&amp;M'!K60</f>
        <v>3450.5367424868919</v>
      </c>
      <c r="Q249" s="1447">
        <f>'O&amp;M'!L60</f>
        <v>3529.1419050439777</v>
      </c>
      <c r="R249" s="1447">
        <f>'O&amp;M'!M60</f>
        <v>3613.0765953607379</v>
      </c>
      <c r="S249" s="1447">
        <f>'O&amp;M'!N60</f>
        <v>3693.3570087170528</v>
      </c>
      <c r="T249" s="1447">
        <f>'O&amp;M'!O60</f>
        <v>3779.1054943715994</v>
      </c>
      <c r="U249" s="1447">
        <f>'O&amp;M'!P60</f>
        <v>3352.8770612052149</v>
      </c>
      <c r="V249" s="1447">
        <f>'O&amp;M'!Q60</f>
        <v>2956.1443195164534</v>
      </c>
      <c r="W249" s="1447">
        <f>'O&amp;M'!R60</f>
        <v>3043.6624743138955</v>
      </c>
      <c r="X249" s="1447">
        <f>'O&amp;M'!S60</f>
        <v>3134.1601693716684</v>
      </c>
      <c r="Y249" s="1447">
        <f>'O&amp;M'!T60</f>
        <v>3227.353302981056</v>
      </c>
      <c r="Z249" s="1447">
        <f>'O&amp;M'!U60</f>
        <v>3323.7204763031173</v>
      </c>
      <c r="AA249" s="1447">
        <f>'O&amp;M'!V60</f>
        <v>3422.1498678527278</v>
      </c>
      <c r="AB249" s="1447">
        <f>'O&amp;M'!W60</f>
        <v>3523.9213634452503</v>
      </c>
      <c r="AC249" s="1447">
        <f>'O&amp;M'!X60</f>
        <v>3628.7245718949152</v>
      </c>
      <c r="AD249" s="1447">
        <f>'O&amp;M'!Y60</f>
        <v>3737.0877621482059</v>
      </c>
      <c r="AE249" s="1447">
        <f>'O&amp;M'!Z60</f>
        <v>3847.7905762011933</v>
      </c>
      <c r="AF249" s="1447">
        <f>'O&amp;M'!AA60</f>
        <v>3962.2424291164762</v>
      </c>
    </row>
    <row r="250" spans="1:32">
      <c r="A250" s="442"/>
      <c r="B250" s="403" t="s">
        <v>1011</v>
      </c>
      <c r="C250" s="329"/>
      <c r="D250" s="329"/>
      <c r="I250" s="452">
        <f>+I249</f>
        <v>0</v>
      </c>
      <c r="J250" s="452">
        <f>SUM(J245:J249)</f>
        <v>3338.2039103400912</v>
      </c>
      <c r="K250" s="452">
        <f t="shared" ref="K250:AF250" si="101">SUM(K245:K249)</f>
        <v>3322.8999016564458</v>
      </c>
      <c r="L250" s="452">
        <f t="shared" si="101"/>
        <v>3157.9401148955899</v>
      </c>
      <c r="M250" s="452">
        <f t="shared" si="101"/>
        <v>3227.9407813204562</v>
      </c>
      <c r="N250" s="452">
        <f t="shared" si="101"/>
        <v>3302.9339767583901</v>
      </c>
      <c r="O250" s="452">
        <f t="shared" si="101"/>
        <v>3374.1774537546439</v>
      </c>
      <c r="P250" s="452">
        <f t="shared" si="101"/>
        <v>3450.5367424868919</v>
      </c>
      <c r="Q250" s="452">
        <f t="shared" si="101"/>
        <v>3529.1419050439777</v>
      </c>
      <c r="R250" s="452">
        <f t="shared" si="101"/>
        <v>3613.0765953607379</v>
      </c>
      <c r="S250" s="452">
        <f t="shared" si="101"/>
        <v>3693.3570087170528</v>
      </c>
      <c r="T250" s="452">
        <f t="shared" si="101"/>
        <v>3779.1054943715994</v>
      </c>
      <c r="U250" s="452">
        <f t="shared" si="101"/>
        <v>3352.8770612052149</v>
      </c>
      <c r="V250" s="452">
        <f t="shared" si="101"/>
        <v>2956.1443195164534</v>
      </c>
      <c r="W250" s="452">
        <f t="shared" si="101"/>
        <v>3043.6624743138955</v>
      </c>
      <c r="X250" s="452">
        <f t="shared" si="101"/>
        <v>3134.1601693716684</v>
      </c>
      <c r="Y250" s="452">
        <f t="shared" si="101"/>
        <v>3227.353302981056</v>
      </c>
      <c r="Z250" s="452">
        <f t="shared" si="101"/>
        <v>3323.7204763031173</v>
      </c>
      <c r="AA250" s="452">
        <f t="shared" si="101"/>
        <v>3422.1498678527278</v>
      </c>
      <c r="AB250" s="452">
        <f t="shared" si="101"/>
        <v>3523.9213634452503</v>
      </c>
      <c r="AC250" s="452">
        <f t="shared" si="101"/>
        <v>3628.7245718949152</v>
      </c>
      <c r="AD250" s="452">
        <f t="shared" si="101"/>
        <v>3737.0877621482059</v>
      </c>
      <c r="AE250" s="452">
        <f t="shared" si="101"/>
        <v>3847.7905762011933</v>
      </c>
      <c r="AF250" s="452">
        <f t="shared" si="101"/>
        <v>3962.2424291164762</v>
      </c>
    </row>
    <row r="251" spans="1:32">
      <c r="A251" s="442"/>
      <c r="B251" s="403"/>
      <c r="C251" s="329"/>
      <c r="D251" s="329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15"/>
      <c r="AB251" s="315"/>
      <c r="AC251" s="315"/>
      <c r="AD251" s="315"/>
      <c r="AE251" s="315"/>
      <c r="AF251" s="315"/>
    </row>
    <row r="252" spans="1:32">
      <c r="A252" s="442"/>
      <c r="B252" s="430"/>
      <c r="E252" s="443"/>
      <c r="F252" s="443"/>
      <c r="G252" s="443"/>
      <c r="H252" s="443"/>
      <c r="I252" s="444"/>
      <c r="J252" s="444"/>
      <c r="K252" s="444"/>
      <c r="L252" s="444"/>
      <c r="M252" s="444"/>
      <c r="N252" s="444"/>
      <c r="O252" s="444"/>
      <c r="P252" s="444"/>
      <c r="Q252" s="444"/>
      <c r="R252" s="444"/>
      <c r="S252" s="444"/>
      <c r="T252" s="444"/>
      <c r="U252" s="444"/>
      <c r="V252" s="444"/>
      <c r="W252" s="444"/>
      <c r="X252" s="444"/>
      <c r="Y252" s="444"/>
      <c r="Z252" s="444"/>
      <c r="AA252" s="444"/>
      <c r="AB252" s="444"/>
      <c r="AC252" s="444"/>
      <c r="AD252" s="444"/>
      <c r="AE252" s="444"/>
      <c r="AF252" s="444"/>
    </row>
    <row r="253" spans="1:32">
      <c r="A253" s="442"/>
      <c r="B253" s="437" t="s">
        <v>1012</v>
      </c>
      <c r="I253" s="455">
        <f t="shared" ref="I253:AF253" si="102">+I242+I250</f>
        <v>0</v>
      </c>
      <c r="J253" s="456">
        <f>+J242+J250</f>
        <v>12549.163863269741</v>
      </c>
      <c r="K253" s="456">
        <f t="shared" si="102"/>
        <v>11619.049514083268</v>
      </c>
      <c r="L253" s="456">
        <f t="shared" si="102"/>
        <v>10923.40279332974</v>
      </c>
      <c r="M253" s="456">
        <f t="shared" si="102"/>
        <v>10373.449074318298</v>
      </c>
      <c r="N253" s="456">
        <f t="shared" si="102"/>
        <v>10188.317139522689</v>
      </c>
      <c r="O253" s="456">
        <f t="shared" si="102"/>
        <v>10075.140698777763</v>
      </c>
      <c r="P253" s="456">
        <f t="shared" si="102"/>
        <v>10471.179384868577</v>
      </c>
      <c r="Q253" s="456">
        <f t="shared" si="102"/>
        <v>10674.445587327784</v>
      </c>
      <c r="R253" s="456">
        <f t="shared" si="102"/>
        <v>10883.641390453355</v>
      </c>
      <c r="S253" s="456">
        <f t="shared" si="102"/>
        <v>10928.446747758533</v>
      </c>
      <c r="T253" s="456">
        <f t="shared" si="102"/>
        <v>12030.175489354242</v>
      </c>
      <c r="U253" s="456">
        <f t="shared" si="102"/>
        <v>12221.303105076979</v>
      </c>
      <c r="V253" s="456">
        <f t="shared" si="102"/>
        <v>12042.303208423176</v>
      </c>
      <c r="W253" s="456">
        <f t="shared" si="102"/>
        <v>12283.322645332315</v>
      </c>
      <c r="X253" s="456">
        <f t="shared" si="102"/>
        <v>12580.35618140216</v>
      </c>
      <c r="Y253" s="456">
        <f t="shared" si="102"/>
        <v>12879.870348588749</v>
      </c>
      <c r="Z253" s="456">
        <f t="shared" si="102"/>
        <v>13078.792071193011</v>
      </c>
      <c r="AA253" s="456">
        <f t="shared" si="102"/>
        <v>13372.979718036697</v>
      </c>
      <c r="AB253" s="456">
        <f t="shared" si="102"/>
        <v>13661.438431678802</v>
      </c>
      <c r="AC253" s="456">
        <f t="shared" si="102"/>
        <v>14074.006349345251</v>
      </c>
      <c r="AD253" s="456">
        <f t="shared" si="102"/>
        <v>14497.875479329152</v>
      </c>
      <c r="AE253" s="456">
        <f t="shared" si="102"/>
        <v>14839.848413842748</v>
      </c>
      <c r="AF253" s="456">
        <f t="shared" si="102"/>
        <v>12545.138184382657</v>
      </c>
    </row>
    <row r="254" spans="1:32" ht="10.8" thickBot="1">
      <c r="A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85"/>
      <c r="P254" s="285"/>
      <c r="Q254" s="285"/>
      <c r="R254" s="285"/>
      <c r="S254" s="285"/>
      <c r="T254" s="285"/>
      <c r="U254" s="285"/>
      <c r="V254" s="285"/>
      <c r="W254" s="285"/>
      <c r="X254" s="282"/>
      <c r="Y254" s="282"/>
      <c r="Z254" s="282"/>
      <c r="AA254" s="282"/>
      <c r="AB254" s="282"/>
      <c r="AC254" s="282"/>
      <c r="AD254" s="282"/>
      <c r="AE254" s="282"/>
      <c r="AF254" s="282"/>
    </row>
    <row r="255" spans="1:32" ht="11.4" thickTop="1" thickBot="1">
      <c r="A255" s="457"/>
      <c r="B255" s="307"/>
      <c r="C255" s="457"/>
      <c r="D255" s="457"/>
      <c r="E255" s="457"/>
      <c r="F255" s="457"/>
      <c r="G255" s="457"/>
      <c r="H255" s="457"/>
      <c r="I255" s="457"/>
      <c r="J255" s="457"/>
      <c r="K255" s="457"/>
      <c r="L255" s="457"/>
      <c r="M255" s="457"/>
      <c r="N255" s="457"/>
      <c r="O255" s="457"/>
      <c r="P255" s="457"/>
      <c r="Q255" s="457"/>
      <c r="R255" s="457"/>
      <c r="S255" s="457"/>
      <c r="T255" s="457"/>
      <c r="U255" s="457"/>
      <c r="V255" s="457"/>
      <c r="W255" s="457"/>
      <c r="X255" s="457"/>
      <c r="Y255" s="457"/>
      <c r="Z255" s="457"/>
      <c r="AA255" s="457"/>
      <c r="AB255" s="457"/>
      <c r="AC255" s="457"/>
      <c r="AD255" s="457"/>
      <c r="AE255" s="457"/>
      <c r="AF255" s="457"/>
    </row>
    <row r="256" spans="1:32" ht="11.4" thickTop="1" thickBot="1">
      <c r="A256" s="458" t="s">
        <v>1013</v>
      </c>
      <c r="C256" s="285"/>
      <c r="D256" s="285"/>
      <c r="E256" s="285"/>
      <c r="F256" s="285"/>
      <c r="G256" s="285"/>
      <c r="H256" s="285"/>
      <c r="I256" s="310">
        <f t="shared" ref="I256:R256" si="103">+I$3</f>
        <v>36525</v>
      </c>
      <c r="J256" s="311">
        <f t="shared" si="103"/>
        <v>2000</v>
      </c>
      <c r="K256" s="311">
        <f t="shared" si="103"/>
        <v>2001</v>
      </c>
      <c r="L256" s="311">
        <f t="shared" si="103"/>
        <v>2002</v>
      </c>
      <c r="M256" s="311">
        <f t="shared" si="103"/>
        <v>2003</v>
      </c>
      <c r="N256" s="311">
        <f t="shared" si="103"/>
        <v>2004</v>
      </c>
      <c r="O256" s="311">
        <f t="shared" si="103"/>
        <v>2005</v>
      </c>
      <c r="P256" s="311">
        <f t="shared" si="103"/>
        <v>2006</v>
      </c>
      <c r="Q256" s="311">
        <f t="shared" si="103"/>
        <v>2007</v>
      </c>
      <c r="R256" s="311">
        <f t="shared" si="103"/>
        <v>2008</v>
      </c>
      <c r="S256" s="311">
        <f t="shared" ref="S256:AF256" si="104">+S$3</f>
        <v>2009</v>
      </c>
      <c r="T256" s="311">
        <f t="shared" si="104"/>
        <v>2010</v>
      </c>
      <c r="U256" s="311">
        <f t="shared" si="104"/>
        <v>2011</v>
      </c>
      <c r="V256" s="311">
        <f t="shared" si="104"/>
        <v>2012</v>
      </c>
      <c r="W256" s="311">
        <f t="shared" si="104"/>
        <v>2013</v>
      </c>
      <c r="X256" s="311">
        <f t="shared" si="104"/>
        <v>2014</v>
      </c>
      <c r="Y256" s="311">
        <f t="shared" si="104"/>
        <v>2015</v>
      </c>
      <c r="Z256" s="311">
        <f t="shared" si="104"/>
        <v>2016</v>
      </c>
      <c r="AA256" s="311">
        <f t="shared" si="104"/>
        <v>2017</v>
      </c>
      <c r="AB256" s="311">
        <f t="shared" si="104"/>
        <v>2018</v>
      </c>
      <c r="AC256" s="311">
        <f t="shared" si="104"/>
        <v>2019</v>
      </c>
      <c r="AD256" s="311">
        <f t="shared" si="104"/>
        <v>2020</v>
      </c>
      <c r="AE256" s="311">
        <f t="shared" si="104"/>
        <v>2021</v>
      </c>
      <c r="AF256" s="311">
        <f t="shared" si="104"/>
        <v>2022</v>
      </c>
    </row>
    <row r="257" spans="1:32" ht="10.8" thickTop="1"/>
    <row r="258" spans="1:32">
      <c r="A258" s="312" t="s">
        <v>1004</v>
      </c>
      <c r="B258" s="280"/>
      <c r="C258" s="280"/>
      <c r="E258" s="445" t="s">
        <v>1005</v>
      </c>
      <c r="F258" s="443"/>
      <c r="G258" s="443"/>
      <c r="H258" s="446" t="s">
        <v>1006</v>
      </c>
      <c r="I258" s="447">
        <f>($H259)*CHOOSE($H260,1,I$139)*IF($H260=1,CHOOSE($H261,1,I$130),CHOOSE($H260,1,I$145))*stub</f>
        <v>0</v>
      </c>
      <c r="J258" s="447">
        <f>($H259)*CHOOSE($H260,1,J$139)*IF($H260=1,CHOOSE($H261,1,J$130),CHOOSE($H260,1,J$145))</f>
        <v>0</v>
      </c>
      <c r="K258" s="447">
        <f t="shared" ref="K258:AF258" si="105">($H259)*CHOOSE($H260,1,K$139)*IF($H260=1,CHOOSE($H261,1,K$130),CHOOSE($H260,1,K$145))</f>
        <v>0</v>
      </c>
      <c r="L258" s="447">
        <f t="shared" si="105"/>
        <v>0</v>
      </c>
      <c r="M258" s="447">
        <f t="shared" si="105"/>
        <v>0</v>
      </c>
      <c r="N258" s="447">
        <f t="shared" si="105"/>
        <v>0</v>
      </c>
      <c r="O258" s="447">
        <f t="shared" si="105"/>
        <v>0</v>
      </c>
      <c r="P258" s="447">
        <f t="shared" si="105"/>
        <v>0</v>
      </c>
      <c r="Q258" s="447">
        <f t="shared" si="105"/>
        <v>0</v>
      </c>
      <c r="R258" s="447">
        <f t="shared" si="105"/>
        <v>0</v>
      </c>
      <c r="S258" s="447">
        <f t="shared" si="105"/>
        <v>0</v>
      </c>
      <c r="T258" s="447">
        <f t="shared" si="105"/>
        <v>0</v>
      </c>
      <c r="U258" s="447">
        <f t="shared" si="105"/>
        <v>0</v>
      </c>
      <c r="V258" s="447">
        <f t="shared" si="105"/>
        <v>0</v>
      </c>
      <c r="W258" s="447">
        <f t="shared" si="105"/>
        <v>0</v>
      </c>
      <c r="X258" s="447">
        <f t="shared" si="105"/>
        <v>0</v>
      </c>
      <c r="Y258" s="447">
        <f t="shared" si="105"/>
        <v>0</v>
      </c>
      <c r="Z258" s="447">
        <f t="shared" si="105"/>
        <v>0</v>
      </c>
      <c r="AA258" s="447">
        <f t="shared" si="105"/>
        <v>0</v>
      </c>
      <c r="AB258" s="447">
        <f t="shared" si="105"/>
        <v>0</v>
      </c>
      <c r="AC258" s="447">
        <f t="shared" si="105"/>
        <v>0</v>
      </c>
      <c r="AD258" s="447">
        <f t="shared" si="105"/>
        <v>0</v>
      </c>
      <c r="AE258" s="447">
        <f t="shared" si="105"/>
        <v>0</v>
      </c>
      <c r="AF258" s="447">
        <f t="shared" si="105"/>
        <v>0</v>
      </c>
    </row>
    <row r="259" spans="1:32">
      <c r="A259" s="448"/>
      <c r="B259" s="280"/>
      <c r="C259" s="280"/>
      <c r="D259" s="329"/>
      <c r="E259" s="413" t="str">
        <f>+" Amount per "&amp;H258</f>
        <v xml:space="preserve"> Amount per MWH</v>
      </c>
      <c r="F259" s="329"/>
      <c r="G259" s="329"/>
      <c r="H259" s="454">
        <v>0</v>
      </c>
      <c r="I259" s="451"/>
      <c r="J259" s="451"/>
      <c r="K259" s="451"/>
      <c r="L259" s="451"/>
      <c r="M259" s="451"/>
      <c r="N259" s="451"/>
      <c r="O259" s="451"/>
      <c r="P259" s="451"/>
      <c r="Q259" s="451"/>
      <c r="R259" s="451"/>
      <c r="S259" s="451"/>
      <c r="T259" s="451"/>
      <c r="U259" s="451"/>
      <c r="V259" s="451"/>
      <c r="W259" s="451"/>
      <c r="X259" s="451"/>
      <c r="Y259" s="451"/>
      <c r="Z259" s="451"/>
      <c r="AA259" s="451"/>
      <c r="AB259" s="451"/>
      <c r="AC259" s="451"/>
      <c r="AD259" s="451"/>
      <c r="AE259" s="451"/>
      <c r="AF259" s="451"/>
    </row>
    <row r="260" spans="1:32">
      <c r="D260" s="329"/>
      <c r="E260" s="413" t="str">
        <f>"Currency (USD-1, "&amp;curr2&amp;"-2)"</f>
        <v>Currency (USD-1, Reis-2)</v>
      </c>
      <c r="F260" s="329"/>
      <c r="G260" s="329"/>
      <c r="H260" s="419">
        <v>1</v>
      </c>
      <c r="I260" s="451"/>
      <c r="J260" s="451"/>
      <c r="K260" s="451"/>
      <c r="L260" s="451"/>
      <c r="M260" s="451"/>
      <c r="N260" s="451"/>
      <c r="O260" s="451"/>
      <c r="P260" s="451"/>
      <c r="Q260" s="451"/>
      <c r="R260" s="451"/>
      <c r="S260" s="451"/>
      <c r="T260" s="451"/>
      <c r="U260" s="451"/>
      <c r="V260" s="451"/>
      <c r="W260" s="451"/>
      <c r="X260" s="451"/>
      <c r="Y260" s="451"/>
      <c r="Z260" s="451"/>
      <c r="AA260" s="451"/>
      <c r="AB260" s="451"/>
      <c r="AC260" s="451"/>
      <c r="AD260" s="451"/>
      <c r="AE260" s="451"/>
      <c r="AF260" s="451"/>
    </row>
    <row r="261" spans="1:32">
      <c r="A261" s="448"/>
      <c r="B261" s="329"/>
      <c r="C261" s="329"/>
      <c r="D261" s="329"/>
      <c r="E261" s="418" t="s">
        <v>993</v>
      </c>
      <c r="F261" s="329"/>
      <c r="G261" s="329"/>
      <c r="H261" s="419">
        <v>1</v>
      </c>
      <c r="I261" s="451"/>
      <c r="J261" s="451"/>
      <c r="K261" s="451"/>
      <c r="L261" s="451"/>
      <c r="M261" s="451"/>
      <c r="N261" s="451"/>
      <c r="O261" s="451"/>
      <c r="P261" s="451"/>
      <c r="Q261" s="451"/>
      <c r="R261" s="451"/>
      <c r="S261" s="451"/>
      <c r="T261" s="451"/>
      <c r="U261" s="451"/>
      <c r="V261" s="451"/>
      <c r="W261" s="451"/>
      <c r="X261" s="451"/>
      <c r="Y261" s="451"/>
      <c r="Z261" s="451"/>
      <c r="AA261" s="451"/>
      <c r="AB261" s="451"/>
      <c r="AC261" s="451"/>
      <c r="AD261" s="451"/>
      <c r="AE261" s="451"/>
      <c r="AF261" s="451"/>
    </row>
    <row r="262" spans="1:32">
      <c r="A262" s="448"/>
      <c r="C262" s="403" t="s">
        <v>1007</v>
      </c>
      <c r="D262" s="329"/>
      <c r="I262" s="315">
        <f>($H259*I258)*CHOOSE($H260,1,I$139)*IF($H260=1,CHOOSE($H261,1,I$130),CHOOSE($H261,1,I$145))</f>
        <v>0</v>
      </c>
      <c r="J262" s="315">
        <f>($H259*J258)*CHOOSE($H260,1,J$139)*IF($H260=1,CHOOSE($H261,1,J$130),CHOOSE($H261,1,J$145))</f>
        <v>0</v>
      </c>
      <c r="K262" s="315">
        <f t="shared" ref="K262:AF262" si="106">($H259*K258)*CHOOSE($H260,1,K$139)*IF($H260=1,CHOOSE($H261,1,K$130),CHOOSE($H261,1,K$145))</f>
        <v>0</v>
      </c>
      <c r="L262" s="315">
        <f t="shared" si="106"/>
        <v>0</v>
      </c>
      <c r="M262" s="315">
        <f t="shared" si="106"/>
        <v>0</v>
      </c>
      <c r="N262" s="315">
        <f t="shared" si="106"/>
        <v>0</v>
      </c>
      <c r="O262" s="315">
        <f t="shared" si="106"/>
        <v>0</v>
      </c>
      <c r="P262" s="315">
        <f t="shared" si="106"/>
        <v>0</v>
      </c>
      <c r="Q262" s="315">
        <f t="shared" si="106"/>
        <v>0</v>
      </c>
      <c r="R262" s="315">
        <f t="shared" si="106"/>
        <v>0</v>
      </c>
      <c r="S262" s="315">
        <f t="shared" si="106"/>
        <v>0</v>
      </c>
      <c r="T262" s="315">
        <f t="shared" si="106"/>
        <v>0</v>
      </c>
      <c r="U262" s="315">
        <f t="shared" si="106"/>
        <v>0</v>
      </c>
      <c r="V262" s="315">
        <f t="shared" si="106"/>
        <v>0</v>
      </c>
      <c r="W262" s="315">
        <f t="shared" si="106"/>
        <v>0</v>
      </c>
      <c r="X262" s="315">
        <f t="shared" si="106"/>
        <v>0</v>
      </c>
      <c r="Y262" s="315">
        <f t="shared" si="106"/>
        <v>0</v>
      </c>
      <c r="Z262" s="315">
        <f t="shared" si="106"/>
        <v>0</v>
      </c>
      <c r="AA262" s="315">
        <f t="shared" si="106"/>
        <v>0</v>
      </c>
      <c r="AB262" s="315">
        <f t="shared" si="106"/>
        <v>0</v>
      </c>
      <c r="AC262" s="315">
        <f t="shared" si="106"/>
        <v>0</v>
      </c>
      <c r="AD262" s="315">
        <f t="shared" si="106"/>
        <v>0</v>
      </c>
      <c r="AE262" s="315">
        <f t="shared" si="106"/>
        <v>0</v>
      </c>
      <c r="AF262" s="315">
        <f t="shared" si="106"/>
        <v>0</v>
      </c>
    </row>
    <row r="263" spans="1:32">
      <c r="A263" s="448"/>
      <c r="B263" s="403" t="s">
        <v>1014</v>
      </c>
      <c r="C263" s="329"/>
      <c r="D263" s="329"/>
      <c r="I263" s="452">
        <f>+I262</f>
        <v>0</v>
      </c>
      <c r="J263" s="452">
        <f t="shared" ref="J263:AC263" si="107">+J262</f>
        <v>0</v>
      </c>
      <c r="K263" s="452">
        <f t="shared" si="107"/>
        <v>0</v>
      </c>
      <c r="L263" s="452">
        <f t="shared" si="107"/>
        <v>0</v>
      </c>
      <c r="M263" s="452">
        <f t="shared" si="107"/>
        <v>0</v>
      </c>
      <c r="N263" s="452">
        <f t="shared" si="107"/>
        <v>0</v>
      </c>
      <c r="O263" s="452">
        <f t="shared" si="107"/>
        <v>0</v>
      </c>
      <c r="P263" s="452">
        <f t="shared" si="107"/>
        <v>0</v>
      </c>
      <c r="Q263" s="452">
        <f t="shared" si="107"/>
        <v>0</v>
      </c>
      <c r="R263" s="452">
        <f t="shared" si="107"/>
        <v>0</v>
      </c>
      <c r="S263" s="452">
        <f t="shared" si="107"/>
        <v>0</v>
      </c>
      <c r="T263" s="452">
        <f t="shared" si="107"/>
        <v>0</v>
      </c>
      <c r="U263" s="452">
        <f t="shared" si="107"/>
        <v>0</v>
      </c>
      <c r="V263" s="452">
        <f t="shared" si="107"/>
        <v>0</v>
      </c>
      <c r="W263" s="452">
        <f t="shared" si="107"/>
        <v>0</v>
      </c>
      <c r="X263" s="452">
        <f t="shared" si="107"/>
        <v>0</v>
      </c>
      <c r="Y263" s="452">
        <f t="shared" si="107"/>
        <v>0</v>
      </c>
      <c r="Z263" s="452">
        <f t="shared" si="107"/>
        <v>0</v>
      </c>
      <c r="AA263" s="452">
        <f t="shared" si="107"/>
        <v>0</v>
      </c>
      <c r="AB263" s="452">
        <f t="shared" si="107"/>
        <v>0</v>
      </c>
      <c r="AC263" s="452">
        <f t="shared" si="107"/>
        <v>0</v>
      </c>
      <c r="AD263" s="452">
        <f>+AD262</f>
        <v>0</v>
      </c>
      <c r="AE263" s="452">
        <f>+AE262</f>
        <v>0</v>
      </c>
      <c r="AF263" s="452">
        <f>+AF262</f>
        <v>0</v>
      </c>
    </row>
    <row r="264" spans="1:32">
      <c r="A264" s="385" t="s">
        <v>1009</v>
      </c>
      <c r="B264" s="430"/>
      <c r="E264" s="443"/>
      <c r="F264" s="443"/>
      <c r="G264" s="443"/>
      <c r="H264" s="443"/>
      <c r="I264" s="444"/>
      <c r="J264" s="444"/>
      <c r="K264" s="444"/>
      <c r="L264" s="444"/>
      <c r="M264" s="444"/>
      <c r="N264" s="444"/>
      <c r="O264" s="444"/>
      <c r="P264" s="444"/>
      <c r="Q264" s="444"/>
      <c r="R264" s="444"/>
      <c r="S264" s="444"/>
      <c r="T264" s="444"/>
      <c r="U264" s="444"/>
      <c r="V264" s="444"/>
      <c r="W264" s="444"/>
      <c r="X264" s="444"/>
      <c r="Y264" s="444"/>
      <c r="Z264" s="444"/>
      <c r="AA264" s="444"/>
      <c r="AB264" s="444"/>
      <c r="AC264" s="444"/>
      <c r="AD264" s="444"/>
      <c r="AE264" s="444"/>
      <c r="AF264" s="444"/>
    </row>
    <row r="265" spans="1:32">
      <c r="A265" s="442"/>
      <c r="B265" s="280"/>
      <c r="C265" s="280"/>
      <c r="E265" s="409" t="s">
        <v>1010</v>
      </c>
      <c r="F265" s="329"/>
      <c r="G265" s="329"/>
      <c r="H265" s="454">
        <f>Summary!O98</f>
        <v>639.95210422825051</v>
      </c>
      <c r="I265" s="444"/>
      <c r="J265" s="444"/>
      <c r="K265" s="444"/>
      <c r="L265" s="444"/>
      <c r="M265" s="444"/>
      <c r="N265" s="444"/>
      <c r="O265" s="444"/>
      <c r="P265" s="444"/>
      <c r="Q265" s="444"/>
      <c r="R265" s="444"/>
      <c r="S265" s="444"/>
      <c r="T265" s="444"/>
      <c r="U265" s="444"/>
      <c r="V265" s="444"/>
      <c r="W265" s="444"/>
      <c r="X265" s="444"/>
      <c r="Y265" s="444"/>
      <c r="Z265" s="444"/>
      <c r="AA265" s="444"/>
      <c r="AB265" s="444"/>
      <c r="AC265" s="444"/>
      <c r="AD265" s="444"/>
      <c r="AE265" s="444"/>
      <c r="AF265" s="444"/>
    </row>
    <row r="266" spans="1:32">
      <c r="A266" s="442"/>
      <c r="B266" s="280"/>
      <c r="C266" s="280"/>
      <c r="E266" s="413" t="str">
        <f>"Currency (USD-1, "&amp;curr2&amp;"-2)"</f>
        <v>Currency (USD-1, Reis-2)</v>
      </c>
      <c r="F266" s="329"/>
      <c r="G266" s="329"/>
      <c r="H266" s="419">
        <v>1</v>
      </c>
      <c r="I266" s="444"/>
      <c r="J266" s="444"/>
      <c r="K266" s="444"/>
      <c r="L266" s="444"/>
      <c r="M266" s="444"/>
      <c r="N266" s="444"/>
      <c r="O266" s="444"/>
      <c r="P266" s="444"/>
      <c r="Q266" s="444"/>
      <c r="R266" s="444"/>
      <c r="S266" s="444"/>
      <c r="T266" s="444"/>
      <c r="U266" s="444"/>
      <c r="V266" s="444"/>
      <c r="W266" s="444"/>
      <c r="X266" s="444"/>
      <c r="Y266" s="444"/>
      <c r="Z266" s="444"/>
      <c r="AA266" s="444"/>
      <c r="AB266" s="444"/>
      <c r="AC266" s="444"/>
      <c r="AD266" s="444"/>
      <c r="AE266" s="444"/>
      <c r="AF266" s="444"/>
    </row>
    <row r="267" spans="1:32">
      <c r="A267" s="442"/>
      <c r="B267" s="430"/>
      <c r="E267" s="418" t="s">
        <v>993</v>
      </c>
      <c r="F267" s="329"/>
      <c r="G267" s="329"/>
      <c r="H267" s="419">
        <v>2</v>
      </c>
      <c r="I267" s="444"/>
      <c r="J267" s="444"/>
      <c r="K267" s="444"/>
      <c r="L267" s="444"/>
      <c r="M267" s="444"/>
      <c r="N267" s="444"/>
      <c r="O267" s="444"/>
      <c r="P267" s="444"/>
      <c r="Q267" s="444"/>
      <c r="R267" s="444"/>
      <c r="S267" s="444"/>
      <c r="T267" s="444"/>
      <c r="U267" s="444"/>
      <c r="V267" s="444"/>
      <c r="W267" s="444"/>
      <c r="X267" s="444"/>
      <c r="Y267" s="444"/>
      <c r="Z267" s="444"/>
      <c r="AA267" s="444"/>
      <c r="AB267" s="444"/>
      <c r="AC267" s="444"/>
      <c r="AD267" s="444"/>
      <c r="AE267" s="444"/>
      <c r="AF267" s="444"/>
    </row>
    <row r="268" spans="1:32">
      <c r="A268" s="442"/>
      <c r="C268" s="403" t="s">
        <v>1007</v>
      </c>
      <c r="D268" s="329"/>
      <c r="I268" s="741">
        <f>'O&amp;M'!D95*stub</f>
        <v>0</v>
      </c>
      <c r="J268" s="1449">
        <f>'O&amp;M'!E95</f>
        <v>639.95210422825051</v>
      </c>
      <c r="K268" s="741">
        <f>'O&amp;M'!F95</f>
        <v>622.9406264116293</v>
      </c>
      <c r="L268" s="741">
        <f>'O&amp;M'!G95</f>
        <v>613.54815466248454</v>
      </c>
      <c r="M268" s="741">
        <f>'O&amp;M'!H95</f>
        <v>605.40478951010346</v>
      </c>
      <c r="N268" s="741">
        <f>'O&amp;M'!I95</f>
        <v>591.60393868590836</v>
      </c>
      <c r="O268" s="741">
        <f>'O&amp;M'!J95</f>
        <v>585.39047660424819</v>
      </c>
      <c r="P268" s="741">
        <f>'O&amp;M'!K95</f>
        <v>571.71035319862881</v>
      </c>
      <c r="Q268" s="741">
        <f>'O&amp;M'!L95</f>
        <v>575.34740678751643</v>
      </c>
      <c r="R268" s="741">
        <f>'O&amp;M'!M95</f>
        <v>563.23341634691894</v>
      </c>
      <c r="S268" s="741">
        <f>'O&amp;M'!N95</f>
        <v>547.44489010430573</v>
      </c>
      <c r="T268" s="741">
        <f>'O&amp;M'!O95</f>
        <v>531.74150402641578</v>
      </c>
      <c r="U268" s="741">
        <f>'O&amp;M'!P95</f>
        <v>527.0890401848269</v>
      </c>
      <c r="V268" s="741">
        <f>'O&amp;M'!Q95</f>
        <v>511.40212678696008</v>
      </c>
      <c r="W268" s="741">
        <f>'O&amp;M'!R95</f>
        <v>495.95920426913369</v>
      </c>
      <c r="X268" s="741">
        <f>'O&amp;M'!S95</f>
        <v>489.52779050531768</v>
      </c>
      <c r="Y268" s="741">
        <f>'O&amp;M'!T95</f>
        <v>472.532976719847</v>
      </c>
      <c r="Z268" s="741">
        <f>'O&amp;M'!U95</f>
        <v>478.23968239957094</v>
      </c>
      <c r="AA268" s="741">
        <f>'O&amp;M'!V95</f>
        <v>484.40992815100299</v>
      </c>
      <c r="AB268" s="741">
        <f>'O&amp;M'!W95</f>
        <v>491.00749675270697</v>
      </c>
      <c r="AC268" s="741">
        <f>'O&amp;M'!X95</f>
        <v>498.52550897023713</v>
      </c>
      <c r="AD268" s="741">
        <f>'O&amp;M'!Y95</f>
        <v>507.24297237521364</v>
      </c>
      <c r="AE268" s="741">
        <f>'O&amp;M'!Z95</f>
        <v>516.83580219041403</v>
      </c>
      <c r="AF268" s="741">
        <f>'O&amp;M'!AA95</f>
        <v>527.28543571530099</v>
      </c>
    </row>
    <row r="269" spans="1:32">
      <c r="A269" s="442"/>
      <c r="B269" s="403" t="s">
        <v>1015</v>
      </c>
      <c r="C269" s="329"/>
      <c r="I269" s="452">
        <f>+I268</f>
        <v>0</v>
      </c>
      <c r="J269" s="452">
        <f t="shared" ref="J269:AC269" si="108">+J268</f>
        <v>639.95210422825051</v>
      </c>
      <c r="K269" s="452">
        <f t="shared" si="108"/>
        <v>622.9406264116293</v>
      </c>
      <c r="L269" s="452">
        <f t="shared" si="108"/>
        <v>613.54815466248454</v>
      </c>
      <c r="M269" s="452">
        <f t="shared" si="108"/>
        <v>605.40478951010346</v>
      </c>
      <c r="N269" s="452">
        <f t="shared" si="108"/>
        <v>591.60393868590836</v>
      </c>
      <c r="O269" s="452">
        <f t="shared" si="108"/>
        <v>585.39047660424819</v>
      </c>
      <c r="P269" s="452">
        <f t="shared" si="108"/>
        <v>571.71035319862881</v>
      </c>
      <c r="Q269" s="452">
        <f t="shared" si="108"/>
        <v>575.34740678751643</v>
      </c>
      <c r="R269" s="452">
        <f t="shared" si="108"/>
        <v>563.23341634691894</v>
      </c>
      <c r="S269" s="452">
        <f t="shared" si="108"/>
        <v>547.44489010430573</v>
      </c>
      <c r="T269" s="452">
        <f t="shared" si="108"/>
        <v>531.74150402641578</v>
      </c>
      <c r="U269" s="452">
        <f t="shared" si="108"/>
        <v>527.0890401848269</v>
      </c>
      <c r="V269" s="452">
        <f t="shared" si="108"/>
        <v>511.40212678696008</v>
      </c>
      <c r="W269" s="452">
        <f t="shared" si="108"/>
        <v>495.95920426913369</v>
      </c>
      <c r="X269" s="452">
        <f t="shared" si="108"/>
        <v>489.52779050531768</v>
      </c>
      <c r="Y269" s="452">
        <f t="shared" si="108"/>
        <v>472.532976719847</v>
      </c>
      <c r="Z269" s="452">
        <f t="shared" si="108"/>
        <v>478.23968239957094</v>
      </c>
      <c r="AA269" s="452">
        <f t="shared" si="108"/>
        <v>484.40992815100299</v>
      </c>
      <c r="AB269" s="452">
        <f t="shared" si="108"/>
        <v>491.00749675270697</v>
      </c>
      <c r="AC269" s="452">
        <f t="shared" si="108"/>
        <v>498.52550897023713</v>
      </c>
      <c r="AD269" s="452">
        <f>+AD268</f>
        <v>507.24297237521364</v>
      </c>
      <c r="AE269" s="452">
        <f>+AE268</f>
        <v>516.83580219041403</v>
      </c>
      <c r="AF269" s="452">
        <f>+AF268</f>
        <v>527.28543571530099</v>
      </c>
    </row>
    <row r="270" spans="1:32">
      <c r="A270" s="442"/>
      <c r="B270" s="430"/>
      <c r="E270" s="443"/>
      <c r="F270" s="443"/>
      <c r="G270" s="443"/>
      <c r="H270" s="443"/>
      <c r="I270" s="444"/>
      <c r="J270" s="444"/>
      <c r="K270" s="444"/>
      <c r="L270" s="444"/>
      <c r="M270" s="444"/>
      <c r="N270" s="444"/>
      <c r="O270" s="444"/>
      <c r="P270" s="444"/>
      <c r="Q270" s="444"/>
      <c r="R270" s="444"/>
      <c r="S270" s="444"/>
      <c r="T270" s="444"/>
      <c r="U270" s="444"/>
      <c r="V270" s="444"/>
      <c r="W270" s="444"/>
      <c r="X270" s="444"/>
      <c r="Y270" s="444"/>
      <c r="Z270" s="444"/>
      <c r="AA270" s="444"/>
      <c r="AB270" s="444"/>
      <c r="AC270" s="444"/>
      <c r="AD270" s="444"/>
      <c r="AE270" s="444"/>
      <c r="AF270" s="444"/>
    </row>
    <row r="271" spans="1:32">
      <c r="A271" s="442"/>
      <c r="B271" s="437" t="s">
        <v>1016</v>
      </c>
      <c r="E271" s="459">
        <v>0</v>
      </c>
      <c r="F271" s="459">
        <v>0</v>
      </c>
      <c r="G271" s="459">
        <v>0</v>
      </c>
      <c r="H271" s="459">
        <v>0</v>
      </c>
      <c r="I271" s="455">
        <f t="shared" ref="I271:AC271" si="109">+I263+I269</f>
        <v>0</v>
      </c>
      <c r="J271" s="456">
        <f t="shared" si="109"/>
        <v>639.95210422825051</v>
      </c>
      <c r="K271" s="456">
        <f t="shared" si="109"/>
        <v>622.9406264116293</v>
      </c>
      <c r="L271" s="456">
        <f t="shared" si="109"/>
        <v>613.54815466248454</v>
      </c>
      <c r="M271" s="456">
        <f t="shared" si="109"/>
        <v>605.40478951010346</v>
      </c>
      <c r="N271" s="456">
        <f t="shared" si="109"/>
        <v>591.60393868590836</v>
      </c>
      <c r="O271" s="456">
        <f t="shared" si="109"/>
        <v>585.39047660424819</v>
      </c>
      <c r="P271" s="456">
        <f t="shared" si="109"/>
        <v>571.71035319862881</v>
      </c>
      <c r="Q271" s="456">
        <f t="shared" si="109"/>
        <v>575.34740678751643</v>
      </c>
      <c r="R271" s="456">
        <f t="shared" si="109"/>
        <v>563.23341634691894</v>
      </c>
      <c r="S271" s="456">
        <f t="shared" si="109"/>
        <v>547.44489010430573</v>
      </c>
      <c r="T271" s="456">
        <f t="shared" si="109"/>
        <v>531.74150402641578</v>
      </c>
      <c r="U271" s="456">
        <f t="shared" si="109"/>
        <v>527.0890401848269</v>
      </c>
      <c r="V271" s="456">
        <f t="shared" si="109"/>
        <v>511.40212678696008</v>
      </c>
      <c r="W271" s="456">
        <f t="shared" si="109"/>
        <v>495.95920426913369</v>
      </c>
      <c r="X271" s="456">
        <f t="shared" si="109"/>
        <v>489.52779050531768</v>
      </c>
      <c r="Y271" s="456">
        <f t="shared" si="109"/>
        <v>472.532976719847</v>
      </c>
      <c r="Z271" s="456">
        <f t="shared" si="109"/>
        <v>478.23968239957094</v>
      </c>
      <c r="AA271" s="456">
        <f t="shared" si="109"/>
        <v>484.40992815100299</v>
      </c>
      <c r="AB271" s="456">
        <f t="shared" si="109"/>
        <v>491.00749675270697</v>
      </c>
      <c r="AC271" s="456">
        <f t="shared" si="109"/>
        <v>498.52550897023713</v>
      </c>
      <c r="AD271" s="456">
        <f>+AD263+AD269</f>
        <v>507.24297237521364</v>
      </c>
      <c r="AE271" s="456">
        <f>+AE263+AE269</f>
        <v>516.83580219041403</v>
      </c>
      <c r="AF271" s="456">
        <f>+AF263+AF269</f>
        <v>527.28543571530099</v>
      </c>
    </row>
    <row r="272" spans="1:32">
      <c r="D272" s="285"/>
    </row>
    <row r="273" spans="1:32" ht="10.8" thickBot="1">
      <c r="A273" s="285"/>
      <c r="C273" s="285"/>
      <c r="E273" s="285"/>
      <c r="F273" s="285"/>
      <c r="G273" s="285"/>
      <c r="H273" s="285"/>
      <c r="I273" s="285"/>
      <c r="J273" s="285"/>
      <c r="K273" s="285"/>
      <c r="L273" s="285"/>
      <c r="M273" s="285"/>
      <c r="N273" s="285"/>
      <c r="O273" s="285"/>
      <c r="P273" s="285"/>
      <c r="Q273" s="285"/>
      <c r="R273" s="285"/>
      <c r="S273" s="285"/>
      <c r="T273" s="285"/>
      <c r="U273" s="285"/>
      <c r="V273" s="285"/>
      <c r="W273" s="285"/>
      <c r="X273" s="285"/>
      <c r="Y273" s="285"/>
      <c r="Z273" s="285"/>
      <c r="AA273" s="285"/>
      <c r="AB273" s="285"/>
      <c r="AC273" s="285"/>
      <c r="AD273" s="285"/>
      <c r="AE273" s="285"/>
      <c r="AF273" s="285"/>
    </row>
    <row r="274" spans="1:32" ht="11.4" thickTop="1" thickBot="1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  <c r="AA274" s="307"/>
      <c r="AB274" s="307"/>
      <c r="AC274" s="307"/>
      <c r="AD274" s="307"/>
      <c r="AE274" s="307"/>
      <c r="AF274" s="307"/>
    </row>
    <row r="275" spans="1:32" ht="11.4" thickTop="1" thickBot="1">
      <c r="A275" s="299" t="s">
        <v>1017</v>
      </c>
      <c r="I275" s="310">
        <f t="shared" ref="I275:R275" si="110">+I$3</f>
        <v>36525</v>
      </c>
      <c r="J275" s="311">
        <f t="shared" si="110"/>
        <v>2000</v>
      </c>
      <c r="K275" s="311">
        <f t="shared" si="110"/>
        <v>2001</v>
      </c>
      <c r="L275" s="311">
        <f t="shared" si="110"/>
        <v>2002</v>
      </c>
      <c r="M275" s="311">
        <f t="shared" si="110"/>
        <v>2003</v>
      </c>
      <c r="N275" s="311">
        <f t="shared" si="110"/>
        <v>2004</v>
      </c>
      <c r="O275" s="311">
        <f t="shared" si="110"/>
        <v>2005</v>
      </c>
      <c r="P275" s="311">
        <f t="shared" si="110"/>
        <v>2006</v>
      </c>
      <c r="Q275" s="311">
        <f t="shared" si="110"/>
        <v>2007</v>
      </c>
      <c r="R275" s="311">
        <f t="shared" si="110"/>
        <v>2008</v>
      </c>
      <c r="S275" s="311">
        <f t="shared" ref="S275:AF275" si="111">+S$3</f>
        <v>2009</v>
      </c>
      <c r="T275" s="311">
        <f t="shared" si="111"/>
        <v>2010</v>
      </c>
      <c r="U275" s="311">
        <f t="shared" si="111"/>
        <v>2011</v>
      </c>
      <c r="V275" s="311">
        <f t="shared" si="111"/>
        <v>2012</v>
      </c>
      <c r="W275" s="311">
        <f t="shared" si="111"/>
        <v>2013</v>
      </c>
      <c r="X275" s="311">
        <f t="shared" si="111"/>
        <v>2014</v>
      </c>
      <c r="Y275" s="311">
        <f t="shared" si="111"/>
        <v>2015</v>
      </c>
      <c r="Z275" s="311">
        <f t="shared" si="111"/>
        <v>2016</v>
      </c>
      <c r="AA275" s="311">
        <f t="shared" si="111"/>
        <v>2017</v>
      </c>
      <c r="AB275" s="311">
        <f t="shared" si="111"/>
        <v>2018</v>
      </c>
      <c r="AC275" s="311">
        <f t="shared" si="111"/>
        <v>2019</v>
      </c>
      <c r="AD275" s="311">
        <f t="shared" si="111"/>
        <v>2020</v>
      </c>
      <c r="AE275" s="311">
        <f t="shared" si="111"/>
        <v>2021</v>
      </c>
      <c r="AF275" s="311">
        <f t="shared" si="111"/>
        <v>2022</v>
      </c>
    </row>
    <row r="276" spans="1:32" ht="10.8" thickTop="1"/>
    <row r="277" spans="1:32">
      <c r="A277" s="369" t="s">
        <v>871</v>
      </c>
      <c r="C277" s="287" t="str">
        <f>+A151</f>
        <v xml:space="preserve"> </v>
      </c>
      <c r="D277" s="285"/>
      <c r="H277" s="348"/>
      <c r="I277" s="814"/>
      <c r="J277" s="814">
        <f t="shared" ref="J277:AF277" si="112">+J166</f>
        <v>13620.436794872627</v>
      </c>
      <c r="K277" s="814">
        <f t="shared" si="112"/>
        <v>13905.915047767847</v>
      </c>
      <c r="L277" s="814">
        <f t="shared" si="112"/>
        <v>14239.657008914275</v>
      </c>
      <c r="M277" s="814">
        <f t="shared" si="112"/>
        <v>14581.408777128221</v>
      </c>
      <c r="N277" s="814">
        <f t="shared" si="112"/>
        <v>14965.392392300362</v>
      </c>
      <c r="O277" s="814">
        <f t="shared" si="112"/>
        <v>15289.715289886</v>
      </c>
      <c r="P277" s="814">
        <f t="shared" si="112"/>
        <v>15656.668456843268</v>
      </c>
      <c r="Q277" s="814">
        <f t="shared" si="112"/>
        <v>16032.428499807505</v>
      </c>
      <c r="R277" s="814">
        <f t="shared" si="112"/>
        <v>16454.622949564739</v>
      </c>
      <c r="S277" s="814">
        <f t="shared" si="112"/>
        <v>16811.219746614155</v>
      </c>
      <c r="T277" s="814">
        <f t="shared" si="112"/>
        <v>17214.689020532893</v>
      </c>
      <c r="U277" s="814">
        <f t="shared" si="112"/>
        <v>17627.841557025684</v>
      </c>
      <c r="V277" s="814">
        <f t="shared" si="112"/>
        <v>18092.04926371625</v>
      </c>
      <c r="W277" s="814">
        <f t="shared" si="112"/>
        <v>18484.131588499764</v>
      </c>
      <c r="X277" s="814">
        <f t="shared" si="112"/>
        <v>18927.750746623758</v>
      </c>
      <c r="Y277" s="814">
        <f t="shared" si="112"/>
        <v>19382.016764542725</v>
      </c>
      <c r="Z277" s="814">
        <f t="shared" si="112"/>
        <v>19892.418535752236</v>
      </c>
      <c r="AA277" s="814">
        <f t="shared" si="112"/>
        <v>20323.517610897154</v>
      </c>
      <c r="AB277" s="814">
        <f t="shared" si="112"/>
        <v>20811.282033558691</v>
      </c>
      <c r="AC277" s="814">
        <f t="shared" si="112"/>
        <v>21310.752802364099</v>
      </c>
      <c r="AD277" s="814">
        <f t="shared" si="112"/>
        <v>21871.945484646421</v>
      </c>
      <c r="AE277" s="814">
        <f t="shared" si="112"/>
        <v>22345.94393049174</v>
      </c>
      <c r="AF277" s="814">
        <f t="shared" si="112"/>
        <v>22882.246584823544</v>
      </c>
    </row>
    <row r="278" spans="1:32">
      <c r="C278" s="460" t="str">
        <f>+A170</f>
        <v xml:space="preserve"> </v>
      </c>
      <c r="I278" s="814"/>
      <c r="J278" s="814">
        <f t="shared" ref="J278:AF278" si="113">+J185</f>
        <v>4887.5429645556924</v>
      </c>
      <c r="K278" s="814">
        <f t="shared" si="113"/>
        <v>7550.6874926124192</v>
      </c>
      <c r="L278" s="814">
        <f t="shared" si="113"/>
        <v>5708.6691944512877</v>
      </c>
      <c r="M278" s="814">
        <f t="shared" si="113"/>
        <v>4528.2006465959494</v>
      </c>
      <c r="N278" s="814">
        <f t="shared" si="113"/>
        <v>3842.1521310217581</v>
      </c>
      <c r="O278" s="814">
        <f t="shared" si="113"/>
        <v>3555.7924264769258</v>
      </c>
      <c r="P278" s="814">
        <f t="shared" si="113"/>
        <v>3928.3867085832408</v>
      </c>
      <c r="Q278" s="814">
        <f t="shared" si="113"/>
        <v>4142.2690846348742</v>
      </c>
      <c r="R278" s="814">
        <f t="shared" si="113"/>
        <v>4384.6115043285508</v>
      </c>
      <c r="S278" s="814">
        <f t="shared" si="113"/>
        <v>4343.5772330696054</v>
      </c>
      <c r="T278" s="814">
        <f t="shared" si="113"/>
        <v>4516.4395685584368</v>
      </c>
      <c r="U278" s="814">
        <f t="shared" si="113"/>
        <v>4476.6383030418328</v>
      </c>
      <c r="V278" s="814">
        <f t="shared" si="113"/>
        <v>4583.2384982155518</v>
      </c>
      <c r="W278" s="814">
        <f t="shared" si="113"/>
        <v>4627.419116029876</v>
      </c>
      <c r="X278" s="814">
        <f t="shared" si="113"/>
        <v>4705.470934124367</v>
      </c>
      <c r="Y278" s="814">
        <f t="shared" si="113"/>
        <v>4858.0885734873846</v>
      </c>
      <c r="Z278" s="814">
        <f t="shared" si="113"/>
        <v>4959.349312020986</v>
      </c>
      <c r="AA278" s="814">
        <f t="shared" si="113"/>
        <v>5005.9425581270661</v>
      </c>
      <c r="AB278" s="814">
        <f t="shared" si="113"/>
        <v>4984.1927050155473</v>
      </c>
      <c r="AC278" s="814">
        <f t="shared" si="113"/>
        <v>5196.9030279063045</v>
      </c>
      <c r="AD278" s="814">
        <f t="shared" si="113"/>
        <v>5234.3021608894205</v>
      </c>
      <c r="AE278" s="814">
        <f t="shared" si="113"/>
        <v>5305.9730784252515</v>
      </c>
      <c r="AF278" s="814">
        <f t="shared" si="113"/>
        <v>1174.1974895962419</v>
      </c>
    </row>
    <row r="279" spans="1:32">
      <c r="C279" s="460" t="str">
        <f>+A196</f>
        <v>Output Sales</v>
      </c>
      <c r="I279" s="1290"/>
      <c r="J279" s="1290">
        <f t="shared" ref="J279:AF279" si="114">+J203</f>
        <v>0</v>
      </c>
      <c r="K279" s="1290">
        <f t="shared" si="114"/>
        <v>0</v>
      </c>
      <c r="L279" s="1290">
        <f t="shared" si="114"/>
        <v>0</v>
      </c>
      <c r="M279" s="1290">
        <f t="shared" si="114"/>
        <v>0</v>
      </c>
      <c r="N279" s="1290">
        <f t="shared" si="114"/>
        <v>0</v>
      </c>
      <c r="O279" s="1290">
        <f t="shared" si="114"/>
        <v>0</v>
      </c>
      <c r="P279" s="1290">
        <f t="shared" si="114"/>
        <v>0</v>
      </c>
      <c r="Q279" s="1290">
        <f t="shared" si="114"/>
        <v>0</v>
      </c>
      <c r="R279" s="1290">
        <f t="shared" si="114"/>
        <v>0</v>
      </c>
      <c r="S279" s="1290">
        <f t="shared" si="114"/>
        <v>0</v>
      </c>
      <c r="T279" s="1290">
        <f t="shared" si="114"/>
        <v>0</v>
      </c>
      <c r="U279" s="1290">
        <f t="shared" si="114"/>
        <v>0</v>
      </c>
      <c r="V279" s="1290">
        <f t="shared" si="114"/>
        <v>0</v>
      </c>
      <c r="W279" s="1290">
        <f t="shared" si="114"/>
        <v>0</v>
      </c>
      <c r="X279" s="1290">
        <f t="shared" si="114"/>
        <v>0</v>
      </c>
      <c r="Y279" s="1290">
        <f t="shared" si="114"/>
        <v>0</v>
      </c>
      <c r="Z279" s="1290">
        <f t="shared" si="114"/>
        <v>0</v>
      </c>
      <c r="AA279" s="1290">
        <f t="shared" si="114"/>
        <v>0</v>
      </c>
      <c r="AB279" s="1290">
        <f t="shared" si="114"/>
        <v>0</v>
      </c>
      <c r="AC279" s="1290">
        <f t="shared" si="114"/>
        <v>0</v>
      </c>
      <c r="AD279" s="1290">
        <f t="shared" si="114"/>
        <v>0</v>
      </c>
      <c r="AE279" s="1290">
        <f t="shared" si="114"/>
        <v>0</v>
      </c>
      <c r="AF279" s="1290">
        <f t="shared" si="114"/>
        <v>0</v>
      </c>
    </row>
    <row r="280" spans="1:32">
      <c r="C280" s="460"/>
      <c r="I280" s="1290"/>
      <c r="J280" s="1290">
        <f t="shared" ref="J280:AF280" si="115">+J205</f>
        <v>0</v>
      </c>
      <c r="K280" s="1290">
        <f t="shared" si="115"/>
        <v>0</v>
      </c>
      <c r="L280" s="1290">
        <f t="shared" si="115"/>
        <v>0</v>
      </c>
      <c r="M280" s="1290">
        <f t="shared" si="115"/>
        <v>0</v>
      </c>
      <c r="N280" s="1290">
        <f t="shared" si="115"/>
        <v>0</v>
      </c>
      <c r="O280" s="1290">
        <f t="shared" si="115"/>
        <v>0</v>
      </c>
      <c r="P280" s="1290">
        <f t="shared" si="115"/>
        <v>0</v>
      </c>
      <c r="Q280" s="1290">
        <f t="shared" si="115"/>
        <v>0</v>
      </c>
      <c r="R280" s="1290">
        <f t="shared" si="115"/>
        <v>0</v>
      </c>
      <c r="S280" s="1290">
        <f t="shared" si="115"/>
        <v>0</v>
      </c>
      <c r="T280" s="1290">
        <f t="shared" si="115"/>
        <v>0</v>
      </c>
      <c r="U280" s="1290">
        <f t="shared" si="115"/>
        <v>0</v>
      </c>
      <c r="V280" s="1290">
        <f t="shared" si="115"/>
        <v>0</v>
      </c>
      <c r="W280" s="1290">
        <f t="shared" si="115"/>
        <v>0</v>
      </c>
      <c r="X280" s="1290">
        <f t="shared" si="115"/>
        <v>0</v>
      </c>
      <c r="Y280" s="1290">
        <f t="shared" si="115"/>
        <v>0</v>
      </c>
      <c r="Z280" s="1290">
        <f t="shared" si="115"/>
        <v>0</v>
      </c>
      <c r="AA280" s="1290">
        <f t="shared" si="115"/>
        <v>0</v>
      </c>
      <c r="AB280" s="1290">
        <f t="shared" si="115"/>
        <v>0</v>
      </c>
      <c r="AC280" s="1290">
        <f t="shared" si="115"/>
        <v>0</v>
      </c>
      <c r="AD280" s="1290">
        <f t="shared" si="115"/>
        <v>0</v>
      </c>
      <c r="AE280" s="1290">
        <f t="shared" si="115"/>
        <v>0</v>
      </c>
      <c r="AF280" s="1290">
        <f t="shared" si="115"/>
        <v>0</v>
      </c>
    </row>
    <row r="281" spans="1:32">
      <c r="C281" s="460"/>
      <c r="I281" s="1290"/>
      <c r="J281" s="1290">
        <f>+J211</f>
        <v>0</v>
      </c>
      <c r="K281" s="1290">
        <f t="shared" ref="K281:AF281" si="116">+K211</f>
        <v>0</v>
      </c>
      <c r="L281" s="1290">
        <f t="shared" si="116"/>
        <v>0</v>
      </c>
      <c r="M281" s="1290">
        <f t="shared" si="116"/>
        <v>0</v>
      </c>
      <c r="N281" s="1290">
        <f t="shared" si="116"/>
        <v>0</v>
      </c>
      <c r="O281" s="1290">
        <f t="shared" si="116"/>
        <v>0</v>
      </c>
      <c r="P281" s="1290">
        <f t="shared" si="116"/>
        <v>0</v>
      </c>
      <c r="Q281" s="1290">
        <f t="shared" si="116"/>
        <v>0</v>
      </c>
      <c r="R281" s="1290">
        <f t="shared" si="116"/>
        <v>0</v>
      </c>
      <c r="S281" s="1290">
        <f t="shared" si="116"/>
        <v>0</v>
      </c>
      <c r="T281" s="1290">
        <f t="shared" si="116"/>
        <v>0</v>
      </c>
      <c r="U281" s="1290">
        <f t="shared" si="116"/>
        <v>0</v>
      </c>
      <c r="V281" s="1290">
        <f t="shared" si="116"/>
        <v>0</v>
      </c>
      <c r="W281" s="1290">
        <f t="shared" si="116"/>
        <v>0</v>
      </c>
      <c r="X281" s="1290">
        <f t="shared" si="116"/>
        <v>0</v>
      </c>
      <c r="Y281" s="1290">
        <f t="shared" si="116"/>
        <v>0</v>
      </c>
      <c r="Z281" s="1290">
        <f t="shared" si="116"/>
        <v>0</v>
      </c>
      <c r="AA281" s="1290">
        <f t="shared" si="116"/>
        <v>0</v>
      </c>
      <c r="AB281" s="1290">
        <f t="shared" si="116"/>
        <v>0</v>
      </c>
      <c r="AC281" s="1290">
        <f t="shared" si="116"/>
        <v>0</v>
      </c>
      <c r="AD281" s="1290">
        <f t="shared" si="116"/>
        <v>0</v>
      </c>
      <c r="AE281" s="1290">
        <f t="shared" si="116"/>
        <v>0</v>
      </c>
      <c r="AF281" s="1290">
        <f t="shared" si="116"/>
        <v>0</v>
      </c>
    </row>
    <row r="282" spans="1:32">
      <c r="C282" s="460"/>
      <c r="I282" s="819"/>
      <c r="J282" s="819">
        <f t="shared" ref="J282:AF282" si="117">+J214</f>
        <v>0</v>
      </c>
      <c r="K282" s="819">
        <f t="shared" si="117"/>
        <v>0</v>
      </c>
      <c r="L282" s="819">
        <f t="shared" si="117"/>
        <v>0</v>
      </c>
      <c r="M282" s="819">
        <f t="shared" si="117"/>
        <v>0</v>
      </c>
      <c r="N282" s="819">
        <f t="shared" si="117"/>
        <v>0</v>
      </c>
      <c r="O282" s="819">
        <f t="shared" si="117"/>
        <v>0</v>
      </c>
      <c r="P282" s="819">
        <f t="shared" si="117"/>
        <v>0</v>
      </c>
      <c r="Q282" s="819">
        <f t="shared" si="117"/>
        <v>0</v>
      </c>
      <c r="R282" s="819">
        <f t="shared" si="117"/>
        <v>0</v>
      </c>
      <c r="S282" s="819">
        <f t="shared" si="117"/>
        <v>0</v>
      </c>
      <c r="T282" s="819">
        <f t="shared" si="117"/>
        <v>0</v>
      </c>
      <c r="U282" s="819">
        <f t="shared" si="117"/>
        <v>0</v>
      </c>
      <c r="V282" s="819">
        <f t="shared" si="117"/>
        <v>0</v>
      </c>
      <c r="W282" s="819">
        <f t="shared" si="117"/>
        <v>0</v>
      </c>
      <c r="X282" s="819">
        <f t="shared" si="117"/>
        <v>0</v>
      </c>
      <c r="Y282" s="819">
        <f t="shared" si="117"/>
        <v>0</v>
      </c>
      <c r="Z282" s="819">
        <f t="shared" si="117"/>
        <v>0</v>
      </c>
      <c r="AA282" s="819">
        <f t="shared" si="117"/>
        <v>0</v>
      </c>
      <c r="AB282" s="819">
        <f t="shared" si="117"/>
        <v>0</v>
      </c>
      <c r="AC282" s="819">
        <f t="shared" si="117"/>
        <v>0</v>
      </c>
      <c r="AD282" s="819">
        <f t="shared" si="117"/>
        <v>0</v>
      </c>
      <c r="AE282" s="819">
        <f t="shared" si="117"/>
        <v>0</v>
      </c>
      <c r="AF282" s="819">
        <f t="shared" si="117"/>
        <v>0</v>
      </c>
    </row>
    <row r="283" spans="1:32">
      <c r="C283" s="287" t="s">
        <v>1018</v>
      </c>
      <c r="E283" s="456">
        <f>+E216</f>
        <v>0</v>
      </c>
      <c r="F283" s="456">
        <f>+F216</f>
        <v>0</v>
      </c>
      <c r="G283" s="456">
        <f>+G216</f>
        <v>0</v>
      </c>
      <c r="H283" s="456">
        <f>+H216</f>
        <v>0</v>
      </c>
      <c r="I283" s="1416">
        <f ca="1">+I373+I339-I333</f>
        <v>1845.5329176537498</v>
      </c>
      <c r="J283" s="814">
        <f t="shared" ref="J283:AF283" si="118">SUM(J277:J282)</f>
        <v>18507.979759428319</v>
      </c>
      <c r="K283" s="814">
        <f t="shared" si="118"/>
        <v>21456.602540380267</v>
      </c>
      <c r="L283" s="814">
        <f t="shared" si="118"/>
        <v>19948.326203365563</v>
      </c>
      <c r="M283" s="814">
        <f t="shared" si="118"/>
        <v>19109.60942372417</v>
      </c>
      <c r="N283" s="814">
        <f t="shared" si="118"/>
        <v>18807.544523322122</v>
      </c>
      <c r="O283" s="814">
        <f t="shared" si="118"/>
        <v>18845.507716362925</v>
      </c>
      <c r="P283" s="814">
        <f t="shared" si="118"/>
        <v>19585.055165426507</v>
      </c>
      <c r="Q283" s="814">
        <f t="shared" si="118"/>
        <v>20174.69758444238</v>
      </c>
      <c r="R283" s="814">
        <f t="shared" si="118"/>
        <v>20839.234453893288</v>
      </c>
      <c r="S283" s="814">
        <f t="shared" si="118"/>
        <v>21154.796979683761</v>
      </c>
      <c r="T283" s="814">
        <f t="shared" si="118"/>
        <v>21731.128589091328</v>
      </c>
      <c r="U283" s="814">
        <f t="shared" si="118"/>
        <v>22104.479860067517</v>
      </c>
      <c r="V283" s="814">
        <f t="shared" si="118"/>
        <v>22675.287761931802</v>
      </c>
      <c r="W283" s="814">
        <f t="shared" si="118"/>
        <v>23111.55070452964</v>
      </c>
      <c r="X283" s="814">
        <f t="shared" si="118"/>
        <v>23633.221680748124</v>
      </c>
      <c r="Y283" s="814">
        <f t="shared" si="118"/>
        <v>24240.105338030109</v>
      </c>
      <c r="Z283" s="814">
        <f t="shared" si="118"/>
        <v>24851.767847773222</v>
      </c>
      <c r="AA283" s="814">
        <f t="shared" si="118"/>
        <v>25329.46016902422</v>
      </c>
      <c r="AB283" s="814">
        <f t="shared" si="118"/>
        <v>25795.474738574238</v>
      </c>
      <c r="AC283" s="814">
        <f t="shared" si="118"/>
        <v>26507.655830270403</v>
      </c>
      <c r="AD283" s="814">
        <f t="shared" si="118"/>
        <v>27106.247645535841</v>
      </c>
      <c r="AE283" s="814">
        <f t="shared" si="118"/>
        <v>27651.917008916993</v>
      </c>
      <c r="AF283" s="814">
        <f t="shared" si="118"/>
        <v>24056.444074419785</v>
      </c>
    </row>
    <row r="284" spans="1:32">
      <c r="A284" s="299" t="s">
        <v>1019</v>
      </c>
      <c r="I284" s="815"/>
      <c r="J284" s="815"/>
      <c r="K284" s="815"/>
      <c r="L284" s="815"/>
      <c r="M284" s="815"/>
      <c r="N284" s="815"/>
      <c r="O284" s="815"/>
      <c r="P284" s="815"/>
      <c r="Q284" s="815"/>
      <c r="R284" s="815"/>
      <c r="S284" s="815"/>
      <c r="T284" s="815"/>
      <c r="U284" s="815"/>
      <c r="V284" s="815"/>
      <c r="W284" s="815"/>
      <c r="X284" s="815"/>
      <c r="Y284" s="815"/>
      <c r="Z284" s="815"/>
      <c r="AA284" s="815"/>
      <c r="AB284" s="815"/>
      <c r="AC284" s="815"/>
      <c r="AD284" s="815"/>
      <c r="AE284" s="815"/>
      <c r="AF284" s="815"/>
    </row>
    <row r="285" spans="1:32">
      <c r="C285" s="287" t="s">
        <v>1020</v>
      </c>
      <c r="I285" s="816"/>
      <c r="J285" s="816">
        <f>+J253</f>
        <v>12549.163863269741</v>
      </c>
      <c r="K285" s="816">
        <f t="shared" ref="K285:S285" si="119">+K253</f>
        <v>11619.049514083268</v>
      </c>
      <c r="L285" s="816">
        <f t="shared" si="119"/>
        <v>10923.40279332974</v>
      </c>
      <c r="M285" s="816">
        <f t="shared" si="119"/>
        <v>10373.449074318298</v>
      </c>
      <c r="N285" s="816">
        <f t="shared" si="119"/>
        <v>10188.317139522689</v>
      </c>
      <c r="O285" s="816">
        <f t="shared" si="119"/>
        <v>10075.140698777763</v>
      </c>
      <c r="P285" s="816">
        <f t="shared" si="119"/>
        <v>10471.179384868577</v>
      </c>
      <c r="Q285" s="816">
        <f t="shared" si="119"/>
        <v>10674.445587327784</v>
      </c>
      <c r="R285" s="816">
        <f t="shared" si="119"/>
        <v>10883.641390453355</v>
      </c>
      <c r="S285" s="816">
        <f t="shared" si="119"/>
        <v>10928.446747758533</v>
      </c>
      <c r="T285" s="816">
        <f t="shared" ref="T285:AC285" si="120">+T253</f>
        <v>12030.175489354242</v>
      </c>
      <c r="U285" s="816">
        <f t="shared" si="120"/>
        <v>12221.303105076979</v>
      </c>
      <c r="V285" s="816">
        <f t="shared" si="120"/>
        <v>12042.303208423176</v>
      </c>
      <c r="W285" s="816">
        <f t="shared" si="120"/>
        <v>12283.322645332315</v>
      </c>
      <c r="X285" s="816">
        <f t="shared" si="120"/>
        <v>12580.35618140216</v>
      </c>
      <c r="Y285" s="816">
        <f t="shared" si="120"/>
        <v>12879.870348588749</v>
      </c>
      <c r="Z285" s="816">
        <f t="shared" si="120"/>
        <v>13078.792071193011</v>
      </c>
      <c r="AA285" s="816">
        <f t="shared" si="120"/>
        <v>13372.979718036697</v>
      </c>
      <c r="AB285" s="816">
        <f t="shared" si="120"/>
        <v>13661.438431678802</v>
      </c>
      <c r="AC285" s="816">
        <f t="shared" si="120"/>
        <v>14074.006349345251</v>
      </c>
      <c r="AD285" s="816">
        <f>+AD253</f>
        <v>14497.875479329152</v>
      </c>
      <c r="AE285" s="816">
        <f>+AE253</f>
        <v>14839.848413842748</v>
      </c>
      <c r="AF285" s="816">
        <f>+AF253</f>
        <v>12545.138184382657</v>
      </c>
    </row>
    <row r="286" spans="1:32">
      <c r="C286" s="287" t="s">
        <v>1021</v>
      </c>
      <c r="E286" s="462">
        <v>0</v>
      </c>
      <c r="F286" s="462">
        <v>0</v>
      </c>
      <c r="G286" s="462">
        <v>0</v>
      </c>
      <c r="H286" s="462">
        <v>0</v>
      </c>
      <c r="I286" s="817">
        <f t="shared" ref="I286:S286" si="121">SUM(I285:I285)</f>
        <v>0</v>
      </c>
      <c r="J286" s="817">
        <f t="shared" si="121"/>
        <v>12549.163863269741</v>
      </c>
      <c r="K286" s="817">
        <f t="shared" si="121"/>
        <v>11619.049514083268</v>
      </c>
      <c r="L286" s="817">
        <f t="shared" si="121"/>
        <v>10923.40279332974</v>
      </c>
      <c r="M286" s="817">
        <f t="shared" si="121"/>
        <v>10373.449074318298</v>
      </c>
      <c r="N286" s="817">
        <f t="shared" si="121"/>
        <v>10188.317139522689</v>
      </c>
      <c r="O286" s="817">
        <f t="shared" si="121"/>
        <v>10075.140698777763</v>
      </c>
      <c r="P286" s="817">
        <f t="shared" si="121"/>
        <v>10471.179384868577</v>
      </c>
      <c r="Q286" s="817">
        <f t="shared" si="121"/>
        <v>10674.445587327784</v>
      </c>
      <c r="R286" s="817">
        <f t="shared" si="121"/>
        <v>10883.641390453355</v>
      </c>
      <c r="S286" s="817">
        <f t="shared" si="121"/>
        <v>10928.446747758533</v>
      </c>
      <c r="T286" s="817">
        <f t="shared" ref="T286:AC286" si="122">SUM(T285:T285)</f>
        <v>12030.175489354242</v>
      </c>
      <c r="U286" s="817">
        <f t="shared" si="122"/>
        <v>12221.303105076979</v>
      </c>
      <c r="V286" s="817">
        <f t="shared" si="122"/>
        <v>12042.303208423176</v>
      </c>
      <c r="W286" s="817">
        <f t="shared" si="122"/>
        <v>12283.322645332315</v>
      </c>
      <c r="X286" s="817">
        <f t="shared" si="122"/>
        <v>12580.35618140216</v>
      </c>
      <c r="Y286" s="817">
        <f t="shared" si="122"/>
        <v>12879.870348588749</v>
      </c>
      <c r="Z286" s="817">
        <f t="shared" si="122"/>
        <v>13078.792071193011</v>
      </c>
      <c r="AA286" s="817">
        <f t="shared" si="122"/>
        <v>13372.979718036697</v>
      </c>
      <c r="AB286" s="817">
        <f t="shared" si="122"/>
        <v>13661.438431678802</v>
      </c>
      <c r="AC286" s="817">
        <f t="shared" si="122"/>
        <v>14074.006349345251</v>
      </c>
      <c r="AD286" s="817">
        <f>SUM(AD285:AD285)</f>
        <v>14497.875479329152</v>
      </c>
      <c r="AE286" s="817">
        <f>SUM(AE285:AE285)</f>
        <v>14839.848413842748</v>
      </c>
      <c r="AF286" s="817">
        <f>SUM(AF285:AF285)</f>
        <v>12545.138184382657</v>
      </c>
    </row>
    <row r="287" spans="1:32">
      <c r="I287" s="816"/>
      <c r="J287" s="816"/>
      <c r="K287" s="816"/>
      <c r="L287" s="816"/>
      <c r="M287" s="816"/>
      <c r="N287" s="816"/>
      <c r="O287" s="816"/>
      <c r="P287" s="816"/>
      <c r="Q287" s="816"/>
      <c r="R287" s="816"/>
      <c r="S287" s="816"/>
      <c r="T287" s="816"/>
      <c r="U287" s="816"/>
      <c r="V287" s="816"/>
      <c r="W287" s="816"/>
      <c r="X287" s="816"/>
      <c r="Y287" s="816"/>
      <c r="Z287" s="816"/>
      <c r="AA287" s="816"/>
      <c r="AB287" s="816"/>
      <c r="AC287" s="816"/>
      <c r="AD287" s="816"/>
      <c r="AE287" s="816"/>
      <c r="AF287" s="816"/>
    </row>
    <row r="288" spans="1:32">
      <c r="C288" s="287" t="s">
        <v>1022</v>
      </c>
      <c r="E288" s="463">
        <f t="shared" ref="E288:AF288" si="123">+E283-E286</f>
        <v>0</v>
      </c>
      <c r="F288" s="463">
        <f t="shared" si="123"/>
        <v>0</v>
      </c>
      <c r="G288" s="463">
        <f t="shared" si="123"/>
        <v>0</v>
      </c>
      <c r="H288" s="463">
        <f t="shared" si="123"/>
        <v>0</v>
      </c>
      <c r="I288" s="818">
        <f t="shared" ca="1" si="123"/>
        <v>1845.5329176537498</v>
      </c>
      <c r="J288" s="816">
        <f t="shared" si="123"/>
        <v>5958.8158961585777</v>
      </c>
      <c r="K288" s="816">
        <f t="shared" si="123"/>
        <v>9837.5530262969987</v>
      </c>
      <c r="L288" s="816">
        <f t="shared" si="123"/>
        <v>9024.9234100358226</v>
      </c>
      <c r="M288" s="816">
        <f t="shared" si="123"/>
        <v>8736.1603494058727</v>
      </c>
      <c r="N288" s="816">
        <f t="shared" si="123"/>
        <v>8619.2273837994326</v>
      </c>
      <c r="O288" s="816">
        <f t="shared" si="123"/>
        <v>8770.3670175851621</v>
      </c>
      <c r="P288" s="816">
        <f t="shared" si="123"/>
        <v>9113.8757805579298</v>
      </c>
      <c r="Q288" s="816">
        <f t="shared" si="123"/>
        <v>9500.2519971145957</v>
      </c>
      <c r="R288" s="816">
        <f t="shared" si="123"/>
        <v>9955.5930634399338</v>
      </c>
      <c r="S288" s="816">
        <f t="shared" si="123"/>
        <v>10226.350231925227</v>
      </c>
      <c r="T288" s="816">
        <f t="shared" si="123"/>
        <v>9700.9530997370857</v>
      </c>
      <c r="U288" s="816">
        <f t="shared" si="123"/>
        <v>9883.176754990538</v>
      </c>
      <c r="V288" s="816">
        <f t="shared" si="123"/>
        <v>10632.984553508626</v>
      </c>
      <c r="W288" s="816">
        <f t="shared" si="123"/>
        <v>10828.228059197325</v>
      </c>
      <c r="X288" s="816">
        <f t="shared" si="123"/>
        <v>11052.865499345964</v>
      </c>
      <c r="Y288" s="816">
        <f t="shared" si="123"/>
        <v>11360.23498944136</v>
      </c>
      <c r="Z288" s="816">
        <f t="shared" si="123"/>
        <v>11772.975776580211</v>
      </c>
      <c r="AA288" s="816">
        <f t="shared" si="123"/>
        <v>11956.480450987523</v>
      </c>
      <c r="AB288" s="816">
        <f t="shared" si="123"/>
        <v>12134.036306895436</v>
      </c>
      <c r="AC288" s="816">
        <f t="shared" si="123"/>
        <v>12433.649480925153</v>
      </c>
      <c r="AD288" s="816">
        <f t="shared" si="123"/>
        <v>12608.372166206689</v>
      </c>
      <c r="AE288" s="816">
        <f t="shared" si="123"/>
        <v>12812.068595074245</v>
      </c>
      <c r="AF288" s="816">
        <f t="shared" si="123"/>
        <v>11511.305890037129</v>
      </c>
    </row>
    <row r="289" spans="1:32">
      <c r="I289" s="816"/>
      <c r="J289" s="816"/>
      <c r="K289" s="816"/>
      <c r="L289" s="816"/>
      <c r="M289" s="816"/>
      <c r="N289" s="816"/>
      <c r="O289" s="816"/>
      <c r="P289" s="816"/>
      <c r="Q289" s="816"/>
      <c r="R289" s="816"/>
      <c r="S289" s="816"/>
      <c r="T289" s="816"/>
      <c r="U289" s="816"/>
      <c r="V289" s="816"/>
      <c r="W289" s="816"/>
      <c r="X289" s="816"/>
      <c r="Y289" s="816"/>
      <c r="Z289" s="816"/>
      <c r="AA289" s="816"/>
      <c r="AB289" s="816"/>
      <c r="AC289" s="816"/>
      <c r="AD289" s="816"/>
      <c r="AE289" s="816"/>
      <c r="AF289" s="816"/>
    </row>
    <row r="290" spans="1:32">
      <c r="A290" s="299" t="s">
        <v>1013</v>
      </c>
      <c r="E290" s="461">
        <f t="shared" ref="E290:S290" si="124">+E271</f>
        <v>0</v>
      </c>
      <c r="F290" s="461">
        <f t="shared" si="124"/>
        <v>0</v>
      </c>
      <c r="G290" s="461">
        <f t="shared" si="124"/>
        <v>0</v>
      </c>
      <c r="H290" s="461">
        <f t="shared" si="124"/>
        <v>0</v>
      </c>
      <c r="I290" s="816"/>
      <c r="J290" s="816">
        <f t="shared" si="124"/>
        <v>639.95210422825051</v>
      </c>
      <c r="K290" s="816">
        <f t="shared" si="124"/>
        <v>622.9406264116293</v>
      </c>
      <c r="L290" s="816">
        <f t="shared" si="124"/>
        <v>613.54815466248454</v>
      </c>
      <c r="M290" s="816">
        <f t="shared" si="124"/>
        <v>605.40478951010346</v>
      </c>
      <c r="N290" s="816">
        <f t="shared" si="124"/>
        <v>591.60393868590836</v>
      </c>
      <c r="O290" s="816">
        <f t="shared" si="124"/>
        <v>585.39047660424819</v>
      </c>
      <c r="P290" s="816">
        <f t="shared" si="124"/>
        <v>571.71035319862881</v>
      </c>
      <c r="Q290" s="816">
        <f t="shared" si="124"/>
        <v>575.34740678751643</v>
      </c>
      <c r="R290" s="816">
        <f t="shared" si="124"/>
        <v>563.23341634691894</v>
      </c>
      <c r="S290" s="816">
        <f t="shared" si="124"/>
        <v>547.44489010430573</v>
      </c>
      <c r="T290" s="816">
        <f t="shared" ref="T290:AC290" si="125">+T271</f>
        <v>531.74150402641578</v>
      </c>
      <c r="U290" s="816">
        <f t="shared" si="125"/>
        <v>527.0890401848269</v>
      </c>
      <c r="V290" s="816">
        <f t="shared" si="125"/>
        <v>511.40212678696008</v>
      </c>
      <c r="W290" s="816">
        <f t="shared" si="125"/>
        <v>495.95920426913369</v>
      </c>
      <c r="X290" s="816">
        <f t="shared" si="125"/>
        <v>489.52779050531768</v>
      </c>
      <c r="Y290" s="816">
        <f t="shared" si="125"/>
        <v>472.532976719847</v>
      </c>
      <c r="Z290" s="816">
        <f t="shared" si="125"/>
        <v>478.23968239957094</v>
      </c>
      <c r="AA290" s="816">
        <f t="shared" si="125"/>
        <v>484.40992815100299</v>
      </c>
      <c r="AB290" s="816">
        <f t="shared" si="125"/>
        <v>491.00749675270697</v>
      </c>
      <c r="AC290" s="816">
        <f t="shared" si="125"/>
        <v>498.52550897023713</v>
      </c>
      <c r="AD290" s="816">
        <f>+AD271</f>
        <v>507.24297237521364</v>
      </c>
      <c r="AE290" s="816">
        <f>+AE271</f>
        <v>516.83580219041403</v>
      </c>
      <c r="AF290" s="816">
        <f>+AF271</f>
        <v>527.28543571530099</v>
      </c>
    </row>
    <row r="291" spans="1:32">
      <c r="C291" s="287" t="s">
        <v>1023</v>
      </c>
      <c r="E291" s="462">
        <f t="shared" ref="E291:S291" si="126">+E288-E290</f>
        <v>0</v>
      </c>
      <c r="F291" s="462">
        <f t="shared" si="126"/>
        <v>0</v>
      </c>
      <c r="G291" s="462">
        <f t="shared" si="126"/>
        <v>0</v>
      </c>
      <c r="H291" s="462">
        <f t="shared" si="126"/>
        <v>0</v>
      </c>
      <c r="I291" s="462">
        <f t="shared" ca="1" si="126"/>
        <v>1845.5329176537498</v>
      </c>
      <c r="J291" s="462">
        <f t="shared" si="126"/>
        <v>5318.8637919303274</v>
      </c>
      <c r="K291" s="462">
        <f t="shared" si="126"/>
        <v>9214.6123998853691</v>
      </c>
      <c r="L291" s="462">
        <f t="shared" si="126"/>
        <v>8411.3752553733375</v>
      </c>
      <c r="M291" s="462">
        <f t="shared" si="126"/>
        <v>8130.7555598957697</v>
      </c>
      <c r="N291" s="462">
        <f t="shared" si="126"/>
        <v>8027.6234451135242</v>
      </c>
      <c r="O291" s="462">
        <f t="shared" si="126"/>
        <v>8184.9765409809143</v>
      </c>
      <c r="P291" s="462">
        <f t="shared" si="126"/>
        <v>8542.1654273593012</v>
      </c>
      <c r="Q291" s="462">
        <f t="shared" si="126"/>
        <v>8924.9045903270799</v>
      </c>
      <c r="R291" s="462">
        <f t="shared" si="126"/>
        <v>9392.3596470930152</v>
      </c>
      <c r="S291" s="462">
        <f t="shared" si="126"/>
        <v>9678.9053418209223</v>
      </c>
      <c r="T291" s="462">
        <f t="shared" ref="T291:AC291" si="127">+T288-T290</f>
        <v>9169.2115957106707</v>
      </c>
      <c r="U291" s="462">
        <f t="shared" si="127"/>
        <v>9356.0877148057116</v>
      </c>
      <c r="V291" s="462">
        <f t="shared" si="127"/>
        <v>10121.582426721667</v>
      </c>
      <c r="W291" s="462">
        <f t="shared" si="127"/>
        <v>10332.268854928192</v>
      </c>
      <c r="X291" s="462">
        <f t="shared" si="127"/>
        <v>10563.337708840647</v>
      </c>
      <c r="Y291" s="462">
        <f t="shared" si="127"/>
        <v>10887.702012721513</v>
      </c>
      <c r="Z291" s="462">
        <f t="shared" si="127"/>
        <v>11294.73609418064</v>
      </c>
      <c r="AA291" s="462">
        <f t="shared" si="127"/>
        <v>11472.07052283652</v>
      </c>
      <c r="AB291" s="462">
        <f t="shared" si="127"/>
        <v>11643.028810142729</v>
      </c>
      <c r="AC291" s="462">
        <f t="shared" si="127"/>
        <v>11935.123971954916</v>
      </c>
      <c r="AD291" s="462">
        <f>+AD288-AD290</f>
        <v>12101.129193831475</v>
      </c>
      <c r="AE291" s="462">
        <f>+AE288-AE290</f>
        <v>12295.232792883831</v>
      </c>
      <c r="AF291" s="462">
        <f>+AF288-AF290</f>
        <v>10984.020454321828</v>
      </c>
    </row>
    <row r="292" spans="1:32">
      <c r="I292" s="286"/>
    </row>
    <row r="293" spans="1:32" ht="10.8" outlineLevel="1" thickBot="1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81"/>
      <c r="P293" s="381"/>
      <c r="Q293" s="381"/>
      <c r="R293" s="381"/>
      <c r="S293" s="381"/>
      <c r="T293" s="381"/>
      <c r="U293" s="381"/>
      <c r="V293" s="381"/>
      <c r="W293" s="381"/>
      <c r="X293" s="381"/>
      <c r="Y293" s="381"/>
      <c r="Z293" s="381"/>
      <c r="AA293" s="381"/>
      <c r="AB293" s="381"/>
      <c r="AC293" s="381"/>
      <c r="AD293" s="381"/>
      <c r="AE293" s="381"/>
      <c r="AF293" s="381"/>
    </row>
    <row r="294" spans="1:32" ht="10.8" outlineLevel="1" thickTop="1">
      <c r="F294" s="337"/>
    </row>
    <row r="295" spans="1:32" outlineLevel="1">
      <c r="A295" s="464" t="s">
        <v>1024</v>
      </c>
    </row>
    <row r="296" spans="1:32" outlineLevel="1">
      <c r="B296" s="337" t="s">
        <v>1025</v>
      </c>
      <c r="E296" s="444">
        <f t="shared" ref="E296:N296" si="128">+E283</f>
        <v>0</v>
      </c>
      <c r="F296" s="444">
        <f t="shared" si="128"/>
        <v>0</v>
      </c>
      <c r="G296" s="444">
        <f t="shared" si="128"/>
        <v>0</v>
      </c>
      <c r="H296" s="444">
        <f t="shared" si="128"/>
        <v>0</v>
      </c>
      <c r="I296" s="444">
        <f t="shared" ca="1" si="128"/>
        <v>1845.5329176537498</v>
      </c>
      <c r="J296" s="444">
        <f t="shared" si="128"/>
        <v>18507.979759428319</v>
      </c>
      <c r="K296" s="444">
        <f t="shared" si="128"/>
        <v>21456.602540380267</v>
      </c>
      <c r="L296" s="444">
        <f t="shared" si="128"/>
        <v>19948.326203365563</v>
      </c>
      <c r="M296" s="444">
        <f t="shared" si="128"/>
        <v>19109.60942372417</v>
      </c>
      <c r="N296" s="444">
        <f t="shared" si="128"/>
        <v>18807.544523322122</v>
      </c>
      <c r="O296" s="444">
        <f t="shared" ref="O296:AC296" si="129">+O283</f>
        <v>18845.507716362925</v>
      </c>
      <c r="P296" s="444">
        <f t="shared" si="129"/>
        <v>19585.055165426507</v>
      </c>
      <c r="Q296" s="444">
        <f t="shared" si="129"/>
        <v>20174.69758444238</v>
      </c>
      <c r="R296" s="444">
        <f t="shared" si="129"/>
        <v>20839.234453893288</v>
      </c>
      <c r="S296" s="444">
        <f t="shared" si="129"/>
        <v>21154.796979683761</v>
      </c>
      <c r="T296" s="444">
        <f t="shared" si="129"/>
        <v>21731.128589091328</v>
      </c>
      <c r="U296" s="444">
        <f t="shared" si="129"/>
        <v>22104.479860067517</v>
      </c>
      <c r="V296" s="444">
        <f t="shared" si="129"/>
        <v>22675.287761931802</v>
      </c>
      <c r="W296" s="444">
        <f t="shared" si="129"/>
        <v>23111.55070452964</v>
      </c>
      <c r="X296" s="444">
        <f t="shared" si="129"/>
        <v>23633.221680748124</v>
      </c>
      <c r="Y296" s="444">
        <f t="shared" si="129"/>
        <v>24240.105338030109</v>
      </c>
      <c r="Z296" s="444">
        <f t="shared" si="129"/>
        <v>24851.767847773222</v>
      </c>
      <c r="AA296" s="444">
        <f t="shared" si="129"/>
        <v>25329.46016902422</v>
      </c>
      <c r="AB296" s="444">
        <f t="shared" si="129"/>
        <v>25795.474738574238</v>
      </c>
      <c r="AC296" s="444">
        <f t="shared" si="129"/>
        <v>26507.655830270403</v>
      </c>
      <c r="AD296" s="444">
        <f>+AD283</f>
        <v>27106.247645535841</v>
      </c>
      <c r="AE296" s="444">
        <f>+AE283</f>
        <v>27651.917008916993</v>
      </c>
      <c r="AF296" s="444">
        <f>+AF283</f>
        <v>24056.444074419785</v>
      </c>
    </row>
    <row r="297" spans="1:32" outlineLevel="1">
      <c r="B297" s="287" t="s">
        <v>1003</v>
      </c>
      <c r="E297" s="444">
        <f t="shared" ref="E297:N297" si="130">+E286</f>
        <v>0</v>
      </c>
      <c r="F297" s="444">
        <f t="shared" si="130"/>
        <v>0</v>
      </c>
      <c r="G297" s="444">
        <f t="shared" si="130"/>
        <v>0</v>
      </c>
      <c r="H297" s="444">
        <f t="shared" si="130"/>
        <v>0</v>
      </c>
      <c r="I297" s="444">
        <f t="shared" si="130"/>
        <v>0</v>
      </c>
      <c r="J297" s="444">
        <f t="shared" si="130"/>
        <v>12549.163863269741</v>
      </c>
      <c r="K297" s="444">
        <f t="shared" si="130"/>
        <v>11619.049514083268</v>
      </c>
      <c r="L297" s="444">
        <f t="shared" si="130"/>
        <v>10923.40279332974</v>
      </c>
      <c r="M297" s="444">
        <f t="shared" si="130"/>
        <v>10373.449074318298</v>
      </c>
      <c r="N297" s="444">
        <f t="shared" si="130"/>
        <v>10188.317139522689</v>
      </c>
      <c r="O297" s="444">
        <f t="shared" ref="O297:AC297" si="131">+O286</f>
        <v>10075.140698777763</v>
      </c>
      <c r="P297" s="444">
        <f t="shared" si="131"/>
        <v>10471.179384868577</v>
      </c>
      <c r="Q297" s="444">
        <f t="shared" si="131"/>
        <v>10674.445587327784</v>
      </c>
      <c r="R297" s="444">
        <f t="shared" si="131"/>
        <v>10883.641390453355</v>
      </c>
      <c r="S297" s="444">
        <f>+S286</f>
        <v>10928.446747758533</v>
      </c>
      <c r="T297" s="444">
        <f t="shared" si="131"/>
        <v>12030.175489354242</v>
      </c>
      <c r="U297" s="444">
        <f t="shared" si="131"/>
        <v>12221.303105076979</v>
      </c>
      <c r="V297" s="444">
        <f t="shared" si="131"/>
        <v>12042.303208423176</v>
      </c>
      <c r="W297" s="444">
        <f t="shared" si="131"/>
        <v>12283.322645332315</v>
      </c>
      <c r="X297" s="444">
        <f t="shared" si="131"/>
        <v>12580.35618140216</v>
      </c>
      <c r="Y297" s="444">
        <f t="shared" si="131"/>
        <v>12879.870348588749</v>
      </c>
      <c r="Z297" s="444">
        <f t="shared" si="131"/>
        <v>13078.792071193011</v>
      </c>
      <c r="AA297" s="444">
        <f t="shared" si="131"/>
        <v>13372.979718036697</v>
      </c>
      <c r="AB297" s="444">
        <f t="shared" si="131"/>
        <v>13661.438431678802</v>
      </c>
      <c r="AC297" s="444">
        <f t="shared" si="131"/>
        <v>14074.006349345251</v>
      </c>
      <c r="AD297" s="444">
        <f>+AD286</f>
        <v>14497.875479329152</v>
      </c>
      <c r="AE297" s="444">
        <f>+AE286</f>
        <v>14839.848413842748</v>
      </c>
      <c r="AF297" s="444">
        <f>+AF286</f>
        <v>12545.138184382657</v>
      </c>
    </row>
    <row r="298" spans="1:32" outlineLevel="1">
      <c r="B298" s="465" t="s">
        <v>1026</v>
      </c>
      <c r="E298" s="444">
        <f t="shared" ref="E298:N298" si="132">+E290</f>
        <v>0</v>
      </c>
      <c r="F298" s="444">
        <f t="shared" si="132"/>
        <v>0</v>
      </c>
      <c r="G298" s="444">
        <f t="shared" si="132"/>
        <v>0</v>
      </c>
      <c r="H298" s="444">
        <f t="shared" si="132"/>
        <v>0</v>
      </c>
      <c r="I298" s="444">
        <f t="shared" si="132"/>
        <v>0</v>
      </c>
      <c r="J298" s="444">
        <f t="shared" si="132"/>
        <v>639.95210422825051</v>
      </c>
      <c r="K298" s="444">
        <f t="shared" si="132"/>
        <v>622.9406264116293</v>
      </c>
      <c r="L298" s="444">
        <f t="shared" si="132"/>
        <v>613.54815466248454</v>
      </c>
      <c r="M298" s="444">
        <f t="shared" si="132"/>
        <v>605.40478951010346</v>
      </c>
      <c r="N298" s="444">
        <f t="shared" si="132"/>
        <v>591.60393868590836</v>
      </c>
      <c r="O298" s="444">
        <f t="shared" ref="O298:AC298" si="133">+O290</f>
        <v>585.39047660424819</v>
      </c>
      <c r="P298" s="444">
        <f t="shared" si="133"/>
        <v>571.71035319862881</v>
      </c>
      <c r="Q298" s="444">
        <f t="shared" si="133"/>
        <v>575.34740678751643</v>
      </c>
      <c r="R298" s="444">
        <f t="shared" si="133"/>
        <v>563.23341634691894</v>
      </c>
      <c r="S298" s="444">
        <f t="shared" si="133"/>
        <v>547.44489010430573</v>
      </c>
      <c r="T298" s="444">
        <f t="shared" si="133"/>
        <v>531.74150402641578</v>
      </c>
      <c r="U298" s="444">
        <f t="shared" si="133"/>
        <v>527.0890401848269</v>
      </c>
      <c r="V298" s="444">
        <f t="shared" si="133"/>
        <v>511.40212678696008</v>
      </c>
      <c r="W298" s="444">
        <f t="shared" si="133"/>
        <v>495.95920426913369</v>
      </c>
      <c r="X298" s="444">
        <f t="shared" si="133"/>
        <v>489.52779050531768</v>
      </c>
      <c r="Y298" s="444">
        <f t="shared" si="133"/>
        <v>472.532976719847</v>
      </c>
      <c r="Z298" s="444">
        <f t="shared" si="133"/>
        <v>478.23968239957094</v>
      </c>
      <c r="AA298" s="444">
        <f t="shared" si="133"/>
        <v>484.40992815100299</v>
      </c>
      <c r="AB298" s="444">
        <f t="shared" si="133"/>
        <v>491.00749675270697</v>
      </c>
      <c r="AC298" s="444">
        <f t="shared" si="133"/>
        <v>498.52550897023713</v>
      </c>
      <c r="AD298" s="444">
        <f>+AD290</f>
        <v>507.24297237521364</v>
      </c>
      <c r="AE298" s="444">
        <f>+AE290</f>
        <v>516.83580219041403</v>
      </c>
      <c r="AF298" s="444">
        <f>+AF290</f>
        <v>527.28543571530099</v>
      </c>
    </row>
    <row r="299" spans="1:32" outlineLevel="1">
      <c r="B299" s="466" t="s">
        <v>1027</v>
      </c>
      <c r="C299" s="400"/>
      <c r="E299" s="444"/>
      <c r="F299" s="444"/>
      <c r="G299" s="444"/>
      <c r="H299" s="444">
        <f t="shared" ref="H299:R299" ca="1" si="134">+H108</f>
        <v>78714.555519999994</v>
      </c>
      <c r="I299" s="444">
        <f t="shared" si="134"/>
        <v>0</v>
      </c>
      <c r="J299" s="444">
        <f t="shared" si="134"/>
        <v>0</v>
      </c>
      <c r="K299" s="444">
        <f t="shared" si="134"/>
        <v>0</v>
      </c>
      <c r="L299" s="444">
        <f t="shared" si="134"/>
        <v>0</v>
      </c>
      <c r="M299" s="444">
        <f t="shared" si="134"/>
        <v>1331.9046155778003</v>
      </c>
      <c r="N299" s="444">
        <f t="shared" si="134"/>
        <v>0</v>
      </c>
      <c r="O299" s="444">
        <f t="shared" si="134"/>
        <v>0</v>
      </c>
      <c r="P299" s="444">
        <f t="shared" si="134"/>
        <v>0</v>
      </c>
      <c r="Q299" s="444">
        <f t="shared" si="134"/>
        <v>4611.7398197956873</v>
      </c>
      <c r="R299" s="444">
        <f t="shared" si="134"/>
        <v>0</v>
      </c>
      <c r="S299" s="444">
        <f t="shared" ref="S299:AC299" si="135">+S108</f>
        <v>0</v>
      </c>
      <c r="T299" s="444">
        <f t="shared" si="135"/>
        <v>0</v>
      </c>
      <c r="U299" s="444">
        <f t="shared" si="135"/>
        <v>1870.6553139776611</v>
      </c>
      <c r="V299" s="444">
        <f t="shared" si="135"/>
        <v>0</v>
      </c>
      <c r="W299" s="444">
        <f t="shared" si="135"/>
        <v>0</v>
      </c>
      <c r="X299" s="444">
        <f t="shared" si="135"/>
        <v>0</v>
      </c>
      <c r="Y299" s="444">
        <f t="shared" si="135"/>
        <v>6463.75753668992</v>
      </c>
      <c r="Z299" s="444">
        <f t="shared" si="135"/>
        <v>0</v>
      </c>
      <c r="AA299" s="444">
        <f t="shared" si="135"/>
        <v>0</v>
      </c>
      <c r="AB299" s="444">
        <f t="shared" si="135"/>
        <v>0</v>
      </c>
      <c r="AC299" s="444">
        <f t="shared" si="135"/>
        <v>0</v>
      </c>
      <c r="AD299" s="444">
        <f>+AD108</f>
        <v>0</v>
      </c>
      <c r="AE299" s="444">
        <f>+AE108</f>
        <v>0</v>
      </c>
      <c r="AF299" s="444">
        <f>+AF108</f>
        <v>0</v>
      </c>
    </row>
    <row r="300" spans="1:32" outlineLevel="1">
      <c r="B300" s="465"/>
      <c r="E300" s="444"/>
      <c r="F300" s="444"/>
      <c r="G300" s="444"/>
      <c r="H300" s="444"/>
      <c r="I300" s="444"/>
      <c r="J300" s="444"/>
      <c r="K300" s="444"/>
      <c r="L300" s="444"/>
      <c r="M300" s="444"/>
      <c r="N300" s="444"/>
      <c r="O300" s="444"/>
      <c r="P300" s="444"/>
      <c r="Q300" s="444"/>
      <c r="R300" s="444"/>
      <c r="S300" s="444"/>
      <c r="T300" s="444"/>
      <c r="U300" s="444"/>
      <c r="V300" s="444"/>
      <c r="W300" s="444"/>
      <c r="X300" s="444"/>
      <c r="Y300" s="444"/>
      <c r="Z300" s="444"/>
      <c r="AA300" s="444"/>
      <c r="AB300" s="444"/>
      <c r="AC300" s="444"/>
      <c r="AD300" s="444"/>
      <c r="AE300" s="444"/>
      <c r="AF300" s="444"/>
    </row>
    <row r="301" spans="1:32" outlineLevel="1">
      <c r="B301" s="465" t="s">
        <v>1028</v>
      </c>
      <c r="E301" s="444"/>
      <c r="F301" s="444"/>
      <c r="G301" s="444"/>
      <c r="H301" s="444"/>
      <c r="I301" s="444">
        <f t="shared" ref="I301:R301" si="136">+I107</f>
        <v>0</v>
      </c>
      <c r="J301" s="444">
        <f t="shared" si="136"/>
        <v>0</v>
      </c>
      <c r="K301" s="444">
        <f t="shared" si="136"/>
        <v>0</v>
      </c>
      <c r="L301" s="444">
        <f t="shared" si="136"/>
        <v>0</v>
      </c>
      <c r="M301" s="444">
        <f t="shared" si="136"/>
        <v>0</v>
      </c>
      <c r="N301" s="444">
        <f t="shared" si="136"/>
        <v>0</v>
      </c>
      <c r="O301" s="444">
        <f t="shared" si="136"/>
        <v>0</v>
      </c>
      <c r="P301" s="444">
        <f t="shared" si="136"/>
        <v>0</v>
      </c>
      <c r="Q301" s="444">
        <f t="shared" si="136"/>
        <v>0</v>
      </c>
      <c r="R301" s="444">
        <f t="shared" si="136"/>
        <v>0</v>
      </c>
      <c r="S301" s="444">
        <f t="shared" ref="S301:AC301" si="137">+S107</f>
        <v>0</v>
      </c>
      <c r="T301" s="444">
        <f t="shared" si="137"/>
        <v>0</v>
      </c>
      <c r="U301" s="444">
        <f t="shared" si="137"/>
        <v>0</v>
      </c>
      <c r="V301" s="444">
        <f t="shared" si="137"/>
        <v>0</v>
      </c>
      <c r="W301" s="444">
        <f t="shared" si="137"/>
        <v>0</v>
      </c>
      <c r="X301" s="444">
        <f t="shared" si="137"/>
        <v>0</v>
      </c>
      <c r="Y301" s="444">
        <f t="shared" si="137"/>
        <v>0</v>
      </c>
      <c r="Z301" s="444">
        <f t="shared" si="137"/>
        <v>0</v>
      </c>
      <c r="AA301" s="444">
        <f t="shared" si="137"/>
        <v>0</v>
      </c>
      <c r="AB301" s="444">
        <f t="shared" si="137"/>
        <v>0</v>
      </c>
      <c r="AC301" s="444">
        <f t="shared" si="137"/>
        <v>0</v>
      </c>
      <c r="AD301" s="444">
        <f>+AD107</f>
        <v>0</v>
      </c>
      <c r="AE301" s="444">
        <f>+AE107</f>
        <v>0</v>
      </c>
      <c r="AF301" s="444">
        <f>+AF107</f>
        <v>0</v>
      </c>
    </row>
    <row r="302" spans="1:32" outlineLevel="1">
      <c r="B302" s="371" t="s">
        <v>971</v>
      </c>
      <c r="C302" s="371"/>
      <c r="E302" s="444"/>
      <c r="F302" s="444"/>
      <c r="G302" s="444"/>
      <c r="H302" s="444"/>
      <c r="I302" s="444">
        <f t="shared" ref="I302:R302" si="138">+I106</f>
        <v>0</v>
      </c>
      <c r="J302" s="444">
        <f t="shared" si="138"/>
        <v>0</v>
      </c>
      <c r="K302" s="444">
        <f t="shared" si="138"/>
        <v>0</v>
      </c>
      <c r="L302" s="444">
        <f t="shared" si="138"/>
        <v>0</v>
      </c>
      <c r="M302" s="444">
        <f t="shared" si="138"/>
        <v>0</v>
      </c>
      <c r="N302" s="444">
        <f t="shared" si="138"/>
        <v>0</v>
      </c>
      <c r="O302" s="444">
        <f t="shared" si="138"/>
        <v>0</v>
      </c>
      <c r="P302" s="444">
        <f t="shared" si="138"/>
        <v>0</v>
      </c>
      <c r="Q302" s="444">
        <f t="shared" si="138"/>
        <v>0</v>
      </c>
      <c r="R302" s="444">
        <f t="shared" si="138"/>
        <v>0</v>
      </c>
      <c r="S302" s="444">
        <f t="shared" ref="S302:AC302" si="139">+S106</f>
        <v>0</v>
      </c>
      <c r="T302" s="444">
        <f t="shared" si="139"/>
        <v>0</v>
      </c>
      <c r="U302" s="444">
        <f t="shared" si="139"/>
        <v>0</v>
      </c>
      <c r="V302" s="444">
        <f t="shared" si="139"/>
        <v>0</v>
      </c>
      <c r="W302" s="444">
        <f t="shared" si="139"/>
        <v>0</v>
      </c>
      <c r="X302" s="444">
        <f t="shared" si="139"/>
        <v>0</v>
      </c>
      <c r="Y302" s="444">
        <f t="shared" si="139"/>
        <v>0</v>
      </c>
      <c r="Z302" s="444">
        <f t="shared" si="139"/>
        <v>0</v>
      </c>
      <c r="AA302" s="444">
        <f t="shared" si="139"/>
        <v>0</v>
      </c>
      <c r="AB302" s="444">
        <f t="shared" si="139"/>
        <v>0</v>
      </c>
      <c r="AC302" s="444">
        <f t="shared" si="139"/>
        <v>0</v>
      </c>
      <c r="AD302" s="444">
        <f>+AD106</f>
        <v>0</v>
      </c>
      <c r="AE302" s="444">
        <f>+AE106</f>
        <v>0</v>
      </c>
      <c r="AF302" s="444">
        <f>+AF106</f>
        <v>0</v>
      </c>
    </row>
    <row r="303" spans="1:32" outlineLevel="1">
      <c r="B303" s="287" t="s">
        <v>1029</v>
      </c>
      <c r="E303" s="444">
        <f t="shared" ref="E303:N303" si="140">+E114</f>
        <v>0</v>
      </c>
      <c r="F303" s="444">
        <f t="shared" si="140"/>
        <v>0</v>
      </c>
      <c r="G303" s="444">
        <f t="shared" si="140"/>
        <v>0</v>
      </c>
      <c r="H303" s="444">
        <f t="shared" si="140"/>
        <v>0</v>
      </c>
      <c r="I303" s="444">
        <f t="shared" ca="1" si="140"/>
        <v>2186.515431111111</v>
      </c>
      <c r="J303" s="444">
        <f t="shared" ca="1" si="140"/>
        <v>5247.6370346666663</v>
      </c>
      <c r="K303" s="444">
        <f t="shared" ca="1" si="140"/>
        <v>5247.6370346666663</v>
      </c>
      <c r="L303" s="444">
        <f t="shared" ca="1" si="140"/>
        <v>5247.6370346666663</v>
      </c>
      <c r="M303" s="444">
        <f t="shared" ca="1" si="140"/>
        <v>5317.0070667280097</v>
      </c>
      <c r="N303" s="444">
        <f t="shared" ca="1" si="140"/>
        <v>5414.125111613891</v>
      </c>
      <c r="O303" s="444">
        <f t="shared" ref="O303:AC303" ca="1" si="141">+O114</f>
        <v>5414.125111613891</v>
      </c>
      <c r="P303" s="444">
        <f t="shared" ca="1" si="141"/>
        <v>5414.125111613891</v>
      </c>
      <c r="Q303" s="444">
        <f t="shared" ca="1" si="141"/>
        <v>5414.125111613891</v>
      </c>
      <c r="R303" s="444">
        <f t="shared" ca="1" si="141"/>
        <v>5414.125111613891</v>
      </c>
      <c r="S303" s="444">
        <f t="shared" ca="1" si="141"/>
        <v>5414.125111613891</v>
      </c>
      <c r="T303" s="444">
        <f t="shared" ca="1" si="141"/>
        <v>5414.125111613891</v>
      </c>
      <c r="U303" s="444">
        <f t="shared" ca="1" si="141"/>
        <v>5442.1850438222173</v>
      </c>
      <c r="V303" s="444">
        <f t="shared" ca="1" si="141"/>
        <v>5481.4689489138736</v>
      </c>
      <c r="W303" s="444">
        <f t="shared" ca="1" si="141"/>
        <v>5481.4689489138736</v>
      </c>
      <c r="X303" s="444">
        <f t="shared" ca="1" si="141"/>
        <v>3294.9535178027631</v>
      </c>
      <c r="Y303" s="444">
        <f t="shared" ca="1" si="141"/>
        <v>570.48595261647438</v>
      </c>
      <c r="Z303" s="444">
        <f t="shared" ca="1" si="141"/>
        <v>1041.8016063334476</v>
      </c>
      <c r="AA303" s="444">
        <f t="shared" ca="1" si="141"/>
        <v>1041.8016063334476</v>
      </c>
      <c r="AB303" s="444">
        <f t="shared" ca="1" si="141"/>
        <v>1041.8016063334476</v>
      </c>
      <c r="AC303" s="444">
        <f t="shared" ca="1" si="141"/>
        <v>944.37164206377781</v>
      </c>
      <c r="AD303" s="444">
        <f ca="1">+AD114</f>
        <v>807.96969208624</v>
      </c>
      <c r="AE303" s="444">
        <f ca="1">+AE114</f>
        <v>807.96969208624</v>
      </c>
      <c r="AF303" s="444">
        <f ca="1">+AF114</f>
        <v>807.96969208624</v>
      </c>
    </row>
    <row r="304" spans="1:32" outlineLevel="1">
      <c r="B304" s="287" t="s">
        <v>1030</v>
      </c>
      <c r="E304" s="444">
        <f t="shared" ref="E304:N304" si="142">+E120</f>
        <v>0</v>
      </c>
      <c r="F304" s="444">
        <f t="shared" si="142"/>
        <v>0</v>
      </c>
      <c r="G304" s="444">
        <f t="shared" si="142"/>
        <v>0</v>
      </c>
      <c r="H304" s="444">
        <f t="shared" si="142"/>
        <v>0</v>
      </c>
      <c r="I304" s="444">
        <f t="shared" ca="1" si="142"/>
        <v>3277.9760106958902</v>
      </c>
      <c r="J304" s="444">
        <f t="shared" ca="1" si="142"/>
        <v>7541.5013877654783</v>
      </c>
      <c r="K304" s="444">
        <f t="shared" ca="1" si="142"/>
        <v>6766.8201768195613</v>
      </c>
      <c r="L304" s="444">
        <f t="shared" ca="1" si="142"/>
        <v>6090.1381591376066</v>
      </c>
      <c r="M304" s="444">
        <f t="shared" ca="1" si="142"/>
        <v>5585.1223748511538</v>
      </c>
      <c r="N304" s="444">
        <f t="shared" ca="1" si="142"/>
        <v>5176.668336865544</v>
      </c>
      <c r="O304" s="444">
        <f t="shared" ref="O304:AC304" ca="1" si="143">+O120</f>
        <v>4821.6249935902351</v>
      </c>
      <c r="P304" s="444">
        <f t="shared" ca="1" si="143"/>
        <v>4786.6855883672933</v>
      </c>
      <c r="Q304" s="444">
        <f t="shared" ca="1" si="143"/>
        <v>5138.6861271903763</v>
      </c>
      <c r="R304" s="444">
        <f t="shared" ca="1" si="143"/>
        <v>5588.4586266025335</v>
      </c>
      <c r="S304" s="444">
        <f t="shared" ca="1" si="143"/>
        <v>5423.8143585728994</v>
      </c>
      <c r="T304" s="444">
        <f t="shared" ca="1" si="143"/>
        <v>5302.836141017342</v>
      </c>
      <c r="U304" s="444">
        <f t="shared" ca="1" si="143"/>
        <v>5360.2411040994239</v>
      </c>
      <c r="V304" s="444">
        <f t="shared" ca="1" si="143"/>
        <v>5468.7721443412665</v>
      </c>
      <c r="W304" s="444">
        <f t="shared" ca="1" si="143"/>
        <v>5393.2330470157503</v>
      </c>
      <c r="X304" s="444">
        <f t="shared" ca="1" si="143"/>
        <v>3357.6115622753778</v>
      </c>
      <c r="Y304" s="444">
        <f t="shared" ca="1" si="143"/>
        <v>992.27070400223124</v>
      </c>
      <c r="Z304" s="444">
        <f t="shared" ca="1" si="143"/>
        <v>1318.5310660129858</v>
      </c>
      <c r="AA304" s="444">
        <f t="shared" ca="1" si="143"/>
        <v>1105.6147896855421</v>
      </c>
      <c r="AB304" s="444">
        <f t="shared" ca="1" si="143"/>
        <v>936.05321508338102</v>
      </c>
      <c r="AC304" s="444">
        <f t="shared" ca="1" si="143"/>
        <v>811.61221761510569</v>
      </c>
      <c r="AD304" s="444">
        <f ca="1">+AD120</f>
        <v>697.39612743259897</v>
      </c>
      <c r="AE304" s="444">
        <f ca="1">+AE120</f>
        <v>695.51371776308417</v>
      </c>
      <c r="AF304" s="444">
        <f ca="1">+AF120</f>
        <v>695.51371776308417</v>
      </c>
    </row>
    <row r="305" spans="1:43" outlineLevel="1">
      <c r="B305" s="467" t="s">
        <v>1031</v>
      </c>
      <c r="E305" s="444">
        <f t="shared" ref="E305:N305" si="144">+E115</f>
        <v>0</v>
      </c>
      <c r="F305" s="444">
        <f t="shared" si="144"/>
        <v>0</v>
      </c>
      <c r="G305" s="444">
        <f t="shared" si="144"/>
        <v>0</v>
      </c>
      <c r="H305" s="444">
        <f t="shared" si="144"/>
        <v>0</v>
      </c>
      <c r="I305" s="444">
        <f t="shared" si="144"/>
        <v>0</v>
      </c>
      <c r="J305" s="444">
        <f t="shared" si="144"/>
        <v>0</v>
      </c>
      <c r="K305" s="444">
        <f t="shared" si="144"/>
        <v>0</v>
      </c>
      <c r="L305" s="444">
        <f t="shared" si="144"/>
        <v>0</v>
      </c>
      <c r="M305" s="444">
        <f t="shared" si="144"/>
        <v>0</v>
      </c>
      <c r="N305" s="444">
        <f t="shared" si="144"/>
        <v>0</v>
      </c>
      <c r="O305" s="444">
        <f t="shared" ref="O305:AC305" si="145">+O115</f>
        <v>0</v>
      </c>
      <c r="P305" s="444">
        <f t="shared" si="145"/>
        <v>0</v>
      </c>
      <c r="Q305" s="444">
        <f t="shared" si="145"/>
        <v>0</v>
      </c>
      <c r="R305" s="444">
        <f t="shared" si="145"/>
        <v>0</v>
      </c>
      <c r="S305" s="444">
        <f t="shared" si="145"/>
        <v>0</v>
      </c>
      <c r="T305" s="444">
        <f t="shared" si="145"/>
        <v>0</v>
      </c>
      <c r="U305" s="444">
        <f t="shared" si="145"/>
        <v>0</v>
      </c>
      <c r="V305" s="444">
        <f t="shared" si="145"/>
        <v>0</v>
      </c>
      <c r="W305" s="444">
        <f t="shared" si="145"/>
        <v>0</v>
      </c>
      <c r="X305" s="444">
        <f t="shared" si="145"/>
        <v>0</v>
      </c>
      <c r="Y305" s="444">
        <f t="shared" si="145"/>
        <v>0</v>
      </c>
      <c r="Z305" s="444">
        <f t="shared" si="145"/>
        <v>0</v>
      </c>
      <c r="AA305" s="444">
        <f t="shared" si="145"/>
        <v>0</v>
      </c>
      <c r="AB305" s="444">
        <f t="shared" si="145"/>
        <v>0</v>
      </c>
      <c r="AC305" s="444">
        <f t="shared" si="145"/>
        <v>0</v>
      </c>
      <c r="AD305" s="444">
        <f>+AD115</f>
        <v>0</v>
      </c>
      <c r="AE305" s="444">
        <f>+AE115</f>
        <v>0</v>
      </c>
      <c r="AF305" s="444">
        <f>+AF115</f>
        <v>0</v>
      </c>
    </row>
    <row r="306" spans="1:43" outlineLevel="1">
      <c r="B306" s="465" t="s">
        <v>1032</v>
      </c>
      <c r="E306" s="444"/>
      <c r="F306" s="444"/>
      <c r="G306" s="444"/>
      <c r="H306" s="444"/>
      <c r="I306" s="444"/>
      <c r="J306" s="444"/>
      <c r="K306" s="444"/>
      <c r="L306" s="444"/>
      <c r="M306" s="444"/>
      <c r="N306" s="444"/>
      <c r="O306" s="444"/>
      <c r="P306" s="444"/>
      <c r="Q306" s="444"/>
      <c r="R306" s="444"/>
      <c r="S306" s="444"/>
      <c r="T306" s="444"/>
      <c r="U306" s="444"/>
      <c r="V306" s="444"/>
      <c r="W306" s="444"/>
      <c r="X306" s="444"/>
      <c r="Y306" s="444"/>
      <c r="Z306" s="444"/>
      <c r="AA306" s="444"/>
      <c r="AB306" s="444"/>
      <c r="AC306" s="444"/>
      <c r="AD306" s="444"/>
      <c r="AE306" s="444"/>
      <c r="AF306" s="444"/>
    </row>
    <row r="307" spans="1:43" outlineLevel="1"/>
    <row r="308" spans="1:43" outlineLevel="1">
      <c r="A308" s="464" t="s">
        <v>1033</v>
      </c>
      <c r="H308" s="468"/>
    </row>
    <row r="309" spans="1:43" outlineLevel="1">
      <c r="E309" s="287" t="s">
        <v>1034</v>
      </c>
      <c r="H309" s="468">
        <f>+CCFMODEL!H785</f>
        <v>0.33333333333333331</v>
      </c>
    </row>
    <row r="310" spans="1:43" outlineLevel="1">
      <c r="E310" s="287" t="s">
        <v>1035</v>
      </c>
      <c r="G310" s="469"/>
      <c r="H310" s="444">
        <f>+CCFMODEL!H786</f>
        <v>1000</v>
      </c>
    </row>
    <row r="312" spans="1:43">
      <c r="A312" s="470" t="s">
        <v>646</v>
      </c>
      <c r="B312" s="285"/>
      <c r="C312" s="471"/>
      <c r="D312" s="285"/>
      <c r="E312" s="285"/>
      <c r="F312" s="285"/>
      <c r="G312" s="285"/>
      <c r="H312" s="285"/>
      <c r="I312" s="280"/>
      <c r="J312" s="285"/>
      <c r="K312" s="285"/>
      <c r="L312" s="472"/>
      <c r="M312" s="285"/>
      <c r="N312" s="285"/>
      <c r="O312" s="285"/>
      <c r="P312" s="473"/>
      <c r="Q312" s="473"/>
      <c r="R312" s="473"/>
      <c r="S312" s="474">
        <f ca="1">NOW()</f>
        <v>36769.389485763888</v>
      </c>
      <c r="T312" s="285"/>
      <c r="U312" s="285"/>
      <c r="V312" s="285"/>
      <c r="W312" s="285"/>
      <c r="X312" s="285"/>
      <c r="Y312" s="285"/>
      <c r="Z312" s="285"/>
      <c r="AA312" s="285"/>
      <c r="AB312" s="285"/>
      <c r="AC312" s="285"/>
      <c r="AD312" s="285"/>
      <c r="AE312" s="285"/>
      <c r="AF312" s="285"/>
    </row>
    <row r="313" spans="1:43" ht="10.8" thickBot="1">
      <c r="A313" s="385" t="s">
        <v>1036</v>
      </c>
      <c r="B313" s="280"/>
      <c r="C313" s="475" t="s">
        <v>1037</v>
      </c>
      <c r="D313" s="476"/>
      <c r="E313" s="477" t="s">
        <v>1038</v>
      </c>
      <c r="F313" s="478" t="s">
        <v>1039</v>
      </c>
      <c r="G313" s="467" t="s">
        <v>902</v>
      </c>
      <c r="H313" s="478"/>
      <c r="I313" s="285"/>
      <c r="J313" s="285"/>
      <c r="K313" s="285"/>
      <c r="L313" s="472"/>
      <c r="M313" s="285"/>
      <c r="N313" s="285"/>
      <c r="O313" s="285"/>
      <c r="P313" s="285"/>
      <c r="Q313" s="285"/>
      <c r="R313" s="285"/>
      <c r="S313" s="473">
        <f ca="1">NOW()</f>
        <v>36769.389485763888</v>
      </c>
      <c r="T313" s="285"/>
      <c r="U313" s="285"/>
      <c r="V313" s="285"/>
      <c r="W313" s="285"/>
      <c r="X313" s="285"/>
      <c r="Y313" s="285"/>
      <c r="Z313" s="285"/>
      <c r="AA313" s="285"/>
      <c r="AB313" s="285"/>
      <c r="AC313" s="285"/>
      <c r="AD313" s="285"/>
      <c r="AE313" s="285"/>
      <c r="AF313" s="285"/>
    </row>
    <row r="314" spans="1:43" ht="11.4" thickTop="1" thickBot="1">
      <c r="A314" s="479"/>
      <c r="B314" s="285"/>
      <c r="C314" s="285"/>
      <c r="D314" s="285"/>
      <c r="E314" s="480">
        <f>+E$638</f>
        <v>35430</v>
      </c>
      <c r="F314" s="480">
        <f t="shared" ref="F314:AF314" si="146">+F$638</f>
        <v>35795</v>
      </c>
      <c r="G314" s="480">
        <f t="shared" si="146"/>
        <v>36160</v>
      </c>
      <c r="H314" s="310">
        <f t="shared" si="146"/>
        <v>36373</v>
      </c>
      <c r="I314" s="310">
        <f t="shared" si="146"/>
        <v>36525</v>
      </c>
      <c r="J314" s="480">
        <f t="shared" si="146"/>
        <v>36891</v>
      </c>
      <c r="K314" s="480">
        <f t="shared" si="146"/>
        <v>37256</v>
      </c>
      <c r="L314" s="480">
        <f t="shared" si="146"/>
        <v>37621</v>
      </c>
      <c r="M314" s="480">
        <f t="shared" si="146"/>
        <v>37986</v>
      </c>
      <c r="N314" s="480">
        <f t="shared" si="146"/>
        <v>38352</v>
      </c>
      <c r="O314" s="480">
        <f t="shared" si="146"/>
        <v>38717</v>
      </c>
      <c r="P314" s="480">
        <f t="shared" si="146"/>
        <v>39082</v>
      </c>
      <c r="Q314" s="480">
        <f t="shared" si="146"/>
        <v>39447</v>
      </c>
      <c r="R314" s="480">
        <f t="shared" si="146"/>
        <v>39813</v>
      </c>
      <c r="S314" s="480">
        <f t="shared" si="146"/>
        <v>40178</v>
      </c>
      <c r="T314" s="480">
        <f t="shared" si="146"/>
        <v>40543</v>
      </c>
      <c r="U314" s="480">
        <f t="shared" si="146"/>
        <v>40908</v>
      </c>
      <c r="V314" s="480">
        <f t="shared" si="146"/>
        <v>41274</v>
      </c>
      <c r="W314" s="480">
        <f t="shared" si="146"/>
        <v>41639</v>
      </c>
      <c r="X314" s="480">
        <f t="shared" si="146"/>
        <v>42004</v>
      </c>
      <c r="Y314" s="480">
        <f t="shared" si="146"/>
        <v>42369</v>
      </c>
      <c r="Z314" s="480">
        <f t="shared" si="146"/>
        <v>42735</v>
      </c>
      <c r="AA314" s="480">
        <f t="shared" si="146"/>
        <v>43100</v>
      </c>
      <c r="AB314" s="480">
        <f t="shared" si="146"/>
        <v>43465</v>
      </c>
      <c r="AC314" s="480">
        <f t="shared" si="146"/>
        <v>43830</v>
      </c>
      <c r="AD314" s="480">
        <f t="shared" si="146"/>
        <v>44196</v>
      </c>
      <c r="AE314" s="480">
        <f t="shared" si="146"/>
        <v>44561</v>
      </c>
      <c r="AF314" s="480">
        <f t="shared" si="146"/>
        <v>44926</v>
      </c>
    </row>
    <row r="315" spans="1:43" ht="16.2" thickTop="1">
      <c r="A315" s="1686" t="s">
        <v>1040</v>
      </c>
      <c r="B315" s="285"/>
      <c r="C315" s="285"/>
      <c r="D315" s="481"/>
      <c r="E315" s="482"/>
      <c r="F315" s="280"/>
      <c r="G315" s="280"/>
      <c r="H315" s="483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</row>
    <row r="316" spans="1:43">
      <c r="A316" s="484" t="s">
        <v>871</v>
      </c>
      <c r="B316" s="285"/>
      <c r="C316" s="485"/>
      <c r="D316" s="486"/>
      <c r="E316" s="486">
        <f t="shared" ref="E316:Z316" si="147">E771</f>
        <v>0</v>
      </c>
      <c r="F316" s="486">
        <f t="shared" si="147"/>
        <v>0</v>
      </c>
      <c r="G316" s="486">
        <f t="shared" si="147"/>
        <v>0</v>
      </c>
      <c r="H316" s="487">
        <f t="shared" si="147"/>
        <v>0</v>
      </c>
      <c r="I316" s="482">
        <f t="shared" ca="1" si="147"/>
        <v>1845.5329176537498</v>
      </c>
      <c r="J316" s="486">
        <f t="shared" si="147"/>
        <v>18507.979759428319</v>
      </c>
      <c r="K316" s="486">
        <f t="shared" si="147"/>
        <v>21456.602540380267</v>
      </c>
      <c r="L316" s="486">
        <f t="shared" si="147"/>
        <v>19948.326203365563</v>
      </c>
      <c r="M316" s="486">
        <f t="shared" si="147"/>
        <v>19109.60942372417</v>
      </c>
      <c r="N316" s="486">
        <f t="shared" si="147"/>
        <v>18807.544523322122</v>
      </c>
      <c r="O316" s="486">
        <f t="shared" si="147"/>
        <v>18845.507716362925</v>
      </c>
      <c r="P316" s="486">
        <f t="shared" si="147"/>
        <v>19585.055165426507</v>
      </c>
      <c r="Q316" s="486">
        <f t="shared" si="147"/>
        <v>20174.69758444238</v>
      </c>
      <c r="R316" s="486">
        <f t="shared" si="147"/>
        <v>20839.234453893288</v>
      </c>
      <c r="S316" s="486">
        <f t="shared" si="147"/>
        <v>21154.796979683761</v>
      </c>
      <c r="T316" s="486">
        <f t="shared" si="147"/>
        <v>21731.128589091328</v>
      </c>
      <c r="U316" s="486">
        <f t="shared" si="147"/>
        <v>22104.479860067517</v>
      </c>
      <c r="V316" s="486">
        <f t="shared" si="147"/>
        <v>22675.287761931802</v>
      </c>
      <c r="W316" s="486">
        <f t="shared" si="147"/>
        <v>23111.55070452964</v>
      </c>
      <c r="X316" s="486">
        <f t="shared" si="147"/>
        <v>23633.221680748124</v>
      </c>
      <c r="Y316" s="486">
        <f t="shared" si="147"/>
        <v>24240.105338030109</v>
      </c>
      <c r="Z316" s="486">
        <f t="shared" si="147"/>
        <v>24851.767847773222</v>
      </c>
      <c r="AA316" s="486">
        <f t="shared" ref="AA316:AF317" si="148">AA771</f>
        <v>25329.46016902422</v>
      </c>
      <c r="AB316" s="486">
        <f t="shared" si="148"/>
        <v>25795.474738574238</v>
      </c>
      <c r="AC316" s="486">
        <f t="shared" si="148"/>
        <v>26507.655830270403</v>
      </c>
      <c r="AD316" s="486">
        <f t="shared" si="148"/>
        <v>27106.247645535841</v>
      </c>
      <c r="AE316" s="486">
        <f t="shared" si="148"/>
        <v>27651.917008916993</v>
      </c>
      <c r="AF316" s="486">
        <f t="shared" si="148"/>
        <v>24056.444074419785</v>
      </c>
    </row>
    <row r="317" spans="1:43">
      <c r="A317" s="484" t="s">
        <v>1041</v>
      </c>
      <c r="B317" s="285"/>
      <c r="C317" s="485"/>
      <c r="D317" s="486"/>
      <c r="E317" s="488">
        <f t="shared" ref="E317:Z317" si="149">E772</f>
        <v>0</v>
      </c>
      <c r="F317" s="488">
        <f t="shared" si="149"/>
        <v>0</v>
      </c>
      <c r="G317" s="488">
        <f t="shared" si="149"/>
        <v>0</v>
      </c>
      <c r="H317" s="489">
        <f t="shared" si="149"/>
        <v>0</v>
      </c>
      <c r="I317" s="490">
        <f t="shared" si="149"/>
        <v>0</v>
      </c>
      <c r="J317" s="488">
        <f t="shared" si="149"/>
        <v>12549.163863269741</v>
      </c>
      <c r="K317" s="488">
        <f t="shared" si="149"/>
        <v>11619.049514083268</v>
      </c>
      <c r="L317" s="488">
        <f t="shared" si="149"/>
        <v>10923.40279332974</v>
      </c>
      <c r="M317" s="488">
        <f t="shared" si="149"/>
        <v>10373.449074318298</v>
      </c>
      <c r="N317" s="488">
        <f t="shared" si="149"/>
        <v>10188.317139522689</v>
      </c>
      <c r="O317" s="488">
        <f t="shared" si="149"/>
        <v>10075.140698777763</v>
      </c>
      <c r="P317" s="488">
        <f t="shared" si="149"/>
        <v>10471.179384868577</v>
      </c>
      <c r="Q317" s="488">
        <f t="shared" si="149"/>
        <v>10674.445587327784</v>
      </c>
      <c r="R317" s="488">
        <f t="shared" si="149"/>
        <v>10883.641390453355</v>
      </c>
      <c r="S317" s="488">
        <f t="shared" si="149"/>
        <v>10928.446747758533</v>
      </c>
      <c r="T317" s="488">
        <f t="shared" si="149"/>
        <v>12030.175489354242</v>
      </c>
      <c r="U317" s="488">
        <f t="shared" si="149"/>
        <v>12221.303105076979</v>
      </c>
      <c r="V317" s="488">
        <f t="shared" si="149"/>
        <v>12042.303208423176</v>
      </c>
      <c r="W317" s="488">
        <f t="shared" si="149"/>
        <v>12283.322645332315</v>
      </c>
      <c r="X317" s="488">
        <f t="shared" si="149"/>
        <v>12580.35618140216</v>
      </c>
      <c r="Y317" s="488">
        <f t="shared" si="149"/>
        <v>12879.870348588749</v>
      </c>
      <c r="Z317" s="488">
        <f t="shared" si="149"/>
        <v>13078.792071193011</v>
      </c>
      <c r="AA317" s="488">
        <f t="shared" si="148"/>
        <v>13372.979718036697</v>
      </c>
      <c r="AB317" s="488">
        <f t="shared" si="148"/>
        <v>13661.438431678802</v>
      </c>
      <c r="AC317" s="488">
        <f t="shared" si="148"/>
        <v>14074.006349345251</v>
      </c>
      <c r="AD317" s="488">
        <f t="shared" si="148"/>
        <v>14497.875479329152</v>
      </c>
      <c r="AE317" s="488">
        <f t="shared" si="148"/>
        <v>14839.848413842748</v>
      </c>
      <c r="AF317" s="488">
        <f t="shared" si="148"/>
        <v>12545.138184382657</v>
      </c>
    </row>
    <row r="318" spans="1:43">
      <c r="A318" s="491" t="s">
        <v>1042</v>
      </c>
      <c r="B318" s="285"/>
      <c r="C318" s="485"/>
      <c r="D318" s="486"/>
      <c r="E318" s="492">
        <f t="shared" ref="E318:Z318" si="150">E316-E317</f>
        <v>0</v>
      </c>
      <c r="F318" s="492">
        <f t="shared" si="150"/>
        <v>0</v>
      </c>
      <c r="G318" s="492">
        <f t="shared" si="150"/>
        <v>0</v>
      </c>
      <c r="H318" s="492">
        <f t="shared" si="150"/>
        <v>0</v>
      </c>
      <c r="I318" s="493">
        <f t="shared" ca="1" si="150"/>
        <v>1845.5329176537498</v>
      </c>
      <c r="J318" s="492">
        <f t="shared" si="150"/>
        <v>5958.8158961585777</v>
      </c>
      <c r="K318" s="492">
        <f t="shared" si="150"/>
        <v>9837.5530262969987</v>
      </c>
      <c r="L318" s="492">
        <f t="shared" si="150"/>
        <v>9024.9234100358226</v>
      </c>
      <c r="M318" s="492">
        <f t="shared" si="150"/>
        <v>8736.1603494058727</v>
      </c>
      <c r="N318" s="492">
        <f t="shared" si="150"/>
        <v>8619.2273837994326</v>
      </c>
      <c r="O318" s="492">
        <f t="shared" si="150"/>
        <v>8770.3670175851621</v>
      </c>
      <c r="P318" s="492">
        <f t="shared" si="150"/>
        <v>9113.8757805579298</v>
      </c>
      <c r="Q318" s="492">
        <f t="shared" si="150"/>
        <v>9500.2519971145957</v>
      </c>
      <c r="R318" s="492">
        <f t="shared" si="150"/>
        <v>9955.5930634399338</v>
      </c>
      <c r="S318" s="492">
        <f t="shared" si="150"/>
        <v>10226.350231925227</v>
      </c>
      <c r="T318" s="492">
        <f t="shared" si="150"/>
        <v>9700.9530997370857</v>
      </c>
      <c r="U318" s="492">
        <f t="shared" si="150"/>
        <v>9883.176754990538</v>
      </c>
      <c r="V318" s="492">
        <f t="shared" si="150"/>
        <v>10632.984553508626</v>
      </c>
      <c r="W318" s="492">
        <f t="shared" si="150"/>
        <v>10828.228059197325</v>
      </c>
      <c r="X318" s="492">
        <f t="shared" si="150"/>
        <v>11052.865499345964</v>
      </c>
      <c r="Y318" s="492">
        <f t="shared" si="150"/>
        <v>11360.23498944136</v>
      </c>
      <c r="Z318" s="492">
        <f t="shared" si="150"/>
        <v>11772.975776580211</v>
      </c>
      <c r="AA318" s="492">
        <f t="shared" ref="AA318:AF318" si="151">AA316-AA317</f>
        <v>11956.480450987523</v>
      </c>
      <c r="AB318" s="492">
        <f t="shared" si="151"/>
        <v>12134.036306895436</v>
      </c>
      <c r="AC318" s="492">
        <f t="shared" si="151"/>
        <v>12433.649480925153</v>
      </c>
      <c r="AD318" s="492">
        <f t="shared" si="151"/>
        <v>12608.372166206689</v>
      </c>
      <c r="AE318" s="492">
        <f t="shared" si="151"/>
        <v>12812.068595074245</v>
      </c>
      <c r="AF318" s="492">
        <f t="shared" si="151"/>
        <v>11511.305890037129</v>
      </c>
    </row>
    <row r="319" spans="1:43">
      <c r="A319" s="285"/>
      <c r="B319" s="285"/>
      <c r="C319" s="485"/>
      <c r="D319" s="486"/>
      <c r="E319" s="486"/>
      <c r="F319" s="486"/>
      <c r="G319" s="486"/>
      <c r="H319" s="492"/>
      <c r="I319" s="493"/>
      <c r="J319" s="486"/>
      <c r="K319" s="486"/>
      <c r="L319" s="486"/>
      <c r="M319" s="486"/>
      <c r="N319" s="486"/>
      <c r="O319" s="486"/>
      <c r="P319" s="486"/>
      <c r="Q319" s="486"/>
      <c r="R319" s="486"/>
      <c r="S319" s="486"/>
      <c r="T319" s="486"/>
      <c r="U319" s="486"/>
      <c r="V319" s="486"/>
      <c r="W319" s="486"/>
      <c r="X319" s="486"/>
      <c r="Y319" s="486"/>
      <c r="Z319" s="486"/>
      <c r="AA319" s="486"/>
      <c r="AB319" s="486"/>
      <c r="AC319" s="486"/>
      <c r="AD319" s="486"/>
      <c r="AE319" s="486"/>
      <c r="AF319" s="486"/>
      <c r="AI319" s="392" t="s">
        <v>641</v>
      </c>
      <c r="AM319" s="1230">
        <v>2000</v>
      </c>
      <c r="AN319" s="1230">
        <v>2001</v>
      </c>
      <c r="AO319" s="1230">
        <v>2002</v>
      </c>
      <c r="AP319" s="1230">
        <v>2003</v>
      </c>
      <c r="AQ319" s="1230">
        <v>2004</v>
      </c>
    </row>
    <row r="320" spans="1:43">
      <c r="A320" s="484" t="s">
        <v>256</v>
      </c>
      <c r="B320" s="285"/>
      <c r="C320" s="485"/>
      <c r="D320" s="486"/>
      <c r="E320" s="486">
        <f t="shared" ref="E320:Z320" si="152">E773</f>
        <v>0</v>
      </c>
      <c r="F320" s="486">
        <f t="shared" si="152"/>
        <v>0</v>
      </c>
      <c r="G320" s="486">
        <f t="shared" si="152"/>
        <v>0</v>
      </c>
      <c r="H320" s="486">
        <f t="shared" si="152"/>
        <v>0</v>
      </c>
      <c r="I320" s="494">
        <f>I773</f>
        <v>0</v>
      </c>
      <c r="J320" s="486">
        <f t="shared" si="152"/>
        <v>639.95210422825051</v>
      </c>
      <c r="K320" s="486">
        <f t="shared" si="152"/>
        <v>622.9406264116293</v>
      </c>
      <c r="L320" s="486">
        <f t="shared" si="152"/>
        <v>613.54815466248454</v>
      </c>
      <c r="M320" s="486">
        <f t="shared" si="152"/>
        <v>605.40478951010346</v>
      </c>
      <c r="N320" s="486">
        <f t="shared" si="152"/>
        <v>591.60393868590836</v>
      </c>
      <c r="O320" s="486">
        <f t="shared" si="152"/>
        <v>585.39047660424819</v>
      </c>
      <c r="P320" s="486">
        <f t="shared" si="152"/>
        <v>571.71035319862881</v>
      </c>
      <c r="Q320" s="486">
        <f t="shared" si="152"/>
        <v>575.34740678751643</v>
      </c>
      <c r="R320" s="486">
        <f t="shared" si="152"/>
        <v>563.23341634691894</v>
      </c>
      <c r="S320" s="486">
        <f t="shared" si="152"/>
        <v>547.44489010430573</v>
      </c>
      <c r="T320" s="486">
        <f t="shared" si="152"/>
        <v>531.74150402641578</v>
      </c>
      <c r="U320" s="486">
        <f t="shared" si="152"/>
        <v>527.0890401848269</v>
      </c>
      <c r="V320" s="486">
        <f t="shared" si="152"/>
        <v>511.40212678696008</v>
      </c>
      <c r="W320" s="486">
        <f t="shared" si="152"/>
        <v>495.95920426913369</v>
      </c>
      <c r="X320" s="486">
        <f t="shared" si="152"/>
        <v>489.52779050531768</v>
      </c>
      <c r="Y320" s="486">
        <f t="shared" si="152"/>
        <v>472.532976719847</v>
      </c>
      <c r="Z320" s="486">
        <f t="shared" si="152"/>
        <v>478.23968239957094</v>
      </c>
      <c r="AA320" s="486">
        <f t="shared" ref="AA320:AF320" si="153">AA773</f>
        <v>484.40992815100299</v>
      </c>
      <c r="AB320" s="486">
        <f t="shared" si="153"/>
        <v>491.00749675270697</v>
      </c>
      <c r="AC320" s="486">
        <f t="shared" si="153"/>
        <v>498.52550897023713</v>
      </c>
      <c r="AD320" s="486">
        <f t="shared" si="153"/>
        <v>507.24297237521364</v>
      </c>
      <c r="AE320" s="486">
        <f t="shared" si="153"/>
        <v>516.83580219041403</v>
      </c>
      <c r="AF320" s="486">
        <f t="shared" si="153"/>
        <v>527.28543571530099</v>
      </c>
    </row>
    <row r="321" spans="1:56">
      <c r="A321" s="491" t="s">
        <v>1023</v>
      </c>
      <c r="B321" s="285"/>
      <c r="C321" s="485"/>
      <c r="D321" s="486"/>
      <c r="E321" s="495">
        <f t="shared" ref="E321:Z321" si="154">E318-E320</f>
        <v>0</v>
      </c>
      <c r="F321" s="495">
        <f t="shared" si="154"/>
        <v>0</v>
      </c>
      <c r="G321" s="495">
        <f t="shared" si="154"/>
        <v>0</v>
      </c>
      <c r="H321" s="496">
        <f t="shared" si="154"/>
        <v>0</v>
      </c>
      <c r="I321" s="495">
        <f t="shared" ca="1" si="154"/>
        <v>1845.5329176537498</v>
      </c>
      <c r="J321" s="495">
        <f t="shared" si="154"/>
        <v>5318.8637919303274</v>
      </c>
      <c r="K321" s="495">
        <f t="shared" si="154"/>
        <v>9214.6123998853691</v>
      </c>
      <c r="L321" s="495">
        <f t="shared" si="154"/>
        <v>8411.3752553733375</v>
      </c>
      <c r="M321" s="495">
        <f t="shared" si="154"/>
        <v>8130.7555598957697</v>
      </c>
      <c r="N321" s="495">
        <f t="shared" si="154"/>
        <v>8027.6234451135242</v>
      </c>
      <c r="O321" s="495">
        <f t="shared" si="154"/>
        <v>8184.9765409809143</v>
      </c>
      <c r="P321" s="495">
        <f t="shared" si="154"/>
        <v>8542.1654273593012</v>
      </c>
      <c r="Q321" s="495">
        <f t="shared" si="154"/>
        <v>8924.9045903270799</v>
      </c>
      <c r="R321" s="495">
        <f t="shared" si="154"/>
        <v>9392.3596470930152</v>
      </c>
      <c r="S321" s="495">
        <f t="shared" si="154"/>
        <v>9678.9053418209223</v>
      </c>
      <c r="T321" s="495">
        <f t="shared" si="154"/>
        <v>9169.2115957106707</v>
      </c>
      <c r="U321" s="495">
        <f t="shared" si="154"/>
        <v>9356.0877148057116</v>
      </c>
      <c r="V321" s="495">
        <f t="shared" si="154"/>
        <v>10121.582426721667</v>
      </c>
      <c r="W321" s="495">
        <f t="shared" si="154"/>
        <v>10332.268854928192</v>
      </c>
      <c r="X321" s="495">
        <f t="shared" si="154"/>
        <v>10563.337708840647</v>
      </c>
      <c r="Y321" s="495">
        <f t="shared" si="154"/>
        <v>10887.702012721513</v>
      </c>
      <c r="Z321" s="495">
        <f t="shared" si="154"/>
        <v>11294.73609418064</v>
      </c>
      <c r="AA321" s="495">
        <f t="shared" ref="AA321:AF321" si="155">AA318-AA320</f>
        <v>11472.07052283652</v>
      </c>
      <c r="AB321" s="495">
        <f t="shared" si="155"/>
        <v>11643.028810142729</v>
      </c>
      <c r="AC321" s="495">
        <f t="shared" si="155"/>
        <v>11935.123971954916</v>
      </c>
      <c r="AD321" s="495">
        <f t="shared" si="155"/>
        <v>12101.129193831475</v>
      </c>
      <c r="AE321" s="495">
        <f t="shared" si="155"/>
        <v>12295.232792883831</v>
      </c>
      <c r="AF321" s="495">
        <f t="shared" si="155"/>
        <v>10984.020454321828</v>
      </c>
      <c r="AI321" s="287" t="s">
        <v>871</v>
      </c>
      <c r="AM321" s="286">
        <f t="shared" ref="AM321:AQ323" si="156">J316</f>
        <v>18507.979759428319</v>
      </c>
      <c r="AN321" s="286">
        <f t="shared" si="156"/>
        <v>21456.602540380267</v>
      </c>
      <c r="AO321" s="286">
        <f t="shared" si="156"/>
        <v>19948.326203365563</v>
      </c>
      <c r="AP321" s="286">
        <f t="shared" si="156"/>
        <v>19109.60942372417</v>
      </c>
      <c r="AQ321" s="286">
        <f t="shared" si="156"/>
        <v>18807.544523322122</v>
      </c>
    </row>
    <row r="322" spans="1:56">
      <c r="A322" s="285"/>
      <c r="B322" s="285"/>
      <c r="C322" s="485"/>
      <c r="D322" s="486"/>
      <c r="E322" s="486"/>
      <c r="F322" s="486"/>
      <c r="G322" s="486"/>
      <c r="H322" s="497"/>
      <c r="I322" s="486"/>
      <c r="J322" s="486"/>
      <c r="K322" s="486"/>
      <c r="L322" s="486"/>
      <c r="M322" s="486"/>
      <c r="N322" s="486"/>
      <c r="O322" s="486"/>
      <c r="P322" s="486"/>
      <c r="Q322" s="486"/>
      <c r="R322" s="486"/>
      <c r="S322" s="486"/>
      <c r="T322" s="486"/>
      <c r="U322" s="486"/>
      <c r="V322" s="486"/>
      <c r="W322" s="486"/>
      <c r="X322" s="486"/>
      <c r="Y322" s="486"/>
      <c r="Z322" s="486"/>
      <c r="AA322" s="486"/>
      <c r="AB322" s="486"/>
      <c r="AC322" s="486"/>
      <c r="AD322" s="486"/>
      <c r="AE322" s="486"/>
      <c r="AF322" s="486"/>
      <c r="AI322" s="287" t="s">
        <v>1003</v>
      </c>
      <c r="AM322" s="1229">
        <f t="shared" si="156"/>
        <v>12549.163863269741</v>
      </c>
      <c r="AN322" s="1229">
        <f t="shared" si="156"/>
        <v>11619.049514083268</v>
      </c>
      <c r="AO322" s="1229">
        <f t="shared" si="156"/>
        <v>10923.40279332974</v>
      </c>
      <c r="AP322" s="1229">
        <f t="shared" si="156"/>
        <v>10373.449074318298</v>
      </c>
      <c r="AQ322" s="1229">
        <f t="shared" si="156"/>
        <v>10188.317139522689</v>
      </c>
    </row>
    <row r="323" spans="1:56">
      <c r="A323" s="285" t="s">
        <v>1043</v>
      </c>
      <c r="B323" s="285"/>
      <c r="C323" s="485"/>
      <c r="D323" s="486"/>
      <c r="E323" s="486">
        <f t="shared" ref="E323:Z323" si="157">E778</f>
        <v>0</v>
      </c>
      <c r="F323" s="486">
        <f t="shared" si="157"/>
        <v>0</v>
      </c>
      <c r="G323" s="486">
        <f t="shared" si="157"/>
        <v>0</v>
      </c>
      <c r="H323" s="486">
        <f t="shared" si="157"/>
        <v>0</v>
      </c>
      <c r="I323" s="493">
        <f t="shared" ca="1" si="157"/>
        <v>2186.515431111111</v>
      </c>
      <c r="J323" s="486">
        <f t="shared" ca="1" si="157"/>
        <v>5247.6370346666663</v>
      </c>
      <c r="K323" s="486">
        <f t="shared" ca="1" si="157"/>
        <v>5247.6370346666663</v>
      </c>
      <c r="L323" s="486">
        <f t="shared" ca="1" si="157"/>
        <v>5247.6370346666663</v>
      </c>
      <c r="M323" s="486">
        <f t="shared" ca="1" si="157"/>
        <v>5317.0070667280097</v>
      </c>
      <c r="N323" s="486">
        <f t="shared" ca="1" si="157"/>
        <v>5414.125111613891</v>
      </c>
      <c r="O323" s="486">
        <f t="shared" ca="1" si="157"/>
        <v>5414.125111613891</v>
      </c>
      <c r="P323" s="486">
        <f t="shared" ca="1" si="157"/>
        <v>5414.125111613891</v>
      </c>
      <c r="Q323" s="486">
        <f t="shared" ca="1" si="157"/>
        <v>5414.125111613891</v>
      </c>
      <c r="R323" s="486">
        <f t="shared" ca="1" si="157"/>
        <v>5414.125111613891</v>
      </c>
      <c r="S323" s="486">
        <f t="shared" ca="1" si="157"/>
        <v>5414.125111613891</v>
      </c>
      <c r="T323" s="486">
        <f t="shared" ca="1" si="157"/>
        <v>5414.125111613891</v>
      </c>
      <c r="U323" s="486">
        <f t="shared" ca="1" si="157"/>
        <v>5442.1850438222173</v>
      </c>
      <c r="V323" s="486">
        <f t="shared" ca="1" si="157"/>
        <v>5481.4689489138736</v>
      </c>
      <c r="W323" s="486">
        <f t="shared" ca="1" si="157"/>
        <v>5481.4689489138736</v>
      </c>
      <c r="X323" s="486">
        <f t="shared" ca="1" si="157"/>
        <v>3294.9535178027631</v>
      </c>
      <c r="Y323" s="486">
        <f t="shared" ca="1" si="157"/>
        <v>570.48595261647438</v>
      </c>
      <c r="Z323" s="486">
        <f t="shared" ca="1" si="157"/>
        <v>1041.8016063334476</v>
      </c>
      <c r="AA323" s="486">
        <f t="shared" ref="AA323:AF323" ca="1" si="158">AA778</f>
        <v>1041.8016063334476</v>
      </c>
      <c r="AB323" s="486">
        <f t="shared" ca="1" si="158"/>
        <v>1041.8016063334476</v>
      </c>
      <c r="AC323" s="486">
        <f t="shared" ca="1" si="158"/>
        <v>944.37164206377781</v>
      </c>
      <c r="AD323" s="486">
        <f t="shared" ca="1" si="158"/>
        <v>807.96969208624</v>
      </c>
      <c r="AE323" s="486">
        <f t="shared" ca="1" si="158"/>
        <v>807.96969208624</v>
      </c>
      <c r="AF323" s="486">
        <f t="shared" ca="1" si="158"/>
        <v>807.96969208624</v>
      </c>
      <c r="AI323" s="287" t="s">
        <v>1042</v>
      </c>
      <c r="AM323" s="286">
        <f t="shared" si="156"/>
        <v>5958.8158961585777</v>
      </c>
      <c r="AN323" s="286">
        <f t="shared" si="156"/>
        <v>9837.5530262969987</v>
      </c>
      <c r="AO323" s="286">
        <f t="shared" si="156"/>
        <v>9024.9234100358226</v>
      </c>
      <c r="AP323" s="286">
        <f t="shared" si="156"/>
        <v>8736.1603494058727</v>
      </c>
      <c r="AQ323" s="286">
        <f t="shared" si="156"/>
        <v>8619.2273837994326</v>
      </c>
    </row>
    <row r="324" spans="1:56">
      <c r="A324" s="285" t="str">
        <f>A640</f>
        <v>Amortization   -  Transaction Fees</v>
      </c>
      <c r="B324" s="285"/>
      <c r="C324" s="485"/>
      <c r="D324" s="486"/>
      <c r="E324" s="486">
        <f t="shared" ref="E324:Z324" si="159">E640</f>
        <v>0</v>
      </c>
      <c r="F324" s="486">
        <f t="shared" si="159"/>
        <v>0</v>
      </c>
      <c r="G324" s="486">
        <f t="shared" si="159"/>
        <v>0</v>
      </c>
      <c r="H324" s="492">
        <f t="shared" si="159"/>
        <v>0</v>
      </c>
      <c r="I324" s="493">
        <f t="shared" ca="1" si="159"/>
        <v>51.629632000000001</v>
      </c>
      <c r="J324" s="486">
        <f t="shared" ca="1" si="159"/>
        <v>51.629632000000001</v>
      </c>
      <c r="K324" s="486">
        <f t="shared" ca="1" si="159"/>
        <v>51.629632000000001</v>
      </c>
      <c r="L324" s="486">
        <f t="shared" ca="1" si="159"/>
        <v>51.629632000000001</v>
      </c>
      <c r="M324" s="486">
        <f t="shared" ca="1" si="159"/>
        <v>51.629632000000001</v>
      </c>
      <c r="N324" s="486">
        <f t="shared" ca="1" si="159"/>
        <v>51.629632000000001</v>
      </c>
      <c r="O324" s="486">
        <f t="shared" ca="1" si="159"/>
        <v>51.629632000000001</v>
      </c>
      <c r="P324" s="486">
        <f t="shared" ca="1" si="159"/>
        <v>51.629632000000001</v>
      </c>
      <c r="Q324" s="486">
        <f t="shared" ca="1" si="159"/>
        <v>51.629632000000001</v>
      </c>
      <c r="R324" s="486">
        <f t="shared" ca="1" si="159"/>
        <v>51.629632000000001</v>
      </c>
      <c r="S324" s="486">
        <f t="shared" ca="1" si="159"/>
        <v>51.629632000000001</v>
      </c>
      <c r="T324" s="486">
        <f t="shared" ca="1" si="159"/>
        <v>51.629632000000001</v>
      </c>
      <c r="U324" s="486">
        <f t="shared" ca="1" si="159"/>
        <v>51.629632000000001</v>
      </c>
      <c r="V324" s="486">
        <f t="shared" ca="1" si="159"/>
        <v>51.629632000000001</v>
      </c>
      <c r="W324" s="486">
        <f t="shared" ca="1" si="159"/>
        <v>51.629632000000001</v>
      </c>
      <c r="X324" s="486">
        <f t="shared" si="159"/>
        <v>0</v>
      </c>
      <c r="Y324" s="486">
        <f t="shared" si="159"/>
        <v>0</v>
      </c>
      <c r="Z324" s="486">
        <f t="shared" si="159"/>
        <v>0</v>
      </c>
      <c r="AA324" s="486">
        <f t="shared" ref="AA324:AF324" si="160">AA640</f>
        <v>0</v>
      </c>
      <c r="AB324" s="486">
        <f t="shared" si="160"/>
        <v>0</v>
      </c>
      <c r="AC324" s="486">
        <f t="shared" si="160"/>
        <v>0</v>
      </c>
      <c r="AD324" s="486">
        <f t="shared" si="160"/>
        <v>0</v>
      </c>
      <c r="AE324" s="486">
        <f t="shared" si="160"/>
        <v>0</v>
      </c>
      <c r="AF324" s="486">
        <f t="shared" si="160"/>
        <v>0</v>
      </c>
    </row>
    <row r="325" spans="1:56">
      <c r="A325" s="285" t="str">
        <f>A641</f>
        <v>Amortization   -  Intangibles (from operating sheet)</v>
      </c>
      <c r="B325" s="285"/>
      <c r="C325" s="485"/>
      <c r="D325" s="486"/>
      <c r="E325" s="492">
        <f t="shared" ref="E325:Z325" si="161">E780</f>
        <v>0</v>
      </c>
      <c r="F325" s="492">
        <f t="shared" si="161"/>
        <v>0</v>
      </c>
      <c r="G325" s="492">
        <f t="shared" si="161"/>
        <v>0</v>
      </c>
      <c r="H325" s="492">
        <f t="shared" si="161"/>
        <v>0</v>
      </c>
      <c r="I325" s="493">
        <f t="shared" si="161"/>
        <v>0</v>
      </c>
      <c r="J325" s="492">
        <f t="shared" si="161"/>
        <v>0</v>
      </c>
      <c r="K325" s="492">
        <f t="shared" si="161"/>
        <v>0</v>
      </c>
      <c r="L325" s="492">
        <f t="shared" si="161"/>
        <v>0</v>
      </c>
      <c r="M325" s="492">
        <f t="shared" si="161"/>
        <v>0</v>
      </c>
      <c r="N325" s="492">
        <f t="shared" si="161"/>
        <v>0</v>
      </c>
      <c r="O325" s="492">
        <f t="shared" si="161"/>
        <v>0</v>
      </c>
      <c r="P325" s="492">
        <f t="shared" si="161"/>
        <v>0</v>
      </c>
      <c r="Q325" s="492">
        <f t="shared" si="161"/>
        <v>0</v>
      </c>
      <c r="R325" s="492">
        <f t="shared" si="161"/>
        <v>0</v>
      </c>
      <c r="S325" s="492">
        <f t="shared" si="161"/>
        <v>0</v>
      </c>
      <c r="T325" s="492">
        <f t="shared" si="161"/>
        <v>0</v>
      </c>
      <c r="U325" s="492">
        <f t="shared" si="161"/>
        <v>0</v>
      </c>
      <c r="V325" s="492">
        <f t="shared" si="161"/>
        <v>0</v>
      </c>
      <c r="W325" s="492">
        <f t="shared" si="161"/>
        <v>0</v>
      </c>
      <c r="X325" s="492">
        <f t="shared" si="161"/>
        <v>0</v>
      </c>
      <c r="Y325" s="492">
        <f t="shared" si="161"/>
        <v>0</v>
      </c>
      <c r="Z325" s="492">
        <f t="shared" si="161"/>
        <v>0</v>
      </c>
      <c r="AA325" s="492">
        <f t="shared" ref="AA325:AF325" si="162">AA780</f>
        <v>0</v>
      </c>
      <c r="AB325" s="492">
        <f t="shared" si="162"/>
        <v>0</v>
      </c>
      <c r="AC325" s="492">
        <f t="shared" si="162"/>
        <v>0</v>
      </c>
      <c r="AD325" s="492">
        <f t="shared" si="162"/>
        <v>0</v>
      </c>
      <c r="AE325" s="492">
        <f t="shared" si="162"/>
        <v>0</v>
      </c>
      <c r="AF325" s="492">
        <f t="shared" si="162"/>
        <v>0</v>
      </c>
      <c r="AI325" s="287" t="s">
        <v>644</v>
      </c>
      <c r="AM325" s="286">
        <f ca="1">J326</f>
        <v>5299.2666666666664</v>
      </c>
      <c r="AN325" s="286">
        <f ca="1">K326</f>
        <v>5299.2666666666664</v>
      </c>
      <c r="AO325" s="286">
        <f ca="1">L326</f>
        <v>5299.2666666666664</v>
      </c>
      <c r="AP325" s="286">
        <f ca="1">M326</f>
        <v>5368.6366987280098</v>
      </c>
      <c r="AQ325" s="286">
        <f ca="1">N326</f>
        <v>5465.7547436138912</v>
      </c>
    </row>
    <row r="326" spans="1:56">
      <c r="A326" s="467" t="s">
        <v>1044</v>
      </c>
      <c r="B326" s="484"/>
      <c r="C326" s="485"/>
      <c r="D326" s="285"/>
      <c r="E326" s="498">
        <f t="shared" ref="E326:Z326" si="163">SUM(E323:E325)</f>
        <v>0</v>
      </c>
      <c r="F326" s="498">
        <f t="shared" si="163"/>
        <v>0</v>
      </c>
      <c r="G326" s="498">
        <f t="shared" si="163"/>
        <v>0</v>
      </c>
      <c r="H326" s="499">
        <f t="shared" si="163"/>
        <v>0</v>
      </c>
      <c r="I326" s="498">
        <f t="shared" ca="1" si="163"/>
        <v>2238.1450631111111</v>
      </c>
      <c r="J326" s="498">
        <f t="shared" ca="1" si="163"/>
        <v>5299.2666666666664</v>
      </c>
      <c r="K326" s="498">
        <f t="shared" ca="1" si="163"/>
        <v>5299.2666666666664</v>
      </c>
      <c r="L326" s="498">
        <f t="shared" ca="1" si="163"/>
        <v>5299.2666666666664</v>
      </c>
      <c r="M326" s="498">
        <f t="shared" ca="1" si="163"/>
        <v>5368.6366987280098</v>
      </c>
      <c r="N326" s="498">
        <f t="shared" ca="1" si="163"/>
        <v>5465.7547436138912</v>
      </c>
      <c r="O326" s="498">
        <f t="shared" ca="1" si="163"/>
        <v>5465.7547436138912</v>
      </c>
      <c r="P326" s="498">
        <f t="shared" ca="1" si="163"/>
        <v>5465.7547436138912</v>
      </c>
      <c r="Q326" s="498">
        <f t="shared" ca="1" si="163"/>
        <v>5465.7547436138912</v>
      </c>
      <c r="R326" s="498">
        <f t="shared" ca="1" si="163"/>
        <v>5465.7547436138912</v>
      </c>
      <c r="S326" s="498">
        <f t="shared" ca="1" si="163"/>
        <v>5465.7547436138912</v>
      </c>
      <c r="T326" s="498">
        <f t="shared" ca="1" si="163"/>
        <v>5465.7547436138912</v>
      </c>
      <c r="U326" s="498">
        <f t="shared" ca="1" si="163"/>
        <v>5493.8146758222174</v>
      </c>
      <c r="V326" s="498">
        <f t="shared" ca="1" si="163"/>
        <v>5533.0985809138738</v>
      </c>
      <c r="W326" s="498">
        <f t="shared" ca="1" si="163"/>
        <v>5533.0985809138738</v>
      </c>
      <c r="X326" s="498">
        <f t="shared" ca="1" si="163"/>
        <v>3294.9535178027631</v>
      </c>
      <c r="Y326" s="498">
        <f t="shared" ca="1" si="163"/>
        <v>570.48595261647438</v>
      </c>
      <c r="Z326" s="498">
        <f t="shared" ca="1" si="163"/>
        <v>1041.8016063334476</v>
      </c>
      <c r="AA326" s="498">
        <f t="shared" ref="AA326:AF326" ca="1" si="164">SUM(AA323:AA325)</f>
        <v>1041.8016063334476</v>
      </c>
      <c r="AB326" s="498">
        <f t="shared" ca="1" si="164"/>
        <v>1041.8016063334476</v>
      </c>
      <c r="AC326" s="498">
        <f t="shared" ca="1" si="164"/>
        <v>944.37164206377781</v>
      </c>
      <c r="AD326" s="498">
        <f t="shared" ca="1" si="164"/>
        <v>807.96969208624</v>
      </c>
      <c r="AE326" s="498">
        <f t="shared" ca="1" si="164"/>
        <v>807.96969208624</v>
      </c>
      <c r="AF326" s="498">
        <f t="shared" ca="1" si="164"/>
        <v>807.96969208624</v>
      </c>
    </row>
    <row r="327" spans="1:56">
      <c r="A327" s="467"/>
      <c r="B327" s="484"/>
      <c r="C327" s="485"/>
      <c r="D327" s="285"/>
      <c r="E327" s="282"/>
      <c r="F327" s="282"/>
      <c r="G327" s="282"/>
      <c r="H327" s="500"/>
      <c r="I327" s="282"/>
      <c r="J327" s="282"/>
      <c r="K327" s="282"/>
      <c r="L327" s="282"/>
      <c r="M327" s="282"/>
      <c r="N327" s="282"/>
      <c r="O327" s="282"/>
      <c r="P327" s="282"/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  <c r="AC327" s="282"/>
      <c r="AD327" s="282"/>
      <c r="AE327" s="282"/>
      <c r="AF327" s="282"/>
      <c r="AI327" s="287" t="s">
        <v>1045</v>
      </c>
      <c r="AM327" s="286">
        <f ca="1">J328</f>
        <v>19.597125263660928</v>
      </c>
      <c r="AN327" s="286">
        <f ca="1">K328</f>
        <v>3915.3457332187027</v>
      </c>
      <c r="AO327" s="286">
        <f ca="1">L328</f>
        <v>3112.1085887066711</v>
      </c>
      <c r="AP327" s="286">
        <f ca="1">M328</f>
        <v>2762.1188611677599</v>
      </c>
      <c r="AQ327" s="286">
        <f ca="1">N328</f>
        <v>2561.8687014996331</v>
      </c>
    </row>
    <row r="328" spans="1:56">
      <c r="A328" s="491" t="s">
        <v>1045</v>
      </c>
      <c r="B328" s="285"/>
      <c r="C328" s="485"/>
      <c r="D328" s="486"/>
      <c r="E328" s="495">
        <f t="shared" ref="E328:Z328" si="165">E321-E326</f>
        <v>0</v>
      </c>
      <c r="F328" s="495">
        <f t="shared" si="165"/>
        <v>0</v>
      </c>
      <c r="G328" s="495">
        <f t="shared" si="165"/>
        <v>0</v>
      </c>
      <c r="H328" s="496">
        <f t="shared" si="165"/>
        <v>0</v>
      </c>
      <c r="I328" s="495">
        <f t="shared" ca="1" si="165"/>
        <v>-392.61214545736129</v>
      </c>
      <c r="J328" s="495">
        <f t="shared" ca="1" si="165"/>
        <v>19.597125263660928</v>
      </c>
      <c r="K328" s="495">
        <f t="shared" ca="1" si="165"/>
        <v>3915.3457332187027</v>
      </c>
      <c r="L328" s="495">
        <f t="shared" ca="1" si="165"/>
        <v>3112.1085887066711</v>
      </c>
      <c r="M328" s="495">
        <f t="shared" ca="1" si="165"/>
        <v>2762.1188611677599</v>
      </c>
      <c r="N328" s="495">
        <f t="shared" ca="1" si="165"/>
        <v>2561.8687014996331</v>
      </c>
      <c r="O328" s="495">
        <f t="shared" ca="1" si="165"/>
        <v>2719.2217973670231</v>
      </c>
      <c r="P328" s="495">
        <f t="shared" ca="1" si="165"/>
        <v>3076.4106837454101</v>
      </c>
      <c r="Q328" s="495">
        <f t="shared" ca="1" si="165"/>
        <v>3459.1498467131887</v>
      </c>
      <c r="R328" s="495">
        <f t="shared" ca="1" si="165"/>
        <v>3926.604903479124</v>
      </c>
      <c r="S328" s="495">
        <f t="shared" ca="1" si="165"/>
        <v>4213.1505982070312</v>
      </c>
      <c r="T328" s="495">
        <f t="shared" ca="1" si="165"/>
        <v>3703.4568520967796</v>
      </c>
      <c r="U328" s="495">
        <f t="shared" ca="1" si="165"/>
        <v>3862.2730389834942</v>
      </c>
      <c r="V328" s="495">
        <f t="shared" ca="1" si="165"/>
        <v>4588.4838458077929</v>
      </c>
      <c r="W328" s="495">
        <f t="shared" ca="1" si="165"/>
        <v>4799.1702740143182</v>
      </c>
      <c r="X328" s="495">
        <f t="shared" ca="1" si="165"/>
        <v>7268.3841910378833</v>
      </c>
      <c r="Y328" s="495">
        <f t="shared" ca="1" si="165"/>
        <v>10317.216060105038</v>
      </c>
      <c r="Z328" s="495">
        <f t="shared" ca="1" si="165"/>
        <v>10252.934487847193</v>
      </c>
      <c r="AA328" s="495">
        <f t="shared" ref="AA328:AF328" ca="1" si="166">AA321-AA326</f>
        <v>10430.268916503073</v>
      </c>
      <c r="AB328" s="495">
        <f t="shared" ca="1" si="166"/>
        <v>10601.227203809281</v>
      </c>
      <c r="AC328" s="495">
        <f t="shared" ca="1" si="166"/>
        <v>10990.752329891138</v>
      </c>
      <c r="AD328" s="495">
        <f t="shared" ca="1" si="166"/>
        <v>11293.159501745235</v>
      </c>
      <c r="AE328" s="495">
        <f t="shared" ca="1" si="166"/>
        <v>11487.263100797591</v>
      </c>
      <c r="AF328" s="495">
        <f t="shared" ca="1" si="166"/>
        <v>10176.050762235587</v>
      </c>
    </row>
    <row r="329" spans="1:56">
      <c r="A329" s="285"/>
      <c r="B329" s="285"/>
      <c r="C329" s="485"/>
      <c r="D329" s="486"/>
      <c r="E329" s="486"/>
      <c r="F329" s="486"/>
      <c r="G329" s="486"/>
      <c r="H329" s="501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6"/>
      <c r="Z329" s="486"/>
      <c r="AA329" s="486"/>
      <c r="AB329" s="486"/>
      <c r="AC329" s="486"/>
      <c r="AD329" s="486"/>
      <c r="AE329" s="486"/>
      <c r="AF329" s="486"/>
      <c r="AI329" s="287" t="s">
        <v>1057</v>
      </c>
      <c r="AM329" s="286">
        <f ca="1">J348</f>
        <v>-4312.2767769105049</v>
      </c>
      <c r="AN329" s="286">
        <f ca="1">K348</f>
        <v>-316.71956926962775</v>
      </c>
      <c r="AO329" s="286">
        <f ca="1">L348</f>
        <v>-995.36918679336031</v>
      </c>
      <c r="AP329" s="286">
        <f ca="1">M348</f>
        <v>-1164.1157927775839</v>
      </c>
      <c r="AQ329" s="286">
        <f ca="1">N348</f>
        <v>-1164.9872309780721</v>
      </c>
    </row>
    <row r="330" spans="1:56">
      <c r="A330" s="491" t="s">
        <v>1046</v>
      </c>
      <c r="B330" s="285"/>
      <c r="C330" s="485"/>
      <c r="D330" s="486"/>
      <c r="E330" s="486"/>
      <c r="F330" s="486"/>
      <c r="G330" s="486"/>
      <c r="H330" s="501"/>
      <c r="I330" s="486"/>
      <c r="J330" s="486"/>
      <c r="K330" s="486"/>
      <c r="L330" s="486"/>
      <c r="M330" s="486"/>
      <c r="N330" s="486"/>
      <c r="O330" s="486"/>
      <c r="P330" s="486"/>
      <c r="Q330" s="486"/>
      <c r="R330" s="486"/>
      <c r="S330" s="486"/>
      <c r="T330" s="486"/>
      <c r="U330" s="486"/>
      <c r="V330" s="486"/>
      <c r="W330" s="486"/>
      <c r="X330" s="486"/>
      <c r="Y330" s="486"/>
      <c r="Z330" s="486"/>
      <c r="AA330" s="486"/>
      <c r="AB330" s="486"/>
      <c r="AC330" s="486"/>
      <c r="AD330" s="486"/>
      <c r="AE330" s="486"/>
      <c r="AF330" s="486"/>
    </row>
    <row r="331" spans="1:56">
      <c r="A331" s="484" t="s">
        <v>1047</v>
      </c>
      <c r="B331" s="285"/>
      <c r="C331" s="471"/>
      <c r="D331" s="485"/>
      <c r="E331" s="486">
        <f>E633</f>
        <v>0</v>
      </c>
      <c r="F331" s="486">
        <f>F633</f>
        <v>0</v>
      </c>
      <c r="G331" s="486">
        <f>G633</f>
        <v>0</v>
      </c>
      <c r="H331" s="501">
        <f>H633</f>
        <v>0</v>
      </c>
      <c r="I331" s="486">
        <f>IF($E$632="YES",(I633*(I593+H593)/2),0)*stub</f>
        <v>0</v>
      </c>
      <c r="J331" s="486">
        <f t="shared" ref="J331:AF331" si="167">IF($E$632="YES",(J633*(J593+I593)/2),0)</f>
        <v>0</v>
      </c>
      <c r="K331" s="486">
        <f t="shared" si="167"/>
        <v>0</v>
      </c>
      <c r="L331" s="486">
        <f t="shared" si="167"/>
        <v>8.3244038473612516</v>
      </c>
      <c r="M331" s="486">
        <f t="shared" si="167"/>
        <v>8.3244038473612516</v>
      </c>
      <c r="N331" s="486">
        <f t="shared" si="167"/>
        <v>0</v>
      </c>
      <c r="O331" s="486">
        <f t="shared" si="167"/>
        <v>14.411686936861523</v>
      </c>
      <c r="P331" s="486">
        <f t="shared" si="167"/>
        <v>86.470121621169142</v>
      </c>
      <c r="Q331" s="486">
        <f t="shared" si="167"/>
        <v>72.058434684307613</v>
      </c>
      <c r="R331" s="486">
        <f t="shared" si="167"/>
        <v>0</v>
      </c>
      <c r="S331" s="486">
        <f t="shared" si="167"/>
        <v>0</v>
      </c>
      <c r="T331" s="486">
        <f t="shared" si="167"/>
        <v>11.691595712360382</v>
      </c>
      <c r="U331" s="486">
        <f t="shared" si="167"/>
        <v>11.691595712360382</v>
      </c>
      <c r="V331" s="486">
        <f t="shared" si="167"/>
        <v>0</v>
      </c>
      <c r="W331" s="486">
        <f t="shared" si="167"/>
        <v>20.199242302156001</v>
      </c>
      <c r="X331" s="486">
        <f t="shared" si="167"/>
        <v>121.19545381293599</v>
      </c>
      <c r="Y331" s="486">
        <f t="shared" si="167"/>
        <v>100.99621151078</v>
      </c>
      <c r="Z331" s="486">
        <f t="shared" si="167"/>
        <v>0</v>
      </c>
      <c r="AA331" s="486">
        <f t="shared" si="167"/>
        <v>0</v>
      </c>
      <c r="AB331" s="486">
        <f t="shared" si="167"/>
        <v>0</v>
      </c>
      <c r="AC331" s="486">
        <f t="shared" si="167"/>
        <v>0</v>
      </c>
      <c r="AD331" s="486">
        <f t="shared" si="167"/>
        <v>0</v>
      </c>
      <c r="AE331" s="486">
        <f t="shared" si="167"/>
        <v>0</v>
      </c>
      <c r="AF331" s="486">
        <f t="shared" si="167"/>
        <v>0</v>
      </c>
      <c r="AI331" s="287" t="s">
        <v>642</v>
      </c>
      <c r="AM331" s="286">
        <f ca="1">J808</f>
        <v>691.92195114168715</v>
      </c>
      <c r="AN331" s="286">
        <f ca="1">K808</f>
        <v>4901.762911617534</v>
      </c>
      <c r="AO331" s="286">
        <f ca="1">L808</f>
        <v>4345.2201192435723</v>
      </c>
      <c r="AP331" s="286">
        <f ca="1">M808</f>
        <v>4227.4994478584085</v>
      </c>
      <c r="AQ331" s="286">
        <f ca="1">N808</f>
        <v>4309.043263331766</v>
      </c>
    </row>
    <row r="332" spans="1:56">
      <c r="A332" s="285" t="str">
        <f>A645</f>
        <v>Other Income (excluding interest income)</v>
      </c>
      <c r="B332" s="285"/>
      <c r="C332" s="471"/>
      <c r="D332" s="285"/>
      <c r="E332" s="285">
        <f t="shared" ref="E332:Z332" si="168">E645</f>
        <v>0</v>
      </c>
      <c r="F332" s="285">
        <f t="shared" si="168"/>
        <v>0</v>
      </c>
      <c r="G332" s="285">
        <f t="shared" si="168"/>
        <v>0</v>
      </c>
      <c r="H332" s="502">
        <f t="shared" si="168"/>
        <v>0</v>
      </c>
      <c r="I332" s="285">
        <f t="shared" si="168"/>
        <v>0</v>
      </c>
      <c r="J332" s="285">
        <f t="shared" si="168"/>
        <v>0</v>
      </c>
      <c r="K332" s="285">
        <f t="shared" si="168"/>
        <v>0</v>
      </c>
      <c r="L332" s="285">
        <f t="shared" si="168"/>
        <v>0</v>
      </c>
      <c r="M332" s="285">
        <f t="shared" si="168"/>
        <v>0</v>
      </c>
      <c r="N332" s="285">
        <f t="shared" si="168"/>
        <v>0</v>
      </c>
      <c r="O332" s="285">
        <f t="shared" si="168"/>
        <v>0</v>
      </c>
      <c r="P332" s="285">
        <f t="shared" si="168"/>
        <v>0</v>
      </c>
      <c r="Q332" s="285">
        <f t="shared" si="168"/>
        <v>0</v>
      </c>
      <c r="R332" s="285">
        <f t="shared" si="168"/>
        <v>0</v>
      </c>
      <c r="S332" s="285">
        <f t="shared" si="168"/>
        <v>0</v>
      </c>
      <c r="T332" s="285">
        <f t="shared" si="168"/>
        <v>0</v>
      </c>
      <c r="U332" s="285">
        <f t="shared" si="168"/>
        <v>0</v>
      </c>
      <c r="V332" s="285">
        <f t="shared" si="168"/>
        <v>0</v>
      </c>
      <c r="W332" s="285">
        <f t="shared" si="168"/>
        <v>0</v>
      </c>
      <c r="X332" s="285">
        <f t="shared" si="168"/>
        <v>0</v>
      </c>
      <c r="Y332" s="285">
        <f t="shared" si="168"/>
        <v>0</v>
      </c>
      <c r="Z332" s="285">
        <f t="shared" si="168"/>
        <v>0</v>
      </c>
      <c r="AA332" s="285">
        <f t="shared" ref="AA332:AF332" si="169">AA645</f>
        <v>0</v>
      </c>
      <c r="AB332" s="285">
        <f t="shared" si="169"/>
        <v>0</v>
      </c>
      <c r="AC332" s="285">
        <f t="shared" si="169"/>
        <v>0</v>
      </c>
      <c r="AD332" s="285">
        <f t="shared" si="169"/>
        <v>0</v>
      </c>
      <c r="AE332" s="285">
        <f t="shared" si="169"/>
        <v>0</v>
      </c>
      <c r="AF332" s="285">
        <f t="shared" si="169"/>
        <v>0</v>
      </c>
      <c r="AI332" s="287" t="s">
        <v>643</v>
      </c>
      <c r="AM332" s="286">
        <f ca="1">J736</f>
        <v>0</v>
      </c>
      <c r="AN332" s="286">
        <f ca="1">K736</f>
        <v>2753.762861617533</v>
      </c>
      <c r="AO332" s="286">
        <f ca="1">L736</f>
        <v>1511.2440628491213</v>
      </c>
      <c r="AP332" s="286">
        <f ca="1">M736</f>
        <v>1126.5709761750591</v>
      </c>
      <c r="AQ332" s="286">
        <f ca="1">N736</f>
        <v>1136.0432653317648</v>
      </c>
    </row>
    <row r="333" spans="1:56">
      <c r="A333" s="491" t="s">
        <v>1048</v>
      </c>
      <c r="B333" s="285"/>
      <c r="C333" s="471"/>
      <c r="D333" s="285"/>
      <c r="E333" s="503">
        <f t="shared" ref="E333:Z333" si="170">SUM(E331:E332)</f>
        <v>0</v>
      </c>
      <c r="F333" s="503">
        <f t="shared" si="170"/>
        <v>0</v>
      </c>
      <c r="G333" s="503">
        <f t="shared" si="170"/>
        <v>0</v>
      </c>
      <c r="H333" s="504">
        <f t="shared" si="170"/>
        <v>0</v>
      </c>
      <c r="I333" s="503">
        <f t="shared" si="170"/>
        <v>0</v>
      </c>
      <c r="J333" s="503">
        <f t="shared" si="170"/>
        <v>0</v>
      </c>
      <c r="K333" s="503">
        <f t="shared" si="170"/>
        <v>0</v>
      </c>
      <c r="L333" s="503">
        <f t="shared" si="170"/>
        <v>8.3244038473612516</v>
      </c>
      <c r="M333" s="503">
        <f t="shared" si="170"/>
        <v>8.3244038473612516</v>
      </c>
      <c r="N333" s="503">
        <f t="shared" si="170"/>
        <v>0</v>
      </c>
      <c r="O333" s="503">
        <f t="shared" si="170"/>
        <v>14.411686936861523</v>
      </c>
      <c r="P333" s="503">
        <f t="shared" si="170"/>
        <v>86.470121621169142</v>
      </c>
      <c r="Q333" s="503">
        <f t="shared" si="170"/>
        <v>72.058434684307613</v>
      </c>
      <c r="R333" s="503">
        <f t="shared" si="170"/>
        <v>0</v>
      </c>
      <c r="S333" s="503">
        <f t="shared" si="170"/>
        <v>0</v>
      </c>
      <c r="T333" s="503">
        <f t="shared" si="170"/>
        <v>11.691595712360382</v>
      </c>
      <c r="U333" s="503">
        <f t="shared" si="170"/>
        <v>11.691595712360382</v>
      </c>
      <c r="V333" s="503">
        <f t="shared" si="170"/>
        <v>0</v>
      </c>
      <c r="W333" s="503">
        <f t="shared" si="170"/>
        <v>20.199242302156001</v>
      </c>
      <c r="X333" s="503">
        <f t="shared" si="170"/>
        <v>121.19545381293599</v>
      </c>
      <c r="Y333" s="503">
        <f t="shared" si="170"/>
        <v>100.99621151078</v>
      </c>
      <c r="Z333" s="503">
        <f t="shared" si="170"/>
        <v>0</v>
      </c>
      <c r="AA333" s="503">
        <f t="shared" ref="AA333:AF333" si="171">SUM(AA331:AA332)</f>
        <v>0</v>
      </c>
      <c r="AB333" s="503">
        <f t="shared" si="171"/>
        <v>0</v>
      </c>
      <c r="AC333" s="503">
        <f t="shared" si="171"/>
        <v>0</v>
      </c>
      <c r="AD333" s="503">
        <f t="shared" si="171"/>
        <v>0</v>
      </c>
      <c r="AE333" s="503">
        <f t="shared" si="171"/>
        <v>0</v>
      </c>
      <c r="AF333" s="503">
        <f t="shared" si="171"/>
        <v>0</v>
      </c>
    </row>
    <row r="334" spans="1:56">
      <c r="A334" s="285"/>
      <c r="B334" s="285"/>
      <c r="C334" s="285"/>
      <c r="D334" s="285"/>
      <c r="E334" s="285"/>
      <c r="F334" s="285"/>
      <c r="G334" s="285"/>
      <c r="H334" s="502"/>
      <c r="I334" s="285"/>
      <c r="J334" s="285"/>
      <c r="K334" s="285"/>
      <c r="L334" s="285"/>
      <c r="M334" s="285"/>
      <c r="N334" s="285"/>
      <c r="O334" s="285"/>
      <c r="P334" s="285"/>
      <c r="Q334" s="285"/>
      <c r="R334" s="285"/>
      <c r="S334" s="285"/>
      <c r="T334" s="285"/>
      <c r="U334" s="285"/>
      <c r="V334" s="285"/>
      <c r="W334" s="285"/>
      <c r="X334" s="285"/>
      <c r="Y334" s="285"/>
      <c r="Z334" s="285"/>
      <c r="AA334" s="285"/>
      <c r="AB334" s="285"/>
      <c r="AC334" s="285"/>
      <c r="AD334" s="285"/>
      <c r="AE334" s="285"/>
      <c r="AF334" s="285"/>
      <c r="AI334" s="287" t="s">
        <v>365</v>
      </c>
      <c r="AM334" s="286">
        <f ca="1">J425</f>
        <v>52358.999965999988</v>
      </c>
      <c r="AN334" s="286">
        <f ca="1">K425</f>
        <v>49858.000063499989</v>
      </c>
      <c r="AO334" s="286">
        <f ca="1">L425</f>
        <v>47756.000053499985</v>
      </c>
      <c r="AP334" s="286">
        <f ca="1">M425</f>
        <v>44583.000055499986</v>
      </c>
      <c r="AQ334" s="286">
        <f ca="1">N425</f>
        <v>41324.000051499985</v>
      </c>
    </row>
    <row r="335" spans="1:56">
      <c r="A335" s="491" t="s">
        <v>1049</v>
      </c>
      <c r="B335" s="285"/>
      <c r="C335" s="505"/>
      <c r="D335" s="486"/>
      <c r="E335" s="486"/>
      <c r="F335" s="486"/>
      <c r="G335" s="486"/>
      <c r="H335" s="506"/>
      <c r="I335" s="486"/>
      <c r="J335" s="486"/>
      <c r="K335" s="486"/>
      <c r="L335" s="486"/>
      <c r="M335" s="486"/>
      <c r="N335" s="486"/>
      <c r="O335" s="486"/>
      <c r="P335" s="486"/>
      <c r="Q335" s="486"/>
      <c r="R335" s="486"/>
      <c r="S335" s="486"/>
      <c r="T335" s="486"/>
      <c r="U335" s="486"/>
      <c r="V335" s="486"/>
      <c r="W335" s="486"/>
      <c r="X335" s="486"/>
      <c r="Y335" s="486"/>
      <c r="Z335" s="486"/>
      <c r="AA335" s="486"/>
      <c r="AB335" s="486"/>
      <c r="AC335" s="486"/>
      <c r="AD335" s="486"/>
      <c r="AE335" s="486"/>
      <c r="AF335" s="486"/>
      <c r="AI335" s="486" t="s">
        <v>645</v>
      </c>
      <c r="AJ335" s="486"/>
      <c r="AK335" s="486"/>
      <c r="AL335" s="486"/>
      <c r="AM335" s="514">
        <f ca="1">J751</f>
        <v>0.89635605590128131</v>
      </c>
      <c r="AN335" s="514">
        <f ca="1">K751</f>
        <v>1.4442818201370802</v>
      </c>
      <c r="AO335" s="514">
        <f ca="1">L751</f>
        <v>1.2724726469179721</v>
      </c>
      <c r="AP335" s="514">
        <f ca="1">M751</f>
        <v>1.3482979081855024</v>
      </c>
      <c r="AQ335" s="514">
        <f ca="1">N751</f>
        <v>1.1634479800736561</v>
      </c>
    </row>
    <row r="336" spans="1:56">
      <c r="A336" s="285" t="str">
        <f>B481&amp;" (Interest Calc on Avg Balance)"</f>
        <v>Purchase Term Loan (Interest Calc on Avg Balance)</v>
      </c>
      <c r="B336" s="285"/>
      <c r="C336" s="285"/>
      <c r="D336" s="485"/>
      <c r="E336" s="486"/>
      <c r="F336" s="486"/>
      <c r="G336" s="486"/>
      <c r="H336" s="501"/>
      <c r="I336" s="486">
        <f ca="1">IF(I605="YES",IF($I$606="YES",-I608+((I627-I607)*(I451+I455)/2*C472),0),I627*(I451+I455)/2*C472)</f>
        <v>1454.5329166537497</v>
      </c>
      <c r="J336" s="486">
        <f t="shared" ref="J336:AE336" ca="1" si="172">IF(J605="YES",IF($I$606="YES",-J608+((J627-J607)*((J451+J455)/2)),0),J627*((J451+J455)/2))</f>
        <v>4286.3700005812498</v>
      </c>
      <c r="K336" s="486">
        <f t="shared" ca="1" si="172"/>
        <v>4141.0574993024993</v>
      </c>
      <c r="L336" s="486">
        <f t="shared" ca="1" si="172"/>
        <v>4024.7943761615616</v>
      </c>
      <c r="M336" s="486">
        <f t="shared" ca="1" si="172"/>
        <v>3843.551254606874</v>
      </c>
      <c r="N336" s="486">
        <f t="shared" ca="1" si="172"/>
        <v>3635.8481292918741</v>
      </c>
      <c r="O336" s="486">
        <f t="shared" ca="1" si="172"/>
        <v>3489.9718793468737</v>
      </c>
      <c r="P336" s="486">
        <f t="shared" ca="1" si="172"/>
        <v>3270.5156281281243</v>
      </c>
      <c r="Q336" s="486">
        <f t="shared" ca="1" si="172"/>
        <v>3068.2843774171861</v>
      </c>
      <c r="R336" s="486">
        <f t="shared" ca="1" si="172"/>
        <v>2823.5212531143738</v>
      </c>
      <c r="S336" s="486">
        <f t="shared" ca="1" si="172"/>
        <v>2469.4312543724986</v>
      </c>
      <c r="T336" s="486">
        <f t="shared" ca="1" si="172"/>
        <v>2150.1150080024986</v>
      </c>
      <c r="U336" s="486">
        <f t="shared" ca="1" si="172"/>
        <v>1880.3400089099987</v>
      </c>
      <c r="V336" s="486">
        <f t="shared" ca="1" si="172"/>
        <v>1599.8343838356236</v>
      </c>
      <c r="W336" s="486">
        <f t="shared" ca="1" si="172"/>
        <v>1242.8500082493733</v>
      </c>
      <c r="X336" s="486">
        <f t="shared" ca="1" si="172"/>
        <v>905.96563213968591</v>
      </c>
      <c r="Y336" s="486">
        <f t="shared" ca="1" si="172"/>
        <v>559.24063347968581</v>
      </c>
      <c r="Z336" s="486">
        <f t="shared" ca="1" si="172"/>
        <v>184.96187937593663</v>
      </c>
      <c r="AA336" s="486">
        <f t="shared" ca="1" si="172"/>
        <v>-1.3710632629226894E-12</v>
      </c>
      <c r="AB336" s="486">
        <f t="shared" ca="1" si="172"/>
        <v>2.056594894384034E-12</v>
      </c>
      <c r="AC336" s="486">
        <f t="shared" ca="1" si="172"/>
        <v>-1.3710632629226894E-12</v>
      </c>
      <c r="AD336" s="486">
        <f t="shared" ca="1" si="172"/>
        <v>4.7987214202294127E-12</v>
      </c>
      <c r="AE336" s="486">
        <f t="shared" ca="1" si="172"/>
        <v>-1.3710632629226894E-12</v>
      </c>
      <c r="AF336" s="486">
        <f ca="1">IF(AF605="YES",IF($I$606="YES",-AF608+((AF627-AF607)*((AF451+AF455)/2)),0),AF627*((AF451+AF455)/2))</f>
        <v>7.5408479460747911E-12</v>
      </c>
      <c r="AG336" s="486"/>
      <c r="AH336" s="486"/>
      <c r="AN336" s="486"/>
      <c r="AO336" s="486"/>
      <c r="AP336" s="486"/>
      <c r="AQ336" s="486"/>
      <c r="AR336" s="486"/>
      <c r="AS336" s="486"/>
      <c r="AT336" s="486"/>
      <c r="AU336" s="486"/>
      <c r="AV336" s="486"/>
      <c r="AW336" s="486"/>
      <c r="AX336" s="486"/>
      <c r="AY336" s="486"/>
      <c r="AZ336" s="486"/>
      <c r="BA336" s="486"/>
      <c r="BB336" s="486"/>
      <c r="BC336" s="486"/>
      <c r="BD336" s="486"/>
    </row>
    <row r="337" spans="1:56">
      <c r="A337" s="285" t="str">
        <f>B482&amp;" (Interest Calc on Avg. Balance)"</f>
        <v>Other Term Loan (Interest Calc on Avg. Balance)</v>
      </c>
      <c r="B337" s="285"/>
      <c r="C337" s="285"/>
      <c r="D337" s="485"/>
      <c r="E337" s="486"/>
      <c r="F337" s="486"/>
      <c r="G337" s="486"/>
      <c r="H337" s="501"/>
      <c r="I337" s="486">
        <f>IF(I613="YES",IF($I$614="YES",-I616+((I628-I615)*(I458+I461)/2)*C472,0),I628*(I458+I461)/2*C472)</f>
        <v>0</v>
      </c>
      <c r="J337" s="486">
        <f t="shared" ref="J337:AF337" si="173">IF(J613="YES",IF($I$614="YES",-J616+((J628-J615)*(J458+J461)/2),0),J628*(J458+J461)/2)</f>
        <v>0</v>
      </c>
      <c r="K337" s="486">
        <f t="shared" si="173"/>
        <v>0</v>
      </c>
      <c r="L337" s="486">
        <f t="shared" si="173"/>
        <v>0</v>
      </c>
      <c r="M337" s="486">
        <f t="shared" si="173"/>
        <v>0</v>
      </c>
      <c r="N337" s="486">
        <f t="shared" si="173"/>
        <v>0</v>
      </c>
      <c r="O337" s="486">
        <f t="shared" si="173"/>
        <v>0</v>
      </c>
      <c r="P337" s="486">
        <f t="shared" si="173"/>
        <v>0</v>
      </c>
      <c r="Q337" s="486">
        <f t="shared" si="173"/>
        <v>0</v>
      </c>
      <c r="R337" s="486">
        <f t="shared" si="173"/>
        <v>0</v>
      </c>
      <c r="S337" s="486">
        <f t="shared" si="173"/>
        <v>0</v>
      </c>
      <c r="T337" s="486">
        <f t="shared" si="173"/>
        <v>0</v>
      </c>
      <c r="U337" s="486">
        <f t="shared" si="173"/>
        <v>0</v>
      </c>
      <c r="V337" s="486">
        <f t="shared" si="173"/>
        <v>0</v>
      </c>
      <c r="W337" s="486">
        <f t="shared" si="173"/>
        <v>0</v>
      </c>
      <c r="X337" s="486">
        <f t="shared" si="173"/>
        <v>0</v>
      </c>
      <c r="Y337" s="486">
        <f t="shared" si="173"/>
        <v>0</v>
      </c>
      <c r="Z337" s="486">
        <f t="shared" si="173"/>
        <v>0</v>
      </c>
      <c r="AA337" s="486">
        <f t="shared" si="173"/>
        <v>0</v>
      </c>
      <c r="AB337" s="486">
        <f t="shared" si="173"/>
        <v>0</v>
      </c>
      <c r="AC337" s="486">
        <f t="shared" si="173"/>
        <v>0</v>
      </c>
      <c r="AD337" s="486">
        <f t="shared" si="173"/>
        <v>0</v>
      </c>
      <c r="AE337" s="486">
        <f t="shared" si="173"/>
        <v>0</v>
      </c>
      <c r="AF337" s="486">
        <f t="shared" si="173"/>
        <v>0</v>
      </c>
      <c r="AG337" s="486"/>
      <c r="AH337" s="486"/>
      <c r="AI337" s="486"/>
      <c r="AJ337" s="486"/>
      <c r="AK337" s="486"/>
      <c r="AL337" s="486"/>
      <c r="AM337" s="486"/>
      <c r="AN337" s="486"/>
      <c r="AO337" s="486"/>
      <c r="AP337" s="486"/>
      <c r="AQ337" s="486"/>
      <c r="AR337" s="486"/>
      <c r="AS337" s="486"/>
      <c r="AT337" s="486"/>
      <c r="AU337" s="486"/>
      <c r="AV337" s="486"/>
      <c r="AW337" s="486"/>
      <c r="AX337" s="486"/>
      <c r="AY337" s="486"/>
      <c r="AZ337" s="486"/>
      <c r="BA337" s="486"/>
      <c r="BB337" s="486"/>
      <c r="BC337" s="486"/>
      <c r="BD337" s="486"/>
    </row>
    <row r="338" spans="1:56">
      <c r="A338" s="285" t="s">
        <v>1050</v>
      </c>
      <c r="B338" s="285"/>
      <c r="C338" s="285"/>
      <c r="D338" s="485"/>
      <c r="E338" s="486"/>
      <c r="F338" s="486"/>
      <c r="G338" s="486"/>
      <c r="H338" s="501"/>
      <c r="I338" s="486">
        <f ca="1">+((I444+I447)/2)*I626*C472</f>
        <v>0</v>
      </c>
      <c r="J338" s="486">
        <f ca="1">+((J444+J447)/2)*J626</f>
        <v>45.503901592915646</v>
      </c>
      <c r="K338" s="486">
        <f t="shared" ref="K338:AF338" ca="1" si="174">+((K444+K447)/2)*K626</f>
        <v>91.007803185831293</v>
      </c>
      <c r="L338" s="486">
        <f t="shared" ca="1" si="174"/>
        <v>91.007803185831293</v>
      </c>
      <c r="M338" s="486">
        <f t="shared" ca="1" si="174"/>
        <v>91.007803185831293</v>
      </c>
      <c r="N338" s="486">
        <f t="shared" ca="1" si="174"/>
        <v>91.007803185831293</v>
      </c>
      <c r="O338" s="486">
        <f t="shared" ca="1" si="174"/>
        <v>91.007803185831293</v>
      </c>
      <c r="P338" s="486">
        <f t="shared" ca="1" si="174"/>
        <v>91.007803185831293</v>
      </c>
      <c r="Q338" s="486">
        <f t="shared" ca="1" si="174"/>
        <v>91.007803185831293</v>
      </c>
      <c r="R338" s="486">
        <f t="shared" ca="1" si="174"/>
        <v>91.007803185831293</v>
      </c>
      <c r="S338" s="486">
        <f t="shared" ca="1" si="174"/>
        <v>91.007803185831293</v>
      </c>
      <c r="T338" s="486">
        <f t="shared" ca="1" si="174"/>
        <v>91.007803185831293</v>
      </c>
      <c r="U338" s="486">
        <f t="shared" ca="1" si="174"/>
        <v>91.007803185831293</v>
      </c>
      <c r="V338" s="486">
        <f t="shared" ca="1" si="174"/>
        <v>91.007803185831293</v>
      </c>
      <c r="W338" s="486">
        <f t="shared" ca="1" si="174"/>
        <v>91.007803185831293</v>
      </c>
      <c r="X338" s="486">
        <f t="shared" ca="1" si="174"/>
        <v>91.007803185831293</v>
      </c>
      <c r="Y338" s="486">
        <f t="shared" ca="1" si="174"/>
        <v>91.007803185831293</v>
      </c>
      <c r="Z338" s="486">
        <f t="shared" ca="1" si="174"/>
        <v>91.007803185831293</v>
      </c>
      <c r="AA338" s="486">
        <f t="shared" ca="1" si="174"/>
        <v>91.007803185834476</v>
      </c>
      <c r="AB338" s="486">
        <f t="shared" ca="1" si="174"/>
        <v>91.007803185831293</v>
      </c>
      <c r="AC338" s="486">
        <f t="shared" ca="1" si="174"/>
        <v>91.007803185840658</v>
      </c>
      <c r="AD338" s="486">
        <f t="shared" ca="1" si="174"/>
        <v>91.007803185831293</v>
      </c>
      <c r="AE338" s="486">
        <f t="shared" ca="1" si="174"/>
        <v>91.007803185851941</v>
      </c>
      <c r="AF338" s="486">
        <f t="shared" ca="1" si="174"/>
        <v>91.007803185831293</v>
      </c>
    </row>
    <row r="339" spans="1:56">
      <c r="A339" s="491" t="s">
        <v>1051</v>
      </c>
      <c r="B339" s="285"/>
      <c r="C339" s="505"/>
      <c r="D339" s="486"/>
      <c r="E339" s="495">
        <f>SUM(E336:E337)</f>
        <v>0</v>
      </c>
      <c r="F339" s="495">
        <f>SUM(F336:F337)</f>
        <v>0</v>
      </c>
      <c r="G339" s="495">
        <f>SUM(G336:G337)</f>
        <v>0</v>
      </c>
      <c r="H339" s="507">
        <f>SUM(H336:H337)</f>
        <v>0</v>
      </c>
      <c r="I339" s="495">
        <f t="shared" ref="I339:Z339" ca="1" si="175">SUM(I336:I338)</f>
        <v>1454.5329166537497</v>
      </c>
      <c r="J339" s="495">
        <f t="shared" ca="1" si="175"/>
        <v>4331.8739021741658</v>
      </c>
      <c r="K339" s="495">
        <f t="shared" ca="1" si="175"/>
        <v>4232.0653024883304</v>
      </c>
      <c r="L339" s="495">
        <f t="shared" ca="1" si="175"/>
        <v>4115.8021793473927</v>
      </c>
      <c r="M339" s="495">
        <f t="shared" ca="1" si="175"/>
        <v>3934.5590577927051</v>
      </c>
      <c r="N339" s="495">
        <f t="shared" ca="1" si="175"/>
        <v>3726.8559324777052</v>
      </c>
      <c r="O339" s="495">
        <f t="shared" ca="1" si="175"/>
        <v>3580.9796825327048</v>
      </c>
      <c r="P339" s="495">
        <f t="shared" ca="1" si="175"/>
        <v>3361.5234313139554</v>
      </c>
      <c r="Q339" s="495">
        <f t="shared" ca="1" si="175"/>
        <v>3159.2921806030172</v>
      </c>
      <c r="R339" s="495">
        <f t="shared" ca="1" si="175"/>
        <v>2914.529056300205</v>
      </c>
      <c r="S339" s="495">
        <f t="shared" ca="1" si="175"/>
        <v>2560.4390575583298</v>
      </c>
      <c r="T339" s="495">
        <f t="shared" ca="1" si="175"/>
        <v>2241.1228111883297</v>
      </c>
      <c r="U339" s="495">
        <f t="shared" ca="1" si="175"/>
        <v>1971.34781209583</v>
      </c>
      <c r="V339" s="495">
        <f t="shared" ca="1" si="175"/>
        <v>1690.8421870214549</v>
      </c>
      <c r="W339" s="495">
        <f t="shared" ca="1" si="175"/>
        <v>1333.8578114352047</v>
      </c>
      <c r="X339" s="495">
        <f t="shared" ca="1" si="175"/>
        <v>996.97343532551724</v>
      </c>
      <c r="Y339" s="495">
        <f t="shared" ca="1" si="175"/>
        <v>650.24843666551715</v>
      </c>
      <c r="Z339" s="495">
        <f t="shared" ca="1" si="175"/>
        <v>275.96968256176791</v>
      </c>
      <c r="AA339" s="495">
        <f t="shared" ref="AA339:AF339" ca="1" si="176">SUM(AA336:AA338)</f>
        <v>91.007803185833112</v>
      </c>
      <c r="AB339" s="495">
        <f t="shared" ca="1" si="176"/>
        <v>91.007803185833353</v>
      </c>
      <c r="AC339" s="495">
        <f t="shared" ca="1" si="176"/>
        <v>91.007803185839293</v>
      </c>
      <c r="AD339" s="495">
        <f t="shared" ca="1" si="176"/>
        <v>91.007803185836096</v>
      </c>
      <c r="AE339" s="495">
        <f t="shared" ca="1" si="176"/>
        <v>91.007803185850577</v>
      </c>
      <c r="AF339" s="495">
        <f t="shared" ca="1" si="176"/>
        <v>91.007803185838839</v>
      </c>
    </row>
    <row r="340" spans="1:56">
      <c r="A340" s="285"/>
      <c r="B340" s="285"/>
      <c r="C340" s="285"/>
      <c r="D340" s="285"/>
      <c r="E340" s="285"/>
      <c r="F340" s="285"/>
      <c r="G340" s="285"/>
      <c r="H340" s="502"/>
      <c r="I340" s="285"/>
      <c r="J340" s="285"/>
      <c r="K340" s="285"/>
      <c r="L340" s="285"/>
      <c r="M340" s="285"/>
      <c r="N340" s="285"/>
      <c r="O340" s="285"/>
      <c r="P340" s="285"/>
      <c r="Q340" s="285"/>
      <c r="R340" s="285"/>
      <c r="S340" s="285"/>
      <c r="T340" s="285"/>
      <c r="U340" s="285"/>
      <c r="V340" s="285"/>
      <c r="W340" s="285"/>
      <c r="X340" s="285"/>
      <c r="Y340" s="285"/>
      <c r="Z340" s="285"/>
      <c r="AA340" s="285"/>
      <c r="AB340" s="285"/>
      <c r="AC340" s="285"/>
      <c r="AD340" s="285"/>
      <c r="AE340" s="285"/>
      <c r="AF340" s="285"/>
    </row>
    <row r="341" spans="1:56">
      <c r="A341" s="491" t="s">
        <v>1052</v>
      </c>
      <c r="B341" s="285"/>
      <c r="C341" s="285"/>
      <c r="D341" s="486"/>
      <c r="E341" s="486">
        <f t="shared" ref="E341:Z341" si="177">E328+E333-E339</f>
        <v>0</v>
      </c>
      <c r="F341" s="486">
        <f t="shared" si="177"/>
        <v>0</v>
      </c>
      <c r="G341" s="486">
        <f t="shared" si="177"/>
        <v>0</v>
      </c>
      <c r="H341" s="501">
        <f t="shared" si="177"/>
        <v>0</v>
      </c>
      <c r="I341" s="486">
        <f t="shared" ca="1" si="177"/>
        <v>-1847.145062111111</v>
      </c>
      <c r="J341" s="486">
        <f t="shared" ca="1" si="177"/>
        <v>-4312.2767769105049</v>
      </c>
      <c r="K341" s="486">
        <f t="shared" ca="1" si="177"/>
        <v>-316.71956926962775</v>
      </c>
      <c r="L341" s="486">
        <f t="shared" ca="1" si="177"/>
        <v>-995.36918679336031</v>
      </c>
      <c r="M341" s="486">
        <f t="shared" ca="1" si="177"/>
        <v>-1164.1157927775839</v>
      </c>
      <c r="N341" s="486">
        <f t="shared" ca="1" si="177"/>
        <v>-1164.9872309780721</v>
      </c>
      <c r="O341" s="486">
        <f t="shared" ca="1" si="177"/>
        <v>-847.34619822882041</v>
      </c>
      <c r="P341" s="486">
        <f t="shared" ca="1" si="177"/>
        <v>-198.64262594737602</v>
      </c>
      <c r="Q341" s="486">
        <f t="shared" ca="1" si="177"/>
        <v>371.91610079447901</v>
      </c>
      <c r="R341" s="486">
        <f t="shared" ca="1" si="177"/>
        <v>1012.075847178919</v>
      </c>
      <c r="S341" s="486">
        <f t="shared" ca="1" si="177"/>
        <v>1652.7115406487014</v>
      </c>
      <c r="T341" s="486">
        <f t="shared" ca="1" si="177"/>
        <v>1474.0256366208105</v>
      </c>
      <c r="U341" s="486">
        <f t="shared" ca="1" si="177"/>
        <v>1902.6168226000248</v>
      </c>
      <c r="V341" s="486">
        <f t="shared" ca="1" si="177"/>
        <v>2897.6416587863378</v>
      </c>
      <c r="W341" s="486">
        <f t="shared" ca="1" si="177"/>
        <v>3485.511704881269</v>
      </c>
      <c r="X341" s="486">
        <f t="shared" ca="1" si="177"/>
        <v>6392.6062095253019</v>
      </c>
      <c r="Y341" s="486">
        <f t="shared" ca="1" si="177"/>
        <v>9767.9638349503002</v>
      </c>
      <c r="Z341" s="486">
        <f t="shared" ca="1" si="177"/>
        <v>9976.9648052854245</v>
      </c>
      <c r="AA341" s="486">
        <f t="shared" ref="AA341:AF341" ca="1" si="178">AA328+AA333-AA339</f>
        <v>10339.26111331724</v>
      </c>
      <c r="AB341" s="486">
        <f t="shared" ca="1" si="178"/>
        <v>10510.219400623448</v>
      </c>
      <c r="AC341" s="486">
        <f t="shared" ca="1" si="178"/>
        <v>10899.744526705299</v>
      </c>
      <c r="AD341" s="486">
        <f t="shared" ca="1" si="178"/>
        <v>11202.151698559399</v>
      </c>
      <c r="AE341" s="486">
        <f t="shared" ca="1" si="178"/>
        <v>11396.25529761174</v>
      </c>
      <c r="AF341" s="486">
        <f t="shared" ca="1" si="178"/>
        <v>10085.042959049748</v>
      </c>
    </row>
    <row r="342" spans="1:56">
      <c r="A342" s="285"/>
      <c r="B342" s="285"/>
      <c r="C342" s="285"/>
      <c r="D342" s="285"/>
      <c r="E342" s="285"/>
      <c r="F342" s="285"/>
      <c r="G342" s="285"/>
      <c r="H342" s="500"/>
      <c r="I342" s="486"/>
      <c r="J342" s="285"/>
      <c r="K342" s="285"/>
      <c r="L342" s="285"/>
      <c r="M342" s="285"/>
      <c r="N342" s="285"/>
      <c r="O342" s="285"/>
      <c r="P342" s="285"/>
      <c r="Q342" s="285"/>
      <c r="R342" s="285"/>
      <c r="S342" s="285"/>
      <c r="T342" s="285"/>
      <c r="U342" s="285"/>
      <c r="V342" s="285"/>
      <c r="W342" s="285"/>
      <c r="X342" s="285"/>
      <c r="Y342" s="285"/>
      <c r="Z342" s="285"/>
      <c r="AA342" s="285"/>
      <c r="AB342" s="285"/>
      <c r="AC342" s="285"/>
      <c r="AD342" s="285"/>
      <c r="AE342" s="285"/>
      <c r="AF342" s="285"/>
    </row>
    <row r="343" spans="1:56">
      <c r="A343" s="484" t="s">
        <v>1053</v>
      </c>
      <c r="B343" s="285"/>
      <c r="C343" s="285"/>
      <c r="D343" s="285"/>
      <c r="E343" s="285">
        <f t="shared" ref="E343:Z343" si="179">E654</f>
        <v>0</v>
      </c>
      <c r="F343" s="285">
        <f t="shared" si="179"/>
        <v>0</v>
      </c>
      <c r="G343" s="285">
        <f t="shared" si="179"/>
        <v>0</v>
      </c>
      <c r="H343" s="500">
        <f t="shared" si="179"/>
        <v>0</v>
      </c>
      <c r="I343" s="285">
        <f t="shared" si="179"/>
        <v>0</v>
      </c>
      <c r="J343" s="285">
        <f t="shared" si="179"/>
        <v>0</v>
      </c>
      <c r="K343" s="285">
        <f t="shared" si="179"/>
        <v>0</v>
      </c>
      <c r="L343" s="285">
        <f t="shared" si="179"/>
        <v>0</v>
      </c>
      <c r="M343" s="285">
        <f t="shared" si="179"/>
        <v>0</v>
      </c>
      <c r="N343" s="285">
        <f t="shared" si="179"/>
        <v>0</v>
      </c>
      <c r="O343" s="285">
        <f t="shared" si="179"/>
        <v>0</v>
      </c>
      <c r="P343" s="285">
        <f t="shared" si="179"/>
        <v>0</v>
      </c>
      <c r="Q343" s="285">
        <f t="shared" si="179"/>
        <v>0</v>
      </c>
      <c r="R343" s="285">
        <f t="shared" si="179"/>
        <v>0</v>
      </c>
      <c r="S343" s="285">
        <f t="shared" si="179"/>
        <v>0</v>
      </c>
      <c r="T343" s="285">
        <f t="shared" si="179"/>
        <v>0</v>
      </c>
      <c r="U343" s="285">
        <f t="shared" si="179"/>
        <v>0</v>
      </c>
      <c r="V343" s="285">
        <f t="shared" si="179"/>
        <v>0</v>
      </c>
      <c r="W343" s="285">
        <f t="shared" si="179"/>
        <v>0</v>
      </c>
      <c r="X343" s="285">
        <f t="shared" si="179"/>
        <v>0</v>
      </c>
      <c r="Y343" s="285">
        <f t="shared" si="179"/>
        <v>0</v>
      </c>
      <c r="Z343" s="285">
        <f t="shared" si="179"/>
        <v>0</v>
      </c>
      <c r="AA343" s="285">
        <f t="shared" ref="AA343:AF343" si="180">AA654</f>
        <v>0</v>
      </c>
      <c r="AB343" s="285">
        <f t="shared" si="180"/>
        <v>0</v>
      </c>
      <c r="AC343" s="285">
        <f t="shared" si="180"/>
        <v>0</v>
      </c>
      <c r="AD343" s="285">
        <f t="shared" si="180"/>
        <v>0</v>
      </c>
      <c r="AE343" s="285">
        <f t="shared" si="180"/>
        <v>0</v>
      </c>
      <c r="AF343" s="285">
        <f t="shared" si="180"/>
        <v>0</v>
      </c>
    </row>
    <row r="344" spans="1:56">
      <c r="A344" s="484" t="s">
        <v>1054</v>
      </c>
      <c r="B344" s="285"/>
      <c r="C344" s="285"/>
      <c r="D344" s="285"/>
      <c r="E344" s="285"/>
      <c r="F344" s="285"/>
      <c r="G344" s="285"/>
      <c r="H344" s="500"/>
      <c r="I344" s="285">
        <f t="shared" ref="I344:AF344" ca="1" si="181">-I316*I669</f>
        <v>0</v>
      </c>
      <c r="J344" s="285">
        <f t="shared" si="181"/>
        <v>0</v>
      </c>
      <c r="K344" s="285">
        <f t="shared" si="181"/>
        <v>0</v>
      </c>
      <c r="L344" s="285">
        <f t="shared" si="181"/>
        <v>0</v>
      </c>
      <c r="M344" s="285">
        <f t="shared" si="181"/>
        <v>0</v>
      </c>
      <c r="N344" s="285">
        <f t="shared" si="181"/>
        <v>0</v>
      </c>
      <c r="O344" s="285">
        <f t="shared" si="181"/>
        <v>0</v>
      </c>
      <c r="P344" s="285">
        <f t="shared" si="181"/>
        <v>0</v>
      </c>
      <c r="Q344" s="285">
        <f t="shared" si="181"/>
        <v>0</v>
      </c>
      <c r="R344" s="285">
        <f t="shared" si="181"/>
        <v>0</v>
      </c>
      <c r="S344" s="285">
        <f t="shared" si="181"/>
        <v>0</v>
      </c>
      <c r="T344" s="285">
        <f t="shared" si="181"/>
        <v>0</v>
      </c>
      <c r="U344" s="285">
        <f t="shared" si="181"/>
        <v>0</v>
      </c>
      <c r="V344" s="285">
        <f t="shared" si="181"/>
        <v>0</v>
      </c>
      <c r="W344" s="285">
        <f t="shared" si="181"/>
        <v>0</v>
      </c>
      <c r="X344" s="285">
        <f t="shared" si="181"/>
        <v>0</v>
      </c>
      <c r="Y344" s="285">
        <f t="shared" si="181"/>
        <v>0</v>
      </c>
      <c r="Z344" s="285">
        <f t="shared" si="181"/>
        <v>0</v>
      </c>
      <c r="AA344" s="285">
        <f t="shared" si="181"/>
        <v>0</v>
      </c>
      <c r="AB344" s="285">
        <f t="shared" si="181"/>
        <v>0</v>
      </c>
      <c r="AC344" s="285">
        <f t="shared" si="181"/>
        <v>0</v>
      </c>
      <c r="AD344" s="285">
        <f t="shared" si="181"/>
        <v>0</v>
      </c>
      <c r="AE344" s="285">
        <f t="shared" si="181"/>
        <v>0</v>
      </c>
      <c r="AF344" s="285">
        <f t="shared" si="181"/>
        <v>0</v>
      </c>
    </row>
    <row r="345" spans="1:56">
      <c r="A345" s="491" t="s">
        <v>1055</v>
      </c>
      <c r="B345" s="285"/>
      <c r="C345" s="505"/>
      <c r="D345" s="285"/>
      <c r="E345" s="503">
        <f>E341+E343</f>
        <v>0</v>
      </c>
      <c r="F345" s="503">
        <f>F341+F343</f>
        <v>0</v>
      </c>
      <c r="G345" s="503">
        <f>G341+G343</f>
        <v>0</v>
      </c>
      <c r="H345" s="508">
        <f>H341+H343</f>
        <v>0</v>
      </c>
      <c r="I345" s="503">
        <f t="shared" ref="I345:Z345" ca="1" si="182">I341+I343+I344</f>
        <v>-1847.145062111111</v>
      </c>
      <c r="J345" s="503">
        <f t="shared" ca="1" si="182"/>
        <v>-4312.2767769105049</v>
      </c>
      <c r="K345" s="503">
        <f t="shared" ca="1" si="182"/>
        <v>-316.71956926962775</v>
      </c>
      <c r="L345" s="503">
        <f t="shared" ca="1" si="182"/>
        <v>-995.36918679336031</v>
      </c>
      <c r="M345" s="503">
        <f t="shared" ca="1" si="182"/>
        <v>-1164.1157927775839</v>
      </c>
      <c r="N345" s="503">
        <f t="shared" ca="1" si="182"/>
        <v>-1164.9872309780721</v>
      </c>
      <c r="O345" s="503">
        <f t="shared" ca="1" si="182"/>
        <v>-847.34619822882041</v>
      </c>
      <c r="P345" s="503">
        <f t="shared" ca="1" si="182"/>
        <v>-198.64262594737602</v>
      </c>
      <c r="Q345" s="503">
        <f t="shared" ca="1" si="182"/>
        <v>371.91610079447901</v>
      </c>
      <c r="R345" s="503">
        <f t="shared" ca="1" si="182"/>
        <v>1012.075847178919</v>
      </c>
      <c r="S345" s="503">
        <f t="shared" ca="1" si="182"/>
        <v>1652.7115406487014</v>
      </c>
      <c r="T345" s="503">
        <f t="shared" ca="1" si="182"/>
        <v>1474.0256366208105</v>
      </c>
      <c r="U345" s="503">
        <f t="shared" ca="1" si="182"/>
        <v>1902.6168226000248</v>
      </c>
      <c r="V345" s="503">
        <f t="shared" ca="1" si="182"/>
        <v>2897.6416587863378</v>
      </c>
      <c r="W345" s="503">
        <f t="shared" ca="1" si="182"/>
        <v>3485.511704881269</v>
      </c>
      <c r="X345" s="503">
        <f t="shared" ca="1" si="182"/>
        <v>6392.6062095253019</v>
      </c>
      <c r="Y345" s="503">
        <f t="shared" ca="1" si="182"/>
        <v>9767.9638349503002</v>
      </c>
      <c r="Z345" s="503">
        <f t="shared" ca="1" si="182"/>
        <v>9976.9648052854245</v>
      </c>
      <c r="AA345" s="503">
        <f t="shared" ref="AA345:AF345" ca="1" si="183">AA341+AA343+AA344</f>
        <v>10339.26111331724</v>
      </c>
      <c r="AB345" s="503">
        <f t="shared" ca="1" si="183"/>
        <v>10510.219400623448</v>
      </c>
      <c r="AC345" s="503">
        <f t="shared" ca="1" si="183"/>
        <v>10899.744526705299</v>
      </c>
      <c r="AD345" s="503">
        <f t="shared" ca="1" si="183"/>
        <v>11202.151698559399</v>
      </c>
      <c r="AE345" s="503">
        <f t="shared" ca="1" si="183"/>
        <v>11396.25529761174</v>
      </c>
      <c r="AF345" s="503">
        <f t="shared" ca="1" si="183"/>
        <v>10085.042959049748</v>
      </c>
    </row>
    <row r="346" spans="1:56">
      <c r="A346" s="285"/>
      <c r="B346" s="285"/>
      <c r="C346" s="285"/>
      <c r="D346" s="285"/>
      <c r="E346" s="285"/>
      <c r="F346" s="285"/>
      <c r="G346" s="285"/>
      <c r="H346" s="500"/>
      <c r="I346" s="285"/>
      <c r="J346" s="285"/>
      <c r="K346" s="285"/>
      <c r="L346" s="285"/>
      <c r="M346" s="285"/>
      <c r="N346" s="285"/>
      <c r="O346" s="285"/>
      <c r="P346" s="285"/>
      <c r="Q346" s="285"/>
      <c r="R346" s="285"/>
      <c r="S346" s="285"/>
      <c r="T346" s="285"/>
      <c r="U346" s="285"/>
      <c r="V346" s="285"/>
      <c r="W346" s="285"/>
      <c r="X346" s="285"/>
      <c r="Y346" s="285"/>
      <c r="Z346" s="285"/>
      <c r="AA346" s="285"/>
      <c r="AB346" s="285"/>
      <c r="AC346" s="285"/>
      <c r="AD346" s="285"/>
      <c r="AE346" s="285"/>
      <c r="AF346" s="285"/>
    </row>
    <row r="347" spans="1:56">
      <c r="A347" s="484" t="s">
        <v>1056</v>
      </c>
      <c r="B347" s="285"/>
      <c r="C347" s="505"/>
      <c r="D347" s="486"/>
      <c r="E347" s="486">
        <f>E666</f>
        <v>0</v>
      </c>
      <c r="F347" s="486">
        <f>F666</f>
        <v>0</v>
      </c>
      <c r="G347" s="486">
        <f>G666</f>
        <v>0</v>
      </c>
      <c r="H347" s="501">
        <f>H666</f>
        <v>0</v>
      </c>
      <c r="I347" s="486">
        <f t="shared" ref="I347:Z347" ca="1" si="184">I710</f>
        <v>0</v>
      </c>
      <c r="J347" s="486">
        <f t="shared" ca="1" si="184"/>
        <v>0</v>
      </c>
      <c r="K347" s="486">
        <f t="shared" ca="1" si="184"/>
        <v>0</v>
      </c>
      <c r="L347" s="486">
        <f t="shared" ca="1" si="184"/>
        <v>0</v>
      </c>
      <c r="M347" s="486">
        <f t="shared" ca="1" si="184"/>
        <v>0</v>
      </c>
      <c r="N347" s="486">
        <f t="shared" ca="1" si="184"/>
        <v>0</v>
      </c>
      <c r="O347" s="486">
        <f t="shared" ca="1" si="184"/>
        <v>0</v>
      </c>
      <c r="P347" s="486">
        <f t="shared" ca="1" si="184"/>
        <v>0</v>
      </c>
      <c r="Q347" s="486">
        <f t="shared" ca="1" si="184"/>
        <v>0</v>
      </c>
      <c r="R347" s="486">
        <f t="shared" ca="1" si="184"/>
        <v>0</v>
      </c>
      <c r="S347" s="486">
        <f t="shared" ca="1" si="184"/>
        <v>0</v>
      </c>
      <c r="T347" s="486">
        <f t="shared" ca="1" si="184"/>
        <v>0</v>
      </c>
      <c r="U347" s="486">
        <f t="shared" ca="1" si="184"/>
        <v>0</v>
      </c>
      <c r="V347" s="486">
        <f t="shared" ca="1" si="184"/>
        <v>0</v>
      </c>
      <c r="W347" s="486">
        <f t="shared" ca="1" si="184"/>
        <v>0</v>
      </c>
      <c r="X347" s="486">
        <f t="shared" ca="1" si="184"/>
        <v>0</v>
      </c>
      <c r="Y347" s="486">
        <f t="shared" ca="1" si="184"/>
        <v>0</v>
      </c>
      <c r="Z347" s="486">
        <f t="shared" ca="1" si="184"/>
        <v>0</v>
      </c>
      <c r="AA347" s="486">
        <f t="shared" ref="AA347:AF347" ca="1" si="185">AA710</f>
        <v>0</v>
      </c>
      <c r="AB347" s="486">
        <f t="shared" ca="1" si="185"/>
        <v>0</v>
      </c>
      <c r="AC347" s="486">
        <f t="shared" ca="1" si="185"/>
        <v>0</v>
      </c>
      <c r="AD347" s="486">
        <f t="shared" ca="1" si="185"/>
        <v>0</v>
      </c>
      <c r="AE347" s="486">
        <f t="shared" ca="1" si="185"/>
        <v>0</v>
      </c>
      <c r="AF347" s="486">
        <f t="shared" ca="1" si="185"/>
        <v>0</v>
      </c>
    </row>
    <row r="348" spans="1:56" ht="10.8" thickBot="1">
      <c r="A348" s="491" t="s">
        <v>1057</v>
      </c>
      <c r="B348" s="285"/>
      <c r="C348" s="505"/>
      <c r="D348" s="486"/>
      <c r="E348" s="509">
        <f t="shared" ref="E348:Z348" si="186">E345-E347</f>
        <v>0</v>
      </c>
      <c r="F348" s="509">
        <f t="shared" si="186"/>
        <v>0</v>
      </c>
      <c r="G348" s="509">
        <f t="shared" si="186"/>
        <v>0</v>
      </c>
      <c r="H348" s="510">
        <f t="shared" si="186"/>
        <v>0</v>
      </c>
      <c r="I348" s="509">
        <f t="shared" ca="1" si="186"/>
        <v>-1847.145062111111</v>
      </c>
      <c r="J348" s="509">
        <f t="shared" ca="1" si="186"/>
        <v>-4312.2767769105049</v>
      </c>
      <c r="K348" s="509">
        <f t="shared" ca="1" si="186"/>
        <v>-316.71956926962775</v>
      </c>
      <c r="L348" s="509">
        <f t="shared" ca="1" si="186"/>
        <v>-995.36918679336031</v>
      </c>
      <c r="M348" s="509">
        <f t="shared" ca="1" si="186"/>
        <v>-1164.1157927775839</v>
      </c>
      <c r="N348" s="509">
        <f t="shared" ca="1" si="186"/>
        <v>-1164.9872309780721</v>
      </c>
      <c r="O348" s="509">
        <f t="shared" ca="1" si="186"/>
        <v>-847.34619822882041</v>
      </c>
      <c r="P348" s="509">
        <f t="shared" ca="1" si="186"/>
        <v>-198.64262594737602</v>
      </c>
      <c r="Q348" s="509">
        <f t="shared" ca="1" si="186"/>
        <v>371.91610079447901</v>
      </c>
      <c r="R348" s="509">
        <f t="shared" ca="1" si="186"/>
        <v>1012.075847178919</v>
      </c>
      <c r="S348" s="509">
        <f t="shared" ca="1" si="186"/>
        <v>1652.7115406487014</v>
      </c>
      <c r="T348" s="509">
        <f t="shared" ca="1" si="186"/>
        <v>1474.0256366208105</v>
      </c>
      <c r="U348" s="509">
        <f t="shared" ca="1" si="186"/>
        <v>1902.6168226000248</v>
      </c>
      <c r="V348" s="509">
        <f t="shared" ca="1" si="186"/>
        <v>2897.6416587863378</v>
      </c>
      <c r="W348" s="509">
        <f t="shared" ca="1" si="186"/>
        <v>3485.511704881269</v>
      </c>
      <c r="X348" s="509">
        <f t="shared" ca="1" si="186"/>
        <v>6392.6062095253019</v>
      </c>
      <c r="Y348" s="509">
        <f t="shared" ca="1" si="186"/>
        <v>9767.9638349503002</v>
      </c>
      <c r="Z348" s="509">
        <f t="shared" ca="1" si="186"/>
        <v>9976.9648052854245</v>
      </c>
      <c r="AA348" s="509">
        <f t="shared" ref="AA348:AF348" ca="1" si="187">AA345-AA347</f>
        <v>10339.26111331724</v>
      </c>
      <c r="AB348" s="509">
        <f t="shared" ca="1" si="187"/>
        <v>10510.219400623448</v>
      </c>
      <c r="AC348" s="509">
        <f t="shared" ca="1" si="187"/>
        <v>10899.744526705299</v>
      </c>
      <c r="AD348" s="509">
        <f t="shared" ca="1" si="187"/>
        <v>11202.151698559399</v>
      </c>
      <c r="AE348" s="509">
        <f t="shared" ca="1" si="187"/>
        <v>11396.25529761174</v>
      </c>
      <c r="AF348" s="509">
        <f t="shared" ca="1" si="187"/>
        <v>10085.042959049748</v>
      </c>
    </row>
    <row r="349" spans="1:56" ht="10.8" thickTop="1">
      <c r="A349" s="285"/>
      <c r="B349" s="285"/>
      <c r="C349" s="285"/>
      <c r="D349" s="285"/>
      <c r="E349" s="285"/>
      <c r="F349" s="285"/>
      <c r="G349" s="285"/>
      <c r="H349" s="502"/>
      <c r="I349" s="285"/>
      <c r="J349" s="285"/>
      <c r="K349" s="285"/>
      <c r="L349" s="285"/>
      <c r="M349" s="285"/>
      <c r="N349" s="285"/>
      <c r="O349" s="285"/>
      <c r="P349" s="285"/>
      <c r="Q349" s="285"/>
      <c r="R349" s="285"/>
      <c r="S349" s="285"/>
      <c r="T349" s="285"/>
      <c r="U349" s="285"/>
      <c r="V349" s="285"/>
      <c r="W349" s="285"/>
      <c r="X349" s="285"/>
      <c r="Y349" s="285"/>
      <c r="Z349" s="285"/>
      <c r="AA349" s="285"/>
      <c r="AB349" s="285"/>
      <c r="AC349" s="285"/>
      <c r="AD349" s="285"/>
      <c r="AE349" s="285"/>
      <c r="AF349" s="285"/>
    </row>
    <row r="350" spans="1:56">
      <c r="A350" s="484" t="s">
        <v>1058</v>
      </c>
      <c r="B350" s="285"/>
      <c r="C350" s="285"/>
      <c r="D350" s="486"/>
      <c r="E350" s="511">
        <v>0</v>
      </c>
      <c r="F350" s="511">
        <v>0</v>
      </c>
      <c r="G350" s="511">
        <v>0</v>
      </c>
      <c r="H350" s="511">
        <v>0</v>
      </c>
      <c r="I350" s="511">
        <v>0</v>
      </c>
      <c r="J350" s="511">
        <v>0</v>
      </c>
      <c r="K350" s="511">
        <v>0</v>
      </c>
      <c r="L350" s="511">
        <v>0</v>
      </c>
      <c r="M350" s="511">
        <v>0</v>
      </c>
      <c r="N350" s="511">
        <v>0</v>
      </c>
      <c r="O350" s="511">
        <v>0</v>
      </c>
      <c r="P350" s="511">
        <v>0</v>
      </c>
      <c r="Q350" s="511">
        <v>0</v>
      </c>
      <c r="R350" s="511">
        <v>0</v>
      </c>
      <c r="S350" s="511">
        <v>0</v>
      </c>
      <c r="T350" s="511">
        <v>0</v>
      </c>
      <c r="U350" s="511">
        <v>0</v>
      </c>
      <c r="V350" s="511">
        <v>0</v>
      </c>
      <c r="W350" s="511">
        <v>0</v>
      </c>
      <c r="X350" s="511">
        <v>0</v>
      </c>
      <c r="Y350" s="511">
        <v>0</v>
      </c>
      <c r="Z350" s="511">
        <v>0</v>
      </c>
      <c r="AA350" s="511">
        <v>0</v>
      </c>
      <c r="AB350" s="511">
        <v>0</v>
      </c>
      <c r="AC350" s="511">
        <v>0</v>
      </c>
      <c r="AD350" s="511">
        <v>0</v>
      </c>
      <c r="AE350" s="511">
        <v>0</v>
      </c>
      <c r="AF350" s="511">
        <v>0</v>
      </c>
    </row>
    <row r="351" spans="1:56" ht="10.8" thickBot="1">
      <c r="A351" s="491" t="s">
        <v>1059</v>
      </c>
      <c r="B351" s="285"/>
      <c r="C351" s="285"/>
      <c r="D351" s="285"/>
      <c r="E351" s="512">
        <f t="shared" ref="E351:Z351" si="188">E348*(1-E350)</f>
        <v>0</v>
      </c>
      <c r="F351" s="512">
        <f t="shared" si="188"/>
        <v>0</v>
      </c>
      <c r="G351" s="512">
        <f t="shared" si="188"/>
        <v>0</v>
      </c>
      <c r="H351" s="512">
        <f t="shared" si="188"/>
        <v>0</v>
      </c>
      <c r="I351" s="512">
        <f t="shared" ca="1" si="188"/>
        <v>-1847.145062111111</v>
      </c>
      <c r="J351" s="512">
        <f t="shared" ca="1" si="188"/>
        <v>-4312.2767769105049</v>
      </c>
      <c r="K351" s="512">
        <f t="shared" ca="1" si="188"/>
        <v>-316.71956926962775</v>
      </c>
      <c r="L351" s="512">
        <f t="shared" ca="1" si="188"/>
        <v>-995.36918679336031</v>
      </c>
      <c r="M351" s="512">
        <f t="shared" ca="1" si="188"/>
        <v>-1164.1157927775839</v>
      </c>
      <c r="N351" s="512">
        <f t="shared" ca="1" si="188"/>
        <v>-1164.9872309780721</v>
      </c>
      <c r="O351" s="512">
        <f t="shared" ca="1" si="188"/>
        <v>-847.34619822882041</v>
      </c>
      <c r="P351" s="512">
        <f t="shared" ca="1" si="188"/>
        <v>-198.64262594737602</v>
      </c>
      <c r="Q351" s="512">
        <f t="shared" ca="1" si="188"/>
        <v>371.91610079447901</v>
      </c>
      <c r="R351" s="512">
        <f t="shared" ca="1" si="188"/>
        <v>1012.075847178919</v>
      </c>
      <c r="S351" s="512">
        <f t="shared" ca="1" si="188"/>
        <v>1652.7115406487014</v>
      </c>
      <c r="T351" s="512">
        <f t="shared" ca="1" si="188"/>
        <v>1474.0256366208105</v>
      </c>
      <c r="U351" s="512">
        <f t="shared" ca="1" si="188"/>
        <v>1902.6168226000248</v>
      </c>
      <c r="V351" s="512">
        <f t="shared" ca="1" si="188"/>
        <v>2897.6416587863378</v>
      </c>
      <c r="W351" s="512">
        <f t="shared" ca="1" si="188"/>
        <v>3485.511704881269</v>
      </c>
      <c r="X351" s="512">
        <f t="shared" ca="1" si="188"/>
        <v>6392.6062095253019</v>
      </c>
      <c r="Y351" s="512">
        <f t="shared" ca="1" si="188"/>
        <v>9767.9638349503002</v>
      </c>
      <c r="Z351" s="512">
        <f t="shared" ca="1" si="188"/>
        <v>9976.9648052854245</v>
      </c>
      <c r="AA351" s="512">
        <f t="shared" ref="AA351:AF351" ca="1" si="189">AA348*(1-AA350)</f>
        <v>10339.26111331724</v>
      </c>
      <c r="AB351" s="512">
        <f t="shared" ca="1" si="189"/>
        <v>10510.219400623448</v>
      </c>
      <c r="AC351" s="512">
        <f t="shared" ca="1" si="189"/>
        <v>10899.744526705299</v>
      </c>
      <c r="AD351" s="512">
        <f t="shared" ca="1" si="189"/>
        <v>11202.151698559399</v>
      </c>
      <c r="AE351" s="512">
        <f t="shared" ca="1" si="189"/>
        <v>11396.25529761174</v>
      </c>
      <c r="AF351" s="512">
        <f t="shared" ca="1" si="189"/>
        <v>10085.042959049748</v>
      </c>
    </row>
    <row r="352" spans="1:56" ht="10.8" thickTop="1">
      <c r="A352" s="285"/>
      <c r="B352" s="285"/>
      <c r="C352" s="285"/>
      <c r="D352" s="285"/>
      <c r="E352" s="285"/>
      <c r="F352" s="285"/>
      <c r="G352" s="285"/>
      <c r="H352" s="502"/>
      <c r="I352" s="285"/>
      <c r="J352" s="285"/>
      <c r="K352" s="285"/>
      <c r="L352" s="285"/>
      <c r="M352" s="285"/>
      <c r="N352" s="285"/>
      <c r="O352" s="285"/>
      <c r="P352" s="285"/>
      <c r="Q352" s="285"/>
      <c r="R352" s="285"/>
      <c r="S352" s="285"/>
      <c r="T352" s="285"/>
      <c r="U352" s="285"/>
      <c r="V352" s="285"/>
      <c r="W352" s="285"/>
      <c r="X352" s="285"/>
      <c r="Y352" s="285"/>
      <c r="Z352" s="285"/>
      <c r="AA352" s="285"/>
      <c r="AB352" s="285"/>
      <c r="AC352" s="285"/>
      <c r="AD352" s="285"/>
      <c r="AE352" s="285"/>
      <c r="AF352" s="285"/>
    </row>
    <row r="353" spans="1:32">
      <c r="A353" s="484" t="s">
        <v>1060</v>
      </c>
      <c r="B353" s="285"/>
      <c r="C353" s="285"/>
      <c r="D353" s="285"/>
      <c r="E353" s="285">
        <f>E624</f>
        <v>0</v>
      </c>
      <c r="F353" s="285">
        <f>F624</f>
        <v>0</v>
      </c>
      <c r="G353" s="285">
        <f>G624</f>
        <v>0</v>
      </c>
      <c r="H353" s="502">
        <f>H624</f>
        <v>0</v>
      </c>
      <c r="I353" s="876">
        <f ca="1">I736</f>
        <v>799.00000000000011</v>
      </c>
      <c r="J353" s="876">
        <f t="shared" ref="J353:AF353" ca="1" si="190">J736</f>
        <v>0</v>
      </c>
      <c r="K353" s="876">
        <f t="shared" ca="1" si="190"/>
        <v>2753.762861617533</v>
      </c>
      <c r="L353" s="876">
        <f t="shared" ca="1" si="190"/>
        <v>1511.2440628491213</v>
      </c>
      <c r="M353" s="876">
        <f t="shared" ca="1" si="190"/>
        <v>1126.5709761750591</v>
      </c>
      <c r="N353" s="876">
        <f t="shared" ca="1" si="190"/>
        <v>1136.0432653317648</v>
      </c>
      <c r="O353" s="876">
        <f t="shared" ca="1" si="190"/>
        <v>781.90097643004037</v>
      </c>
      <c r="P353" s="876">
        <f t="shared" ca="1" si="190"/>
        <v>797.98060782172433</v>
      </c>
      <c r="Q353" s="876">
        <f t="shared" ca="1" si="190"/>
        <v>1257.1138336626354</v>
      </c>
      <c r="R353" s="876">
        <f t="shared" ca="1" si="190"/>
        <v>2216.6241087188118</v>
      </c>
      <c r="S353" s="876">
        <f t="shared" ca="1" si="190"/>
        <v>2768.8207586107992</v>
      </c>
      <c r="T353" s="876">
        <f t="shared" ca="1" si="190"/>
        <v>3056.3267096332306</v>
      </c>
      <c r="U353" s="876">
        <f t="shared" ca="1" si="190"/>
        <v>2843.2111679944437</v>
      </c>
      <c r="V353" s="876">
        <f t="shared" ca="1" si="190"/>
        <v>4176.1017050463961</v>
      </c>
      <c r="W353" s="876">
        <f t="shared" ca="1" si="190"/>
        <v>3912.6881323226598</v>
      </c>
      <c r="X353" s="876">
        <f t="shared" ca="1" si="190"/>
        <v>2682.3886289702714</v>
      </c>
      <c r="Y353" s="876">
        <f t="shared" ca="1" si="190"/>
        <v>3376.9137682934797</v>
      </c>
      <c r="Z353" s="876">
        <f t="shared" ca="1" si="190"/>
        <v>6585.0084301396291</v>
      </c>
      <c r="AA353" s="876">
        <f t="shared" ca="1" si="190"/>
        <v>11367.975258794497</v>
      </c>
      <c r="AB353" s="876">
        <f t="shared" ca="1" si="190"/>
        <v>11539.253484503484</v>
      </c>
      <c r="AC353" s="876">
        <f t="shared" ca="1" si="190"/>
        <v>11824.604358037679</v>
      </c>
      <c r="AD353" s="876">
        <f t="shared" ca="1" si="190"/>
        <v>11993.721614884949</v>
      </c>
      <c r="AE353" s="876">
        <f t="shared" ca="1" si="190"/>
        <v>12189.275144125908</v>
      </c>
      <c r="AF353" s="876">
        <f t="shared" ca="1" si="190"/>
        <v>10991.518758930441</v>
      </c>
    </row>
    <row r="354" spans="1:32">
      <c r="A354" s="280"/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</row>
    <row r="355" spans="1:32">
      <c r="A355" s="280"/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</row>
    <row r="356" spans="1:32">
      <c r="I356" s="316"/>
      <c r="J356" s="316"/>
      <c r="K356" s="316"/>
      <c r="L356" s="316"/>
      <c r="M356" s="316"/>
      <c r="N356" s="316"/>
      <c r="O356" s="316"/>
      <c r="P356" s="316"/>
      <c r="Q356" s="316"/>
      <c r="R356" s="316"/>
      <c r="S356" s="316"/>
      <c r="T356" s="316"/>
      <c r="U356" s="316"/>
      <c r="V356" s="316"/>
      <c r="W356" s="316"/>
      <c r="X356" s="316"/>
      <c r="Y356" s="316"/>
      <c r="Z356" s="316"/>
      <c r="AA356" s="316"/>
      <c r="AB356" s="316"/>
      <c r="AC356" s="316"/>
      <c r="AD356" s="316"/>
      <c r="AE356" s="316"/>
      <c r="AF356" s="316"/>
    </row>
    <row r="357" spans="1:32" ht="10.8" thickBot="1">
      <c r="A357" s="280"/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</row>
    <row r="358" spans="1:32" ht="11.4" thickTop="1" thickBot="1">
      <c r="A358" s="285"/>
      <c r="B358" s="285"/>
      <c r="C358" s="285"/>
      <c r="D358" s="285"/>
      <c r="E358" s="513"/>
      <c r="F358" s="513"/>
      <c r="G358" s="513"/>
      <c r="H358" s="310">
        <f>H$638</f>
        <v>36373</v>
      </c>
      <c r="I358" s="310">
        <f t="shared" ref="I358:AF358" si="191">I$638</f>
        <v>36525</v>
      </c>
      <c r="J358" s="480">
        <f t="shared" si="191"/>
        <v>36891</v>
      </c>
      <c r="K358" s="480">
        <f t="shared" si="191"/>
        <v>37256</v>
      </c>
      <c r="L358" s="480">
        <f t="shared" si="191"/>
        <v>37621</v>
      </c>
      <c r="M358" s="480">
        <f t="shared" si="191"/>
        <v>37986</v>
      </c>
      <c r="N358" s="480">
        <f t="shared" si="191"/>
        <v>38352</v>
      </c>
      <c r="O358" s="480">
        <f t="shared" si="191"/>
        <v>38717</v>
      </c>
      <c r="P358" s="480">
        <f t="shared" si="191"/>
        <v>39082</v>
      </c>
      <c r="Q358" s="480">
        <f t="shared" si="191"/>
        <v>39447</v>
      </c>
      <c r="R358" s="480">
        <f t="shared" si="191"/>
        <v>39813</v>
      </c>
      <c r="S358" s="480">
        <f t="shared" si="191"/>
        <v>40178</v>
      </c>
      <c r="T358" s="480">
        <f t="shared" si="191"/>
        <v>40543</v>
      </c>
      <c r="U358" s="480">
        <f t="shared" si="191"/>
        <v>40908</v>
      </c>
      <c r="V358" s="480">
        <f t="shared" si="191"/>
        <v>41274</v>
      </c>
      <c r="W358" s="480">
        <f t="shared" si="191"/>
        <v>41639</v>
      </c>
      <c r="X358" s="480">
        <f t="shared" si="191"/>
        <v>42004</v>
      </c>
      <c r="Y358" s="480">
        <f t="shared" si="191"/>
        <v>42369</v>
      </c>
      <c r="Z358" s="480">
        <f t="shared" si="191"/>
        <v>42735</v>
      </c>
      <c r="AA358" s="480">
        <f t="shared" si="191"/>
        <v>43100</v>
      </c>
      <c r="AB358" s="480">
        <f t="shared" si="191"/>
        <v>43465</v>
      </c>
      <c r="AC358" s="480">
        <f t="shared" si="191"/>
        <v>43830</v>
      </c>
      <c r="AD358" s="480">
        <f t="shared" si="191"/>
        <v>44196</v>
      </c>
      <c r="AE358" s="480">
        <f t="shared" si="191"/>
        <v>44561</v>
      </c>
      <c r="AF358" s="480">
        <f t="shared" si="191"/>
        <v>44926</v>
      </c>
    </row>
    <row r="359" spans="1:32" ht="16.2" thickTop="1">
      <c r="A359" s="1688" t="s">
        <v>1061</v>
      </c>
      <c r="B359" s="285"/>
      <c r="C359" s="285"/>
      <c r="D359" s="481"/>
      <c r="E359" s="481"/>
      <c r="F359" s="481"/>
      <c r="G359" s="481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</row>
    <row r="360" spans="1:32">
      <c r="A360" s="491" t="s">
        <v>1062</v>
      </c>
      <c r="B360" s="285"/>
      <c r="C360" s="285"/>
      <c r="D360" s="285"/>
      <c r="E360" s="285"/>
      <c r="F360" s="285"/>
      <c r="G360" s="486"/>
      <c r="H360" s="486"/>
      <c r="I360" s="486"/>
      <c r="J360" s="486"/>
      <c r="K360" s="486"/>
      <c r="L360" s="486"/>
      <c r="M360" s="486"/>
      <c r="N360" s="486"/>
      <c r="O360" s="486"/>
      <c r="P360" s="486"/>
      <c r="Q360" s="486"/>
      <c r="R360" s="486"/>
      <c r="S360" s="486"/>
      <c r="T360" s="486"/>
      <c r="U360" s="486"/>
      <c r="V360" s="486"/>
      <c r="W360" s="486"/>
      <c r="X360" s="486"/>
      <c r="Y360" s="486"/>
      <c r="Z360" s="486"/>
      <c r="AA360" s="486"/>
      <c r="AB360" s="486"/>
      <c r="AC360" s="486"/>
      <c r="AD360" s="486"/>
      <c r="AE360" s="486"/>
      <c r="AF360" s="486"/>
    </row>
    <row r="361" spans="1:32">
      <c r="A361" s="285" t="str">
        <f>A348</f>
        <v>Net Income</v>
      </c>
      <c r="B361" s="285"/>
      <c r="C361" s="285"/>
      <c r="D361" s="285"/>
      <c r="E361" s="285"/>
      <c r="F361" s="285"/>
      <c r="G361" s="486"/>
      <c r="H361" s="486"/>
      <c r="I361" s="486">
        <f t="shared" ref="I361:Z361" ca="1" si="192">I348</f>
        <v>-1847.145062111111</v>
      </c>
      <c r="J361" s="486">
        <f t="shared" ca="1" si="192"/>
        <v>-4312.2767769105049</v>
      </c>
      <c r="K361" s="486">
        <f t="shared" ca="1" si="192"/>
        <v>-316.71956926962775</v>
      </c>
      <c r="L361" s="486">
        <f t="shared" ca="1" si="192"/>
        <v>-995.36918679336031</v>
      </c>
      <c r="M361" s="486">
        <f t="shared" ca="1" si="192"/>
        <v>-1164.1157927775839</v>
      </c>
      <c r="N361" s="486">
        <f t="shared" ca="1" si="192"/>
        <v>-1164.9872309780721</v>
      </c>
      <c r="O361" s="486">
        <f t="shared" ca="1" si="192"/>
        <v>-847.34619822882041</v>
      </c>
      <c r="P361" s="486">
        <f t="shared" ca="1" si="192"/>
        <v>-198.64262594737602</v>
      </c>
      <c r="Q361" s="486">
        <f t="shared" ca="1" si="192"/>
        <v>371.91610079447901</v>
      </c>
      <c r="R361" s="486">
        <f t="shared" ca="1" si="192"/>
        <v>1012.075847178919</v>
      </c>
      <c r="S361" s="486">
        <f t="shared" ca="1" si="192"/>
        <v>1652.7115406487014</v>
      </c>
      <c r="T361" s="486">
        <f t="shared" ca="1" si="192"/>
        <v>1474.0256366208105</v>
      </c>
      <c r="U361" s="486">
        <f t="shared" ca="1" si="192"/>
        <v>1902.6168226000248</v>
      </c>
      <c r="V361" s="486">
        <f t="shared" ca="1" si="192"/>
        <v>2897.6416587863378</v>
      </c>
      <c r="W361" s="486">
        <f t="shared" ca="1" si="192"/>
        <v>3485.511704881269</v>
      </c>
      <c r="X361" s="486">
        <f t="shared" ca="1" si="192"/>
        <v>6392.6062095253019</v>
      </c>
      <c r="Y361" s="486">
        <f t="shared" ca="1" si="192"/>
        <v>9767.9638349503002</v>
      </c>
      <c r="Z361" s="486">
        <f t="shared" ca="1" si="192"/>
        <v>9976.9648052854245</v>
      </c>
      <c r="AA361" s="486">
        <f t="shared" ref="AA361:AF361" ca="1" si="193">AA348</f>
        <v>10339.26111331724</v>
      </c>
      <c r="AB361" s="486">
        <f t="shared" ca="1" si="193"/>
        <v>10510.219400623448</v>
      </c>
      <c r="AC361" s="486">
        <f t="shared" ca="1" si="193"/>
        <v>10899.744526705299</v>
      </c>
      <c r="AD361" s="486">
        <f t="shared" ca="1" si="193"/>
        <v>11202.151698559399</v>
      </c>
      <c r="AE361" s="486">
        <f t="shared" ca="1" si="193"/>
        <v>11396.25529761174</v>
      </c>
      <c r="AF361" s="486">
        <f t="shared" ca="1" si="193"/>
        <v>10085.042959049748</v>
      </c>
    </row>
    <row r="362" spans="1:32">
      <c r="A362" s="484" t="s">
        <v>1063</v>
      </c>
      <c r="B362" s="285"/>
      <c r="C362" s="285"/>
      <c r="D362" s="285"/>
      <c r="E362" s="285"/>
      <c r="F362" s="285"/>
      <c r="G362" s="486"/>
      <c r="H362" s="486"/>
      <c r="I362" s="486">
        <f t="shared" ref="I362:Z362" ca="1" si="194">I323+I324+I325</f>
        <v>2238.1450631111111</v>
      </c>
      <c r="J362" s="486">
        <f t="shared" ca="1" si="194"/>
        <v>5299.2666666666664</v>
      </c>
      <c r="K362" s="486">
        <f t="shared" ca="1" si="194"/>
        <v>5299.2666666666664</v>
      </c>
      <c r="L362" s="486">
        <f t="shared" ca="1" si="194"/>
        <v>5299.2666666666664</v>
      </c>
      <c r="M362" s="486">
        <f t="shared" ca="1" si="194"/>
        <v>5368.6366987280098</v>
      </c>
      <c r="N362" s="486">
        <f t="shared" ca="1" si="194"/>
        <v>5465.7547436138912</v>
      </c>
      <c r="O362" s="486">
        <f t="shared" ca="1" si="194"/>
        <v>5465.7547436138912</v>
      </c>
      <c r="P362" s="486">
        <f t="shared" ca="1" si="194"/>
        <v>5465.7547436138912</v>
      </c>
      <c r="Q362" s="486">
        <f t="shared" ca="1" si="194"/>
        <v>5465.7547436138912</v>
      </c>
      <c r="R362" s="486">
        <f t="shared" ca="1" si="194"/>
        <v>5465.7547436138912</v>
      </c>
      <c r="S362" s="486">
        <f t="shared" ca="1" si="194"/>
        <v>5465.7547436138912</v>
      </c>
      <c r="T362" s="486">
        <f t="shared" ca="1" si="194"/>
        <v>5465.7547436138912</v>
      </c>
      <c r="U362" s="486">
        <f t="shared" ca="1" si="194"/>
        <v>5493.8146758222174</v>
      </c>
      <c r="V362" s="486">
        <f t="shared" ca="1" si="194"/>
        <v>5533.0985809138738</v>
      </c>
      <c r="W362" s="486">
        <f t="shared" ca="1" si="194"/>
        <v>5533.0985809138738</v>
      </c>
      <c r="X362" s="486">
        <f t="shared" ca="1" si="194"/>
        <v>3294.9535178027631</v>
      </c>
      <c r="Y362" s="486">
        <f t="shared" ca="1" si="194"/>
        <v>570.48595261647438</v>
      </c>
      <c r="Z362" s="486">
        <f t="shared" ca="1" si="194"/>
        <v>1041.8016063334476</v>
      </c>
      <c r="AA362" s="486">
        <f t="shared" ref="AA362:AF362" ca="1" si="195">AA323+AA324+AA325</f>
        <v>1041.8016063334476</v>
      </c>
      <c r="AB362" s="486">
        <f t="shared" ca="1" si="195"/>
        <v>1041.8016063334476</v>
      </c>
      <c r="AC362" s="486">
        <f t="shared" ca="1" si="195"/>
        <v>944.37164206377781</v>
      </c>
      <c r="AD362" s="486">
        <f t="shared" ca="1" si="195"/>
        <v>807.96969208624</v>
      </c>
      <c r="AE362" s="486">
        <f t="shared" ca="1" si="195"/>
        <v>807.96969208624</v>
      </c>
      <c r="AF362" s="486">
        <f t="shared" ca="1" si="195"/>
        <v>807.96969208624</v>
      </c>
    </row>
    <row r="363" spans="1:32">
      <c r="A363" s="484" t="s">
        <v>1064</v>
      </c>
      <c r="B363" s="285"/>
      <c r="C363" s="285"/>
      <c r="D363" s="285"/>
      <c r="E363" s="285"/>
      <c r="F363" s="285"/>
      <c r="G363" s="486"/>
      <c r="H363" s="486"/>
      <c r="I363" s="486">
        <f t="shared" ref="I363:Z363" ca="1" si="196">I715</f>
        <v>0</v>
      </c>
      <c r="J363" s="486">
        <f t="shared" ca="1" si="196"/>
        <v>0</v>
      </c>
      <c r="K363" s="486">
        <f t="shared" ca="1" si="196"/>
        <v>0</v>
      </c>
      <c r="L363" s="486">
        <f t="shared" ca="1" si="196"/>
        <v>0</v>
      </c>
      <c r="M363" s="486">
        <f t="shared" ca="1" si="196"/>
        <v>0</v>
      </c>
      <c r="N363" s="486">
        <f t="shared" ca="1" si="196"/>
        <v>0</v>
      </c>
      <c r="O363" s="486">
        <f t="shared" ca="1" si="196"/>
        <v>0</v>
      </c>
      <c r="P363" s="486">
        <f t="shared" ca="1" si="196"/>
        <v>0</v>
      </c>
      <c r="Q363" s="486">
        <f t="shared" ca="1" si="196"/>
        <v>0</v>
      </c>
      <c r="R363" s="486">
        <f t="shared" ca="1" si="196"/>
        <v>0</v>
      </c>
      <c r="S363" s="486">
        <f t="shared" ca="1" si="196"/>
        <v>0</v>
      </c>
      <c r="T363" s="486">
        <f t="shared" ca="1" si="196"/>
        <v>0</v>
      </c>
      <c r="U363" s="486">
        <f t="shared" ca="1" si="196"/>
        <v>0</v>
      </c>
      <c r="V363" s="486">
        <f t="shared" ca="1" si="196"/>
        <v>0</v>
      </c>
      <c r="W363" s="486">
        <f t="shared" ca="1" si="196"/>
        <v>0</v>
      </c>
      <c r="X363" s="486">
        <f t="shared" ca="1" si="196"/>
        <v>0</v>
      </c>
      <c r="Y363" s="486">
        <f t="shared" ca="1" si="196"/>
        <v>0</v>
      </c>
      <c r="Z363" s="486">
        <f t="shared" ca="1" si="196"/>
        <v>0</v>
      </c>
      <c r="AA363" s="486">
        <f t="shared" ref="AA363:AF363" ca="1" si="197">AA715</f>
        <v>0</v>
      </c>
      <c r="AB363" s="486">
        <f t="shared" ca="1" si="197"/>
        <v>0</v>
      </c>
      <c r="AC363" s="486">
        <f t="shared" ca="1" si="197"/>
        <v>0</v>
      </c>
      <c r="AD363" s="486">
        <f t="shared" ca="1" si="197"/>
        <v>0</v>
      </c>
      <c r="AE363" s="486">
        <f t="shared" ca="1" si="197"/>
        <v>0</v>
      </c>
      <c r="AF363" s="486">
        <f t="shared" ca="1" si="197"/>
        <v>0</v>
      </c>
    </row>
    <row r="364" spans="1:32">
      <c r="A364" s="484" t="s">
        <v>1065</v>
      </c>
      <c r="B364" s="285"/>
      <c r="C364" s="285"/>
      <c r="D364" s="285"/>
      <c r="E364" s="285"/>
      <c r="F364" s="285"/>
      <c r="G364" s="486"/>
      <c r="H364" s="486"/>
      <c r="I364" s="486">
        <f t="shared" ref="I364:Z364" si="198">(+I608*-1)+(I616*-1)</f>
        <v>0</v>
      </c>
      <c r="J364" s="486">
        <f t="shared" si="198"/>
        <v>0</v>
      </c>
      <c r="K364" s="486">
        <f t="shared" si="198"/>
        <v>0</v>
      </c>
      <c r="L364" s="486">
        <f t="shared" si="198"/>
        <v>0</v>
      </c>
      <c r="M364" s="486">
        <f t="shared" si="198"/>
        <v>0</v>
      </c>
      <c r="N364" s="486">
        <f t="shared" si="198"/>
        <v>0</v>
      </c>
      <c r="O364" s="486">
        <f t="shared" si="198"/>
        <v>0</v>
      </c>
      <c r="P364" s="486">
        <f t="shared" si="198"/>
        <v>0</v>
      </c>
      <c r="Q364" s="486">
        <f t="shared" si="198"/>
        <v>0</v>
      </c>
      <c r="R364" s="486">
        <f t="shared" si="198"/>
        <v>0</v>
      </c>
      <c r="S364" s="486">
        <f t="shared" si="198"/>
        <v>0</v>
      </c>
      <c r="T364" s="486">
        <f t="shared" si="198"/>
        <v>0</v>
      </c>
      <c r="U364" s="486">
        <f t="shared" si="198"/>
        <v>0</v>
      </c>
      <c r="V364" s="486">
        <f t="shared" si="198"/>
        <v>0</v>
      </c>
      <c r="W364" s="486">
        <f t="shared" si="198"/>
        <v>0</v>
      </c>
      <c r="X364" s="486">
        <f t="shared" si="198"/>
        <v>0</v>
      </c>
      <c r="Y364" s="486">
        <f t="shared" si="198"/>
        <v>0</v>
      </c>
      <c r="Z364" s="486">
        <f t="shared" si="198"/>
        <v>0</v>
      </c>
      <c r="AA364" s="486">
        <f t="shared" ref="AA364:AF364" si="199">(+AA608*-1)+(AA616*-1)</f>
        <v>0</v>
      </c>
      <c r="AB364" s="486">
        <f t="shared" si="199"/>
        <v>0</v>
      </c>
      <c r="AC364" s="486">
        <f t="shared" si="199"/>
        <v>0</v>
      </c>
      <c r="AD364" s="486">
        <f t="shared" si="199"/>
        <v>0</v>
      </c>
      <c r="AE364" s="486">
        <f t="shared" si="199"/>
        <v>0</v>
      </c>
      <c r="AF364" s="486">
        <f t="shared" si="199"/>
        <v>0</v>
      </c>
    </row>
    <row r="365" spans="1:32">
      <c r="A365" s="467" t="s">
        <v>1066</v>
      </c>
      <c r="B365" s="285"/>
      <c r="C365" s="285"/>
      <c r="D365" s="285"/>
      <c r="E365" s="285"/>
      <c r="F365" s="285"/>
      <c r="G365" s="486"/>
      <c r="H365" s="486"/>
      <c r="I365" s="486">
        <f t="shared" ref="I365:Z365" si="200">I653</f>
        <v>0</v>
      </c>
      <c r="J365" s="486">
        <f t="shared" si="200"/>
        <v>0</v>
      </c>
      <c r="K365" s="486">
        <f t="shared" si="200"/>
        <v>0</v>
      </c>
      <c r="L365" s="486">
        <f t="shared" si="200"/>
        <v>0</v>
      </c>
      <c r="M365" s="486">
        <f t="shared" si="200"/>
        <v>0</v>
      </c>
      <c r="N365" s="486">
        <f t="shared" si="200"/>
        <v>0</v>
      </c>
      <c r="O365" s="486">
        <f t="shared" si="200"/>
        <v>0</v>
      </c>
      <c r="P365" s="486">
        <f t="shared" si="200"/>
        <v>0</v>
      </c>
      <c r="Q365" s="486">
        <f t="shared" si="200"/>
        <v>0</v>
      </c>
      <c r="R365" s="486">
        <f t="shared" si="200"/>
        <v>0</v>
      </c>
      <c r="S365" s="486">
        <f t="shared" si="200"/>
        <v>0</v>
      </c>
      <c r="T365" s="486">
        <f t="shared" si="200"/>
        <v>0</v>
      </c>
      <c r="U365" s="486">
        <f t="shared" si="200"/>
        <v>0</v>
      </c>
      <c r="V365" s="486">
        <f t="shared" si="200"/>
        <v>0</v>
      </c>
      <c r="W365" s="486">
        <f t="shared" si="200"/>
        <v>0</v>
      </c>
      <c r="X365" s="486">
        <f t="shared" si="200"/>
        <v>0</v>
      </c>
      <c r="Y365" s="486">
        <f t="shared" si="200"/>
        <v>0</v>
      </c>
      <c r="Z365" s="486">
        <f t="shared" si="200"/>
        <v>0</v>
      </c>
      <c r="AA365" s="486">
        <f t="shared" ref="AA365:AF365" si="201">AA653</f>
        <v>0</v>
      </c>
      <c r="AB365" s="486">
        <f t="shared" si="201"/>
        <v>0</v>
      </c>
      <c r="AC365" s="486">
        <f t="shared" si="201"/>
        <v>0</v>
      </c>
      <c r="AD365" s="486">
        <f t="shared" si="201"/>
        <v>0</v>
      </c>
      <c r="AE365" s="486">
        <f t="shared" si="201"/>
        <v>0</v>
      </c>
      <c r="AF365" s="486">
        <f t="shared" si="201"/>
        <v>0</v>
      </c>
    </row>
    <row r="366" spans="1:32">
      <c r="A366" s="491" t="s">
        <v>1067</v>
      </c>
      <c r="B366" s="285"/>
      <c r="C366" s="285"/>
      <c r="D366" s="285"/>
      <c r="E366" s="285"/>
      <c r="F366" s="285"/>
      <c r="G366" s="486"/>
      <c r="H366" s="495"/>
      <c r="I366" s="495">
        <f t="shared" ref="I366:AE366" ca="1" si="202">SUM(I361:I365)</f>
        <v>391.00000100000011</v>
      </c>
      <c r="J366" s="495">
        <f t="shared" ca="1" si="202"/>
        <v>986.98988975616157</v>
      </c>
      <c r="K366" s="495">
        <f t="shared" ca="1" si="202"/>
        <v>4982.5470973970387</v>
      </c>
      <c r="L366" s="495">
        <f t="shared" ca="1" si="202"/>
        <v>4303.8974798733061</v>
      </c>
      <c r="M366" s="495">
        <f t="shared" ca="1" si="202"/>
        <v>4204.5209059504259</v>
      </c>
      <c r="N366" s="495">
        <f t="shared" ca="1" si="202"/>
        <v>4300.767512635819</v>
      </c>
      <c r="O366" s="495">
        <f t="shared" ca="1" si="202"/>
        <v>4618.4085453850712</v>
      </c>
      <c r="P366" s="495">
        <f t="shared" ca="1" si="202"/>
        <v>5267.1121176665147</v>
      </c>
      <c r="Q366" s="495">
        <f t="shared" ca="1" si="202"/>
        <v>5837.6708444083706</v>
      </c>
      <c r="R366" s="495">
        <f t="shared" ca="1" si="202"/>
        <v>6477.8305907928097</v>
      </c>
      <c r="S366" s="495">
        <f t="shared" ca="1" si="202"/>
        <v>7118.466284262593</v>
      </c>
      <c r="T366" s="495">
        <f t="shared" ca="1" si="202"/>
        <v>6939.7803802347016</v>
      </c>
      <c r="U366" s="495">
        <f t="shared" ca="1" si="202"/>
        <v>7396.4314984222419</v>
      </c>
      <c r="V366" s="495">
        <f t="shared" ca="1" si="202"/>
        <v>8430.7402397002115</v>
      </c>
      <c r="W366" s="495">
        <f t="shared" ca="1" si="202"/>
        <v>9018.6102857951428</v>
      </c>
      <c r="X366" s="495">
        <f t="shared" ca="1" si="202"/>
        <v>9687.5597273280655</v>
      </c>
      <c r="Y366" s="495">
        <f t="shared" ca="1" si="202"/>
        <v>10338.449787566775</v>
      </c>
      <c r="Z366" s="495">
        <f t="shared" ca="1" si="202"/>
        <v>11018.766411618872</v>
      </c>
      <c r="AA366" s="495">
        <f t="shared" ca="1" si="202"/>
        <v>11381.062719650687</v>
      </c>
      <c r="AB366" s="495">
        <f t="shared" ca="1" si="202"/>
        <v>11552.021006956895</v>
      </c>
      <c r="AC366" s="495">
        <f t="shared" ca="1" si="202"/>
        <v>11844.116168769076</v>
      </c>
      <c r="AD366" s="495">
        <f t="shared" ca="1" si="202"/>
        <v>12010.12139064564</v>
      </c>
      <c r="AE366" s="495">
        <f t="shared" ca="1" si="202"/>
        <v>12204.224989697981</v>
      </c>
      <c r="AF366" s="495">
        <f ca="1">SUM(AF361:AF365)</f>
        <v>10893.012651135989</v>
      </c>
    </row>
    <row r="367" spans="1:32">
      <c r="A367" s="285"/>
      <c r="B367" s="285"/>
      <c r="C367" s="285"/>
      <c r="D367" s="285"/>
      <c r="E367" s="285"/>
      <c r="F367" s="285"/>
      <c r="G367" s="486"/>
      <c r="H367" s="486"/>
      <c r="I367" s="486"/>
      <c r="J367" s="486"/>
      <c r="K367" s="486"/>
      <c r="L367" s="486"/>
      <c r="M367" s="486"/>
      <c r="N367" s="486"/>
      <c r="O367" s="486"/>
      <c r="P367" s="486"/>
      <c r="Q367" s="486"/>
      <c r="R367" s="486"/>
      <c r="S367" s="486"/>
      <c r="T367" s="486"/>
      <c r="U367" s="486"/>
      <c r="V367" s="486"/>
      <c r="W367" s="486"/>
      <c r="X367" s="486"/>
      <c r="Y367" s="486"/>
      <c r="Z367" s="486"/>
      <c r="AA367" s="486"/>
      <c r="AB367" s="486"/>
      <c r="AC367" s="486"/>
      <c r="AD367" s="486"/>
      <c r="AE367" s="486"/>
      <c r="AF367" s="486"/>
    </row>
    <row r="368" spans="1:32">
      <c r="A368" s="491" t="s">
        <v>1068</v>
      </c>
      <c r="B368" s="285"/>
      <c r="C368" s="285"/>
      <c r="D368" s="285"/>
      <c r="E368" s="285"/>
      <c r="F368" s="285"/>
      <c r="G368" s="486"/>
      <c r="H368" s="486"/>
      <c r="I368" s="486"/>
      <c r="J368" s="486"/>
      <c r="K368" s="486"/>
      <c r="L368" s="486"/>
      <c r="M368" s="486"/>
      <c r="N368" s="486"/>
      <c r="O368" s="486"/>
      <c r="P368" s="486"/>
      <c r="Q368" s="486"/>
      <c r="R368" s="486"/>
      <c r="S368" s="486"/>
      <c r="T368" s="486"/>
      <c r="U368" s="486"/>
      <c r="V368" s="486"/>
      <c r="W368" s="486"/>
      <c r="X368" s="486"/>
      <c r="Y368" s="486"/>
      <c r="Z368" s="486"/>
      <c r="AA368" s="486"/>
      <c r="AB368" s="486"/>
      <c r="AC368" s="486"/>
      <c r="AD368" s="486"/>
      <c r="AE368" s="486"/>
      <c r="AF368" s="486"/>
    </row>
    <row r="369" spans="1:32">
      <c r="A369" s="285" t="s">
        <v>254</v>
      </c>
      <c r="B369" s="285"/>
      <c r="C369" s="285"/>
      <c r="D369" s="285"/>
      <c r="E369" s="285"/>
      <c r="F369" s="285"/>
      <c r="G369" s="486"/>
      <c r="H369" s="486">
        <f ca="1">H774-G369</f>
        <v>78714.555519999994</v>
      </c>
      <c r="I369" s="486">
        <f t="shared" ref="I369:Z369" si="203">I774</f>
        <v>0</v>
      </c>
      <c r="J369" s="486">
        <f t="shared" si="203"/>
        <v>0</v>
      </c>
      <c r="K369" s="486">
        <f t="shared" si="203"/>
        <v>0</v>
      </c>
      <c r="L369" s="486">
        <f t="shared" si="203"/>
        <v>0</v>
      </c>
      <c r="M369" s="486">
        <f t="shared" si="203"/>
        <v>1331.9046155778003</v>
      </c>
      <c r="N369" s="486">
        <f t="shared" si="203"/>
        <v>0</v>
      </c>
      <c r="O369" s="486">
        <f t="shared" si="203"/>
        <v>0</v>
      </c>
      <c r="P369" s="486">
        <f t="shared" si="203"/>
        <v>0</v>
      </c>
      <c r="Q369" s="486">
        <f t="shared" si="203"/>
        <v>4611.7398197956873</v>
      </c>
      <c r="R369" s="486">
        <f t="shared" si="203"/>
        <v>0</v>
      </c>
      <c r="S369" s="486">
        <f t="shared" si="203"/>
        <v>0</v>
      </c>
      <c r="T369" s="486">
        <f t="shared" si="203"/>
        <v>0</v>
      </c>
      <c r="U369" s="486">
        <f t="shared" si="203"/>
        <v>1870.6553139776611</v>
      </c>
      <c r="V369" s="486">
        <f t="shared" si="203"/>
        <v>0</v>
      </c>
      <c r="W369" s="486">
        <f t="shared" si="203"/>
        <v>0</v>
      </c>
      <c r="X369" s="486">
        <f t="shared" si="203"/>
        <v>0</v>
      </c>
      <c r="Y369" s="486">
        <f t="shared" si="203"/>
        <v>6463.75753668992</v>
      </c>
      <c r="Z369" s="486">
        <f t="shared" si="203"/>
        <v>0</v>
      </c>
      <c r="AA369" s="486">
        <f t="shared" ref="AA369:AF369" si="204">AA774</f>
        <v>0</v>
      </c>
      <c r="AB369" s="486">
        <f t="shared" si="204"/>
        <v>0</v>
      </c>
      <c r="AC369" s="486">
        <f t="shared" si="204"/>
        <v>0</v>
      </c>
      <c r="AD369" s="486">
        <f t="shared" si="204"/>
        <v>0</v>
      </c>
      <c r="AE369" s="486">
        <f t="shared" si="204"/>
        <v>0</v>
      </c>
      <c r="AF369" s="486">
        <f t="shared" si="204"/>
        <v>0</v>
      </c>
    </row>
    <row r="370" spans="1:32">
      <c r="A370" s="285" t="str">
        <f>B493</f>
        <v>Transaction Fees</v>
      </c>
      <c r="B370" s="285"/>
      <c r="C370" s="285"/>
      <c r="D370" s="285"/>
      <c r="E370" s="285"/>
      <c r="F370" s="285"/>
      <c r="G370" s="486"/>
      <c r="H370" s="486">
        <f ca="1">H493</f>
        <v>774.44448</v>
      </c>
      <c r="I370" s="486">
        <f t="shared" ref="I370:AF370" ca="1" si="205">I493</f>
        <v>0</v>
      </c>
      <c r="J370" s="486">
        <f t="shared" ca="1" si="205"/>
        <v>0</v>
      </c>
      <c r="K370" s="486">
        <f t="shared" ca="1" si="205"/>
        <v>0</v>
      </c>
      <c r="L370" s="486">
        <f t="shared" ca="1" si="205"/>
        <v>0</v>
      </c>
      <c r="M370" s="486">
        <f t="shared" ca="1" si="205"/>
        <v>0</v>
      </c>
      <c r="N370" s="486">
        <f t="shared" ca="1" si="205"/>
        <v>0</v>
      </c>
      <c r="O370" s="486">
        <f t="shared" ca="1" si="205"/>
        <v>0</v>
      </c>
      <c r="P370" s="486">
        <f t="shared" ca="1" si="205"/>
        <v>0</v>
      </c>
      <c r="Q370" s="486">
        <f t="shared" ca="1" si="205"/>
        <v>0</v>
      </c>
      <c r="R370" s="486">
        <f t="shared" ca="1" si="205"/>
        <v>0</v>
      </c>
      <c r="S370" s="486">
        <f t="shared" ca="1" si="205"/>
        <v>0</v>
      </c>
      <c r="T370" s="486">
        <f t="shared" ca="1" si="205"/>
        <v>0</v>
      </c>
      <c r="U370" s="486">
        <f t="shared" ca="1" si="205"/>
        <v>0</v>
      </c>
      <c r="V370" s="486">
        <f t="shared" ca="1" si="205"/>
        <v>0</v>
      </c>
      <c r="W370" s="486">
        <f t="shared" ca="1" si="205"/>
        <v>0</v>
      </c>
      <c r="X370" s="486">
        <f t="shared" ca="1" si="205"/>
        <v>0</v>
      </c>
      <c r="Y370" s="486">
        <f t="shared" ca="1" si="205"/>
        <v>0</v>
      </c>
      <c r="Z370" s="486">
        <f t="shared" ca="1" si="205"/>
        <v>0</v>
      </c>
      <c r="AA370" s="486">
        <f t="shared" ca="1" si="205"/>
        <v>0</v>
      </c>
      <c r="AB370" s="486">
        <f t="shared" ca="1" si="205"/>
        <v>0</v>
      </c>
      <c r="AC370" s="486">
        <f t="shared" ca="1" si="205"/>
        <v>0</v>
      </c>
      <c r="AD370" s="486">
        <f t="shared" ca="1" si="205"/>
        <v>0</v>
      </c>
      <c r="AE370" s="486">
        <f t="shared" ca="1" si="205"/>
        <v>0</v>
      </c>
      <c r="AF370" s="486">
        <f t="shared" ca="1" si="205"/>
        <v>0</v>
      </c>
    </row>
    <row r="371" spans="1:32">
      <c r="A371" s="484" t="s">
        <v>1069</v>
      </c>
      <c r="B371" s="285"/>
      <c r="C371" s="285"/>
      <c r="D371" s="514"/>
      <c r="E371" s="514"/>
      <c r="F371" s="514"/>
      <c r="G371" s="486"/>
      <c r="H371" s="865">
        <f ca="1">H577</f>
        <v>1011</v>
      </c>
      <c r="I371" s="486">
        <f t="shared" ref="I371:Z371" ca="1" si="206">I577-H577</f>
        <v>-799</v>
      </c>
      <c r="J371" s="486">
        <f t="shared" ca="1" si="206"/>
        <v>295.06793861447443</v>
      </c>
      <c r="K371" s="486">
        <f t="shared" si="206"/>
        <v>80.784185779505265</v>
      </c>
      <c r="L371" s="486">
        <f t="shared" si="206"/>
        <v>-41.322639370265733</v>
      </c>
      <c r="M371" s="486">
        <f t="shared" si="206"/>
        <v>-22.978541907983299</v>
      </c>
      <c r="N371" s="486">
        <f t="shared" si="206"/>
        <v>-8.275750695946499</v>
      </c>
      <c r="O371" s="486">
        <f t="shared" si="206"/>
        <v>1.0400874805698095</v>
      </c>
      <c r="P371" s="486">
        <f t="shared" si="206"/>
        <v>20.261573946947465</v>
      </c>
      <c r="Q371" s="486">
        <f t="shared" si="206"/>
        <v>16.15458682235294</v>
      </c>
      <c r="R371" s="486">
        <f t="shared" si="206"/>
        <v>18.20648957399726</v>
      </c>
      <c r="S371" s="486">
        <f t="shared" si="206"/>
        <v>8.645548651793888</v>
      </c>
      <c r="T371" s="486">
        <f t="shared" si="206"/>
        <v>15.789907107056479</v>
      </c>
      <c r="U371" s="486">
        <f t="shared" si="206"/>
        <v>10.228801944553197</v>
      </c>
      <c r="V371" s="486">
        <f t="shared" si="206"/>
        <v>15.638572653816027</v>
      </c>
      <c r="W371" s="486">
        <f t="shared" si="206"/>
        <v>11.952409386242152</v>
      </c>
      <c r="X371" s="486">
        <f t="shared" si="206"/>
        <v>14.292355512835002</v>
      </c>
      <c r="Y371" s="486">
        <f t="shared" si="206"/>
        <v>16.626949514575017</v>
      </c>
      <c r="Z371" s="486">
        <f t="shared" si="206"/>
        <v>16.757876979263301</v>
      </c>
      <c r="AA371" s="486">
        <f t="shared" ref="AA371:AF371" si="207">AA577-Z577</f>
        <v>13.087460856191683</v>
      </c>
      <c r="AB371" s="486">
        <f t="shared" si="207"/>
        <v>12.767522453425272</v>
      </c>
      <c r="AC371" s="486">
        <f t="shared" si="207"/>
        <v>19.511810731401965</v>
      </c>
      <c r="AD371" s="486">
        <f t="shared" si="207"/>
        <v>16.399775760696684</v>
      </c>
      <c r="AE371" s="486">
        <f t="shared" si="207"/>
        <v>14.94984557208636</v>
      </c>
      <c r="AF371" s="486">
        <f t="shared" si="207"/>
        <v>-98.506107794444006</v>
      </c>
    </row>
    <row r="372" spans="1:32">
      <c r="A372" s="285" t="str">
        <f>A595</f>
        <v>Increase/(Decrease) in Reserve Accounts</v>
      </c>
      <c r="B372" s="285"/>
      <c r="C372" s="285"/>
      <c r="D372" s="285"/>
      <c r="E372" s="285"/>
      <c r="F372" s="285"/>
      <c r="G372" s="285"/>
      <c r="H372" s="864">
        <f>+H595-G595</f>
        <v>0</v>
      </c>
      <c r="I372" s="285">
        <f t="shared" ref="I372:Z372" si="208">I595</f>
        <v>0</v>
      </c>
      <c r="J372" s="285">
        <f t="shared" si="208"/>
        <v>0</v>
      </c>
      <c r="K372" s="285">
        <f t="shared" si="208"/>
        <v>0</v>
      </c>
      <c r="L372" s="285">
        <f t="shared" si="208"/>
        <v>332.97615389445008</v>
      </c>
      <c r="M372" s="285">
        <f t="shared" si="208"/>
        <v>-332.97615389445008</v>
      </c>
      <c r="N372" s="285">
        <f t="shared" si="208"/>
        <v>0</v>
      </c>
      <c r="O372" s="285">
        <f t="shared" si="208"/>
        <v>576.46747747446091</v>
      </c>
      <c r="P372" s="285">
        <f t="shared" si="208"/>
        <v>2305.8699098978436</v>
      </c>
      <c r="Q372" s="285">
        <f t="shared" si="208"/>
        <v>-2882.3373873723044</v>
      </c>
      <c r="R372" s="285">
        <f t="shared" si="208"/>
        <v>0</v>
      </c>
      <c r="S372" s="285">
        <f t="shared" si="208"/>
        <v>0</v>
      </c>
      <c r="T372" s="285">
        <f t="shared" si="208"/>
        <v>467.66382849441527</v>
      </c>
      <c r="U372" s="285">
        <f t="shared" si="208"/>
        <v>-467.66382849441527</v>
      </c>
      <c r="V372" s="285">
        <f t="shared" si="208"/>
        <v>0</v>
      </c>
      <c r="W372" s="285">
        <f t="shared" si="208"/>
        <v>807.96969208624</v>
      </c>
      <c r="X372" s="285">
        <f t="shared" si="208"/>
        <v>3231.87876834496</v>
      </c>
      <c r="Y372" s="285">
        <f t="shared" si="208"/>
        <v>-4039.8484604311998</v>
      </c>
      <c r="Z372" s="285">
        <f t="shared" si="208"/>
        <v>0</v>
      </c>
      <c r="AA372" s="285">
        <f t="shared" ref="AA372:AF372" si="209">AA595</f>
        <v>0</v>
      </c>
      <c r="AB372" s="285">
        <f t="shared" si="209"/>
        <v>0</v>
      </c>
      <c r="AC372" s="285">
        <f t="shared" si="209"/>
        <v>0</v>
      </c>
      <c r="AD372" s="285">
        <f t="shared" si="209"/>
        <v>0</v>
      </c>
      <c r="AE372" s="285">
        <f t="shared" si="209"/>
        <v>0</v>
      </c>
      <c r="AF372" s="285">
        <f t="shared" si="209"/>
        <v>0</v>
      </c>
    </row>
    <row r="373" spans="1:32">
      <c r="A373" s="484" t="s">
        <v>1070</v>
      </c>
      <c r="B373" s="484" t="str">
        <f>B481</f>
        <v>Purchase Term Loan</v>
      </c>
      <c r="C373" s="285"/>
      <c r="D373" s="285"/>
      <c r="E373" s="285"/>
      <c r="F373" s="285"/>
      <c r="G373" s="486"/>
      <c r="H373" s="486"/>
      <c r="I373" s="486">
        <f t="shared" ref="I373:Z373" si="210">I603</f>
        <v>391.000001</v>
      </c>
      <c r="J373" s="486">
        <f t="shared" si="210"/>
        <v>1601.9999830000002</v>
      </c>
      <c r="K373" s="486">
        <f t="shared" si="210"/>
        <v>2148.0000500000001</v>
      </c>
      <c r="L373" s="486">
        <f t="shared" si="210"/>
        <v>2500.9999025000002</v>
      </c>
      <c r="M373" s="486">
        <f t="shared" si="210"/>
        <v>2102.0000100000002</v>
      </c>
      <c r="N373" s="486">
        <f t="shared" si="210"/>
        <v>3172.9999980000002</v>
      </c>
      <c r="O373" s="486">
        <f t="shared" si="210"/>
        <v>3259.000004</v>
      </c>
      <c r="P373" s="486">
        <f t="shared" si="210"/>
        <v>2143.0000259999997</v>
      </c>
      <c r="Q373" s="486">
        <f t="shared" si="210"/>
        <v>2834.9999914999999</v>
      </c>
      <c r="R373" s="486">
        <f t="shared" si="210"/>
        <v>4242.9999925000011</v>
      </c>
      <c r="S373" s="486">
        <f t="shared" si="210"/>
        <v>4340.9999770000004</v>
      </c>
      <c r="T373" s="486">
        <f t="shared" si="210"/>
        <v>3399.9999349999998</v>
      </c>
      <c r="U373" s="486">
        <f t="shared" si="210"/>
        <v>3140.000043</v>
      </c>
      <c r="V373" s="486">
        <f t="shared" si="210"/>
        <v>4238.9999619999999</v>
      </c>
      <c r="W373" s="486">
        <f t="shared" si="210"/>
        <v>4286.0000520000012</v>
      </c>
      <c r="X373" s="486">
        <f t="shared" si="210"/>
        <v>3758.9999744999996</v>
      </c>
      <c r="Y373" s="486">
        <f t="shared" si="210"/>
        <v>4520.9999934999996</v>
      </c>
      <c r="Z373" s="486">
        <f t="shared" si="210"/>
        <v>4417.0001044999954</v>
      </c>
      <c r="AA373" s="486">
        <f t="shared" ref="AA373:AF373" si="211">AA603</f>
        <v>0</v>
      </c>
      <c r="AB373" s="486">
        <f t="shared" si="211"/>
        <v>0</v>
      </c>
      <c r="AC373" s="486">
        <f t="shared" si="211"/>
        <v>0</v>
      </c>
      <c r="AD373" s="486">
        <f t="shared" si="211"/>
        <v>0</v>
      </c>
      <c r="AE373" s="486">
        <f t="shared" si="211"/>
        <v>0</v>
      </c>
      <c r="AF373" s="486">
        <f t="shared" si="211"/>
        <v>0</v>
      </c>
    </row>
    <row r="374" spans="1:32">
      <c r="A374" s="484" t="s">
        <v>1070</v>
      </c>
      <c r="B374" s="484" t="str">
        <f>B482</f>
        <v>Other Term Loan</v>
      </c>
      <c r="C374" s="285"/>
      <c r="D374" s="285"/>
      <c r="E374" s="285"/>
      <c r="F374" s="285"/>
      <c r="G374" s="486"/>
      <c r="H374" s="486"/>
      <c r="I374" s="486">
        <f t="shared" ref="I374:Z374" si="212">I611</f>
        <v>0</v>
      </c>
      <c r="J374" s="486">
        <f t="shared" si="212"/>
        <v>0</v>
      </c>
      <c r="K374" s="486">
        <f t="shared" si="212"/>
        <v>0</v>
      </c>
      <c r="L374" s="486">
        <f t="shared" si="212"/>
        <v>0</v>
      </c>
      <c r="M374" s="486">
        <f t="shared" si="212"/>
        <v>0</v>
      </c>
      <c r="N374" s="486">
        <f t="shared" si="212"/>
        <v>0</v>
      </c>
      <c r="O374" s="486">
        <f t="shared" si="212"/>
        <v>0</v>
      </c>
      <c r="P374" s="486">
        <f t="shared" si="212"/>
        <v>0</v>
      </c>
      <c r="Q374" s="486">
        <f t="shared" si="212"/>
        <v>0</v>
      </c>
      <c r="R374" s="486">
        <f t="shared" si="212"/>
        <v>0</v>
      </c>
      <c r="S374" s="486">
        <f t="shared" si="212"/>
        <v>0</v>
      </c>
      <c r="T374" s="486">
        <f t="shared" si="212"/>
        <v>0</v>
      </c>
      <c r="U374" s="486">
        <f t="shared" si="212"/>
        <v>0</v>
      </c>
      <c r="V374" s="486">
        <f t="shared" si="212"/>
        <v>0</v>
      </c>
      <c r="W374" s="486">
        <f t="shared" si="212"/>
        <v>0</v>
      </c>
      <c r="X374" s="486">
        <f t="shared" si="212"/>
        <v>0</v>
      </c>
      <c r="Y374" s="486">
        <f t="shared" si="212"/>
        <v>0</v>
      </c>
      <c r="Z374" s="486">
        <f t="shared" si="212"/>
        <v>0</v>
      </c>
      <c r="AA374" s="486">
        <f t="shared" ref="AA374:AF374" si="213">AA611</f>
        <v>0</v>
      </c>
      <c r="AB374" s="486">
        <f t="shared" si="213"/>
        <v>0</v>
      </c>
      <c r="AC374" s="486">
        <f t="shared" si="213"/>
        <v>0</v>
      </c>
      <c r="AD374" s="486">
        <f t="shared" si="213"/>
        <v>0</v>
      </c>
      <c r="AE374" s="486">
        <f t="shared" si="213"/>
        <v>0</v>
      </c>
      <c r="AF374" s="486">
        <f t="shared" si="213"/>
        <v>0</v>
      </c>
    </row>
    <row r="375" spans="1:32">
      <c r="A375" s="484" t="s">
        <v>1071</v>
      </c>
      <c r="B375" s="285"/>
      <c r="C375" s="285"/>
      <c r="D375" s="285"/>
      <c r="E375" s="285"/>
      <c r="F375" s="285"/>
      <c r="G375" s="486"/>
      <c r="H375" s="486">
        <f>H492+H491</f>
        <v>0</v>
      </c>
      <c r="I375" s="486">
        <f t="shared" ref="I375:AF375" ca="1" si="214">+I353+I618</f>
        <v>799.00000000000011</v>
      </c>
      <c r="J375" s="486">
        <f t="shared" ca="1" si="214"/>
        <v>0</v>
      </c>
      <c r="K375" s="486">
        <f t="shared" ca="1" si="214"/>
        <v>2753.762861617533</v>
      </c>
      <c r="L375" s="486">
        <f t="shared" ca="1" si="214"/>
        <v>1511.2440628491213</v>
      </c>
      <c r="M375" s="486">
        <f t="shared" ca="1" si="214"/>
        <v>1126.5709761750591</v>
      </c>
      <c r="N375" s="486">
        <f t="shared" ca="1" si="214"/>
        <v>1136.0432653317648</v>
      </c>
      <c r="O375" s="486">
        <f t="shared" ca="1" si="214"/>
        <v>781.90097643004037</v>
      </c>
      <c r="P375" s="486">
        <f t="shared" ca="1" si="214"/>
        <v>797.98060782172433</v>
      </c>
      <c r="Q375" s="486">
        <f t="shared" ca="1" si="214"/>
        <v>1257.1138336626354</v>
      </c>
      <c r="R375" s="486">
        <f t="shared" ca="1" si="214"/>
        <v>2216.6241087188118</v>
      </c>
      <c r="S375" s="486">
        <f t="shared" ca="1" si="214"/>
        <v>2768.8207586107992</v>
      </c>
      <c r="T375" s="486">
        <f t="shared" ca="1" si="214"/>
        <v>3056.3267096332306</v>
      </c>
      <c r="U375" s="486">
        <f t="shared" ca="1" si="214"/>
        <v>2843.2111679944437</v>
      </c>
      <c r="V375" s="486">
        <f t="shared" ca="1" si="214"/>
        <v>4176.1017050463961</v>
      </c>
      <c r="W375" s="486">
        <f t="shared" ca="1" si="214"/>
        <v>3912.6881323226598</v>
      </c>
      <c r="X375" s="486">
        <f t="shared" ca="1" si="214"/>
        <v>2682.3886289702714</v>
      </c>
      <c r="Y375" s="486">
        <f t="shared" ca="1" si="214"/>
        <v>3376.9137682934797</v>
      </c>
      <c r="Z375" s="486">
        <f t="shared" ca="1" si="214"/>
        <v>6585.0084301396291</v>
      </c>
      <c r="AA375" s="486">
        <f t="shared" ca="1" si="214"/>
        <v>11367.975258794497</v>
      </c>
      <c r="AB375" s="486">
        <f t="shared" ca="1" si="214"/>
        <v>11539.253484503484</v>
      </c>
      <c r="AC375" s="486">
        <f t="shared" ca="1" si="214"/>
        <v>11824.604358037679</v>
      </c>
      <c r="AD375" s="486">
        <f t="shared" ca="1" si="214"/>
        <v>11993.721614884949</v>
      </c>
      <c r="AE375" s="486">
        <f t="shared" ca="1" si="214"/>
        <v>12189.275144125908</v>
      </c>
      <c r="AF375" s="486">
        <f t="shared" ca="1" si="214"/>
        <v>10991.518758930441</v>
      </c>
    </row>
    <row r="376" spans="1:32">
      <c r="A376" s="491" t="s">
        <v>1072</v>
      </c>
      <c r="B376" s="285"/>
      <c r="C376" s="285"/>
      <c r="D376" s="285"/>
      <c r="E376" s="285"/>
      <c r="F376" s="285"/>
      <c r="G376" s="486"/>
      <c r="H376" s="495">
        <f t="shared" ref="H376:Z376" ca="1" si="215">SUM(H369:H375)</f>
        <v>80500</v>
      </c>
      <c r="I376" s="495">
        <f t="shared" ca="1" si="215"/>
        <v>391.00000100000011</v>
      </c>
      <c r="J376" s="495">
        <f t="shared" ca="1" si="215"/>
        <v>1897.0679216144745</v>
      </c>
      <c r="K376" s="495">
        <f t="shared" ca="1" si="215"/>
        <v>4982.5470973970387</v>
      </c>
      <c r="L376" s="495">
        <f t="shared" ca="1" si="215"/>
        <v>4303.8974798733052</v>
      </c>
      <c r="M376" s="495">
        <f t="shared" ca="1" si="215"/>
        <v>4204.5209059504268</v>
      </c>
      <c r="N376" s="495">
        <f t="shared" ca="1" si="215"/>
        <v>4300.767512635819</v>
      </c>
      <c r="O376" s="495">
        <f t="shared" ca="1" si="215"/>
        <v>4618.4085453850712</v>
      </c>
      <c r="P376" s="495">
        <f t="shared" ca="1" si="215"/>
        <v>5267.1121176665147</v>
      </c>
      <c r="Q376" s="495">
        <f t="shared" ca="1" si="215"/>
        <v>5837.6708444083706</v>
      </c>
      <c r="R376" s="495">
        <f t="shared" ca="1" si="215"/>
        <v>6477.8305907928097</v>
      </c>
      <c r="S376" s="495">
        <f t="shared" ca="1" si="215"/>
        <v>7118.4662842625939</v>
      </c>
      <c r="T376" s="495">
        <f t="shared" ca="1" si="215"/>
        <v>6939.7803802347025</v>
      </c>
      <c r="U376" s="495">
        <f t="shared" ca="1" si="215"/>
        <v>7396.4314984222428</v>
      </c>
      <c r="V376" s="495">
        <f t="shared" ca="1" si="215"/>
        <v>8430.7402397002115</v>
      </c>
      <c r="W376" s="495">
        <f t="shared" ca="1" si="215"/>
        <v>9018.6102857951446</v>
      </c>
      <c r="X376" s="495">
        <f t="shared" ca="1" si="215"/>
        <v>9687.5597273280655</v>
      </c>
      <c r="Y376" s="495">
        <f t="shared" ca="1" si="215"/>
        <v>10338.449787566775</v>
      </c>
      <c r="Z376" s="495">
        <f t="shared" ca="1" si="215"/>
        <v>11018.766411618888</v>
      </c>
      <c r="AA376" s="495">
        <f t="shared" ref="AA376:AF376" ca="1" si="216">SUM(AA369:AA375)</f>
        <v>11381.062719650688</v>
      </c>
      <c r="AB376" s="495">
        <f t="shared" ca="1" si="216"/>
        <v>11552.021006956909</v>
      </c>
      <c r="AC376" s="495">
        <f t="shared" ca="1" si="216"/>
        <v>11844.11616876908</v>
      </c>
      <c r="AD376" s="495">
        <f t="shared" ca="1" si="216"/>
        <v>12010.121390645647</v>
      </c>
      <c r="AE376" s="495">
        <f t="shared" ca="1" si="216"/>
        <v>12204.224989697994</v>
      </c>
      <c r="AF376" s="495">
        <f t="shared" ca="1" si="216"/>
        <v>10893.012651135996</v>
      </c>
    </row>
    <row r="377" spans="1:32">
      <c r="A377" s="285"/>
      <c r="B377" s="285"/>
      <c r="C377" s="285"/>
      <c r="D377" s="285"/>
      <c r="E377" s="285"/>
      <c r="F377" s="285"/>
      <c r="G377" s="285"/>
      <c r="H377" s="285"/>
      <c r="I377" s="285"/>
      <c r="J377" s="285"/>
      <c r="K377" s="285"/>
      <c r="L377" s="285"/>
      <c r="M377" s="285"/>
      <c r="N377" s="285"/>
      <c r="O377" s="285"/>
      <c r="P377" s="285"/>
      <c r="Q377" s="285"/>
      <c r="R377" s="285"/>
      <c r="S377" s="285"/>
      <c r="T377" s="285"/>
      <c r="U377" s="285"/>
      <c r="V377" s="285"/>
      <c r="W377" s="285"/>
      <c r="X377" s="285"/>
      <c r="Y377" s="285"/>
      <c r="Z377" s="285"/>
      <c r="AA377" s="285"/>
      <c r="AB377" s="285"/>
      <c r="AC377" s="285"/>
      <c r="AD377" s="285"/>
      <c r="AE377" s="285"/>
      <c r="AF377" s="285"/>
    </row>
    <row r="378" spans="1:32">
      <c r="A378" s="491" t="s">
        <v>1073</v>
      </c>
      <c r="B378" s="285"/>
      <c r="C378" s="285"/>
      <c r="D378" s="285"/>
      <c r="E378" s="285"/>
      <c r="F378" s="285"/>
      <c r="G378" s="486"/>
      <c r="H378" s="486">
        <f t="shared" ref="H378:AE378" ca="1" si="217">H366-H376</f>
        <v>-80500</v>
      </c>
      <c r="I378" s="486">
        <f t="shared" ca="1" si="217"/>
        <v>0</v>
      </c>
      <c r="J378" s="486">
        <f t="shared" ca="1" si="217"/>
        <v>-910.0780318583129</v>
      </c>
      <c r="K378" s="486">
        <f t="shared" ca="1" si="217"/>
        <v>0</v>
      </c>
      <c r="L378" s="486">
        <f t="shared" ca="1" si="217"/>
        <v>0</v>
      </c>
      <c r="M378" s="486">
        <f t="shared" ca="1" si="217"/>
        <v>0</v>
      </c>
      <c r="N378" s="486">
        <f t="shared" ca="1" si="217"/>
        <v>0</v>
      </c>
      <c r="O378" s="486">
        <f t="shared" ca="1" si="217"/>
        <v>0</v>
      </c>
      <c r="P378" s="486">
        <f t="shared" ca="1" si="217"/>
        <v>0</v>
      </c>
      <c r="Q378" s="486">
        <f t="shared" ca="1" si="217"/>
        <v>0</v>
      </c>
      <c r="R378" s="486">
        <f t="shared" ca="1" si="217"/>
        <v>0</v>
      </c>
      <c r="S378" s="486">
        <f t="shared" ca="1" si="217"/>
        <v>0</v>
      </c>
      <c r="T378" s="486">
        <f t="shared" ca="1" si="217"/>
        <v>0</v>
      </c>
      <c r="U378" s="486">
        <f t="shared" ca="1" si="217"/>
        <v>0</v>
      </c>
      <c r="V378" s="486">
        <f t="shared" ca="1" si="217"/>
        <v>0</v>
      </c>
      <c r="W378" s="486">
        <f t="shared" ca="1" si="217"/>
        <v>0</v>
      </c>
      <c r="X378" s="486">
        <f t="shared" ca="1" si="217"/>
        <v>0</v>
      </c>
      <c r="Y378" s="486">
        <f t="shared" ca="1" si="217"/>
        <v>0</v>
      </c>
      <c r="Z378" s="486">
        <f t="shared" ca="1" si="217"/>
        <v>-1.6370904631912708E-11</v>
      </c>
      <c r="AA378" s="486">
        <f t="shared" ca="1" si="217"/>
        <v>0</v>
      </c>
      <c r="AB378" s="486">
        <f t="shared" ca="1" si="217"/>
        <v>-1.4551915228366852E-11</v>
      </c>
      <c r="AC378" s="486">
        <f t="shared" ca="1" si="217"/>
        <v>0</v>
      </c>
      <c r="AD378" s="486">
        <f t="shared" ca="1" si="217"/>
        <v>0</v>
      </c>
      <c r="AE378" s="486">
        <f t="shared" ca="1" si="217"/>
        <v>0</v>
      </c>
      <c r="AF378" s="486">
        <f ca="1">AF366-AF376</f>
        <v>0</v>
      </c>
    </row>
    <row r="379" spans="1:32">
      <c r="A379" s="285"/>
      <c r="B379" s="285"/>
      <c r="C379" s="285"/>
      <c r="D379" s="285"/>
      <c r="E379" s="285"/>
      <c r="F379" s="285"/>
      <c r="G379" s="486"/>
      <c r="H379" s="486"/>
      <c r="I379" s="486"/>
      <c r="J379" s="486"/>
      <c r="K379" s="486"/>
      <c r="L379" s="486"/>
      <c r="M379" s="486"/>
      <c r="N379" s="486"/>
      <c r="O379" s="486"/>
      <c r="P379" s="486"/>
      <c r="Q379" s="486"/>
      <c r="R379" s="486"/>
      <c r="S379" s="486"/>
      <c r="T379" s="486"/>
      <c r="U379" s="486"/>
      <c r="V379" s="486"/>
      <c r="W379" s="486"/>
      <c r="X379" s="486"/>
      <c r="Y379" s="486"/>
      <c r="Z379" s="486"/>
      <c r="AA379" s="486"/>
      <c r="AB379" s="486"/>
      <c r="AC379" s="486"/>
      <c r="AD379" s="486"/>
      <c r="AE379" s="486"/>
      <c r="AF379" s="486"/>
    </row>
    <row r="380" spans="1:32">
      <c r="A380" s="491" t="s">
        <v>1074</v>
      </c>
      <c r="B380" s="285"/>
      <c r="C380" s="285"/>
      <c r="D380" s="285"/>
      <c r="E380" s="285"/>
      <c r="F380" s="285"/>
      <c r="G380" s="486"/>
      <c r="H380" s="486"/>
      <c r="I380" s="486"/>
      <c r="J380" s="486"/>
      <c r="K380" s="486"/>
      <c r="L380" s="486"/>
      <c r="M380" s="486"/>
      <c r="N380" s="486"/>
      <c r="O380" s="486"/>
      <c r="P380" s="486"/>
      <c r="Q380" s="486"/>
      <c r="R380" s="486"/>
      <c r="S380" s="486"/>
      <c r="T380" s="486"/>
      <c r="U380" s="486"/>
      <c r="V380" s="486"/>
      <c r="W380" s="486"/>
      <c r="X380" s="486"/>
      <c r="Y380" s="486"/>
      <c r="Z380" s="486"/>
      <c r="AA380" s="486"/>
      <c r="AB380" s="486"/>
      <c r="AC380" s="486"/>
      <c r="AD380" s="486"/>
      <c r="AE380" s="486"/>
      <c r="AF380" s="486"/>
    </row>
    <row r="381" spans="1:32">
      <c r="A381" s="285" t="str">
        <f>B481</f>
        <v>Purchase Term Loan</v>
      </c>
      <c r="B381" s="285"/>
      <c r="C381" s="285"/>
      <c r="D381" s="285"/>
      <c r="E381" s="285"/>
      <c r="F381" s="285"/>
      <c r="G381" s="486"/>
      <c r="H381" s="486">
        <f ca="1">H481</f>
        <v>56499.999999999993</v>
      </c>
      <c r="I381" s="486">
        <f>-I604</f>
        <v>0</v>
      </c>
      <c r="J381" s="486">
        <f t="shared" ref="J381:Z381" si="218">-J604</f>
        <v>0</v>
      </c>
      <c r="K381" s="486">
        <f t="shared" si="218"/>
        <v>0</v>
      </c>
      <c r="L381" s="486">
        <f t="shared" si="218"/>
        <v>0</v>
      </c>
      <c r="M381" s="486">
        <f t="shared" si="218"/>
        <v>0</v>
      </c>
      <c r="N381" s="486">
        <f t="shared" si="218"/>
        <v>0</v>
      </c>
      <c r="O381" s="486">
        <f t="shared" si="218"/>
        <v>0</v>
      </c>
      <c r="P381" s="486">
        <f t="shared" si="218"/>
        <v>0</v>
      </c>
      <c r="Q381" s="486">
        <f t="shared" si="218"/>
        <v>0</v>
      </c>
      <c r="R381" s="486">
        <f t="shared" si="218"/>
        <v>0</v>
      </c>
      <c r="S381" s="486">
        <f t="shared" si="218"/>
        <v>0</v>
      </c>
      <c r="T381" s="486">
        <f t="shared" si="218"/>
        <v>0</v>
      </c>
      <c r="U381" s="486">
        <f t="shared" si="218"/>
        <v>0</v>
      </c>
      <c r="V381" s="486">
        <f t="shared" si="218"/>
        <v>0</v>
      </c>
      <c r="W381" s="486">
        <f t="shared" si="218"/>
        <v>0</v>
      </c>
      <c r="X381" s="486">
        <f t="shared" si="218"/>
        <v>0</v>
      </c>
      <c r="Y381" s="486">
        <f t="shared" si="218"/>
        <v>0</v>
      </c>
      <c r="Z381" s="486">
        <f t="shared" si="218"/>
        <v>0</v>
      </c>
      <c r="AA381" s="486">
        <f t="shared" ref="AA381:AF381" si="219">-AA604</f>
        <v>0</v>
      </c>
      <c r="AB381" s="486">
        <f t="shared" si="219"/>
        <v>0</v>
      </c>
      <c r="AC381" s="486">
        <f t="shared" si="219"/>
        <v>0</v>
      </c>
      <c r="AD381" s="486">
        <f t="shared" si="219"/>
        <v>0</v>
      </c>
      <c r="AE381" s="486">
        <f t="shared" si="219"/>
        <v>0</v>
      </c>
      <c r="AF381" s="486">
        <f t="shared" si="219"/>
        <v>0</v>
      </c>
    </row>
    <row r="382" spans="1:32">
      <c r="A382" s="285" t="str">
        <f>B482</f>
        <v>Other Term Loan</v>
      </c>
      <c r="B382" s="285"/>
      <c r="C382" s="285"/>
      <c r="D382" s="285"/>
      <c r="E382" s="285"/>
      <c r="F382" s="285"/>
      <c r="G382" s="486"/>
      <c r="H382" s="486">
        <f>H482</f>
        <v>0</v>
      </c>
      <c r="I382" s="486">
        <f>-I612</f>
        <v>0</v>
      </c>
      <c r="J382" s="486">
        <f t="shared" ref="J382:Z382" si="220">-J612</f>
        <v>0</v>
      </c>
      <c r="K382" s="486">
        <f t="shared" si="220"/>
        <v>0</v>
      </c>
      <c r="L382" s="486">
        <f t="shared" si="220"/>
        <v>0</v>
      </c>
      <c r="M382" s="486">
        <f t="shared" si="220"/>
        <v>0</v>
      </c>
      <c r="N382" s="486">
        <f t="shared" si="220"/>
        <v>0</v>
      </c>
      <c r="O382" s="486">
        <f t="shared" si="220"/>
        <v>0</v>
      </c>
      <c r="P382" s="486">
        <f t="shared" si="220"/>
        <v>0</v>
      </c>
      <c r="Q382" s="486">
        <f t="shared" si="220"/>
        <v>0</v>
      </c>
      <c r="R382" s="486">
        <f t="shared" si="220"/>
        <v>0</v>
      </c>
      <c r="S382" s="486">
        <f t="shared" si="220"/>
        <v>0</v>
      </c>
      <c r="T382" s="486">
        <f t="shared" si="220"/>
        <v>0</v>
      </c>
      <c r="U382" s="486">
        <f t="shared" si="220"/>
        <v>0</v>
      </c>
      <c r="V382" s="486">
        <f t="shared" si="220"/>
        <v>0</v>
      </c>
      <c r="W382" s="486">
        <f t="shared" si="220"/>
        <v>0</v>
      </c>
      <c r="X382" s="486">
        <f t="shared" si="220"/>
        <v>0</v>
      </c>
      <c r="Y382" s="486">
        <f t="shared" si="220"/>
        <v>0</v>
      </c>
      <c r="Z382" s="486">
        <f t="shared" si="220"/>
        <v>0</v>
      </c>
      <c r="AA382" s="486">
        <f t="shared" ref="AA382:AF382" si="221">-AA612</f>
        <v>0</v>
      </c>
      <c r="AB382" s="486">
        <f t="shared" si="221"/>
        <v>0</v>
      </c>
      <c r="AC382" s="486">
        <f t="shared" si="221"/>
        <v>0</v>
      </c>
      <c r="AD382" s="486">
        <f t="shared" si="221"/>
        <v>0</v>
      </c>
      <c r="AE382" s="486">
        <f t="shared" si="221"/>
        <v>0</v>
      </c>
      <c r="AF382" s="486">
        <f t="shared" si="221"/>
        <v>0</v>
      </c>
    </row>
    <row r="383" spans="1:32">
      <c r="A383" s="285" t="str">
        <f>B483</f>
        <v>Common Stock</v>
      </c>
      <c r="B383" s="285"/>
      <c r="C383" s="285"/>
      <c r="D383" s="285"/>
      <c r="E383" s="285"/>
      <c r="F383" s="285"/>
      <c r="G383" s="486"/>
      <c r="H383" s="486">
        <f ca="1">H483</f>
        <v>24000</v>
      </c>
      <c r="I383" s="486">
        <f t="shared" ref="I383:Z383" si="222">I483</f>
        <v>0</v>
      </c>
      <c r="J383" s="486">
        <f t="shared" si="222"/>
        <v>0</v>
      </c>
      <c r="K383" s="486">
        <f t="shared" si="222"/>
        <v>0</v>
      </c>
      <c r="L383" s="486">
        <f t="shared" si="222"/>
        <v>0</v>
      </c>
      <c r="M383" s="486">
        <f t="shared" si="222"/>
        <v>0</v>
      </c>
      <c r="N383" s="486">
        <f t="shared" si="222"/>
        <v>0</v>
      </c>
      <c r="O383" s="486">
        <f t="shared" si="222"/>
        <v>0</v>
      </c>
      <c r="P383" s="486">
        <f t="shared" si="222"/>
        <v>0</v>
      </c>
      <c r="Q383" s="486">
        <f t="shared" si="222"/>
        <v>0</v>
      </c>
      <c r="R383" s="486">
        <f t="shared" si="222"/>
        <v>0</v>
      </c>
      <c r="S383" s="486">
        <f t="shared" si="222"/>
        <v>0</v>
      </c>
      <c r="T383" s="486">
        <f>T483</f>
        <v>0</v>
      </c>
      <c r="U383" s="486">
        <f t="shared" si="222"/>
        <v>0</v>
      </c>
      <c r="V383" s="486">
        <f t="shared" si="222"/>
        <v>0</v>
      </c>
      <c r="W383" s="486">
        <f t="shared" si="222"/>
        <v>0</v>
      </c>
      <c r="X383" s="486">
        <f t="shared" si="222"/>
        <v>0</v>
      </c>
      <c r="Y383" s="486">
        <f t="shared" si="222"/>
        <v>0</v>
      </c>
      <c r="Z383" s="486">
        <f t="shared" si="222"/>
        <v>0</v>
      </c>
      <c r="AA383" s="486">
        <f t="shared" ref="AA383:AF383" si="223">AA483</f>
        <v>0</v>
      </c>
      <c r="AB383" s="486">
        <f t="shared" si="223"/>
        <v>0</v>
      </c>
      <c r="AC383" s="486">
        <f t="shared" si="223"/>
        <v>0</v>
      </c>
      <c r="AD383" s="486">
        <f t="shared" si="223"/>
        <v>0</v>
      </c>
      <c r="AE383" s="486">
        <f t="shared" si="223"/>
        <v>0</v>
      </c>
      <c r="AF383" s="486">
        <f t="shared" si="223"/>
        <v>0</v>
      </c>
    </row>
    <row r="384" spans="1:32">
      <c r="A384" s="491" t="s">
        <v>1075</v>
      </c>
      <c r="B384" s="285"/>
      <c r="C384" s="285"/>
      <c r="D384" s="285"/>
      <c r="E384" s="285"/>
      <c r="F384" s="285"/>
      <c r="G384" s="285"/>
      <c r="H384" s="503">
        <f t="shared" ref="H384:Z384" ca="1" si="224">SUM(H381:H383)</f>
        <v>80500</v>
      </c>
      <c r="I384" s="503">
        <f t="shared" si="224"/>
        <v>0</v>
      </c>
      <c r="J384" s="503">
        <f t="shared" si="224"/>
        <v>0</v>
      </c>
      <c r="K384" s="503">
        <f t="shared" si="224"/>
        <v>0</v>
      </c>
      <c r="L384" s="503">
        <f t="shared" si="224"/>
        <v>0</v>
      </c>
      <c r="M384" s="503">
        <f t="shared" si="224"/>
        <v>0</v>
      </c>
      <c r="N384" s="503">
        <f t="shared" si="224"/>
        <v>0</v>
      </c>
      <c r="O384" s="503">
        <f t="shared" si="224"/>
        <v>0</v>
      </c>
      <c r="P384" s="503">
        <f t="shared" si="224"/>
        <v>0</v>
      </c>
      <c r="Q384" s="503">
        <f t="shared" si="224"/>
        <v>0</v>
      </c>
      <c r="R384" s="503">
        <f t="shared" si="224"/>
        <v>0</v>
      </c>
      <c r="S384" s="503">
        <f t="shared" si="224"/>
        <v>0</v>
      </c>
      <c r="T384" s="503">
        <f t="shared" si="224"/>
        <v>0</v>
      </c>
      <c r="U384" s="503">
        <f t="shared" si="224"/>
        <v>0</v>
      </c>
      <c r="V384" s="503">
        <f t="shared" si="224"/>
        <v>0</v>
      </c>
      <c r="W384" s="503">
        <f t="shared" si="224"/>
        <v>0</v>
      </c>
      <c r="X384" s="503">
        <f t="shared" si="224"/>
        <v>0</v>
      </c>
      <c r="Y384" s="503">
        <f t="shared" si="224"/>
        <v>0</v>
      </c>
      <c r="Z384" s="503">
        <f t="shared" si="224"/>
        <v>0</v>
      </c>
      <c r="AA384" s="503">
        <f t="shared" ref="AA384:AF384" si="225">SUM(AA381:AA383)</f>
        <v>0</v>
      </c>
      <c r="AB384" s="503">
        <f t="shared" si="225"/>
        <v>0</v>
      </c>
      <c r="AC384" s="503">
        <f t="shared" si="225"/>
        <v>0</v>
      </c>
      <c r="AD384" s="503">
        <f t="shared" si="225"/>
        <v>0</v>
      </c>
      <c r="AE384" s="503">
        <f t="shared" si="225"/>
        <v>0</v>
      </c>
      <c r="AF384" s="503">
        <f t="shared" si="225"/>
        <v>0</v>
      </c>
    </row>
    <row r="385" spans="1:57">
      <c r="A385" s="285"/>
      <c r="B385" s="285"/>
      <c r="C385" s="285"/>
      <c r="D385" s="285"/>
      <c r="E385" s="285"/>
      <c r="F385" s="285"/>
      <c r="G385" s="285"/>
      <c r="H385" s="285"/>
      <c r="I385" s="285"/>
      <c r="J385" s="285"/>
      <c r="K385" s="285"/>
      <c r="L385" s="285"/>
      <c r="M385" s="285"/>
      <c r="N385" s="285"/>
      <c r="O385" s="285"/>
      <c r="P385" s="285"/>
      <c r="Q385" s="285"/>
      <c r="R385" s="285"/>
      <c r="S385" s="285"/>
      <c r="T385" s="285"/>
      <c r="U385" s="285"/>
      <c r="V385" s="285"/>
      <c r="W385" s="285"/>
      <c r="X385" s="285"/>
      <c r="Y385" s="285"/>
      <c r="Z385" s="285"/>
      <c r="AA385" s="285"/>
      <c r="AB385" s="285"/>
      <c r="AC385" s="285"/>
      <c r="AD385" s="285"/>
      <c r="AE385" s="285"/>
      <c r="AF385" s="285"/>
    </row>
    <row r="386" spans="1:57">
      <c r="A386" s="484" t="s">
        <v>1076</v>
      </c>
      <c r="B386" s="285"/>
      <c r="C386" s="285"/>
      <c r="D386" s="285"/>
      <c r="E386" s="285"/>
      <c r="F386" s="285"/>
      <c r="G386" s="486"/>
      <c r="H386" s="486">
        <v>0</v>
      </c>
      <c r="I386" s="486">
        <f t="shared" ref="I386:Z386" ca="1" si="226">-I445-I446</f>
        <v>0</v>
      </c>
      <c r="J386" s="486">
        <f t="shared" ca="1" si="226"/>
        <v>910.0780318583129</v>
      </c>
      <c r="K386" s="486">
        <f t="shared" ca="1" si="226"/>
        <v>0</v>
      </c>
      <c r="L386" s="486">
        <f t="shared" ca="1" si="226"/>
        <v>0</v>
      </c>
      <c r="M386" s="486">
        <f t="shared" ca="1" si="226"/>
        <v>0</v>
      </c>
      <c r="N386" s="486">
        <f t="shared" ca="1" si="226"/>
        <v>0</v>
      </c>
      <c r="O386" s="486">
        <f t="shared" ca="1" si="226"/>
        <v>0</v>
      </c>
      <c r="P386" s="486">
        <f t="shared" ca="1" si="226"/>
        <v>0</v>
      </c>
      <c r="Q386" s="486">
        <f t="shared" ca="1" si="226"/>
        <v>0</v>
      </c>
      <c r="R386" s="486">
        <f t="shared" ca="1" si="226"/>
        <v>0</v>
      </c>
      <c r="S386" s="486">
        <f t="shared" ca="1" si="226"/>
        <v>0</v>
      </c>
      <c r="T386" s="486">
        <f t="shared" ca="1" si="226"/>
        <v>0</v>
      </c>
      <c r="U386" s="486">
        <f t="shared" ca="1" si="226"/>
        <v>0</v>
      </c>
      <c r="V386" s="486">
        <f t="shared" ca="1" si="226"/>
        <v>0</v>
      </c>
      <c r="W386" s="486">
        <f t="shared" ca="1" si="226"/>
        <v>0</v>
      </c>
      <c r="X386" s="486">
        <f t="shared" ca="1" si="226"/>
        <v>0</v>
      </c>
      <c r="Y386" s="486">
        <f t="shared" ca="1" si="226"/>
        <v>0</v>
      </c>
      <c r="Z386" s="486">
        <f t="shared" ca="1" si="226"/>
        <v>0</v>
      </c>
      <c r="AA386" s="486">
        <f t="shared" ref="AA386:AF386" ca="1" si="227">-AA445-AA446</f>
        <v>3.092281986027956E-11</v>
      </c>
      <c r="AB386" s="486">
        <f t="shared" ca="1" si="227"/>
        <v>0</v>
      </c>
      <c r="AC386" s="486">
        <f t="shared" ca="1" si="227"/>
        <v>3.092281986027956E-11</v>
      </c>
      <c r="AD386" s="486">
        <f t="shared" ca="1" si="227"/>
        <v>0</v>
      </c>
      <c r="AE386" s="486">
        <f t="shared" ca="1" si="227"/>
        <v>4.5474735088646412E-11</v>
      </c>
      <c r="AF386" s="486">
        <f t="shared" ca="1" si="227"/>
        <v>0</v>
      </c>
    </row>
    <row r="387" spans="1:57">
      <c r="A387" s="484" t="s">
        <v>1077</v>
      </c>
      <c r="B387" s="285"/>
      <c r="C387" s="285"/>
      <c r="D387" s="285"/>
      <c r="E387" s="285"/>
      <c r="F387" s="285"/>
      <c r="G387" s="285"/>
      <c r="H387" s="285">
        <f t="shared" ref="H387:Z387" ca="1" si="228">-H378-H384-H386</f>
        <v>0</v>
      </c>
      <c r="I387" s="285">
        <f t="shared" ca="1" si="228"/>
        <v>0</v>
      </c>
      <c r="J387" s="285">
        <f t="shared" ca="1" si="228"/>
        <v>0</v>
      </c>
      <c r="K387" s="285">
        <f t="shared" ca="1" si="228"/>
        <v>0</v>
      </c>
      <c r="L387" s="285">
        <f t="shared" ca="1" si="228"/>
        <v>0</v>
      </c>
      <c r="M387" s="285">
        <f t="shared" ca="1" si="228"/>
        <v>0</v>
      </c>
      <c r="N387" s="285">
        <f t="shared" ca="1" si="228"/>
        <v>0</v>
      </c>
      <c r="O387" s="285">
        <f t="shared" ca="1" si="228"/>
        <v>0</v>
      </c>
      <c r="P387" s="285">
        <f t="shared" ca="1" si="228"/>
        <v>0</v>
      </c>
      <c r="Q387" s="285">
        <f t="shared" ca="1" si="228"/>
        <v>0</v>
      </c>
      <c r="R387" s="285">
        <f t="shared" ca="1" si="228"/>
        <v>0</v>
      </c>
      <c r="S387" s="285">
        <f t="shared" ca="1" si="228"/>
        <v>0</v>
      </c>
      <c r="T387" s="285">
        <f t="shared" ca="1" si="228"/>
        <v>0</v>
      </c>
      <c r="U387" s="285">
        <f t="shared" ca="1" si="228"/>
        <v>0</v>
      </c>
      <c r="V387" s="285">
        <f t="shared" ca="1" si="228"/>
        <v>0</v>
      </c>
      <c r="W387" s="285">
        <f t="shared" ca="1" si="228"/>
        <v>0</v>
      </c>
      <c r="X387" s="285">
        <f t="shared" ca="1" si="228"/>
        <v>0</v>
      </c>
      <c r="Y387" s="285">
        <f t="shared" ca="1" si="228"/>
        <v>0</v>
      </c>
      <c r="Z387" s="285">
        <f t="shared" ca="1" si="228"/>
        <v>1.6370904631912708E-11</v>
      </c>
      <c r="AA387" s="285">
        <f t="shared" ref="AA387:AF387" ca="1" si="229">-AA378-AA384-AA386</f>
        <v>-3.092281986027956E-11</v>
      </c>
      <c r="AB387" s="285">
        <f t="shared" ca="1" si="229"/>
        <v>1.4551915228366852E-11</v>
      </c>
      <c r="AC387" s="285">
        <f t="shared" ca="1" si="229"/>
        <v>-3.092281986027956E-11</v>
      </c>
      <c r="AD387" s="285">
        <f t="shared" ca="1" si="229"/>
        <v>0</v>
      </c>
      <c r="AE387" s="285">
        <f t="shared" ca="1" si="229"/>
        <v>-4.5474735088646412E-11</v>
      </c>
      <c r="AF387" s="285">
        <f t="shared" ca="1" si="229"/>
        <v>0</v>
      </c>
    </row>
    <row r="388" spans="1:57">
      <c r="A388" s="491" t="s">
        <v>1078</v>
      </c>
      <c r="B388" s="285"/>
      <c r="C388" s="285"/>
      <c r="D388" s="285"/>
      <c r="E388" s="285"/>
      <c r="F388" s="285"/>
      <c r="G388" s="471"/>
      <c r="H388" s="495">
        <f t="shared" ref="H388:Z388" ca="1" si="230">H384+H386+H387</f>
        <v>80500</v>
      </c>
      <c r="I388" s="495">
        <f t="shared" ca="1" si="230"/>
        <v>0</v>
      </c>
      <c r="J388" s="495">
        <f t="shared" ca="1" si="230"/>
        <v>910.0780318583129</v>
      </c>
      <c r="K388" s="495">
        <f t="shared" ca="1" si="230"/>
        <v>0</v>
      </c>
      <c r="L388" s="495">
        <f t="shared" ca="1" si="230"/>
        <v>0</v>
      </c>
      <c r="M388" s="495">
        <f t="shared" ca="1" si="230"/>
        <v>0</v>
      </c>
      <c r="N388" s="495">
        <f t="shared" ca="1" si="230"/>
        <v>0</v>
      </c>
      <c r="O388" s="495">
        <f t="shared" ca="1" si="230"/>
        <v>0</v>
      </c>
      <c r="P388" s="495">
        <f t="shared" ca="1" si="230"/>
        <v>0</v>
      </c>
      <c r="Q388" s="495">
        <f t="shared" ca="1" si="230"/>
        <v>0</v>
      </c>
      <c r="R388" s="495">
        <f t="shared" ca="1" si="230"/>
        <v>0</v>
      </c>
      <c r="S388" s="495">
        <f t="shared" ca="1" si="230"/>
        <v>0</v>
      </c>
      <c r="T388" s="495">
        <f t="shared" ca="1" si="230"/>
        <v>0</v>
      </c>
      <c r="U388" s="495">
        <f t="shared" ca="1" si="230"/>
        <v>0</v>
      </c>
      <c r="V388" s="495">
        <f t="shared" ca="1" si="230"/>
        <v>0</v>
      </c>
      <c r="W388" s="495">
        <f t="shared" ca="1" si="230"/>
        <v>0</v>
      </c>
      <c r="X388" s="495">
        <f t="shared" ca="1" si="230"/>
        <v>0</v>
      </c>
      <c r="Y388" s="495">
        <f t="shared" ca="1" si="230"/>
        <v>0</v>
      </c>
      <c r="Z388" s="495">
        <f t="shared" ca="1" si="230"/>
        <v>1.6370904631912708E-11</v>
      </c>
      <c r="AA388" s="495">
        <f t="shared" ref="AA388:AF388" ca="1" si="231">AA384+AA386+AA387</f>
        <v>0</v>
      </c>
      <c r="AB388" s="495">
        <f t="shared" ca="1" si="231"/>
        <v>1.4551915228366852E-11</v>
      </c>
      <c r="AC388" s="495">
        <f t="shared" ca="1" si="231"/>
        <v>0</v>
      </c>
      <c r="AD388" s="495">
        <f t="shared" ca="1" si="231"/>
        <v>0</v>
      </c>
      <c r="AE388" s="495">
        <f t="shared" ca="1" si="231"/>
        <v>0</v>
      </c>
      <c r="AF388" s="495">
        <f t="shared" ca="1" si="231"/>
        <v>0</v>
      </c>
    </row>
    <row r="389" spans="1:57">
      <c r="A389" s="285"/>
      <c r="B389" s="285"/>
      <c r="C389" s="285"/>
      <c r="D389" s="285"/>
      <c r="E389" s="285"/>
      <c r="F389" s="285"/>
      <c r="G389" s="471"/>
      <c r="H389" s="486"/>
      <c r="I389" s="486"/>
      <c r="J389" s="486"/>
      <c r="K389" s="486"/>
      <c r="L389" s="486"/>
      <c r="M389" s="486"/>
      <c r="N389" s="486"/>
      <c r="O389" s="486"/>
      <c r="P389" s="486"/>
      <c r="Q389" s="486"/>
      <c r="R389" s="486"/>
      <c r="S389" s="486"/>
      <c r="T389" s="486"/>
      <c r="U389" s="486"/>
      <c r="V389" s="486"/>
      <c r="W389" s="486"/>
      <c r="X389" s="486"/>
      <c r="Y389" s="486"/>
      <c r="Z389" s="486"/>
      <c r="AA389" s="486"/>
      <c r="AB389" s="486"/>
      <c r="AC389" s="486"/>
      <c r="AD389" s="486"/>
      <c r="AE389" s="486"/>
      <c r="AF389" s="486"/>
    </row>
    <row r="390" spans="1:57">
      <c r="A390" s="491" t="s">
        <v>1079</v>
      </c>
      <c r="B390" s="285"/>
      <c r="C390" s="285"/>
      <c r="D390" s="285"/>
      <c r="E390" s="285"/>
      <c r="F390" s="285"/>
      <c r="G390" s="471"/>
      <c r="H390" s="486"/>
      <c r="I390" s="486"/>
      <c r="J390" s="486"/>
      <c r="K390" s="486"/>
      <c r="L390" s="486"/>
      <c r="M390" s="486"/>
      <c r="N390" s="486"/>
      <c r="O390" s="486"/>
      <c r="P390" s="486"/>
      <c r="Q390" s="486"/>
      <c r="R390" s="486"/>
      <c r="S390" s="486"/>
      <c r="T390" s="486"/>
      <c r="U390" s="486"/>
      <c r="V390" s="486"/>
      <c r="W390" s="486"/>
      <c r="X390" s="486"/>
      <c r="Y390" s="486"/>
      <c r="Z390" s="486"/>
      <c r="AA390" s="486"/>
      <c r="AB390" s="486"/>
      <c r="AC390" s="486"/>
      <c r="AD390" s="486"/>
      <c r="AE390" s="486"/>
      <c r="AF390" s="486"/>
    </row>
    <row r="391" spans="1:57">
      <c r="A391" s="484" t="s">
        <v>1080</v>
      </c>
      <c r="B391" s="285"/>
      <c r="C391" s="285"/>
      <c r="D391" s="285"/>
      <c r="E391" s="285"/>
      <c r="F391" s="285"/>
      <c r="G391" s="471"/>
      <c r="H391" s="865">
        <v>0</v>
      </c>
      <c r="I391" s="486">
        <f ca="1">H395</f>
        <v>0</v>
      </c>
      <c r="J391" s="486">
        <f ca="1">I395</f>
        <v>0</v>
      </c>
      <c r="K391" s="486">
        <f t="shared" ref="K391:Z391" ca="1" si="232">J395</f>
        <v>0</v>
      </c>
      <c r="L391" s="486">
        <f t="shared" ca="1" si="232"/>
        <v>0</v>
      </c>
      <c r="M391" s="486">
        <f t="shared" ca="1" si="232"/>
        <v>0</v>
      </c>
      <c r="N391" s="486">
        <f t="shared" ca="1" si="232"/>
        <v>0</v>
      </c>
      <c r="O391" s="486">
        <f t="shared" ca="1" si="232"/>
        <v>0</v>
      </c>
      <c r="P391" s="486">
        <f t="shared" ca="1" si="232"/>
        <v>0</v>
      </c>
      <c r="Q391" s="486">
        <f t="shared" ca="1" si="232"/>
        <v>0</v>
      </c>
      <c r="R391" s="486">
        <f t="shared" ca="1" si="232"/>
        <v>0</v>
      </c>
      <c r="S391" s="486">
        <f t="shared" ca="1" si="232"/>
        <v>0</v>
      </c>
      <c r="T391" s="486">
        <f t="shared" ca="1" si="232"/>
        <v>0</v>
      </c>
      <c r="U391" s="486">
        <f t="shared" ca="1" si="232"/>
        <v>0</v>
      </c>
      <c r="V391" s="486">
        <f t="shared" ca="1" si="232"/>
        <v>0</v>
      </c>
      <c r="W391" s="486">
        <f t="shared" ca="1" si="232"/>
        <v>0</v>
      </c>
      <c r="X391" s="486">
        <f t="shared" ca="1" si="232"/>
        <v>0</v>
      </c>
      <c r="Y391" s="486">
        <f t="shared" ca="1" si="232"/>
        <v>0</v>
      </c>
      <c r="Z391" s="486">
        <f t="shared" ca="1" si="232"/>
        <v>0</v>
      </c>
      <c r="AA391" s="486">
        <f t="shared" ref="AA391:AF391" ca="1" si="233">Z395</f>
        <v>3.2741809263825417E-11</v>
      </c>
      <c r="AB391" s="486">
        <f t="shared" ca="1" si="233"/>
        <v>-3.092281986027956E-11</v>
      </c>
      <c r="AC391" s="486">
        <f t="shared" ca="1" si="233"/>
        <v>1.2732925824820995E-10</v>
      </c>
      <c r="AD391" s="486">
        <f t="shared" ca="1" si="233"/>
        <v>-3.092281986027956E-11</v>
      </c>
      <c r="AE391" s="486">
        <f t="shared" ca="1" si="233"/>
        <v>2.6557245291769505E-10</v>
      </c>
      <c r="AF391" s="486">
        <f t="shared" ca="1" si="233"/>
        <v>-4.5474735088646412E-11</v>
      </c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</row>
    <row r="392" spans="1:57">
      <c r="A392" s="484" t="s">
        <v>1081</v>
      </c>
      <c r="B392" s="285"/>
      <c r="C392" s="285"/>
      <c r="D392" s="285"/>
      <c r="E392" s="285"/>
      <c r="F392" s="285"/>
      <c r="G392" s="285"/>
      <c r="H392" s="864">
        <v>0</v>
      </c>
      <c r="I392" s="285">
        <f t="shared" ref="I392:AF392" ca="1" si="234">I569-H569</f>
        <v>0</v>
      </c>
      <c r="J392" s="285">
        <f t="shared" ca="1" si="234"/>
        <v>0</v>
      </c>
      <c r="K392" s="285">
        <f t="shared" si="234"/>
        <v>0</v>
      </c>
      <c r="L392" s="285">
        <f t="shared" si="234"/>
        <v>0</v>
      </c>
      <c r="M392" s="285">
        <f t="shared" si="234"/>
        <v>0</v>
      </c>
      <c r="N392" s="285">
        <f t="shared" si="234"/>
        <v>0</v>
      </c>
      <c r="O392" s="285">
        <f t="shared" si="234"/>
        <v>0</v>
      </c>
      <c r="P392" s="285">
        <f t="shared" si="234"/>
        <v>0</v>
      </c>
      <c r="Q392" s="285">
        <f t="shared" si="234"/>
        <v>0</v>
      </c>
      <c r="R392" s="285">
        <f t="shared" si="234"/>
        <v>0</v>
      </c>
      <c r="S392" s="285">
        <f t="shared" si="234"/>
        <v>0</v>
      </c>
      <c r="T392" s="285">
        <f t="shared" si="234"/>
        <v>0</v>
      </c>
      <c r="U392" s="285">
        <f t="shared" si="234"/>
        <v>0</v>
      </c>
      <c r="V392" s="285">
        <f t="shared" si="234"/>
        <v>0</v>
      </c>
      <c r="W392" s="285">
        <f t="shared" si="234"/>
        <v>0</v>
      </c>
      <c r="X392" s="285">
        <f t="shared" si="234"/>
        <v>0</v>
      </c>
      <c r="Y392" s="285">
        <f t="shared" si="234"/>
        <v>0</v>
      </c>
      <c r="Z392" s="285">
        <f t="shared" si="234"/>
        <v>0</v>
      </c>
      <c r="AA392" s="285">
        <f t="shared" si="234"/>
        <v>0</v>
      </c>
      <c r="AB392" s="285">
        <f t="shared" si="234"/>
        <v>0</v>
      </c>
      <c r="AC392" s="285">
        <f t="shared" si="234"/>
        <v>0</v>
      </c>
      <c r="AD392" s="285">
        <f t="shared" si="234"/>
        <v>0</v>
      </c>
      <c r="AE392" s="285">
        <f t="shared" si="234"/>
        <v>0</v>
      </c>
      <c r="AF392" s="285">
        <f t="shared" si="234"/>
        <v>0</v>
      </c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</row>
    <row r="393" spans="1:57">
      <c r="A393" s="484" t="s">
        <v>1111</v>
      </c>
      <c r="B393" s="285"/>
      <c r="C393" s="285"/>
      <c r="D393" s="285"/>
      <c r="E393" s="285"/>
      <c r="F393" s="285"/>
      <c r="G393" s="486"/>
      <c r="H393" s="865">
        <v>0</v>
      </c>
      <c r="I393" s="486">
        <f t="shared" ref="I393:AF393" ca="1" si="235">-I387</f>
        <v>0</v>
      </c>
      <c r="J393" s="486">
        <f t="shared" ca="1" si="235"/>
        <v>0</v>
      </c>
      <c r="K393" s="486">
        <f t="shared" ca="1" si="235"/>
        <v>0</v>
      </c>
      <c r="L393" s="486">
        <f t="shared" ca="1" si="235"/>
        <v>0</v>
      </c>
      <c r="M393" s="486">
        <f t="shared" ca="1" si="235"/>
        <v>0</v>
      </c>
      <c r="N393" s="486">
        <f t="shared" ca="1" si="235"/>
        <v>0</v>
      </c>
      <c r="O393" s="486">
        <f t="shared" ca="1" si="235"/>
        <v>0</v>
      </c>
      <c r="P393" s="486">
        <f t="shared" ca="1" si="235"/>
        <v>0</v>
      </c>
      <c r="Q393" s="486">
        <f t="shared" ca="1" si="235"/>
        <v>0</v>
      </c>
      <c r="R393" s="486">
        <f t="shared" ca="1" si="235"/>
        <v>0</v>
      </c>
      <c r="S393" s="486">
        <f t="shared" ca="1" si="235"/>
        <v>0</v>
      </c>
      <c r="T393" s="486">
        <f t="shared" ca="1" si="235"/>
        <v>0</v>
      </c>
      <c r="U393" s="486">
        <f t="shared" ca="1" si="235"/>
        <v>0</v>
      </c>
      <c r="V393" s="486">
        <f t="shared" ca="1" si="235"/>
        <v>0</v>
      </c>
      <c r="W393" s="486">
        <f t="shared" ca="1" si="235"/>
        <v>0</v>
      </c>
      <c r="X393" s="486">
        <f t="shared" ca="1" si="235"/>
        <v>0</v>
      </c>
      <c r="Y393" s="486">
        <f t="shared" ca="1" si="235"/>
        <v>0</v>
      </c>
      <c r="Z393" s="486">
        <f t="shared" ca="1" si="235"/>
        <v>-1.6370904631912708E-11</v>
      </c>
      <c r="AA393" s="486">
        <f t="shared" ca="1" si="235"/>
        <v>3.092281986027956E-11</v>
      </c>
      <c r="AB393" s="486">
        <f t="shared" ca="1" si="235"/>
        <v>-1.4551915228366852E-11</v>
      </c>
      <c r="AC393" s="486">
        <f t="shared" ca="1" si="235"/>
        <v>3.092281986027956E-11</v>
      </c>
      <c r="AD393" s="486">
        <f t="shared" ca="1" si="235"/>
        <v>0</v>
      </c>
      <c r="AE393" s="486">
        <f t="shared" ca="1" si="235"/>
        <v>4.5474735088646412E-11</v>
      </c>
      <c r="AF393" s="486">
        <f t="shared" ca="1" si="235"/>
        <v>0</v>
      </c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</row>
    <row r="394" spans="1:57">
      <c r="A394" s="285" t="str">
        <f>"Excess Cash Flow Recaptured on "&amp;B481</f>
        <v>Excess Cash Flow Recaptured on Purchase Term Loan</v>
      </c>
      <c r="B394" s="285"/>
      <c r="C394" s="285"/>
      <c r="D394" s="285"/>
      <c r="E394" s="285"/>
      <c r="F394" s="285"/>
      <c r="G394" s="285"/>
      <c r="H394" s="864">
        <v>0</v>
      </c>
      <c r="I394" s="285">
        <f t="shared" ref="I394:AG394" ca="1" si="236">IF(I393&gt;0,-MIN((+I393)*I609,I451-I452-I453),0)</f>
        <v>0</v>
      </c>
      <c r="J394" s="285">
        <f t="shared" ca="1" si="236"/>
        <v>0</v>
      </c>
      <c r="K394" s="285">
        <f t="shared" ca="1" si="236"/>
        <v>0</v>
      </c>
      <c r="L394" s="285">
        <f t="shared" ca="1" si="236"/>
        <v>0</v>
      </c>
      <c r="M394" s="285">
        <f t="shared" ca="1" si="236"/>
        <v>0</v>
      </c>
      <c r="N394" s="285">
        <f t="shared" ca="1" si="236"/>
        <v>0</v>
      </c>
      <c r="O394" s="285">
        <f t="shared" ca="1" si="236"/>
        <v>0</v>
      </c>
      <c r="P394" s="285">
        <f t="shared" ca="1" si="236"/>
        <v>0</v>
      </c>
      <c r="Q394" s="285">
        <f t="shared" ca="1" si="236"/>
        <v>0</v>
      </c>
      <c r="R394" s="285">
        <f t="shared" ca="1" si="236"/>
        <v>0</v>
      </c>
      <c r="S394" s="285">
        <f t="shared" ca="1" si="236"/>
        <v>0</v>
      </c>
      <c r="T394" s="285">
        <f t="shared" ca="1" si="236"/>
        <v>0</v>
      </c>
      <c r="U394" s="285">
        <f t="shared" ca="1" si="236"/>
        <v>0</v>
      </c>
      <c r="V394" s="285">
        <f t="shared" ca="1" si="236"/>
        <v>0</v>
      </c>
      <c r="W394" s="285">
        <f t="shared" ca="1" si="236"/>
        <v>0</v>
      </c>
      <c r="X394" s="285">
        <f t="shared" ca="1" si="236"/>
        <v>0</v>
      </c>
      <c r="Y394" s="285">
        <f t="shared" ca="1" si="236"/>
        <v>0</v>
      </c>
      <c r="Z394" s="285">
        <f t="shared" ca="1" si="236"/>
        <v>0</v>
      </c>
      <c r="AA394" s="285">
        <f t="shared" ca="1" si="236"/>
        <v>1.6370904631912708E-11</v>
      </c>
      <c r="AB394" s="285">
        <f t="shared" ca="1" si="236"/>
        <v>0</v>
      </c>
      <c r="AC394" s="285">
        <f t="shared" ca="1" si="236"/>
        <v>1.6370904631912708E-11</v>
      </c>
      <c r="AD394" s="285">
        <f t="shared" ca="1" si="236"/>
        <v>0</v>
      </c>
      <c r="AE394" s="285">
        <f t="shared" ca="1" si="236"/>
        <v>1.6370904631912708E-11</v>
      </c>
      <c r="AF394" s="285">
        <f t="shared" ca="1" si="236"/>
        <v>0</v>
      </c>
      <c r="AG394" s="285">
        <f t="shared" si="236"/>
        <v>0</v>
      </c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</row>
    <row r="395" spans="1:57">
      <c r="A395" s="484" t="s">
        <v>1112</v>
      </c>
      <c r="B395" s="285"/>
      <c r="C395" s="285"/>
      <c r="D395" s="285"/>
      <c r="E395" s="285"/>
      <c r="F395" s="285"/>
      <c r="G395" s="471"/>
      <c r="H395" s="866">
        <f ca="1">H569</f>
        <v>0</v>
      </c>
      <c r="I395" s="495">
        <f t="shared" ref="I395:Z395" ca="1" si="237">I391+I392+I393+I394</f>
        <v>0</v>
      </c>
      <c r="J395" s="495">
        <f t="shared" ca="1" si="237"/>
        <v>0</v>
      </c>
      <c r="K395" s="495">
        <f t="shared" ca="1" si="237"/>
        <v>0</v>
      </c>
      <c r="L395" s="495">
        <f t="shared" ca="1" si="237"/>
        <v>0</v>
      </c>
      <c r="M395" s="495">
        <f t="shared" ca="1" si="237"/>
        <v>0</v>
      </c>
      <c r="N395" s="495">
        <f t="shared" ca="1" si="237"/>
        <v>0</v>
      </c>
      <c r="O395" s="495">
        <f t="shared" ca="1" si="237"/>
        <v>0</v>
      </c>
      <c r="P395" s="495">
        <f t="shared" ca="1" si="237"/>
        <v>0</v>
      </c>
      <c r="Q395" s="495">
        <f t="shared" ca="1" si="237"/>
        <v>0</v>
      </c>
      <c r="R395" s="495">
        <f t="shared" ca="1" si="237"/>
        <v>0</v>
      </c>
      <c r="S395" s="495">
        <f t="shared" ca="1" si="237"/>
        <v>0</v>
      </c>
      <c r="T395" s="495">
        <f t="shared" ca="1" si="237"/>
        <v>0</v>
      </c>
      <c r="U395" s="495">
        <f t="shared" ca="1" si="237"/>
        <v>0</v>
      </c>
      <c r="V395" s="495">
        <f t="shared" ca="1" si="237"/>
        <v>0</v>
      </c>
      <c r="W395" s="495">
        <f t="shared" ca="1" si="237"/>
        <v>0</v>
      </c>
      <c r="X395" s="495">
        <f t="shared" ca="1" si="237"/>
        <v>0</v>
      </c>
      <c r="Y395" s="495">
        <f t="shared" ca="1" si="237"/>
        <v>0</v>
      </c>
      <c r="Z395" s="495">
        <f t="shared" ca="1" si="237"/>
        <v>-1.6370904631912708E-11</v>
      </c>
      <c r="AA395" s="495">
        <f t="shared" ref="AA395:AF395" ca="1" si="238">AA391+AA392+AA393+AA394</f>
        <v>8.0035533756017685E-11</v>
      </c>
      <c r="AB395" s="495">
        <f t="shared" ca="1" si="238"/>
        <v>-4.5474735088646412E-11</v>
      </c>
      <c r="AC395" s="495">
        <f t="shared" ca="1" si="238"/>
        <v>1.7462298274040222E-10</v>
      </c>
      <c r="AD395" s="495">
        <f t="shared" ca="1" si="238"/>
        <v>-3.092281986027956E-11</v>
      </c>
      <c r="AE395" s="495">
        <f t="shared" ca="1" si="238"/>
        <v>3.2741809263825417E-10</v>
      </c>
      <c r="AF395" s="495">
        <f t="shared" ca="1" si="238"/>
        <v>-4.5474735088646412E-11</v>
      </c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</row>
    <row r="396" spans="1:57" ht="10.8" thickBot="1">
      <c r="A396" s="484"/>
      <c r="B396" s="285"/>
      <c r="C396" s="285"/>
      <c r="D396" s="285"/>
      <c r="E396" s="285"/>
      <c r="F396" s="285"/>
      <c r="G396" s="516"/>
      <c r="H396" s="492"/>
      <c r="I396" s="492"/>
      <c r="J396" s="492"/>
      <c r="K396" s="492"/>
      <c r="L396" s="492"/>
      <c r="M396" s="492"/>
      <c r="N396" s="492"/>
      <c r="O396" s="492"/>
      <c r="P396" s="492"/>
      <c r="Q396" s="492"/>
      <c r="R396" s="492"/>
      <c r="S396" s="492"/>
      <c r="T396" s="285"/>
      <c r="U396" s="285"/>
      <c r="V396" s="285"/>
      <c r="W396" s="285"/>
      <c r="X396" s="285"/>
      <c r="Y396" s="285"/>
      <c r="Z396" s="285"/>
      <c r="AA396" s="285"/>
      <c r="AB396" s="285"/>
      <c r="AC396" s="285"/>
      <c r="AD396" s="285"/>
      <c r="AE396" s="285"/>
      <c r="AF396" s="285"/>
    </row>
    <row r="397" spans="1:57" ht="11.4" thickTop="1" thickBot="1">
      <c r="A397" s="285"/>
      <c r="B397" s="285"/>
      <c r="C397" s="285"/>
      <c r="D397" s="285"/>
      <c r="E397" s="517">
        <f>E$638</f>
        <v>35430</v>
      </c>
      <c r="F397" s="517">
        <f>F$638</f>
        <v>35795</v>
      </c>
      <c r="G397" s="517">
        <f>G$638</f>
        <v>36160</v>
      </c>
      <c r="H397" s="517">
        <f>H$638</f>
        <v>36373</v>
      </c>
      <c r="I397" s="518">
        <f>I$638</f>
        <v>36525</v>
      </c>
      <c r="J397" s="518">
        <f t="shared" ref="J397:AF397" si="239">J$638</f>
        <v>36891</v>
      </c>
      <c r="K397" s="518">
        <f t="shared" si="239"/>
        <v>37256</v>
      </c>
      <c r="L397" s="518">
        <f t="shared" si="239"/>
        <v>37621</v>
      </c>
      <c r="M397" s="518">
        <f t="shared" si="239"/>
        <v>37986</v>
      </c>
      <c r="N397" s="518">
        <f t="shared" si="239"/>
        <v>38352</v>
      </c>
      <c r="O397" s="518">
        <f t="shared" si="239"/>
        <v>38717</v>
      </c>
      <c r="P397" s="518">
        <f t="shared" si="239"/>
        <v>39082</v>
      </c>
      <c r="Q397" s="518">
        <f t="shared" si="239"/>
        <v>39447</v>
      </c>
      <c r="R397" s="518">
        <f t="shared" si="239"/>
        <v>39813</v>
      </c>
      <c r="S397" s="518">
        <f t="shared" si="239"/>
        <v>40178</v>
      </c>
      <c r="T397" s="518">
        <f t="shared" si="239"/>
        <v>40543</v>
      </c>
      <c r="U397" s="518">
        <f t="shared" si="239"/>
        <v>40908</v>
      </c>
      <c r="V397" s="518">
        <f t="shared" si="239"/>
        <v>41274</v>
      </c>
      <c r="W397" s="518">
        <f t="shared" si="239"/>
        <v>41639</v>
      </c>
      <c r="X397" s="518">
        <f t="shared" si="239"/>
        <v>42004</v>
      </c>
      <c r="Y397" s="518">
        <f t="shared" si="239"/>
        <v>42369</v>
      </c>
      <c r="Z397" s="518">
        <f t="shared" si="239"/>
        <v>42735</v>
      </c>
      <c r="AA397" s="518">
        <f t="shared" si="239"/>
        <v>43100</v>
      </c>
      <c r="AB397" s="518">
        <f t="shared" si="239"/>
        <v>43465</v>
      </c>
      <c r="AC397" s="518">
        <f t="shared" si="239"/>
        <v>43830</v>
      </c>
      <c r="AD397" s="518">
        <f t="shared" si="239"/>
        <v>44196</v>
      </c>
      <c r="AE397" s="518">
        <f t="shared" si="239"/>
        <v>44561</v>
      </c>
      <c r="AF397" s="518">
        <f t="shared" si="239"/>
        <v>44926</v>
      </c>
    </row>
    <row r="398" spans="1:57" ht="16.2" thickTop="1">
      <c r="A398" s="1686" t="s">
        <v>1114</v>
      </c>
      <c r="B398" s="285"/>
      <c r="C398" s="285"/>
      <c r="D398" s="285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5"/>
      <c r="U398" s="285"/>
      <c r="V398" s="285"/>
      <c r="W398" s="285"/>
      <c r="X398" s="285"/>
      <c r="Y398" s="285"/>
      <c r="Z398" s="285"/>
      <c r="AA398" s="285"/>
      <c r="AB398" s="285"/>
      <c r="AC398" s="285"/>
      <c r="AD398" s="285"/>
      <c r="AE398" s="285"/>
      <c r="AF398" s="285"/>
    </row>
    <row r="399" spans="1:57">
      <c r="A399" s="285" t="str">
        <f>A515</f>
        <v>Cash and Marketable Securities</v>
      </c>
      <c r="B399" s="285"/>
      <c r="C399" s="485"/>
      <c r="D399" s="485"/>
      <c r="E399" s="486">
        <f t="shared" ref="E399:G402" si="240">E515</f>
        <v>0</v>
      </c>
      <c r="F399" s="486">
        <f t="shared" si="240"/>
        <v>960</v>
      </c>
      <c r="G399" s="486">
        <f t="shared" si="240"/>
        <v>1493</v>
      </c>
      <c r="H399" s="501">
        <f ca="1">N515</f>
        <v>0</v>
      </c>
      <c r="I399" s="486">
        <f t="shared" ref="I399:Z399" ca="1" si="241">I395</f>
        <v>0</v>
      </c>
      <c r="J399" s="486">
        <f t="shared" ca="1" si="241"/>
        <v>0</v>
      </c>
      <c r="K399" s="486">
        <f t="shared" ca="1" si="241"/>
        <v>0</v>
      </c>
      <c r="L399" s="486">
        <f t="shared" ca="1" si="241"/>
        <v>0</v>
      </c>
      <c r="M399" s="486">
        <f t="shared" ca="1" si="241"/>
        <v>0</v>
      </c>
      <c r="N399" s="486">
        <f t="shared" ca="1" si="241"/>
        <v>0</v>
      </c>
      <c r="O399" s="486">
        <f t="shared" ca="1" si="241"/>
        <v>0</v>
      </c>
      <c r="P399" s="486">
        <f t="shared" ca="1" si="241"/>
        <v>0</v>
      </c>
      <c r="Q399" s="486">
        <f t="shared" ca="1" si="241"/>
        <v>0</v>
      </c>
      <c r="R399" s="486">
        <f t="shared" ca="1" si="241"/>
        <v>0</v>
      </c>
      <c r="S399" s="486">
        <f t="shared" ca="1" si="241"/>
        <v>0</v>
      </c>
      <c r="T399" s="486">
        <f t="shared" ca="1" si="241"/>
        <v>0</v>
      </c>
      <c r="U399" s="486">
        <f t="shared" ca="1" si="241"/>
        <v>0</v>
      </c>
      <c r="V399" s="486">
        <f t="shared" ca="1" si="241"/>
        <v>0</v>
      </c>
      <c r="W399" s="486">
        <f t="shared" ca="1" si="241"/>
        <v>0</v>
      </c>
      <c r="X399" s="486">
        <f t="shared" ca="1" si="241"/>
        <v>0</v>
      </c>
      <c r="Y399" s="486">
        <f t="shared" ca="1" si="241"/>
        <v>0</v>
      </c>
      <c r="Z399" s="486">
        <f t="shared" ca="1" si="241"/>
        <v>-1.6370904631912708E-11</v>
      </c>
      <c r="AA399" s="486">
        <f t="shared" ref="AA399:AF399" ca="1" si="242">AA395</f>
        <v>8.0035533756017685E-11</v>
      </c>
      <c r="AB399" s="486">
        <f t="shared" ca="1" si="242"/>
        <v>-4.5474735088646412E-11</v>
      </c>
      <c r="AC399" s="486">
        <f t="shared" ca="1" si="242"/>
        <v>1.7462298274040222E-10</v>
      </c>
      <c r="AD399" s="486">
        <f t="shared" ca="1" si="242"/>
        <v>-3.092281986027956E-11</v>
      </c>
      <c r="AE399" s="486">
        <f t="shared" ca="1" si="242"/>
        <v>3.2741809263825417E-10</v>
      </c>
      <c r="AF399" s="486">
        <f t="shared" ca="1" si="242"/>
        <v>-4.5474735088646412E-11</v>
      </c>
    </row>
    <row r="400" spans="1:57">
      <c r="A400" s="285" t="str">
        <f>A516</f>
        <v>Accounts Receivable</v>
      </c>
      <c r="B400" s="285"/>
      <c r="C400" s="486"/>
      <c r="D400" s="486"/>
      <c r="E400" s="486">
        <f t="shared" si="240"/>
        <v>0</v>
      </c>
      <c r="F400" s="486">
        <f t="shared" si="240"/>
        <v>1187</v>
      </c>
      <c r="G400" s="486">
        <f t="shared" si="240"/>
        <v>591</v>
      </c>
      <c r="H400" s="501">
        <f ca="1">N516</f>
        <v>303.37527413486293</v>
      </c>
      <c r="I400" s="486">
        <f t="shared" ref="I400:Z400" si="243">I571</f>
        <v>883</v>
      </c>
      <c r="J400" s="486">
        <f t="shared" si="243"/>
        <v>1521.2038158434234</v>
      </c>
      <c r="K400" s="486">
        <f t="shared" si="243"/>
        <v>1763.5563731819395</v>
      </c>
      <c r="L400" s="486">
        <f t="shared" si="243"/>
        <v>1639.5884550711421</v>
      </c>
      <c r="M400" s="486">
        <f t="shared" si="243"/>
        <v>1570.652829347192</v>
      </c>
      <c r="N400" s="486">
        <f t="shared" si="243"/>
        <v>1545.8255772593525</v>
      </c>
      <c r="O400" s="486">
        <f t="shared" si="243"/>
        <v>1548.9458397010621</v>
      </c>
      <c r="P400" s="486">
        <f t="shared" si="243"/>
        <v>1609.7305615419045</v>
      </c>
      <c r="Q400" s="486">
        <f t="shared" si="243"/>
        <v>1658.1943220089627</v>
      </c>
      <c r="R400" s="486">
        <f t="shared" si="243"/>
        <v>1712.8137907309551</v>
      </c>
      <c r="S400" s="486">
        <f t="shared" si="243"/>
        <v>1738.7504366863363</v>
      </c>
      <c r="T400" s="486">
        <f t="shared" si="243"/>
        <v>1786.1201580075062</v>
      </c>
      <c r="U400" s="486">
        <f t="shared" si="243"/>
        <v>1816.8065638411656</v>
      </c>
      <c r="V400" s="486">
        <f t="shared" si="243"/>
        <v>1863.7222818026137</v>
      </c>
      <c r="W400" s="486">
        <f t="shared" si="243"/>
        <v>1899.5795099613401</v>
      </c>
      <c r="X400" s="486">
        <f t="shared" si="243"/>
        <v>1942.4565764998456</v>
      </c>
      <c r="Y400" s="486">
        <f t="shared" si="243"/>
        <v>1992.3374250435704</v>
      </c>
      <c r="Z400" s="486">
        <f t="shared" si="243"/>
        <v>2042.6110559813606</v>
      </c>
      <c r="AA400" s="486">
        <f t="shared" ref="AA400:AF402" si="244">AA571</f>
        <v>2081.8734385499356</v>
      </c>
      <c r="AB400" s="486">
        <f t="shared" si="244"/>
        <v>2120.1760059102112</v>
      </c>
      <c r="AC400" s="486">
        <f t="shared" si="244"/>
        <v>2178.7114381044166</v>
      </c>
      <c r="AD400" s="486">
        <f t="shared" si="244"/>
        <v>2227.9107653865071</v>
      </c>
      <c r="AE400" s="486">
        <f t="shared" si="244"/>
        <v>2272.7603021027662</v>
      </c>
      <c r="AF400" s="486">
        <f t="shared" si="244"/>
        <v>1977.2419787194342</v>
      </c>
    </row>
    <row r="401" spans="1:32">
      <c r="A401" s="285" t="str">
        <f>A517</f>
        <v>Inventories</v>
      </c>
      <c r="B401" s="285"/>
      <c r="C401" s="486"/>
      <c r="D401" s="486"/>
      <c r="E401" s="486">
        <f t="shared" si="240"/>
        <v>0</v>
      </c>
      <c r="F401" s="486">
        <f t="shared" si="240"/>
        <v>0</v>
      </c>
      <c r="G401" s="486">
        <f t="shared" si="240"/>
        <v>0</v>
      </c>
      <c r="H401" s="501">
        <f>N517</f>
        <v>0</v>
      </c>
      <c r="I401" s="486">
        <f t="shared" ref="I401:Z401" si="245">I572</f>
        <v>163</v>
      </c>
      <c r="J401" s="486">
        <f t="shared" si="245"/>
        <v>0</v>
      </c>
      <c r="K401" s="486">
        <f t="shared" si="245"/>
        <v>0</v>
      </c>
      <c r="L401" s="486">
        <f t="shared" si="245"/>
        <v>0</v>
      </c>
      <c r="M401" s="486">
        <f t="shared" si="245"/>
        <v>0</v>
      </c>
      <c r="N401" s="486">
        <f t="shared" si="245"/>
        <v>0</v>
      </c>
      <c r="O401" s="486">
        <f t="shared" si="245"/>
        <v>0</v>
      </c>
      <c r="P401" s="486">
        <f t="shared" si="245"/>
        <v>0</v>
      </c>
      <c r="Q401" s="486">
        <f t="shared" si="245"/>
        <v>0</v>
      </c>
      <c r="R401" s="486">
        <f t="shared" si="245"/>
        <v>0</v>
      </c>
      <c r="S401" s="486">
        <f t="shared" si="245"/>
        <v>0</v>
      </c>
      <c r="T401" s="486">
        <f t="shared" si="245"/>
        <v>0</v>
      </c>
      <c r="U401" s="486">
        <f t="shared" si="245"/>
        <v>0</v>
      </c>
      <c r="V401" s="486">
        <f t="shared" si="245"/>
        <v>0</v>
      </c>
      <c r="W401" s="486">
        <f t="shared" si="245"/>
        <v>0</v>
      </c>
      <c r="X401" s="486">
        <f t="shared" si="245"/>
        <v>0</v>
      </c>
      <c r="Y401" s="486">
        <f t="shared" si="245"/>
        <v>0</v>
      </c>
      <c r="Z401" s="486">
        <f t="shared" si="245"/>
        <v>0</v>
      </c>
      <c r="AA401" s="486">
        <f t="shared" si="244"/>
        <v>0</v>
      </c>
      <c r="AB401" s="486">
        <f t="shared" si="244"/>
        <v>0</v>
      </c>
      <c r="AC401" s="486">
        <f t="shared" si="244"/>
        <v>0</v>
      </c>
      <c r="AD401" s="486">
        <f t="shared" si="244"/>
        <v>0</v>
      </c>
      <c r="AE401" s="486">
        <f t="shared" si="244"/>
        <v>0</v>
      </c>
      <c r="AF401" s="486">
        <f t="shared" si="244"/>
        <v>0</v>
      </c>
    </row>
    <row r="402" spans="1:32">
      <c r="A402" s="285" t="str">
        <f>A518</f>
        <v>Other Current Assets</v>
      </c>
      <c r="B402" s="285"/>
      <c r="C402" s="486"/>
      <c r="D402" s="486"/>
      <c r="E402" s="486">
        <f t="shared" si="240"/>
        <v>0</v>
      </c>
      <c r="F402" s="486">
        <f t="shared" si="240"/>
        <v>427</v>
      </c>
      <c r="G402" s="486">
        <f t="shared" si="240"/>
        <v>381</v>
      </c>
      <c r="H402" s="501">
        <f>N518</f>
        <v>0</v>
      </c>
      <c r="I402" s="486">
        <f t="shared" ref="I402:Z402" si="246">I573</f>
        <v>0</v>
      </c>
      <c r="J402" s="486">
        <f t="shared" si="246"/>
        <v>0</v>
      </c>
      <c r="K402" s="486">
        <f t="shared" si="246"/>
        <v>0</v>
      </c>
      <c r="L402" s="486">
        <f t="shared" si="246"/>
        <v>0</v>
      </c>
      <c r="M402" s="486">
        <f t="shared" si="246"/>
        <v>0</v>
      </c>
      <c r="N402" s="486">
        <f t="shared" si="246"/>
        <v>0</v>
      </c>
      <c r="O402" s="486">
        <f t="shared" si="246"/>
        <v>0</v>
      </c>
      <c r="P402" s="486">
        <f t="shared" si="246"/>
        <v>0</v>
      </c>
      <c r="Q402" s="486">
        <f t="shared" si="246"/>
        <v>0</v>
      </c>
      <c r="R402" s="486">
        <f t="shared" si="246"/>
        <v>0</v>
      </c>
      <c r="S402" s="486">
        <f t="shared" si="246"/>
        <v>0</v>
      </c>
      <c r="T402" s="486">
        <f t="shared" si="246"/>
        <v>0</v>
      </c>
      <c r="U402" s="486">
        <f t="shared" si="246"/>
        <v>0</v>
      </c>
      <c r="V402" s="486">
        <f t="shared" si="246"/>
        <v>0</v>
      </c>
      <c r="W402" s="486">
        <f t="shared" si="246"/>
        <v>0</v>
      </c>
      <c r="X402" s="486">
        <f t="shared" si="246"/>
        <v>0</v>
      </c>
      <c r="Y402" s="486">
        <f t="shared" si="246"/>
        <v>0</v>
      </c>
      <c r="Z402" s="486">
        <f t="shared" si="246"/>
        <v>0</v>
      </c>
      <c r="AA402" s="486">
        <f t="shared" si="244"/>
        <v>0</v>
      </c>
      <c r="AB402" s="486">
        <f t="shared" si="244"/>
        <v>0</v>
      </c>
      <c r="AC402" s="486">
        <f t="shared" si="244"/>
        <v>0</v>
      </c>
      <c r="AD402" s="486">
        <f t="shared" si="244"/>
        <v>0</v>
      </c>
      <c r="AE402" s="486">
        <f t="shared" si="244"/>
        <v>0</v>
      </c>
      <c r="AF402" s="486">
        <f t="shared" si="244"/>
        <v>0</v>
      </c>
    </row>
    <row r="403" spans="1:32">
      <c r="A403" s="519" t="str">
        <f>A519</f>
        <v>Total Current Assets</v>
      </c>
      <c r="B403" s="285"/>
      <c r="C403" s="486"/>
      <c r="D403" s="486"/>
      <c r="E403" s="495">
        <f t="shared" ref="E403:Z403" si="247">SUM(E399:E402)</f>
        <v>0</v>
      </c>
      <c r="F403" s="495">
        <f t="shared" si="247"/>
        <v>2574</v>
      </c>
      <c r="G403" s="495">
        <f t="shared" si="247"/>
        <v>2465</v>
      </c>
      <c r="H403" s="507">
        <f ca="1">SUM(H399:H402)</f>
        <v>303.37527413486293</v>
      </c>
      <c r="I403" s="495">
        <f t="shared" ca="1" si="247"/>
        <v>1046</v>
      </c>
      <c r="J403" s="495">
        <f t="shared" ca="1" si="247"/>
        <v>1521.2038158434234</v>
      </c>
      <c r="K403" s="495">
        <f t="shared" ca="1" si="247"/>
        <v>1763.5563731819395</v>
      </c>
      <c r="L403" s="495">
        <f t="shared" ca="1" si="247"/>
        <v>1639.5884550711421</v>
      </c>
      <c r="M403" s="495">
        <f t="shared" ca="1" si="247"/>
        <v>1570.652829347192</v>
      </c>
      <c r="N403" s="495">
        <f t="shared" ca="1" si="247"/>
        <v>1545.8255772593525</v>
      </c>
      <c r="O403" s="495">
        <f t="shared" ca="1" si="247"/>
        <v>1548.9458397010621</v>
      </c>
      <c r="P403" s="495">
        <f t="shared" ca="1" si="247"/>
        <v>1609.7305615419045</v>
      </c>
      <c r="Q403" s="495">
        <f t="shared" ca="1" si="247"/>
        <v>1658.1943220089627</v>
      </c>
      <c r="R403" s="495">
        <f t="shared" ca="1" si="247"/>
        <v>1712.8137907309551</v>
      </c>
      <c r="S403" s="495">
        <f t="shared" ca="1" si="247"/>
        <v>1738.7504366863363</v>
      </c>
      <c r="T403" s="495">
        <f t="shared" ca="1" si="247"/>
        <v>1786.1201580075062</v>
      </c>
      <c r="U403" s="495">
        <f t="shared" ca="1" si="247"/>
        <v>1816.8065638411656</v>
      </c>
      <c r="V403" s="495">
        <f t="shared" ca="1" si="247"/>
        <v>1863.7222818026137</v>
      </c>
      <c r="W403" s="495">
        <f t="shared" ca="1" si="247"/>
        <v>1899.5795099613401</v>
      </c>
      <c r="X403" s="495">
        <f t="shared" ca="1" si="247"/>
        <v>1942.4565764998456</v>
      </c>
      <c r="Y403" s="495">
        <f t="shared" ca="1" si="247"/>
        <v>1992.3374250435704</v>
      </c>
      <c r="Z403" s="495">
        <f t="shared" ca="1" si="247"/>
        <v>2042.6110559813442</v>
      </c>
      <c r="AA403" s="495">
        <f t="shared" ref="AA403:AF403" ca="1" si="248">SUM(AA399:AA402)</f>
        <v>2081.8734385500156</v>
      </c>
      <c r="AB403" s="495">
        <f t="shared" ca="1" si="248"/>
        <v>2120.1760059101657</v>
      </c>
      <c r="AC403" s="495">
        <f t="shared" ca="1" si="248"/>
        <v>2178.7114381045913</v>
      </c>
      <c r="AD403" s="495">
        <f t="shared" ca="1" si="248"/>
        <v>2227.9107653864762</v>
      </c>
      <c r="AE403" s="495">
        <f t="shared" ca="1" si="248"/>
        <v>2272.7603021030936</v>
      </c>
      <c r="AF403" s="495">
        <f t="shared" ca="1" si="248"/>
        <v>1977.2419787193887</v>
      </c>
    </row>
    <row r="404" spans="1:32">
      <c r="A404" s="285"/>
      <c r="B404" s="285"/>
      <c r="C404" s="485"/>
      <c r="D404" s="485"/>
      <c r="E404" s="485"/>
      <c r="F404" s="485"/>
      <c r="G404" s="486"/>
      <c r="H404" s="501"/>
      <c r="I404" s="486"/>
      <c r="J404" s="486"/>
      <c r="K404" s="486"/>
      <c r="L404" s="486"/>
      <c r="M404" s="486"/>
      <c r="N404" s="486"/>
      <c r="O404" s="486"/>
      <c r="P404" s="486"/>
      <c r="Q404" s="486"/>
      <c r="R404" s="486"/>
      <c r="S404" s="486"/>
      <c r="T404" s="486"/>
      <c r="U404" s="486"/>
      <c r="V404" s="486"/>
      <c r="W404" s="486"/>
      <c r="X404" s="486"/>
      <c r="Y404" s="486"/>
      <c r="Z404" s="486"/>
      <c r="AA404" s="486"/>
      <c r="AB404" s="486"/>
      <c r="AC404" s="486"/>
      <c r="AD404" s="486"/>
      <c r="AE404" s="486"/>
      <c r="AF404" s="486"/>
    </row>
    <row r="405" spans="1:32">
      <c r="A405" s="285" t="str">
        <f>A521</f>
        <v>Intangibles</v>
      </c>
      <c r="B405" s="285"/>
      <c r="C405" s="485"/>
      <c r="D405" s="485"/>
      <c r="E405" s="486">
        <f t="shared" ref="E405:G406" si="249">E521</f>
        <v>0</v>
      </c>
      <c r="F405" s="486">
        <f t="shared" si="249"/>
        <v>0</v>
      </c>
      <c r="G405" s="486">
        <f t="shared" si="249"/>
        <v>0</v>
      </c>
      <c r="H405" s="501">
        <f>N521</f>
        <v>0</v>
      </c>
      <c r="I405" s="486">
        <f t="shared" ref="I405:AF405" si="250">H405+I777-I641</f>
        <v>0</v>
      </c>
      <c r="J405" s="486">
        <f t="shared" si="250"/>
        <v>0</v>
      </c>
      <c r="K405" s="486">
        <f t="shared" si="250"/>
        <v>0</v>
      </c>
      <c r="L405" s="486">
        <f t="shared" si="250"/>
        <v>0</v>
      </c>
      <c r="M405" s="486">
        <f t="shared" si="250"/>
        <v>0</v>
      </c>
      <c r="N405" s="486">
        <f t="shared" si="250"/>
        <v>0</v>
      </c>
      <c r="O405" s="486">
        <f t="shared" si="250"/>
        <v>0</v>
      </c>
      <c r="P405" s="486">
        <f t="shared" si="250"/>
        <v>0</v>
      </c>
      <c r="Q405" s="486">
        <f t="shared" si="250"/>
        <v>0</v>
      </c>
      <c r="R405" s="486">
        <f t="shared" si="250"/>
        <v>0</v>
      </c>
      <c r="S405" s="486">
        <f t="shared" si="250"/>
        <v>0</v>
      </c>
      <c r="T405" s="486">
        <f t="shared" si="250"/>
        <v>0</v>
      </c>
      <c r="U405" s="486">
        <f t="shared" si="250"/>
        <v>0</v>
      </c>
      <c r="V405" s="486">
        <f t="shared" si="250"/>
        <v>0</v>
      </c>
      <c r="W405" s="486">
        <f t="shared" si="250"/>
        <v>0</v>
      </c>
      <c r="X405" s="486">
        <f t="shared" si="250"/>
        <v>0</v>
      </c>
      <c r="Y405" s="486">
        <f t="shared" si="250"/>
        <v>0</v>
      </c>
      <c r="Z405" s="486">
        <f t="shared" si="250"/>
        <v>0</v>
      </c>
      <c r="AA405" s="486">
        <f t="shared" si="250"/>
        <v>0</v>
      </c>
      <c r="AB405" s="486">
        <f t="shared" si="250"/>
        <v>0</v>
      </c>
      <c r="AC405" s="486">
        <f t="shared" si="250"/>
        <v>0</v>
      </c>
      <c r="AD405" s="486">
        <f t="shared" si="250"/>
        <v>0</v>
      </c>
      <c r="AE405" s="486">
        <f t="shared" si="250"/>
        <v>0</v>
      </c>
      <c r="AF405" s="486">
        <f t="shared" si="250"/>
        <v>0</v>
      </c>
    </row>
    <row r="406" spans="1:32">
      <c r="A406" s="285" t="str">
        <f>A522</f>
        <v>Transaction Fees</v>
      </c>
      <c r="B406" s="285"/>
      <c r="C406" s="485"/>
      <c r="D406" s="485"/>
      <c r="E406" s="486">
        <f t="shared" si="249"/>
        <v>0</v>
      </c>
      <c r="F406" s="486">
        <f t="shared" si="249"/>
        <v>0</v>
      </c>
      <c r="G406" s="486">
        <f t="shared" si="249"/>
        <v>0</v>
      </c>
      <c r="H406" s="501">
        <f ca="1">N522</f>
        <v>774.44448</v>
      </c>
      <c r="I406" s="486">
        <f t="shared" ref="I406:AF406" ca="1" si="251">H406-I640</f>
        <v>722.81484799999998</v>
      </c>
      <c r="J406" s="486">
        <f t="shared" ca="1" si="251"/>
        <v>671.18521599999997</v>
      </c>
      <c r="K406" s="524">
        <f t="shared" ca="1" si="251"/>
        <v>619.55558399999995</v>
      </c>
      <c r="L406" s="486">
        <f t="shared" ca="1" si="251"/>
        <v>567.92595199999994</v>
      </c>
      <c r="M406" s="486">
        <f t="shared" ca="1" si="251"/>
        <v>516.29631999999992</v>
      </c>
      <c r="N406" s="486">
        <f t="shared" ca="1" si="251"/>
        <v>464.66668799999991</v>
      </c>
      <c r="O406" s="486">
        <f t="shared" ca="1" si="251"/>
        <v>413.03705599999989</v>
      </c>
      <c r="P406" s="486">
        <f t="shared" ca="1" si="251"/>
        <v>361.40742399999988</v>
      </c>
      <c r="Q406" s="486">
        <f t="shared" ca="1" si="251"/>
        <v>309.77779199999986</v>
      </c>
      <c r="R406" s="486">
        <f t="shared" ca="1" si="251"/>
        <v>258.14815999999985</v>
      </c>
      <c r="S406" s="486">
        <f t="shared" ca="1" si="251"/>
        <v>206.51852799999983</v>
      </c>
      <c r="T406" s="486">
        <f t="shared" ca="1" si="251"/>
        <v>154.88889599999982</v>
      </c>
      <c r="U406" s="486">
        <f t="shared" ca="1" si="251"/>
        <v>103.25926399999982</v>
      </c>
      <c r="V406" s="486">
        <f t="shared" ca="1" si="251"/>
        <v>51.629631999999816</v>
      </c>
      <c r="W406" s="486">
        <f t="shared" ca="1" si="251"/>
        <v>-1.8474111129762605E-13</v>
      </c>
      <c r="X406" s="486">
        <f t="shared" ca="1" si="251"/>
        <v>-1.8474111129762605E-13</v>
      </c>
      <c r="Y406" s="486">
        <f t="shared" ca="1" si="251"/>
        <v>-1.8474111129762605E-13</v>
      </c>
      <c r="Z406" s="486">
        <f t="shared" ca="1" si="251"/>
        <v>-1.8474111129762605E-13</v>
      </c>
      <c r="AA406" s="486">
        <f t="shared" ca="1" si="251"/>
        <v>-1.8474111129762605E-13</v>
      </c>
      <c r="AB406" s="486">
        <f t="shared" ca="1" si="251"/>
        <v>-1.8474111129762605E-13</v>
      </c>
      <c r="AC406" s="486">
        <f t="shared" ca="1" si="251"/>
        <v>-1.8474111129762605E-13</v>
      </c>
      <c r="AD406" s="486">
        <f t="shared" ca="1" si="251"/>
        <v>-1.8474111129762605E-13</v>
      </c>
      <c r="AE406" s="486">
        <f t="shared" ca="1" si="251"/>
        <v>-1.8474111129762605E-13</v>
      </c>
      <c r="AF406" s="486">
        <f t="shared" ca="1" si="251"/>
        <v>-1.8474111129762605E-13</v>
      </c>
    </row>
    <row r="407" spans="1:32">
      <c r="A407" s="519" t="s">
        <v>1115</v>
      </c>
      <c r="B407" s="285"/>
      <c r="C407" s="485"/>
      <c r="D407" s="485"/>
      <c r="E407" s="520">
        <f t="shared" ref="E407:Z407" si="252">SUM(E405:E406)</f>
        <v>0</v>
      </c>
      <c r="F407" s="520">
        <f t="shared" si="252"/>
        <v>0</v>
      </c>
      <c r="G407" s="520">
        <f t="shared" si="252"/>
        <v>0</v>
      </c>
      <c r="H407" s="521">
        <f t="shared" ca="1" si="252"/>
        <v>774.44448</v>
      </c>
      <c r="I407" s="520">
        <f t="shared" ca="1" si="252"/>
        <v>722.81484799999998</v>
      </c>
      <c r="J407" s="520">
        <f t="shared" ca="1" si="252"/>
        <v>671.18521599999997</v>
      </c>
      <c r="K407" s="520">
        <f t="shared" ca="1" si="252"/>
        <v>619.55558399999995</v>
      </c>
      <c r="L407" s="520">
        <f t="shared" ca="1" si="252"/>
        <v>567.92595199999994</v>
      </c>
      <c r="M407" s="520">
        <f t="shared" ca="1" si="252"/>
        <v>516.29631999999992</v>
      </c>
      <c r="N407" s="520">
        <f t="shared" ca="1" si="252"/>
        <v>464.66668799999991</v>
      </c>
      <c r="O407" s="520">
        <f t="shared" ca="1" si="252"/>
        <v>413.03705599999989</v>
      </c>
      <c r="P407" s="520">
        <f t="shared" ca="1" si="252"/>
        <v>361.40742399999988</v>
      </c>
      <c r="Q407" s="520">
        <f t="shared" ca="1" si="252"/>
        <v>309.77779199999986</v>
      </c>
      <c r="R407" s="520">
        <f t="shared" ca="1" si="252"/>
        <v>258.14815999999985</v>
      </c>
      <c r="S407" s="520">
        <f t="shared" ca="1" si="252"/>
        <v>206.51852799999983</v>
      </c>
      <c r="T407" s="520">
        <f t="shared" ca="1" si="252"/>
        <v>154.88889599999982</v>
      </c>
      <c r="U407" s="520">
        <f t="shared" ca="1" si="252"/>
        <v>103.25926399999982</v>
      </c>
      <c r="V407" s="520">
        <f t="shared" ca="1" si="252"/>
        <v>51.629631999999816</v>
      </c>
      <c r="W407" s="520">
        <f t="shared" ca="1" si="252"/>
        <v>-1.8474111129762605E-13</v>
      </c>
      <c r="X407" s="520">
        <f t="shared" ca="1" si="252"/>
        <v>-1.8474111129762605E-13</v>
      </c>
      <c r="Y407" s="520">
        <f t="shared" ca="1" si="252"/>
        <v>-1.8474111129762605E-13</v>
      </c>
      <c r="Z407" s="520">
        <f t="shared" ca="1" si="252"/>
        <v>-1.8474111129762605E-13</v>
      </c>
      <c r="AA407" s="520">
        <f t="shared" ref="AA407:AF407" ca="1" si="253">SUM(AA405:AA406)</f>
        <v>-1.8474111129762605E-13</v>
      </c>
      <c r="AB407" s="520">
        <f t="shared" ca="1" si="253"/>
        <v>-1.8474111129762605E-13</v>
      </c>
      <c r="AC407" s="520">
        <f t="shared" ca="1" si="253"/>
        <v>-1.8474111129762605E-13</v>
      </c>
      <c r="AD407" s="520">
        <f t="shared" ca="1" si="253"/>
        <v>-1.8474111129762605E-13</v>
      </c>
      <c r="AE407" s="520">
        <f t="shared" ca="1" si="253"/>
        <v>-1.8474111129762605E-13</v>
      </c>
      <c r="AF407" s="520">
        <f t="shared" ca="1" si="253"/>
        <v>-1.8474111129762605E-13</v>
      </c>
    </row>
    <row r="408" spans="1:32">
      <c r="A408" s="285"/>
      <c r="B408" s="285"/>
      <c r="C408" s="485"/>
      <c r="D408" s="485"/>
      <c r="E408" s="486"/>
      <c r="F408" s="486"/>
      <c r="G408" s="486"/>
      <c r="H408" s="497"/>
      <c r="I408" s="486" t="s">
        <v>787</v>
      </c>
      <c r="J408" s="486"/>
      <c r="K408" s="486"/>
      <c r="L408" s="486"/>
      <c r="M408" s="486"/>
      <c r="N408" s="486"/>
      <c r="O408" s="486"/>
      <c r="P408" s="486"/>
      <c r="Q408" s="486"/>
      <c r="R408" s="486"/>
      <c r="S408" s="486"/>
      <c r="T408" s="486"/>
      <c r="U408" s="486"/>
      <c r="V408" s="486"/>
      <c r="W408" s="486"/>
      <c r="X408" s="486"/>
      <c r="Y408" s="486"/>
      <c r="Z408" s="486"/>
      <c r="AA408" s="486"/>
      <c r="AB408" s="486"/>
      <c r="AC408" s="486"/>
      <c r="AD408" s="486"/>
      <c r="AE408" s="486"/>
      <c r="AF408" s="486"/>
    </row>
    <row r="409" spans="1:32">
      <c r="A409" s="285" t="str">
        <f>A524</f>
        <v>Gross PP&amp;E</v>
      </c>
      <c r="B409" s="285"/>
      <c r="C409" s="485"/>
      <c r="D409" s="485"/>
      <c r="E409" s="486">
        <f t="shared" ref="E409:G410" si="254">E524</f>
        <v>0</v>
      </c>
      <c r="F409" s="486">
        <f t="shared" si="254"/>
        <v>68707</v>
      </c>
      <c r="G409" s="486">
        <f t="shared" si="254"/>
        <v>68740</v>
      </c>
      <c r="H409" s="497">
        <f ca="1">N524</f>
        <v>78714.555519999994</v>
      </c>
      <c r="I409" s="486">
        <f t="shared" ref="I409:AF409" ca="1" si="255">H409-I651+I489</f>
        <v>78714.555519999994</v>
      </c>
      <c r="J409" s="486">
        <f t="shared" ca="1" si="255"/>
        <v>78714.555519999994</v>
      </c>
      <c r="K409" s="486">
        <f t="shared" ca="1" si="255"/>
        <v>78714.555519999994</v>
      </c>
      <c r="L409" s="486">
        <f t="shared" ca="1" si="255"/>
        <v>78714.555519999994</v>
      </c>
      <c r="M409" s="486">
        <f t="shared" ca="1" si="255"/>
        <v>80046.4601355778</v>
      </c>
      <c r="N409" s="486">
        <f t="shared" ca="1" si="255"/>
        <v>80046.4601355778</v>
      </c>
      <c r="O409" s="486">
        <f t="shared" ca="1" si="255"/>
        <v>80046.4601355778</v>
      </c>
      <c r="P409" s="486">
        <f t="shared" ca="1" si="255"/>
        <v>80046.4601355778</v>
      </c>
      <c r="Q409" s="486">
        <f t="shared" ca="1" si="255"/>
        <v>84658.199955373493</v>
      </c>
      <c r="R409" s="486">
        <f t="shared" ca="1" si="255"/>
        <v>84658.199955373493</v>
      </c>
      <c r="S409" s="486">
        <f t="shared" ca="1" si="255"/>
        <v>84658.199955373493</v>
      </c>
      <c r="T409" s="486">
        <f t="shared" ca="1" si="255"/>
        <v>84658.199955373493</v>
      </c>
      <c r="U409" s="486">
        <f t="shared" ca="1" si="255"/>
        <v>86528.855269351159</v>
      </c>
      <c r="V409" s="486">
        <f t="shared" ca="1" si="255"/>
        <v>86528.855269351159</v>
      </c>
      <c r="W409" s="486">
        <f t="shared" ca="1" si="255"/>
        <v>86528.855269351159</v>
      </c>
      <c r="X409" s="486">
        <f t="shared" ca="1" si="255"/>
        <v>86528.855269351159</v>
      </c>
      <c r="Y409" s="486">
        <f t="shared" ca="1" si="255"/>
        <v>92992.612806041085</v>
      </c>
      <c r="Z409" s="486">
        <f t="shared" ca="1" si="255"/>
        <v>92992.612806041085</v>
      </c>
      <c r="AA409" s="486">
        <f t="shared" ca="1" si="255"/>
        <v>92992.612806041085</v>
      </c>
      <c r="AB409" s="486">
        <f t="shared" ca="1" si="255"/>
        <v>92992.612806041085</v>
      </c>
      <c r="AC409" s="486">
        <f t="shared" ca="1" si="255"/>
        <v>92992.612806041085</v>
      </c>
      <c r="AD409" s="486">
        <f t="shared" ca="1" si="255"/>
        <v>92992.612806041085</v>
      </c>
      <c r="AE409" s="486">
        <f t="shared" ca="1" si="255"/>
        <v>92992.612806041085</v>
      </c>
      <c r="AF409" s="486">
        <f t="shared" ca="1" si="255"/>
        <v>92992.612806041085</v>
      </c>
    </row>
    <row r="410" spans="1:32">
      <c r="A410" s="285" t="str">
        <f>A525</f>
        <v>Accumulated Depreciation</v>
      </c>
      <c r="B410" s="285"/>
      <c r="C410" s="485"/>
      <c r="D410" s="485"/>
      <c r="E410" s="486">
        <f t="shared" si="254"/>
        <v>0</v>
      </c>
      <c r="F410" s="486">
        <f t="shared" si="254"/>
        <v>-8596</v>
      </c>
      <c r="G410" s="486">
        <f t="shared" si="254"/>
        <v>-11789</v>
      </c>
      <c r="H410" s="497">
        <f>N525</f>
        <v>0</v>
      </c>
      <c r="I410" s="486">
        <f ca="1">I652-I323</f>
        <v>-2186.515431111111</v>
      </c>
      <c r="J410" s="486">
        <f t="shared" ref="J410:AF410" ca="1" si="256">I410+J652-J323</f>
        <v>-7434.1524657777773</v>
      </c>
      <c r="K410" s="486">
        <f t="shared" ca="1" si="256"/>
        <v>-12681.789500444444</v>
      </c>
      <c r="L410" s="486">
        <f t="shared" ca="1" si="256"/>
        <v>-17929.42653511111</v>
      </c>
      <c r="M410" s="486">
        <f t="shared" ca="1" si="256"/>
        <v>-23246.433601839119</v>
      </c>
      <c r="N410" s="486">
        <f t="shared" ca="1" si="256"/>
        <v>-28660.558713453011</v>
      </c>
      <c r="O410" s="486">
        <f t="shared" ca="1" si="256"/>
        <v>-34074.683825066903</v>
      </c>
      <c r="P410" s="486">
        <f t="shared" ca="1" si="256"/>
        <v>-39488.808936680791</v>
      </c>
      <c r="Q410" s="486">
        <f t="shared" ca="1" si="256"/>
        <v>-44902.934048294679</v>
      </c>
      <c r="R410" s="486">
        <f t="shared" ca="1" si="256"/>
        <v>-50317.059159908567</v>
      </c>
      <c r="S410" s="486">
        <f t="shared" ca="1" si="256"/>
        <v>-55731.184271522456</v>
      </c>
      <c r="T410" s="486">
        <f t="shared" ca="1" si="256"/>
        <v>-61145.309383136344</v>
      </c>
      <c r="U410" s="486">
        <f t="shared" ca="1" si="256"/>
        <v>-66587.494426958554</v>
      </c>
      <c r="V410" s="486">
        <f t="shared" ca="1" si="256"/>
        <v>-72068.963375872423</v>
      </c>
      <c r="W410" s="486">
        <f t="shared" ca="1" si="256"/>
        <v>-77550.432324786292</v>
      </c>
      <c r="X410" s="486">
        <f t="shared" ca="1" si="256"/>
        <v>-80845.38584258905</v>
      </c>
      <c r="Y410" s="486">
        <f t="shared" ca="1" si="256"/>
        <v>-81415.87179520553</v>
      </c>
      <c r="Z410" s="486">
        <f t="shared" ca="1" si="256"/>
        <v>-82457.673401538981</v>
      </c>
      <c r="AA410" s="486">
        <f t="shared" ca="1" si="256"/>
        <v>-83499.475007872432</v>
      </c>
      <c r="AB410" s="486">
        <f t="shared" ca="1" si="256"/>
        <v>-84541.276614205883</v>
      </c>
      <c r="AC410" s="486">
        <f t="shared" ca="1" si="256"/>
        <v>-85485.648256269662</v>
      </c>
      <c r="AD410" s="486">
        <f t="shared" ca="1" si="256"/>
        <v>-86293.617948355895</v>
      </c>
      <c r="AE410" s="486">
        <f t="shared" ca="1" si="256"/>
        <v>-87101.587640442129</v>
      </c>
      <c r="AF410" s="486">
        <f t="shared" ca="1" si="256"/>
        <v>-87909.557332528362</v>
      </c>
    </row>
    <row r="411" spans="1:32">
      <c r="A411" s="519" t="str">
        <f>A526</f>
        <v>Net PP&amp;E</v>
      </c>
      <c r="B411" s="285"/>
      <c r="C411" s="486"/>
      <c r="D411" s="486"/>
      <c r="E411" s="495">
        <f t="shared" ref="E411:Z411" si="257">E409+E410</f>
        <v>0</v>
      </c>
      <c r="F411" s="495">
        <f t="shared" si="257"/>
        <v>60111</v>
      </c>
      <c r="G411" s="495">
        <f t="shared" si="257"/>
        <v>56951</v>
      </c>
      <c r="H411" s="496">
        <f t="shared" ca="1" si="257"/>
        <v>78714.555519999994</v>
      </c>
      <c r="I411" s="495">
        <f t="shared" ca="1" si="257"/>
        <v>76528.040088888883</v>
      </c>
      <c r="J411" s="495">
        <f t="shared" ca="1" si="257"/>
        <v>71280.403054222217</v>
      </c>
      <c r="K411" s="495">
        <f t="shared" ca="1" si="257"/>
        <v>66032.766019555551</v>
      </c>
      <c r="L411" s="495">
        <f t="shared" ca="1" si="257"/>
        <v>60785.128984888885</v>
      </c>
      <c r="M411" s="495">
        <f t="shared" ca="1" si="257"/>
        <v>56800.026533738681</v>
      </c>
      <c r="N411" s="495">
        <f t="shared" ca="1" si="257"/>
        <v>51385.901422124793</v>
      </c>
      <c r="O411" s="495">
        <f t="shared" ca="1" si="257"/>
        <v>45971.776310510897</v>
      </c>
      <c r="P411" s="495">
        <f t="shared" ca="1" si="257"/>
        <v>40557.651198897009</v>
      </c>
      <c r="Q411" s="495">
        <f t="shared" ca="1" si="257"/>
        <v>39755.265907078814</v>
      </c>
      <c r="R411" s="495">
        <f t="shared" ca="1" si="257"/>
        <v>34341.140795464926</v>
      </c>
      <c r="S411" s="495">
        <f t="shared" ca="1" si="257"/>
        <v>28927.015683851037</v>
      </c>
      <c r="T411" s="495">
        <f t="shared" ca="1" si="257"/>
        <v>23512.890572237149</v>
      </c>
      <c r="U411" s="495">
        <f t="shared" ca="1" si="257"/>
        <v>19941.360842392605</v>
      </c>
      <c r="V411" s="495">
        <f t="shared" ca="1" si="257"/>
        <v>14459.891893478736</v>
      </c>
      <c r="W411" s="495">
        <f t="shared" ca="1" si="257"/>
        <v>8978.4229445648671</v>
      </c>
      <c r="X411" s="495">
        <f t="shared" ca="1" si="257"/>
        <v>5683.4694267621089</v>
      </c>
      <c r="Y411" s="495">
        <f t="shared" ca="1" si="257"/>
        <v>11576.741010835554</v>
      </c>
      <c r="Z411" s="495">
        <f t="shared" ca="1" si="257"/>
        <v>10534.939404502104</v>
      </c>
      <c r="AA411" s="495">
        <f t="shared" ref="AA411:AF411" ca="1" si="258">AA409+AA410</f>
        <v>9493.1377981686528</v>
      </c>
      <c r="AB411" s="495">
        <f t="shared" ca="1" si="258"/>
        <v>8451.336191835202</v>
      </c>
      <c r="AC411" s="495">
        <f t="shared" ca="1" si="258"/>
        <v>7506.9645497714228</v>
      </c>
      <c r="AD411" s="495">
        <f t="shared" ca="1" si="258"/>
        <v>6698.9948576851893</v>
      </c>
      <c r="AE411" s="495">
        <f t="shared" ca="1" si="258"/>
        <v>5891.0251655989559</v>
      </c>
      <c r="AF411" s="495">
        <f t="shared" ca="1" si="258"/>
        <v>5083.0554735127225</v>
      </c>
    </row>
    <row r="412" spans="1:32">
      <c r="A412" s="285"/>
      <c r="B412" s="285"/>
      <c r="C412" s="486"/>
      <c r="D412" s="486"/>
      <c r="E412" s="486"/>
      <c r="F412" s="486"/>
      <c r="G412" s="486"/>
      <c r="H412" s="497"/>
      <c r="I412" s="486"/>
      <c r="J412" s="486"/>
      <c r="K412" s="486"/>
      <c r="L412" s="486"/>
      <c r="M412" s="486"/>
      <c r="N412" s="486"/>
      <c r="O412" s="486"/>
      <c r="P412" s="486"/>
      <c r="Q412" s="486"/>
      <c r="R412" s="486"/>
      <c r="S412" s="486"/>
      <c r="T412" s="486"/>
      <c r="U412" s="486"/>
      <c r="V412" s="486"/>
      <c r="W412" s="486"/>
      <c r="X412" s="486"/>
      <c r="Y412" s="486"/>
      <c r="Z412" s="486"/>
      <c r="AA412" s="486"/>
      <c r="AB412" s="486"/>
      <c r="AC412" s="486"/>
      <c r="AD412" s="486"/>
      <c r="AE412" s="486"/>
      <c r="AF412" s="486"/>
    </row>
    <row r="413" spans="1:32">
      <c r="A413" s="285" t="str">
        <f>A528</f>
        <v>Loan - Intercompany (Sunco)</v>
      </c>
      <c r="B413" s="285"/>
      <c r="C413" s="485"/>
      <c r="D413" s="485"/>
      <c r="E413" s="486">
        <f t="shared" ref="E413:G414" si="259">E528</f>
        <v>0</v>
      </c>
      <c r="F413" s="486">
        <f t="shared" si="259"/>
        <v>0</v>
      </c>
      <c r="G413" s="486">
        <f t="shared" si="259"/>
        <v>590</v>
      </c>
      <c r="H413" s="497">
        <f>N528</f>
        <v>0</v>
      </c>
      <c r="I413" s="486">
        <f>H413+I776-H490</f>
        <v>0</v>
      </c>
      <c r="J413" s="486">
        <f t="shared" ref="J413:AF413" si="260">I413+J776</f>
        <v>0</v>
      </c>
      <c r="K413" s="486">
        <f t="shared" si="260"/>
        <v>0</v>
      </c>
      <c r="L413" s="486">
        <f t="shared" si="260"/>
        <v>0</v>
      </c>
      <c r="M413" s="486">
        <f t="shared" si="260"/>
        <v>0</v>
      </c>
      <c r="N413" s="486">
        <f t="shared" si="260"/>
        <v>0</v>
      </c>
      <c r="O413" s="486">
        <f t="shared" si="260"/>
        <v>0</v>
      </c>
      <c r="P413" s="486">
        <f t="shared" si="260"/>
        <v>0</v>
      </c>
      <c r="Q413" s="486">
        <f t="shared" si="260"/>
        <v>0</v>
      </c>
      <c r="R413" s="486">
        <f t="shared" si="260"/>
        <v>0</v>
      </c>
      <c r="S413" s="486">
        <f t="shared" si="260"/>
        <v>0</v>
      </c>
      <c r="T413" s="486">
        <f t="shared" si="260"/>
        <v>0</v>
      </c>
      <c r="U413" s="486">
        <f t="shared" si="260"/>
        <v>0</v>
      </c>
      <c r="V413" s="486">
        <f t="shared" si="260"/>
        <v>0</v>
      </c>
      <c r="W413" s="486">
        <f t="shared" si="260"/>
        <v>0</v>
      </c>
      <c r="X413" s="486">
        <f t="shared" si="260"/>
        <v>0</v>
      </c>
      <c r="Y413" s="486">
        <f t="shared" si="260"/>
        <v>0</v>
      </c>
      <c r="Z413" s="486">
        <f t="shared" si="260"/>
        <v>0</v>
      </c>
      <c r="AA413" s="486">
        <f t="shared" si="260"/>
        <v>0</v>
      </c>
      <c r="AB413" s="486">
        <f t="shared" si="260"/>
        <v>0</v>
      </c>
      <c r="AC413" s="486">
        <f t="shared" si="260"/>
        <v>0</v>
      </c>
      <c r="AD413" s="486">
        <f t="shared" si="260"/>
        <v>0</v>
      </c>
      <c r="AE413" s="486">
        <f t="shared" si="260"/>
        <v>0</v>
      </c>
      <c r="AF413" s="486">
        <f t="shared" si="260"/>
        <v>0</v>
      </c>
    </row>
    <row r="414" spans="1:32">
      <c r="A414" s="285" t="str">
        <f>A529</f>
        <v>Debt Service/O&amp;M Reserve</v>
      </c>
      <c r="B414" s="285"/>
      <c r="C414" s="485"/>
      <c r="D414" s="485"/>
      <c r="E414" s="486">
        <f t="shared" si="259"/>
        <v>0</v>
      </c>
      <c r="F414" s="486">
        <f t="shared" si="259"/>
        <v>5250</v>
      </c>
      <c r="G414" s="486">
        <f t="shared" si="259"/>
        <v>5851</v>
      </c>
      <c r="H414" s="497">
        <f>N529</f>
        <v>0</v>
      </c>
      <c r="I414" s="486">
        <f t="shared" ref="I414:AF414" si="261">H414+I372</f>
        <v>0</v>
      </c>
      <c r="J414" s="486">
        <f t="shared" si="261"/>
        <v>0</v>
      </c>
      <c r="K414" s="486">
        <f t="shared" si="261"/>
        <v>0</v>
      </c>
      <c r="L414" s="486">
        <f t="shared" si="261"/>
        <v>332.97615389445008</v>
      </c>
      <c r="M414" s="486">
        <f t="shared" si="261"/>
        <v>0</v>
      </c>
      <c r="N414" s="486">
        <f t="shared" si="261"/>
        <v>0</v>
      </c>
      <c r="O414" s="486">
        <f t="shared" si="261"/>
        <v>576.46747747446091</v>
      </c>
      <c r="P414" s="486">
        <f t="shared" si="261"/>
        <v>2882.3373873723044</v>
      </c>
      <c r="Q414" s="486">
        <f t="shared" si="261"/>
        <v>0</v>
      </c>
      <c r="R414" s="486">
        <f t="shared" si="261"/>
        <v>0</v>
      </c>
      <c r="S414" s="486">
        <f t="shared" si="261"/>
        <v>0</v>
      </c>
      <c r="T414" s="486">
        <f t="shared" si="261"/>
        <v>467.66382849441527</v>
      </c>
      <c r="U414" s="486">
        <f t="shared" si="261"/>
        <v>0</v>
      </c>
      <c r="V414" s="486">
        <f t="shared" si="261"/>
        <v>0</v>
      </c>
      <c r="W414" s="486">
        <f t="shared" si="261"/>
        <v>807.96969208624</v>
      </c>
      <c r="X414" s="486">
        <f t="shared" si="261"/>
        <v>4039.8484604311998</v>
      </c>
      <c r="Y414" s="486">
        <f t="shared" si="261"/>
        <v>0</v>
      </c>
      <c r="Z414" s="486">
        <f t="shared" si="261"/>
        <v>0</v>
      </c>
      <c r="AA414" s="486">
        <f t="shared" si="261"/>
        <v>0</v>
      </c>
      <c r="AB414" s="486">
        <f t="shared" si="261"/>
        <v>0</v>
      </c>
      <c r="AC414" s="486">
        <f t="shared" si="261"/>
        <v>0</v>
      </c>
      <c r="AD414" s="486">
        <f t="shared" si="261"/>
        <v>0</v>
      </c>
      <c r="AE414" s="486">
        <f t="shared" si="261"/>
        <v>0</v>
      </c>
      <c r="AF414" s="486">
        <f t="shared" si="261"/>
        <v>0</v>
      </c>
    </row>
    <row r="415" spans="1:32" ht="10.8" thickBot="1">
      <c r="A415" s="519" t="str">
        <f>A530</f>
        <v>Total Assets</v>
      </c>
      <c r="B415" s="285"/>
      <c r="C415" s="486"/>
      <c r="D415" s="486"/>
      <c r="E415" s="509">
        <f t="shared" ref="E415:Z415" si="262">E403+E407+E411+E413+E414</f>
        <v>0</v>
      </c>
      <c r="F415" s="509">
        <f t="shared" si="262"/>
        <v>67935</v>
      </c>
      <c r="G415" s="509">
        <f t="shared" si="262"/>
        <v>65857</v>
      </c>
      <c r="H415" s="522">
        <f ca="1">H403+H407+H411+H413+H414</f>
        <v>79792.375274134858</v>
      </c>
      <c r="I415" s="509">
        <f t="shared" ca="1" si="262"/>
        <v>78296.854936888878</v>
      </c>
      <c r="J415" s="509">
        <f t="shared" ca="1" si="262"/>
        <v>73472.792086065645</v>
      </c>
      <c r="K415" s="509">
        <f t="shared" ca="1" si="262"/>
        <v>68415.877976737494</v>
      </c>
      <c r="L415" s="509">
        <f t="shared" ca="1" si="262"/>
        <v>63325.619545854475</v>
      </c>
      <c r="M415" s="509">
        <f t="shared" ca="1" si="262"/>
        <v>58886.975683085875</v>
      </c>
      <c r="N415" s="509">
        <f t="shared" ca="1" si="262"/>
        <v>53396.393687384145</v>
      </c>
      <c r="O415" s="509">
        <f t="shared" ca="1" si="262"/>
        <v>48510.226683686422</v>
      </c>
      <c r="P415" s="509">
        <f t="shared" ca="1" si="262"/>
        <v>45411.126571811219</v>
      </c>
      <c r="Q415" s="509">
        <f t="shared" ca="1" si="262"/>
        <v>41723.238021087775</v>
      </c>
      <c r="R415" s="509">
        <f t="shared" ca="1" si="262"/>
        <v>36312.10274619588</v>
      </c>
      <c r="S415" s="509">
        <f t="shared" ca="1" si="262"/>
        <v>30872.284648537374</v>
      </c>
      <c r="T415" s="509">
        <f t="shared" ca="1" si="262"/>
        <v>25921.563454739073</v>
      </c>
      <c r="U415" s="509">
        <f t="shared" ca="1" si="262"/>
        <v>21861.42667023377</v>
      </c>
      <c r="V415" s="509">
        <f t="shared" ca="1" si="262"/>
        <v>16375.243807281349</v>
      </c>
      <c r="W415" s="509">
        <f t="shared" ca="1" si="262"/>
        <v>11685.972146612448</v>
      </c>
      <c r="X415" s="509">
        <f t="shared" ca="1" si="262"/>
        <v>11665.774463693153</v>
      </c>
      <c r="Y415" s="509">
        <f t="shared" ca="1" si="262"/>
        <v>13569.078435879124</v>
      </c>
      <c r="Z415" s="509">
        <f t="shared" ca="1" si="262"/>
        <v>12577.550460483448</v>
      </c>
      <c r="AA415" s="509">
        <f t="shared" ref="AA415:AF415" ca="1" si="263">AA403+AA407+AA411+AA413+AA414</f>
        <v>11575.011236718668</v>
      </c>
      <c r="AB415" s="509">
        <f t="shared" ca="1" si="263"/>
        <v>10571.512197745367</v>
      </c>
      <c r="AC415" s="509">
        <f t="shared" ca="1" si="263"/>
        <v>9685.6759878760131</v>
      </c>
      <c r="AD415" s="509">
        <f t="shared" ca="1" si="263"/>
        <v>8926.9056230716651</v>
      </c>
      <c r="AE415" s="509">
        <f t="shared" ca="1" si="263"/>
        <v>8163.7854677020496</v>
      </c>
      <c r="AF415" s="509">
        <f t="shared" ca="1" si="263"/>
        <v>7060.297452232111</v>
      </c>
    </row>
    <row r="416" spans="1:32" ht="10.8" thickTop="1">
      <c r="A416" s="285"/>
      <c r="B416" s="285"/>
      <c r="C416" s="486"/>
      <c r="D416" s="486"/>
      <c r="E416" s="486"/>
      <c r="F416" s="486"/>
      <c r="G416" s="486"/>
      <c r="H416" s="486"/>
      <c r="I416" s="486"/>
      <c r="J416" s="486"/>
      <c r="K416" s="486"/>
      <c r="L416" s="486"/>
      <c r="M416" s="486"/>
      <c r="N416" s="486"/>
      <c r="O416" s="486"/>
      <c r="P416" s="486"/>
      <c r="Q416" s="486"/>
      <c r="R416" s="486"/>
      <c r="S416" s="486"/>
      <c r="T416" s="486"/>
      <c r="U416" s="486"/>
      <c r="V416" s="486"/>
      <c r="W416" s="486"/>
      <c r="X416" s="486"/>
      <c r="Y416" s="486"/>
      <c r="Z416" s="486"/>
      <c r="AA416" s="486"/>
      <c r="AB416" s="486"/>
      <c r="AC416" s="486"/>
      <c r="AD416" s="486"/>
      <c r="AE416" s="486"/>
      <c r="AF416" s="486"/>
    </row>
    <row r="417" spans="1:32">
      <c r="A417" s="519" t="str">
        <f>A532</f>
        <v>LIABILITIES &amp; EQUITY:</v>
      </c>
      <c r="B417" s="285"/>
      <c r="C417" s="485"/>
      <c r="D417" s="485"/>
      <c r="E417" s="485"/>
      <c r="F417" s="485"/>
      <c r="G417" s="486"/>
      <c r="H417" s="486"/>
      <c r="I417" s="486"/>
      <c r="J417" s="486"/>
      <c r="K417" s="486"/>
      <c r="L417" s="486"/>
      <c r="M417" s="486"/>
      <c r="N417" s="486"/>
      <c r="O417" s="486"/>
      <c r="P417" s="486"/>
      <c r="Q417" s="486"/>
      <c r="R417" s="486"/>
      <c r="S417" s="486"/>
      <c r="T417" s="486"/>
      <c r="U417" s="486"/>
      <c r="V417" s="486"/>
      <c r="W417" s="486"/>
      <c r="X417" s="486"/>
      <c r="Y417" s="486"/>
      <c r="Z417" s="486"/>
      <c r="AA417" s="486"/>
      <c r="AB417" s="486"/>
      <c r="AC417" s="486"/>
      <c r="AD417" s="486"/>
      <c r="AE417" s="486"/>
      <c r="AF417" s="486"/>
    </row>
    <row r="418" spans="1:32">
      <c r="A418" s="285" t="str">
        <f>A533</f>
        <v>Accounts Payable</v>
      </c>
      <c r="B418" s="285"/>
      <c r="C418" s="486"/>
      <c r="D418" s="486"/>
      <c r="E418" s="486">
        <f t="shared" ref="E418:G421" si="264">E533</f>
        <v>0</v>
      </c>
      <c r="F418" s="486">
        <f t="shared" si="264"/>
        <v>920</v>
      </c>
      <c r="G418" s="486">
        <f t="shared" si="264"/>
        <v>951</v>
      </c>
      <c r="H418" s="501">
        <f ca="1">N533</f>
        <v>-707.62472586513707</v>
      </c>
      <c r="I418" s="486">
        <f t="shared" ref="I418:Z418" si="265">I574</f>
        <v>834</v>
      </c>
      <c r="J418" s="486">
        <f t="shared" si="265"/>
        <v>1014.135877228949</v>
      </c>
      <c r="K418" s="486">
        <f t="shared" si="265"/>
        <v>1175.7042487879598</v>
      </c>
      <c r="L418" s="486">
        <f t="shared" si="265"/>
        <v>1093.0589700474281</v>
      </c>
      <c r="M418" s="486">
        <f t="shared" si="265"/>
        <v>1047.1018862314613</v>
      </c>
      <c r="N418" s="486">
        <f t="shared" si="265"/>
        <v>1030.5503848395683</v>
      </c>
      <c r="O418" s="486">
        <f t="shared" si="265"/>
        <v>1032.6305598007082</v>
      </c>
      <c r="P418" s="486">
        <f t="shared" si="265"/>
        <v>1073.1537076946031</v>
      </c>
      <c r="Q418" s="486">
        <f t="shared" si="265"/>
        <v>1105.4628813393083</v>
      </c>
      <c r="R418" s="486">
        <f t="shared" si="265"/>
        <v>1141.8758604873035</v>
      </c>
      <c r="S418" s="486">
        <f t="shared" si="265"/>
        <v>1159.1669577908908</v>
      </c>
      <c r="T418" s="486">
        <f t="shared" si="265"/>
        <v>1190.7467720050042</v>
      </c>
      <c r="U418" s="486">
        <f t="shared" si="265"/>
        <v>1211.2043758941104</v>
      </c>
      <c r="V418" s="486">
        <f t="shared" si="265"/>
        <v>1242.4815212017425</v>
      </c>
      <c r="W418" s="486">
        <f t="shared" si="265"/>
        <v>1266.3863399742268</v>
      </c>
      <c r="X418" s="486">
        <f t="shared" si="265"/>
        <v>1294.9710509998972</v>
      </c>
      <c r="Y418" s="486">
        <f t="shared" si="265"/>
        <v>1328.224950029047</v>
      </c>
      <c r="Z418" s="486">
        <f t="shared" si="265"/>
        <v>1361.7407039875739</v>
      </c>
      <c r="AA418" s="486">
        <f t="shared" ref="AA418:AF420" si="266">AA574</f>
        <v>1387.9156256999572</v>
      </c>
      <c r="AB418" s="486">
        <f t="shared" si="266"/>
        <v>1413.4506706068075</v>
      </c>
      <c r="AC418" s="486">
        <f t="shared" si="266"/>
        <v>1452.474292069611</v>
      </c>
      <c r="AD418" s="486">
        <f t="shared" si="266"/>
        <v>1485.2738435910048</v>
      </c>
      <c r="AE418" s="486">
        <f t="shared" si="266"/>
        <v>1515.1735347351776</v>
      </c>
      <c r="AF418" s="486">
        <f t="shared" si="266"/>
        <v>1318.1613191462895</v>
      </c>
    </row>
    <row r="419" spans="1:32">
      <c r="A419" s="285" t="str">
        <f>A534</f>
        <v>Accrued Expenses</v>
      </c>
      <c r="B419" s="285"/>
      <c r="C419" s="486"/>
      <c r="D419" s="486"/>
      <c r="E419" s="486">
        <f t="shared" si="264"/>
        <v>0</v>
      </c>
      <c r="F419" s="486">
        <f t="shared" si="264"/>
        <v>0</v>
      </c>
      <c r="G419" s="486">
        <f t="shared" si="264"/>
        <v>0</v>
      </c>
      <c r="H419" s="501">
        <f>N534</f>
        <v>0</v>
      </c>
      <c r="I419" s="486">
        <f t="shared" ref="I419:Z419" si="267">I575</f>
        <v>0</v>
      </c>
      <c r="J419" s="486">
        <f t="shared" si="267"/>
        <v>0</v>
      </c>
      <c r="K419" s="486">
        <f t="shared" si="267"/>
        <v>0</v>
      </c>
      <c r="L419" s="486">
        <f t="shared" si="267"/>
        <v>0</v>
      </c>
      <c r="M419" s="486">
        <f t="shared" si="267"/>
        <v>0</v>
      </c>
      <c r="N419" s="486">
        <f t="shared" si="267"/>
        <v>0</v>
      </c>
      <c r="O419" s="486">
        <f t="shared" si="267"/>
        <v>0</v>
      </c>
      <c r="P419" s="486">
        <f t="shared" si="267"/>
        <v>0</v>
      </c>
      <c r="Q419" s="486">
        <f t="shared" si="267"/>
        <v>0</v>
      </c>
      <c r="R419" s="486">
        <f t="shared" si="267"/>
        <v>0</v>
      </c>
      <c r="S419" s="486">
        <f t="shared" si="267"/>
        <v>0</v>
      </c>
      <c r="T419" s="486">
        <f t="shared" si="267"/>
        <v>0</v>
      </c>
      <c r="U419" s="486">
        <f t="shared" si="267"/>
        <v>0</v>
      </c>
      <c r="V419" s="486">
        <f t="shared" si="267"/>
        <v>0</v>
      </c>
      <c r="W419" s="486">
        <f t="shared" si="267"/>
        <v>0</v>
      </c>
      <c r="X419" s="486">
        <f t="shared" si="267"/>
        <v>0</v>
      </c>
      <c r="Y419" s="486">
        <f t="shared" si="267"/>
        <v>0</v>
      </c>
      <c r="Z419" s="486">
        <f t="shared" si="267"/>
        <v>0</v>
      </c>
      <c r="AA419" s="486">
        <f t="shared" si="266"/>
        <v>0</v>
      </c>
      <c r="AB419" s="486">
        <f t="shared" si="266"/>
        <v>0</v>
      </c>
      <c r="AC419" s="486">
        <f t="shared" si="266"/>
        <v>0</v>
      </c>
      <c r="AD419" s="486">
        <f t="shared" si="266"/>
        <v>0</v>
      </c>
      <c r="AE419" s="486">
        <f t="shared" si="266"/>
        <v>0</v>
      </c>
      <c r="AF419" s="486">
        <f t="shared" si="266"/>
        <v>0</v>
      </c>
    </row>
    <row r="420" spans="1:32">
      <c r="A420" s="285" t="str">
        <f>A535</f>
        <v>Other Payables</v>
      </c>
      <c r="B420" s="285"/>
      <c r="C420" s="486"/>
      <c r="D420" s="486"/>
      <c r="E420" s="486">
        <f t="shared" si="264"/>
        <v>0</v>
      </c>
      <c r="F420" s="486">
        <f t="shared" si="264"/>
        <v>516</v>
      </c>
      <c r="G420" s="486">
        <f t="shared" si="264"/>
        <v>387</v>
      </c>
      <c r="H420" s="501">
        <f>N535</f>
        <v>0</v>
      </c>
      <c r="I420" s="486">
        <f t="shared" ref="I420:Z420" si="268">I576</f>
        <v>0</v>
      </c>
      <c r="J420" s="486">
        <f t="shared" si="268"/>
        <v>0</v>
      </c>
      <c r="K420" s="486">
        <f t="shared" si="268"/>
        <v>0</v>
      </c>
      <c r="L420" s="486">
        <f t="shared" si="268"/>
        <v>0</v>
      </c>
      <c r="M420" s="486">
        <f t="shared" si="268"/>
        <v>0</v>
      </c>
      <c r="N420" s="486">
        <f t="shared" si="268"/>
        <v>0</v>
      </c>
      <c r="O420" s="486">
        <f t="shared" si="268"/>
        <v>0</v>
      </c>
      <c r="P420" s="486">
        <f t="shared" si="268"/>
        <v>0</v>
      </c>
      <c r="Q420" s="486">
        <f t="shared" si="268"/>
        <v>0</v>
      </c>
      <c r="R420" s="486">
        <f t="shared" si="268"/>
        <v>0</v>
      </c>
      <c r="S420" s="486">
        <f t="shared" si="268"/>
        <v>0</v>
      </c>
      <c r="T420" s="486">
        <f t="shared" si="268"/>
        <v>0</v>
      </c>
      <c r="U420" s="486">
        <f t="shared" si="268"/>
        <v>0</v>
      </c>
      <c r="V420" s="486">
        <f t="shared" si="268"/>
        <v>0</v>
      </c>
      <c r="W420" s="486">
        <f t="shared" si="268"/>
        <v>0</v>
      </c>
      <c r="X420" s="486">
        <f t="shared" si="268"/>
        <v>0</v>
      </c>
      <c r="Y420" s="486">
        <f t="shared" si="268"/>
        <v>0</v>
      </c>
      <c r="Z420" s="486">
        <f t="shared" si="268"/>
        <v>0</v>
      </c>
      <c r="AA420" s="486">
        <f t="shared" si="266"/>
        <v>0</v>
      </c>
      <c r="AB420" s="486">
        <f t="shared" si="266"/>
        <v>0</v>
      </c>
      <c r="AC420" s="486">
        <f t="shared" si="266"/>
        <v>0</v>
      </c>
      <c r="AD420" s="486">
        <f t="shared" si="266"/>
        <v>0</v>
      </c>
      <c r="AE420" s="486">
        <f t="shared" si="266"/>
        <v>0</v>
      </c>
      <c r="AF420" s="486">
        <f t="shared" si="266"/>
        <v>0</v>
      </c>
    </row>
    <row r="421" spans="1:32">
      <c r="A421" s="285" t="str">
        <f>A536</f>
        <v>Current Maturities</v>
      </c>
      <c r="B421" s="285"/>
      <c r="C421" s="485"/>
      <c r="D421" s="485"/>
      <c r="E421" s="486">
        <f t="shared" si="264"/>
        <v>0</v>
      </c>
      <c r="F421" s="486">
        <f t="shared" si="264"/>
        <v>2067</v>
      </c>
      <c r="G421" s="486">
        <f t="shared" si="264"/>
        <v>2584</v>
      </c>
      <c r="H421" s="501">
        <f>N536</f>
        <v>0</v>
      </c>
      <c r="I421" s="486">
        <f ca="1">+J453+J460+J446</f>
        <v>1601.9999830000002</v>
      </c>
      <c r="J421" s="486">
        <f t="shared" ref="J421:Z421" ca="1" si="269">+K453+K460+K446</f>
        <v>2148.0000500000001</v>
      </c>
      <c r="K421" s="486">
        <f t="shared" ca="1" si="269"/>
        <v>2500.9999025000002</v>
      </c>
      <c r="L421" s="486">
        <f t="shared" ca="1" si="269"/>
        <v>2102.0000100000002</v>
      </c>
      <c r="M421" s="486">
        <f t="shared" ca="1" si="269"/>
        <v>3172.9999980000002</v>
      </c>
      <c r="N421" s="486">
        <f t="shared" ca="1" si="269"/>
        <v>3259.000004</v>
      </c>
      <c r="O421" s="486">
        <f t="shared" ca="1" si="269"/>
        <v>2143.0000259999997</v>
      </c>
      <c r="P421" s="486">
        <f t="shared" ca="1" si="269"/>
        <v>2834.9999914999999</v>
      </c>
      <c r="Q421" s="486">
        <f t="shared" ca="1" si="269"/>
        <v>4242.9999925000011</v>
      </c>
      <c r="R421" s="486">
        <f t="shared" ca="1" si="269"/>
        <v>4340.9999770000004</v>
      </c>
      <c r="S421" s="486">
        <f t="shared" ca="1" si="269"/>
        <v>3399.9999349999998</v>
      </c>
      <c r="T421" s="486">
        <f t="shared" ca="1" si="269"/>
        <v>3140.000043</v>
      </c>
      <c r="U421" s="486">
        <f t="shared" ca="1" si="269"/>
        <v>4238.9999619999999</v>
      </c>
      <c r="V421" s="486">
        <f t="shared" ca="1" si="269"/>
        <v>4286.0000520000012</v>
      </c>
      <c r="W421" s="486">
        <f t="shared" ca="1" si="269"/>
        <v>3758.9999744999996</v>
      </c>
      <c r="X421" s="486">
        <f t="shared" ca="1" si="269"/>
        <v>4520.9999934999996</v>
      </c>
      <c r="Y421" s="486">
        <f t="shared" ca="1" si="269"/>
        <v>4417.0001044999954</v>
      </c>
      <c r="Z421" s="486">
        <f t="shared" ca="1" si="269"/>
        <v>0</v>
      </c>
      <c r="AA421" s="486">
        <f t="shared" ref="AA421:AF421" ca="1" si="270">+AB453+AB460+AB446</f>
        <v>0</v>
      </c>
      <c r="AB421" s="486">
        <f t="shared" ca="1" si="270"/>
        <v>0</v>
      </c>
      <c r="AC421" s="486">
        <f t="shared" ca="1" si="270"/>
        <v>0</v>
      </c>
      <c r="AD421" s="486">
        <f t="shared" ca="1" si="270"/>
        <v>0</v>
      </c>
      <c r="AE421" s="486">
        <f t="shared" ca="1" si="270"/>
        <v>0</v>
      </c>
      <c r="AF421" s="486">
        <f t="shared" si="270"/>
        <v>0</v>
      </c>
    </row>
    <row r="422" spans="1:32">
      <c r="A422" s="285" t="s">
        <v>1116</v>
      </c>
      <c r="B422" s="285"/>
      <c r="C422" s="485"/>
      <c r="D422" s="485"/>
      <c r="E422" s="486">
        <v>0</v>
      </c>
      <c r="F422" s="486">
        <v>0</v>
      </c>
      <c r="G422" s="486">
        <v>0</v>
      </c>
      <c r="H422" s="523">
        <v>0</v>
      </c>
      <c r="I422" s="490">
        <f ca="1">+I447-J446</f>
        <v>0</v>
      </c>
      <c r="J422" s="488">
        <f t="shared" ref="J422:Z422" ca="1" si="271">+J447-K446</f>
        <v>910.0780318583129</v>
      </c>
      <c r="K422" s="488">
        <f t="shared" ca="1" si="271"/>
        <v>910.0780318583129</v>
      </c>
      <c r="L422" s="488">
        <f t="shared" ca="1" si="271"/>
        <v>910.0780318583129</v>
      </c>
      <c r="M422" s="488">
        <f t="shared" ca="1" si="271"/>
        <v>910.0780318583129</v>
      </c>
      <c r="N422" s="488">
        <f t="shared" ca="1" si="271"/>
        <v>910.0780318583129</v>
      </c>
      <c r="O422" s="488">
        <f t="shared" ca="1" si="271"/>
        <v>910.0780318583129</v>
      </c>
      <c r="P422" s="488">
        <f t="shared" ca="1" si="271"/>
        <v>910.0780318583129</v>
      </c>
      <c r="Q422" s="488">
        <f t="shared" ca="1" si="271"/>
        <v>910.0780318583129</v>
      </c>
      <c r="R422" s="488">
        <f t="shared" ca="1" si="271"/>
        <v>910.0780318583129</v>
      </c>
      <c r="S422" s="488">
        <f t="shared" ca="1" si="271"/>
        <v>910.0780318583129</v>
      </c>
      <c r="T422" s="488">
        <f t="shared" ca="1" si="271"/>
        <v>910.0780318583129</v>
      </c>
      <c r="U422" s="488">
        <f t="shared" ca="1" si="271"/>
        <v>910.0780318583129</v>
      </c>
      <c r="V422" s="488">
        <f t="shared" ca="1" si="271"/>
        <v>910.0780318583129</v>
      </c>
      <c r="W422" s="488">
        <f t="shared" ca="1" si="271"/>
        <v>910.0780318583129</v>
      </c>
      <c r="X422" s="488">
        <f t="shared" ca="1" si="271"/>
        <v>910.0780318583129</v>
      </c>
      <c r="Y422" s="488">
        <f t="shared" ca="1" si="271"/>
        <v>910.0780318583129</v>
      </c>
      <c r="Z422" s="488">
        <f t="shared" ca="1" si="271"/>
        <v>910.0780318583129</v>
      </c>
      <c r="AA422" s="488">
        <f t="shared" ref="AA422:AF422" ca="1" si="272">+AA447-AB446</f>
        <v>910.07803185836019</v>
      </c>
      <c r="AB422" s="488">
        <f t="shared" ca="1" si="272"/>
        <v>910.0780318583129</v>
      </c>
      <c r="AC422" s="488">
        <f t="shared" ca="1" si="272"/>
        <v>910.07803185842204</v>
      </c>
      <c r="AD422" s="488">
        <f t="shared" ca="1" si="272"/>
        <v>910.0780318583129</v>
      </c>
      <c r="AE422" s="488">
        <f t="shared" ca="1" si="272"/>
        <v>910.07803185854209</v>
      </c>
      <c r="AF422" s="488">
        <f t="shared" ca="1" si="272"/>
        <v>910.0780318583129</v>
      </c>
    </row>
    <row r="423" spans="1:32">
      <c r="A423" s="519" t="str">
        <f>A537</f>
        <v>Total Current Liabilities</v>
      </c>
      <c r="B423" s="285"/>
      <c r="C423" s="486"/>
      <c r="D423" s="486"/>
      <c r="E423" s="495">
        <f t="shared" ref="E423:Z423" si="273">E418+E419+E421+E420+E422</f>
        <v>0</v>
      </c>
      <c r="F423" s="495">
        <f t="shared" si="273"/>
        <v>3503</v>
      </c>
      <c r="G423" s="495">
        <f t="shared" si="273"/>
        <v>3922</v>
      </c>
      <c r="H423" s="492">
        <f t="shared" ca="1" si="273"/>
        <v>-707.62472586513707</v>
      </c>
      <c r="I423" s="493">
        <f t="shared" ca="1" si="273"/>
        <v>2435.9999830000002</v>
      </c>
      <c r="J423" s="492">
        <f t="shared" ca="1" si="273"/>
        <v>4072.2139590872621</v>
      </c>
      <c r="K423" s="492">
        <f t="shared" ca="1" si="273"/>
        <v>4586.7821831462734</v>
      </c>
      <c r="L423" s="492">
        <f t="shared" ca="1" si="273"/>
        <v>4105.137011905741</v>
      </c>
      <c r="M423" s="492">
        <f t="shared" ca="1" si="273"/>
        <v>5130.1799160897745</v>
      </c>
      <c r="N423" s="492">
        <f t="shared" ca="1" si="273"/>
        <v>5199.6284206978817</v>
      </c>
      <c r="O423" s="492">
        <f t="shared" ca="1" si="273"/>
        <v>4085.708617659021</v>
      </c>
      <c r="P423" s="492">
        <f t="shared" ca="1" si="273"/>
        <v>4818.2317310529161</v>
      </c>
      <c r="Q423" s="492">
        <f t="shared" ca="1" si="273"/>
        <v>6258.5409056976223</v>
      </c>
      <c r="R423" s="492">
        <f t="shared" ca="1" si="273"/>
        <v>6392.953869345617</v>
      </c>
      <c r="S423" s="492">
        <f t="shared" ca="1" si="273"/>
        <v>5469.2449246492033</v>
      </c>
      <c r="T423" s="492">
        <f t="shared" ca="1" si="273"/>
        <v>5240.8248468633174</v>
      </c>
      <c r="U423" s="492">
        <f t="shared" ca="1" si="273"/>
        <v>6360.2823697524236</v>
      </c>
      <c r="V423" s="492">
        <f t="shared" ca="1" si="273"/>
        <v>6438.5596050600561</v>
      </c>
      <c r="W423" s="492">
        <f t="shared" ca="1" si="273"/>
        <v>5935.4643463325392</v>
      </c>
      <c r="X423" s="492">
        <f t="shared" ca="1" si="273"/>
        <v>6726.0490763582093</v>
      </c>
      <c r="Y423" s="492">
        <f t="shared" ca="1" si="273"/>
        <v>6655.3030863873555</v>
      </c>
      <c r="Z423" s="492">
        <f t="shared" ca="1" si="273"/>
        <v>2271.8187358458867</v>
      </c>
      <c r="AA423" s="492">
        <f t="shared" ref="AA423:AF423" ca="1" si="274">AA418+AA419+AA421+AA420+AA422</f>
        <v>2297.9936575583174</v>
      </c>
      <c r="AB423" s="492">
        <f t="shared" ca="1" si="274"/>
        <v>2323.5287024651207</v>
      </c>
      <c r="AC423" s="492">
        <f t="shared" ca="1" si="274"/>
        <v>2362.5523239280328</v>
      </c>
      <c r="AD423" s="492">
        <f t="shared" ca="1" si="274"/>
        <v>2395.351875449318</v>
      </c>
      <c r="AE423" s="492">
        <f t="shared" ca="1" si="274"/>
        <v>2425.2515665937199</v>
      </c>
      <c r="AF423" s="492">
        <f t="shared" ca="1" si="274"/>
        <v>2228.2393510046022</v>
      </c>
    </row>
    <row r="424" spans="1:32">
      <c r="A424" s="285"/>
      <c r="B424" s="285"/>
      <c r="C424" s="485"/>
      <c r="D424" s="485"/>
      <c r="E424" s="485"/>
      <c r="F424" s="485"/>
      <c r="G424" s="486"/>
      <c r="H424" s="492"/>
      <c r="I424" s="493"/>
      <c r="J424" s="486"/>
      <c r="K424" s="486"/>
      <c r="L424" s="486"/>
      <c r="M424" s="486"/>
      <c r="N424" s="486"/>
      <c r="O424" s="486"/>
      <c r="P424" s="486"/>
      <c r="Q424" s="486"/>
      <c r="R424" s="486"/>
      <c r="S424" s="486"/>
      <c r="T424" s="486"/>
      <c r="U424" s="486"/>
      <c r="V424" s="486"/>
      <c r="W424" s="486"/>
      <c r="X424" s="486"/>
      <c r="Y424" s="486"/>
      <c r="Z424" s="486"/>
      <c r="AA424" s="486"/>
      <c r="AB424" s="486"/>
      <c r="AC424" s="486"/>
      <c r="AD424" s="486"/>
      <c r="AE424" s="486"/>
      <c r="AF424" s="486"/>
    </row>
    <row r="425" spans="1:32">
      <c r="A425" s="285" t="str">
        <f>A539</f>
        <v>Purchase Term Loan Debt</v>
      </c>
      <c r="B425" s="285"/>
      <c r="C425" s="485"/>
      <c r="D425" s="485"/>
      <c r="E425" s="486">
        <f t="shared" ref="E425:G427" si="275">E539</f>
        <v>0</v>
      </c>
      <c r="F425" s="486">
        <f t="shared" si="275"/>
        <v>52041</v>
      </c>
      <c r="G425" s="486">
        <f t="shared" si="275"/>
        <v>48866</v>
      </c>
      <c r="H425" s="524">
        <f ca="1">+K539</f>
        <v>56499.999999999993</v>
      </c>
      <c r="I425" s="493">
        <f t="shared" ref="I425:Z425" ca="1" si="276">I461+I455-J453-J460</f>
        <v>54507.000015999991</v>
      </c>
      <c r="J425" s="486">
        <f t="shared" ca="1" si="276"/>
        <v>52358.999965999988</v>
      </c>
      <c r="K425" s="486">
        <f t="shared" ca="1" si="276"/>
        <v>49858.000063499989</v>
      </c>
      <c r="L425" s="486">
        <f t="shared" ca="1" si="276"/>
        <v>47756.000053499985</v>
      </c>
      <c r="M425" s="486">
        <f t="shared" ca="1" si="276"/>
        <v>44583.000055499986</v>
      </c>
      <c r="N425" s="486">
        <f t="shared" ca="1" si="276"/>
        <v>41324.000051499985</v>
      </c>
      <c r="O425" s="486">
        <f t="shared" ca="1" si="276"/>
        <v>39181.000025499983</v>
      </c>
      <c r="P425" s="486">
        <f t="shared" ca="1" si="276"/>
        <v>36346.000033999982</v>
      </c>
      <c r="Q425" s="486">
        <f t="shared" ca="1" si="276"/>
        <v>32103.000041499981</v>
      </c>
      <c r="R425" s="486">
        <f t="shared" ca="1" si="276"/>
        <v>27762.000064499982</v>
      </c>
      <c r="S425" s="486">
        <f t="shared" ca="1" si="276"/>
        <v>24362.000129499982</v>
      </c>
      <c r="T425" s="486">
        <f t="shared" ca="1" si="276"/>
        <v>21222.000086499982</v>
      </c>
      <c r="U425" s="486">
        <f t="shared" ca="1" si="276"/>
        <v>16983.00012449998</v>
      </c>
      <c r="V425" s="486">
        <f t="shared" ca="1" si="276"/>
        <v>12697.000072499979</v>
      </c>
      <c r="W425" s="486">
        <f t="shared" ca="1" si="276"/>
        <v>8938.0000979999786</v>
      </c>
      <c r="X425" s="486">
        <f t="shared" ca="1" si="276"/>
        <v>4417.000104499979</v>
      </c>
      <c r="Y425" s="486">
        <f t="shared" ca="1" si="276"/>
        <v>-1.6370904631912708E-11</v>
      </c>
      <c r="Z425" s="486">
        <f t="shared" ca="1" si="276"/>
        <v>0</v>
      </c>
      <c r="AA425" s="486">
        <f t="shared" ref="AA425:AF425" ca="1" si="277">AA461+AA455-AB453-AB460</f>
        <v>-1.6370904631912708E-11</v>
      </c>
      <c r="AB425" s="486">
        <f t="shared" ca="1" si="277"/>
        <v>3.2741809263825417E-11</v>
      </c>
      <c r="AC425" s="486">
        <f t="shared" ca="1" si="277"/>
        <v>-1.6370904631912708E-11</v>
      </c>
      <c r="AD425" s="486">
        <f t="shared" ca="1" si="277"/>
        <v>6.5483618527650833E-11</v>
      </c>
      <c r="AE425" s="486">
        <f t="shared" ca="1" si="277"/>
        <v>-1.6370904631912708E-11</v>
      </c>
      <c r="AF425" s="486">
        <f t="shared" ca="1" si="277"/>
        <v>9.822542779147625E-11</v>
      </c>
    </row>
    <row r="426" spans="1:32">
      <c r="A426" s="285" t="s">
        <v>1064</v>
      </c>
      <c r="B426" s="285"/>
      <c r="C426" s="485"/>
      <c r="D426" s="485"/>
      <c r="E426" s="486">
        <f t="shared" si="275"/>
        <v>0</v>
      </c>
      <c r="F426" s="486">
        <f t="shared" si="275"/>
        <v>4947</v>
      </c>
      <c r="G426" s="486">
        <f t="shared" si="275"/>
        <v>7387</v>
      </c>
      <c r="H426" s="492">
        <f>N540</f>
        <v>0</v>
      </c>
      <c r="I426" s="493">
        <f t="shared" ref="I426:AE426" ca="1" si="278">I363+H426</f>
        <v>0</v>
      </c>
      <c r="J426" s="486">
        <f t="shared" ca="1" si="278"/>
        <v>0</v>
      </c>
      <c r="K426" s="486">
        <f t="shared" ca="1" si="278"/>
        <v>0</v>
      </c>
      <c r="L426" s="486">
        <f t="shared" ca="1" si="278"/>
        <v>0</v>
      </c>
      <c r="M426" s="486">
        <f t="shared" ca="1" si="278"/>
        <v>0</v>
      </c>
      <c r="N426" s="486">
        <f t="shared" ca="1" si="278"/>
        <v>0</v>
      </c>
      <c r="O426" s="486">
        <f t="shared" ca="1" si="278"/>
        <v>0</v>
      </c>
      <c r="P426" s="486">
        <f t="shared" ca="1" si="278"/>
        <v>0</v>
      </c>
      <c r="Q426" s="486">
        <f t="shared" ca="1" si="278"/>
        <v>0</v>
      </c>
      <c r="R426" s="486">
        <f t="shared" ca="1" si="278"/>
        <v>0</v>
      </c>
      <c r="S426" s="486">
        <f t="shared" ca="1" si="278"/>
        <v>0</v>
      </c>
      <c r="T426" s="486">
        <f t="shared" ca="1" si="278"/>
        <v>0</v>
      </c>
      <c r="U426" s="486">
        <f t="shared" ca="1" si="278"/>
        <v>0</v>
      </c>
      <c r="V426" s="486">
        <f t="shared" ca="1" si="278"/>
        <v>0</v>
      </c>
      <c r="W426" s="486">
        <f t="shared" ca="1" si="278"/>
        <v>0</v>
      </c>
      <c r="X426" s="486">
        <f t="shared" ca="1" si="278"/>
        <v>0</v>
      </c>
      <c r="Y426" s="486">
        <f t="shared" ca="1" si="278"/>
        <v>0</v>
      </c>
      <c r="Z426" s="486">
        <f t="shared" ca="1" si="278"/>
        <v>0</v>
      </c>
      <c r="AA426" s="486">
        <f t="shared" ca="1" si="278"/>
        <v>0</v>
      </c>
      <c r="AB426" s="486">
        <f t="shared" ca="1" si="278"/>
        <v>0</v>
      </c>
      <c r="AC426" s="486">
        <f t="shared" ca="1" si="278"/>
        <v>0</v>
      </c>
      <c r="AD426" s="486">
        <f t="shared" ca="1" si="278"/>
        <v>0</v>
      </c>
      <c r="AE426" s="486">
        <f t="shared" ca="1" si="278"/>
        <v>0</v>
      </c>
      <c r="AF426" s="486">
        <f ca="1">AF363+AE426</f>
        <v>0</v>
      </c>
    </row>
    <row r="427" spans="1:32">
      <c r="A427" s="285" t="str">
        <f>A541</f>
        <v>Other Liabilities</v>
      </c>
      <c r="B427" s="285"/>
      <c r="C427" s="285"/>
      <c r="D427" s="285"/>
      <c r="E427" s="486">
        <f t="shared" si="275"/>
        <v>0</v>
      </c>
      <c r="F427" s="486">
        <f t="shared" si="275"/>
        <v>675</v>
      </c>
      <c r="G427" s="486">
        <f t="shared" si="275"/>
        <v>1026</v>
      </c>
      <c r="H427" s="492">
        <f>N541</f>
        <v>0</v>
      </c>
      <c r="I427" s="525">
        <f>H427</f>
        <v>0</v>
      </c>
      <c r="J427" s="525">
        <f t="shared" ref="J427:AF427" si="279">I427</f>
        <v>0</v>
      </c>
      <c r="K427" s="525">
        <f t="shared" si="279"/>
        <v>0</v>
      </c>
      <c r="L427" s="525">
        <f t="shared" si="279"/>
        <v>0</v>
      </c>
      <c r="M427" s="525">
        <f t="shared" si="279"/>
        <v>0</v>
      </c>
      <c r="N427" s="525">
        <f t="shared" si="279"/>
        <v>0</v>
      </c>
      <c r="O427" s="525">
        <f t="shared" si="279"/>
        <v>0</v>
      </c>
      <c r="P427" s="525">
        <f t="shared" si="279"/>
        <v>0</v>
      </c>
      <c r="Q427" s="525">
        <f t="shared" si="279"/>
        <v>0</v>
      </c>
      <c r="R427" s="525">
        <f t="shared" si="279"/>
        <v>0</v>
      </c>
      <c r="S427" s="525">
        <f t="shared" si="279"/>
        <v>0</v>
      </c>
      <c r="T427" s="525">
        <f t="shared" si="279"/>
        <v>0</v>
      </c>
      <c r="U427" s="525">
        <f t="shared" si="279"/>
        <v>0</v>
      </c>
      <c r="V427" s="525">
        <f t="shared" si="279"/>
        <v>0</v>
      </c>
      <c r="W427" s="525">
        <f t="shared" si="279"/>
        <v>0</v>
      </c>
      <c r="X427" s="525">
        <f t="shared" si="279"/>
        <v>0</v>
      </c>
      <c r="Y427" s="525">
        <f t="shared" si="279"/>
        <v>0</v>
      </c>
      <c r="Z427" s="525">
        <f t="shared" si="279"/>
        <v>0</v>
      </c>
      <c r="AA427" s="525">
        <f t="shared" si="279"/>
        <v>0</v>
      </c>
      <c r="AB427" s="525">
        <f t="shared" si="279"/>
        <v>0</v>
      </c>
      <c r="AC427" s="525">
        <f t="shared" si="279"/>
        <v>0</v>
      </c>
      <c r="AD427" s="525">
        <f t="shared" si="279"/>
        <v>0</v>
      </c>
      <c r="AE427" s="525">
        <f t="shared" si="279"/>
        <v>0</v>
      </c>
      <c r="AF427" s="525">
        <f t="shared" si="279"/>
        <v>0</v>
      </c>
    </row>
    <row r="428" spans="1:32">
      <c r="A428" s="519" t="str">
        <f>A542</f>
        <v>Total Long-term Liabilities</v>
      </c>
      <c r="B428" s="285"/>
      <c r="C428" s="486"/>
      <c r="D428" s="486"/>
      <c r="E428" s="495">
        <f t="shared" ref="E428:Z428" si="280">E425+E426+E427</f>
        <v>0</v>
      </c>
      <c r="F428" s="495">
        <f t="shared" si="280"/>
        <v>57663</v>
      </c>
      <c r="G428" s="495">
        <f t="shared" si="280"/>
        <v>57279</v>
      </c>
      <c r="H428" s="495">
        <f t="shared" ca="1" si="280"/>
        <v>56499.999999999993</v>
      </c>
      <c r="I428" s="526">
        <f t="shared" ca="1" si="280"/>
        <v>54507.000015999991</v>
      </c>
      <c r="J428" s="495">
        <f t="shared" ca="1" si="280"/>
        <v>52358.999965999988</v>
      </c>
      <c r="K428" s="495">
        <f t="shared" ca="1" si="280"/>
        <v>49858.000063499989</v>
      </c>
      <c r="L428" s="495">
        <f t="shared" ca="1" si="280"/>
        <v>47756.000053499985</v>
      </c>
      <c r="M428" s="495">
        <f t="shared" ca="1" si="280"/>
        <v>44583.000055499986</v>
      </c>
      <c r="N428" s="495">
        <f t="shared" ca="1" si="280"/>
        <v>41324.000051499985</v>
      </c>
      <c r="O428" s="495">
        <f t="shared" ca="1" si="280"/>
        <v>39181.000025499983</v>
      </c>
      <c r="P428" s="495">
        <f t="shared" ca="1" si="280"/>
        <v>36346.000033999982</v>
      </c>
      <c r="Q428" s="495">
        <f t="shared" ca="1" si="280"/>
        <v>32103.000041499981</v>
      </c>
      <c r="R428" s="495">
        <f t="shared" ca="1" si="280"/>
        <v>27762.000064499982</v>
      </c>
      <c r="S428" s="495">
        <f t="shared" ca="1" si="280"/>
        <v>24362.000129499982</v>
      </c>
      <c r="T428" s="495">
        <f t="shared" ca="1" si="280"/>
        <v>21222.000086499982</v>
      </c>
      <c r="U428" s="495">
        <f t="shared" ca="1" si="280"/>
        <v>16983.00012449998</v>
      </c>
      <c r="V428" s="495">
        <f t="shared" ca="1" si="280"/>
        <v>12697.000072499979</v>
      </c>
      <c r="W428" s="495">
        <f t="shared" ca="1" si="280"/>
        <v>8938.0000979999786</v>
      </c>
      <c r="X428" s="495">
        <f t="shared" ca="1" si="280"/>
        <v>4417.000104499979</v>
      </c>
      <c r="Y428" s="495">
        <f t="shared" ca="1" si="280"/>
        <v>-1.6370904631912708E-11</v>
      </c>
      <c r="Z428" s="495">
        <f t="shared" ca="1" si="280"/>
        <v>0</v>
      </c>
      <c r="AA428" s="495">
        <f t="shared" ref="AA428:AF428" ca="1" si="281">AA425+AA426+AA427</f>
        <v>-1.6370904631912708E-11</v>
      </c>
      <c r="AB428" s="495">
        <f t="shared" ca="1" si="281"/>
        <v>3.2741809263825417E-11</v>
      </c>
      <c r="AC428" s="495">
        <f t="shared" ca="1" si="281"/>
        <v>-1.6370904631912708E-11</v>
      </c>
      <c r="AD428" s="495">
        <f t="shared" ca="1" si="281"/>
        <v>6.5483618527650833E-11</v>
      </c>
      <c r="AE428" s="495">
        <f t="shared" ca="1" si="281"/>
        <v>-1.6370904631912708E-11</v>
      </c>
      <c r="AF428" s="495">
        <f t="shared" ca="1" si="281"/>
        <v>9.822542779147625E-11</v>
      </c>
    </row>
    <row r="429" spans="1:32">
      <c r="A429" s="285"/>
      <c r="B429" s="285"/>
      <c r="C429" s="486"/>
      <c r="D429" s="486"/>
      <c r="E429" s="486"/>
      <c r="F429" s="486"/>
      <c r="G429" s="486"/>
      <c r="H429" s="497"/>
      <c r="I429" s="486"/>
      <c r="J429" s="486"/>
      <c r="K429" s="486"/>
      <c r="L429" s="486"/>
      <c r="M429" s="486"/>
      <c r="N429" s="486"/>
      <c r="O429" s="486"/>
      <c r="P429" s="486"/>
      <c r="Q429" s="486"/>
      <c r="R429" s="486"/>
      <c r="S429" s="486"/>
      <c r="T429" s="486"/>
      <c r="U429" s="486"/>
      <c r="V429" s="486"/>
      <c r="W429" s="486"/>
      <c r="X429" s="486"/>
      <c r="Y429" s="486"/>
      <c r="Z429" s="486"/>
      <c r="AA429" s="486"/>
      <c r="AB429" s="486"/>
      <c r="AC429" s="486"/>
      <c r="AD429" s="486"/>
      <c r="AE429" s="486"/>
      <c r="AF429" s="486"/>
    </row>
    <row r="430" spans="1:32">
      <c r="A430" s="519" t="str">
        <f>A544</f>
        <v>Total Liabilities</v>
      </c>
      <c r="B430" s="285"/>
      <c r="C430" s="486"/>
      <c r="D430" s="486"/>
      <c r="E430" s="486">
        <f t="shared" ref="E430:Z430" si="282">E428+E423</f>
        <v>0</v>
      </c>
      <c r="F430" s="486">
        <f t="shared" si="282"/>
        <v>61166</v>
      </c>
      <c r="G430" s="486">
        <f t="shared" si="282"/>
        <v>61201</v>
      </c>
      <c r="H430" s="497">
        <f t="shared" ca="1" si="282"/>
        <v>55792.375274134858</v>
      </c>
      <c r="I430" s="486">
        <f t="shared" ca="1" si="282"/>
        <v>56942.999998999992</v>
      </c>
      <c r="J430" s="486">
        <f t="shared" ca="1" si="282"/>
        <v>56431.21392508725</v>
      </c>
      <c r="K430" s="486">
        <f t="shared" ca="1" si="282"/>
        <v>54444.78224664626</v>
      </c>
      <c r="L430" s="486">
        <f t="shared" ca="1" si="282"/>
        <v>51861.137065405725</v>
      </c>
      <c r="M430" s="486">
        <f t="shared" ca="1" si="282"/>
        <v>49713.179971589758</v>
      </c>
      <c r="N430" s="486">
        <f t="shared" ca="1" si="282"/>
        <v>46523.628472197866</v>
      </c>
      <c r="O430" s="486">
        <f t="shared" ca="1" si="282"/>
        <v>43266.708643159007</v>
      </c>
      <c r="P430" s="486">
        <f t="shared" ca="1" si="282"/>
        <v>41164.2317650529</v>
      </c>
      <c r="Q430" s="486">
        <f t="shared" ca="1" si="282"/>
        <v>38361.540947197602</v>
      </c>
      <c r="R430" s="486">
        <f t="shared" ca="1" si="282"/>
        <v>34154.953933845602</v>
      </c>
      <c r="S430" s="486">
        <f t="shared" ca="1" si="282"/>
        <v>29831.245054149185</v>
      </c>
      <c r="T430" s="486">
        <f t="shared" ca="1" si="282"/>
        <v>26462.824933363299</v>
      </c>
      <c r="U430" s="486">
        <f t="shared" ca="1" si="282"/>
        <v>23343.282494252402</v>
      </c>
      <c r="V430" s="486">
        <f t="shared" ca="1" si="282"/>
        <v>19135.559677560035</v>
      </c>
      <c r="W430" s="486">
        <f t="shared" ca="1" si="282"/>
        <v>14873.464444332518</v>
      </c>
      <c r="X430" s="486">
        <f t="shared" ca="1" si="282"/>
        <v>11143.049180858188</v>
      </c>
      <c r="Y430" s="486">
        <f t="shared" ca="1" si="282"/>
        <v>6655.3030863873391</v>
      </c>
      <c r="Z430" s="486">
        <f t="shared" ca="1" si="282"/>
        <v>2271.8187358458867</v>
      </c>
      <c r="AA430" s="486">
        <f t="shared" ref="AA430:AF430" ca="1" si="283">AA428+AA423</f>
        <v>2297.993657558301</v>
      </c>
      <c r="AB430" s="486">
        <f t="shared" ca="1" si="283"/>
        <v>2323.5287024651534</v>
      </c>
      <c r="AC430" s="486">
        <f t="shared" ca="1" si="283"/>
        <v>2362.5523239280164</v>
      </c>
      <c r="AD430" s="486">
        <f t="shared" ca="1" si="283"/>
        <v>2395.3518754493834</v>
      </c>
      <c r="AE430" s="486">
        <f t="shared" ca="1" si="283"/>
        <v>2425.2515665937035</v>
      </c>
      <c r="AF430" s="486">
        <f t="shared" ca="1" si="283"/>
        <v>2228.2393510047004</v>
      </c>
    </row>
    <row r="431" spans="1:32">
      <c r="A431" s="285"/>
      <c r="B431" s="285"/>
      <c r="C431" s="485"/>
      <c r="D431" s="485"/>
      <c r="E431" s="485"/>
      <c r="F431" s="485"/>
      <c r="G431" s="486"/>
      <c r="H431" s="492"/>
      <c r="I431" s="493"/>
      <c r="J431" s="486"/>
      <c r="K431" s="486"/>
      <c r="L431" s="486"/>
      <c r="M431" s="486"/>
      <c r="N431" s="486"/>
      <c r="O431" s="486"/>
      <c r="P431" s="486"/>
      <c r="Q431" s="486"/>
      <c r="R431" s="486"/>
      <c r="S431" s="486"/>
      <c r="T431" s="486"/>
      <c r="U431" s="486"/>
      <c r="V431" s="486"/>
      <c r="W431" s="486"/>
      <c r="X431" s="486"/>
      <c r="Y431" s="486"/>
      <c r="Z431" s="486"/>
      <c r="AA431" s="486"/>
      <c r="AB431" s="486"/>
      <c r="AC431" s="486"/>
      <c r="AD431" s="486"/>
      <c r="AE431" s="486"/>
      <c r="AF431" s="486"/>
    </row>
    <row r="432" spans="1:32">
      <c r="A432" s="285" t="str">
        <f t="shared" ref="A432:A438" si="284">A546</f>
        <v>Common Stock</v>
      </c>
      <c r="B432" s="285"/>
      <c r="C432" s="485"/>
      <c r="D432" s="485"/>
      <c r="E432" s="486">
        <f t="shared" ref="E432:G436" si="285">E546</f>
        <v>0</v>
      </c>
      <c r="F432" s="486">
        <f t="shared" si="285"/>
        <v>6769</v>
      </c>
      <c r="G432" s="486">
        <f t="shared" si="285"/>
        <v>4656</v>
      </c>
      <c r="H432" s="492">
        <f ca="1">N546</f>
        <v>24000</v>
      </c>
      <c r="I432" s="493">
        <f ca="1">H383</f>
        <v>24000</v>
      </c>
      <c r="J432" s="486">
        <f t="shared" ref="J432:Z432" ca="1" si="286">I432</f>
        <v>24000</v>
      </c>
      <c r="K432" s="486">
        <f t="shared" ca="1" si="286"/>
        <v>24000</v>
      </c>
      <c r="L432" s="486">
        <f t="shared" ca="1" si="286"/>
        <v>24000</v>
      </c>
      <c r="M432" s="486">
        <f t="shared" ca="1" si="286"/>
        <v>24000</v>
      </c>
      <c r="N432" s="486">
        <f t="shared" ca="1" si="286"/>
        <v>24000</v>
      </c>
      <c r="O432" s="486">
        <f t="shared" ca="1" si="286"/>
        <v>24000</v>
      </c>
      <c r="P432" s="486">
        <f t="shared" ca="1" si="286"/>
        <v>24000</v>
      </c>
      <c r="Q432" s="486">
        <f t="shared" ca="1" si="286"/>
        <v>24000</v>
      </c>
      <c r="R432" s="486">
        <f t="shared" ca="1" si="286"/>
        <v>24000</v>
      </c>
      <c r="S432" s="486">
        <f t="shared" ca="1" si="286"/>
        <v>24000</v>
      </c>
      <c r="T432" s="486">
        <f t="shared" ca="1" si="286"/>
        <v>24000</v>
      </c>
      <c r="U432" s="486">
        <f t="shared" ca="1" si="286"/>
        <v>24000</v>
      </c>
      <c r="V432" s="486">
        <f t="shared" ca="1" si="286"/>
        <v>24000</v>
      </c>
      <c r="W432" s="486">
        <f t="shared" ca="1" si="286"/>
        <v>24000</v>
      </c>
      <c r="X432" s="486">
        <f t="shared" ca="1" si="286"/>
        <v>24000</v>
      </c>
      <c r="Y432" s="486">
        <f t="shared" ca="1" si="286"/>
        <v>24000</v>
      </c>
      <c r="Z432" s="486">
        <f t="shared" ca="1" si="286"/>
        <v>24000</v>
      </c>
      <c r="AA432" s="486">
        <f t="shared" ref="AA432:AF432" ca="1" si="287">Z432</f>
        <v>24000</v>
      </c>
      <c r="AB432" s="486">
        <f t="shared" ca="1" si="287"/>
        <v>24000</v>
      </c>
      <c r="AC432" s="486">
        <f t="shared" ca="1" si="287"/>
        <v>24000</v>
      </c>
      <c r="AD432" s="486">
        <f t="shared" ca="1" si="287"/>
        <v>24000</v>
      </c>
      <c r="AE432" s="486">
        <f t="shared" ca="1" si="287"/>
        <v>24000</v>
      </c>
      <c r="AF432" s="486">
        <f t="shared" ca="1" si="287"/>
        <v>24000</v>
      </c>
    </row>
    <row r="433" spans="1:57">
      <c r="A433" s="285" t="str">
        <f t="shared" si="284"/>
        <v>Paid in Capital</v>
      </c>
      <c r="B433" s="285"/>
      <c r="C433" s="485"/>
      <c r="D433" s="485"/>
      <c r="E433" s="486">
        <f t="shared" si="285"/>
        <v>0</v>
      </c>
      <c r="F433" s="486">
        <f t="shared" si="285"/>
        <v>0</v>
      </c>
      <c r="G433" s="486">
        <f t="shared" si="285"/>
        <v>0</v>
      </c>
      <c r="H433" s="492">
        <f>N547</f>
        <v>0</v>
      </c>
      <c r="I433" s="493">
        <f t="shared" ref="I433:AF433" si="288">H433-I619</f>
        <v>0</v>
      </c>
      <c r="J433" s="486">
        <f t="shared" si="288"/>
        <v>0</v>
      </c>
      <c r="K433" s="486">
        <f t="shared" si="288"/>
        <v>0</v>
      </c>
      <c r="L433" s="486">
        <f t="shared" si="288"/>
        <v>0</v>
      </c>
      <c r="M433" s="486">
        <f t="shared" si="288"/>
        <v>0</v>
      </c>
      <c r="N433" s="486">
        <f t="shared" si="288"/>
        <v>0</v>
      </c>
      <c r="O433" s="486">
        <f t="shared" si="288"/>
        <v>0</v>
      </c>
      <c r="P433" s="486">
        <f t="shared" si="288"/>
        <v>0</v>
      </c>
      <c r="Q433" s="486">
        <f t="shared" si="288"/>
        <v>0</v>
      </c>
      <c r="R433" s="486">
        <f t="shared" si="288"/>
        <v>0</v>
      </c>
      <c r="S433" s="486">
        <f t="shared" si="288"/>
        <v>0</v>
      </c>
      <c r="T433" s="486">
        <f t="shared" si="288"/>
        <v>0</v>
      </c>
      <c r="U433" s="486">
        <f t="shared" si="288"/>
        <v>0</v>
      </c>
      <c r="V433" s="486">
        <f t="shared" si="288"/>
        <v>0</v>
      </c>
      <c r="W433" s="486">
        <f t="shared" si="288"/>
        <v>0</v>
      </c>
      <c r="X433" s="486">
        <f t="shared" si="288"/>
        <v>0</v>
      </c>
      <c r="Y433" s="486">
        <f t="shared" si="288"/>
        <v>0</v>
      </c>
      <c r="Z433" s="486">
        <f t="shared" si="288"/>
        <v>0</v>
      </c>
      <c r="AA433" s="486">
        <f t="shared" si="288"/>
        <v>0</v>
      </c>
      <c r="AB433" s="486">
        <f t="shared" si="288"/>
        <v>0</v>
      </c>
      <c r="AC433" s="486">
        <f t="shared" si="288"/>
        <v>0</v>
      </c>
      <c r="AD433" s="486">
        <f t="shared" si="288"/>
        <v>0</v>
      </c>
      <c r="AE433" s="486">
        <f t="shared" si="288"/>
        <v>0</v>
      </c>
      <c r="AF433" s="486">
        <f t="shared" si="288"/>
        <v>0</v>
      </c>
    </row>
    <row r="434" spans="1:57">
      <c r="A434" s="285" t="str">
        <f t="shared" si="284"/>
        <v>Treasury Stock</v>
      </c>
      <c r="B434" s="285"/>
      <c r="C434" s="485"/>
      <c r="D434" s="485"/>
      <c r="E434" s="486">
        <f t="shared" si="285"/>
        <v>0</v>
      </c>
      <c r="F434" s="486">
        <f t="shared" si="285"/>
        <v>0</v>
      </c>
      <c r="G434" s="486">
        <f t="shared" si="285"/>
        <v>0</v>
      </c>
      <c r="H434" s="492">
        <f>N548</f>
        <v>0</v>
      </c>
      <c r="I434" s="493">
        <f t="shared" ref="I434:AF434" si="289">H434-I618</f>
        <v>0</v>
      </c>
      <c r="J434" s="486">
        <f t="shared" si="289"/>
        <v>0</v>
      </c>
      <c r="K434" s="486">
        <f t="shared" si="289"/>
        <v>0</v>
      </c>
      <c r="L434" s="486">
        <f t="shared" si="289"/>
        <v>0</v>
      </c>
      <c r="M434" s="486">
        <f t="shared" si="289"/>
        <v>0</v>
      </c>
      <c r="N434" s="486">
        <f t="shared" si="289"/>
        <v>0</v>
      </c>
      <c r="O434" s="486">
        <f t="shared" si="289"/>
        <v>0</v>
      </c>
      <c r="P434" s="486">
        <f t="shared" si="289"/>
        <v>0</v>
      </c>
      <c r="Q434" s="486">
        <f t="shared" si="289"/>
        <v>0</v>
      </c>
      <c r="R434" s="486">
        <f t="shared" si="289"/>
        <v>0</v>
      </c>
      <c r="S434" s="486">
        <f t="shared" si="289"/>
        <v>0</v>
      </c>
      <c r="T434" s="486">
        <f t="shared" si="289"/>
        <v>0</v>
      </c>
      <c r="U434" s="486">
        <f t="shared" si="289"/>
        <v>0</v>
      </c>
      <c r="V434" s="486">
        <f t="shared" si="289"/>
        <v>0</v>
      </c>
      <c r="W434" s="486">
        <f t="shared" si="289"/>
        <v>0</v>
      </c>
      <c r="X434" s="486">
        <f t="shared" si="289"/>
        <v>0</v>
      </c>
      <c r="Y434" s="486">
        <f t="shared" si="289"/>
        <v>0</v>
      </c>
      <c r="Z434" s="486">
        <f t="shared" si="289"/>
        <v>0</v>
      </c>
      <c r="AA434" s="486">
        <f t="shared" si="289"/>
        <v>0</v>
      </c>
      <c r="AB434" s="486">
        <f t="shared" si="289"/>
        <v>0</v>
      </c>
      <c r="AC434" s="486">
        <f t="shared" si="289"/>
        <v>0</v>
      </c>
      <c r="AD434" s="486">
        <f t="shared" si="289"/>
        <v>0</v>
      </c>
      <c r="AE434" s="486">
        <f t="shared" si="289"/>
        <v>0</v>
      </c>
      <c r="AF434" s="486">
        <f t="shared" si="289"/>
        <v>0</v>
      </c>
    </row>
    <row r="435" spans="1:57">
      <c r="A435" s="285" t="str">
        <f t="shared" si="284"/>
        <v>Retained Earnings</v>
      </c>
      <c r="B435" s="285"/>
      <c r="C435" s="485"/>
      <c r="D435" s="485"/>
      <c r="E435" s="486">
        <f t="shared" si="285"/>
        <v>0</v>
      </c>
      <c r="F435" s="486">
        <f t="shared" si="285"/>
        <v>0</v>
      </c>
      <c r="G435" s="486">
        <f t="shared" si="285"/>
        <v>0</v>
      </c>
      <c r="H435" s="501">
        <f>N549</f>
        <v>0</v>
      </c>
      <c r="I435" s="486">
        <f t="shared" ref="I435:AF435" ca="1" si="290">H435+H436+I348</f>
        <v>-1847.145062111111</v>
      </c>
      <c r="J435" s="486">
        <f t="shared" ca="1" si="290"/>
        <v>-6958.4218390216156</v>
      </c>
      <c r="K435" s="486">
        <f t="shared" ca="1" si="290"/>
        <v>-7275.1414082912434</v>
      </c>
      <c r="L435" s="486">
        <f t="shared" ca="1" si="290"/>
        <v>-11024.273456702136</v>
      </c>
      <c r="M435" s="486">
        <f t="shared" ca="1" si="290"/>
        <v>-13699.63331232884</v>
      </c>
      <c r="N435" s="486">
        <f t="shared" ca="1" si="290"/>
        <v>-15991.19151948197</v>
      </c>
      <c r="O435" s="486">
        <f t="shared" ca="1" si="290"/>
        <v>-17974.580983042557</v>
      </c>
      <c r="P435" s="486">
        <f t="shared" ca="1" si="290"/>
        <v>-18955.124585419973</v>
      </c>
      <c r="Q435" s="486">
        <f t="shared" ca="1" si="290"/>
        <v>-19381.189092447217</v>
      </c>
      <c r="R435" s="486">
        <f t="shared" ca="1" si="290"/>
        <v>-19626.227078930933</v>
      </c>
      <c r="S435" s="486">
        <f t="shared" ca="1" si="290"/>
        <v>-20190.13964700104</v>
      </c>
      <c r="T435" s="486">
        <f t="shared" ca="1" si="290"/>
        <v>-21484.934768991028</v>
      </c>
      <c r="U435" s="486">
        <f t="shared" ca="1" si="290"/>
        <v>-22638.644656024233</v>
      </c>
      <c r="V435" s="486">
        <f t="shared" ca="1" si="290"/>
        <v>-22584.214165232337</v>
      </c>
      <c r="W435" s="486">
        <f t="shared" ca="1" si="290"/>
        <v>-23274.804165397465</v>
      </c>
      <c r="X435" s="486">
        <f t="shared" ca="1" si="290"/>
        <v>-20794.88608819482</v>
      </c>
      <c r="Y435" s="486">
        <f t="shared" ca="1" si="290"/>
        <v>-13709.310882214791</v>
      </c>
      <c r="Z435" s="486">
        <f t="shared" ca="1" si="290"/>
        <v>-7109.2598452228485</v>
      </c>
      <c r="AA435" s="486">
        <f t="shared" ca="1" si="290"/>
        <v>-3355.0071620452218</v>
      </c>
      <c r="AB435" s="486">
        <f t="shared" ca="1" si="290"/>
        <v>-4212.7630202162854</v>
      </c>
      <c r="AC435" s="486">
        <f t="shared" ca="1" si="290"/>
        <v>-4852.2719780144562</v>
      </c>
      <c r="AD435" s="486">
        <f t="shared" ca="1" si="290"/>
        <v>-5474.7246374927454</v>
      </c>
      <c r="AE435" s="486">
        <f t="shared" ca="1" si="290"/>
        <v>-6072.1909547659488</v>
      </c>
      <c r="AF435" s="486">
        <f t="shared" ca="1" si="290"/>
        <v>-8176.423139842118</v>
      </c>
    </row>
    <row r="436" spans="1:57">
      <c r="A436" s="285" t="str">
        <f t="shared" si="284"/>
        <v>Preferred and Common Dividends</v>
      </c>
      <c r="B436" s="285"/>
      <c r="C436" s="285"/>
      <c r="D436" s="285"/>
      <c r="E436" s="486">
        <f t="shared" si="285"/>
        <v>0</v>
      </c>
      <c r="F436" s="486">
        <f t="shared" si="285"/>
        <v>0</v>
      </c>
      <c r="G436" s="486">
        <f t="shared" si="285"/>
        <v>0</v>
      </c>
      <c r="H436" s="501">
        <f>N550</f>
        <v>0</v>
      </c>
      <c r="I436" s="486">
        <f t="shared" ref="I436:Z436" ca="1" si="291">-I353</f>
        <v>-799.00000000000011</v>
      </c>
      <c r="J436" s="486">
        <f t="shared" ca="1" si="291"/>
        <v>0</v>
      </c>
      <c r="K436" s="486">
        <f t="shared" ca="1" si="291"/>
        <v>-2753.762861617533</v>
      </c>
      <c r="L436" s="486">
        <f t="shared" ca="1" si="291"/>
        <v>-1511.2440628491213</v>
      </c>
      <c r="M436" s="486">
        <f t="shared" ca="1" si="291"/>
        <v>-1126.5709761750591</v>
      </c>
      <c r="N436" s="486">
        <f t="shared" ca="1" si="291"/>
        <v>-1136.0432653317648</v>
      </c>
      <c r="O436" s="486">
        <f t="shared" ca="1" si="291"/>
        <v>-781.90097643004037</v>
      </c>
      <c r="P436" s="486">
        <f t="shared" ca="1" si="291"/>
        <v>-797.98060782172433</v>
      </c>
      <c r="Q436" s="486">
        <f t="shared" ca="1" si="291"/>
        <v>-1257.1138336626354</v>
      </c>
      <c r="R436" s="486">
        <f t="shared" ca="1" si="291"/>
        <v>-2216.6241087188118</v>
      </c>
      <c r="S436" s="486">
        <f t="shared" ca="1" si="291"/>
        <v>-2768.8207586107992</v>
      </c>
      <c r="T436" s="486">
        <f t="shared" ca="1" si="291"/>
        <v>-3056.3267096332306</v>
      </c>
      <c r="U436" s="486">
        <f t="shared" ca="1" si="291"/>
        <v>-2843.2111679944437</v>
      </c>
      <c r="V436" s="486">
        <f t="shared" ca="1" si="291"/>
        <v>-4176.1017050463961</v>
      </c>
      <c r="W436" s="486">
        <f t="shared" ca="1" si="291"/>
        <v>-3912.6881323226598</v>
      </c>
      <c r="X436" s="486">
        <f t="shared" ca="1" si="291"/>
        <v>-2682.3886289702714</v>
      </c>
      <c r="Y436" s="486">
        <f t="shared" ca="1" si="291"/>
        <v>-3376.9137682934797</v>
      </c>
      <c r="Z436" s="486">
        <f t="shared" ca="1" si="291"/>
        <v>-6585.0084301396291</v>
      </c>
      <c r="AA436" s="486">
        <f t="shared" ref="AA436:AF436" ca="1" si="292">-AA353</f>
        <v>-11367.975258794497</v>
      </c>
      <c r="AB436" s="486">
        <f t="shared" ca="1" si="292"/>
        <v>-11539.253484503484</v>
      </c>
      <c r="AC436" s="486">
        <f t="shared" ca="1" si="292"/>
        <v>-11824.604358037679</v>
      </c>
      <c r="AD436" s="486">
        <f t="shared" ca="1" si="292"/>
        <v>-11993.721614884949</v>
      </c>
      <c r="AE436" s="486">
        <f t="shared" ca="1" si="292"/>
        <v>-12189.275144125908</v>
      </c>
      <c r="AF436" s="486">
        <f t="shared" ca="1" si="292"/>
        <v>-10991.518758930441</v>
      </c>
    </row>
    <row r="437" spans="1:57">
      <c r="A437" s="519" t="str">
        <f t="shared" si="284"/>
        <v>Total Stockholders' Equity</v>
      </c>
      <c r="B437" s="285"/>
      <c r="C437" s="486"/>
      <c r="D437" s="486"/>
      <c r="E437" s="495">
        <f t="shared" ref="E437:Z437" si="293">SUM(E432:E436)</f>
        <v>0</v>
      </c>
      <c r="F437" s="495">
        <f t="shared" si="293"/>
        <v>6769</v>
      </c>
      <c r="G437" s="495">
        <f t="shared" si="293"/>
        <v>4656</v>
      </c>
      <c r="H437" s="507">
        <f t="shared" ca="1" si="293"/>
        <v>24000</v>
      </c>
      <c r="I437" s="495">
        <f t="shared" ca="1" si="293"/>
        <v>21353.854937888889</v>
      </c>
      <c r="J437" s="495">
        <f t="shared" ca="1" si="293"/>
        <v>17041.578160978384</v>
      </c>
      <c r="K437" s="495">
        <f t="shared" ca="1" si="293"/>
        <v>13971.095730091221</v>
      </c>
      <c r="L437" s="495">
        <f t="shared" ca="1" si="293"/>
        <v>11464.482480448743</v>
      </c>
      <c r="M437" s="495">
        <f t="shared" ca="1" si="293"/>
        <v>9173.7957114961009</v>
      </c>
      <c r="N437" s="495">
        <f t="shared" ca="1" si="293"/>
        <v>6872.7652151862649</v>
      </c>
      <c r="O437" s="495">
        <f t="shared" ca="1" si="293"/>
        <v>5243.5180405274023</v>
      </c>
      <c r="P437" s="495">
        <f t="shared" ca="1" si="293"/>
        <v>4246.8948067583024</v>
      </c>
      <c r="Q437" s="495">
        <f t="shared" ca="1" si="293"/>
        <v>3361.6970738901473</v>
      </c>
      <c r="R437" s="495">
        <f t="shared" ca="1" si="293"/>
        <v>2157.148812350255</v>
      </c>
      <c r="S437" s="495">
        <f t="shared" ca="1" si="293"/>
        <v>1041.0395943881604</v>
      </c>
      <c r="T437" s="495">
        <f t="shared" ca="1" si="293"/>
        <v>-541.26147862425887</v>
      </c>
      <c r="U437" s="495">
        <f t="shared" ca="1" si="293"/>
        <v>-1481.8558240186767</v>
      </c>
      <c r="V437" s="495">
        <f t="shared" ca="1" si="293"/>
        <v>-2760.3158702787332</v>
      </c>
      <c r="W437" s="495">
        <f t="shared" ca="1" si="293"/>
        <v>-3187.492297720125</v>
      </c>
      <c r="X437" s="495">
        <f t="shared" ca="1" si="293"/>
        <v>522.72528283490828</v>
      </c>
      <c r="Y437" s="495">
        <f t="shared" ca="1" si="293"/>
        <v>6913.7753494917288</v>
      </c>
      <c r="Z437" s="495">
        <f t="shared" ca="1" si="293"/>
        <v>10305.731724637522</v>
      </c>
      <c r="AA437" s="495">
        <f t="shared" ref="AA437:AF437" ca="1" si="294">SUM(AA432:AA436)</f>
        <v>9277.0175791602815</v>
      </c>
      <c r="AB437" s="495">
        <f t="shared" ca="1" si="294"/>
        <v>8247.9834952802321</v>
      </c>
      <c r="AC437" s="495">
        <f t="shared" ca="1" si="294"/>
        <v>7323.1236639478666</v>
      </c>
      <c r="AD437" s="495">
        <f t="shared" ca="1" si="294"/>
        <v>6531.5537476223053</v>
      </c>
      <c r="AE437" s="495">
        <f t="shared" ca="1" si="294"/>
        <v>5738.5339011081433</v>
      </c>
      <c r="AF437" s="495">
        <f t="shared" ca="1" si="294"/>
        <v>4832.0581012274415</v>
      </c>
    </row>
    <row r="438" spans="1:57" ht="10.8" thickBot="1">
      <c r="A438" s="519" t="str">
        <f t="shared" si="284"/>
        <v>Total Liabilities &amp; Equity</v>
      </c>
      <c r="B438" s="285"/>
      <c r="C438" s="486"/>
      <c r="D438" s="486"/>
      <c r="E438" s="509">
        <f t="shared" ref="E438:Z438" si="295">E430+E437</f>
        <v>0</v>
      </c>
      <c r="F438" s="509">
        <f t="shared" si="295"/>
        <v>67935</v>
      </c>
      <c r="G438" s="509">
        <f t="shared" si="295"/>
        <v>65857</v>
      </c>
      <c r="H438" s="510">
        <f t="shared" ca="1" si="295"/>
        <v>79792.375274134858</v>
      </c>
      <c r="I438" s="509">
        <f t="shared" ca="1" si="295"/>
        <v>78296.854936888878</v>
      </c>
      <c r="J438" s="509">
        <f t="shared" ca="1" si="295"/>
        <v>73472.79208606563</v>
      </c>
      <c r="K438" s="509">
        <f t="shared" ca="1" si="295"/>
        <v>68415.87797673748</v>
      </c>
      <c r="L438" s="509">
        <f t="shared" ca="1" si="295"/>
        <v>63325.619545854468</v>
      </c>
      <c r="M438" s="509">
        <f t="shared" ca="1" si="295"/>
        <v>58886.975683085861</v>
      </c>
      <c r="N438" s="509">
        <f t="shared" ca="1" si="295"/>
        <v>53396.39368738413</v>
      </c>
      <c r="O438" s="509">
        <f t="shared" ca="1" si="295"/>
        <v>48510.226683686407</v>
      </c>
      <c r="P438" s="509">
        <f t="shared" ca="1" si="295"/>
        <v>45411.126571811204</v>
      </c>
      <c r="Q438" s="509">
        <f t="shared" ca="1" si="295"/>
        <v>41723.238021087745</v>
      </c>
      <c r="R438" s="509">
        <f t="shared" ca="1" si="295"/>
        <v>36312.102746195858</v>
      </c>
      <c r="S438" s="509">
        <f t="shared" ca="1" si="295"/>
        <v>30872.284648537345</v>
      </c>
      <c r="T438" s="509">
        <f t="shared" ca="1" si="295"/>
        <v>25921.56345473904</v>
      </c>
      <c r="U438" s="509">
        <f t="shared" ca="1" si="295"/>
        <v>21861.426670233726</v>
      </c>
      <c r="V438" s="509">
        <f t="shared" ca="1" si="295"/>
        <v>16375.243807281302</v>
      </c>
      <c r="W438" s="509">
        <f t="shared" ca="1" si="295"/>
        <v>11685.972146612392</v>
      </c>
      <c r="X438" s="509">
        <f t="shared" ca="1" si="295"/>
        <v>11665.774463693097</v>
      </c>
      <c r="Y438" s="509">
        <f t="shared" ca="1" si="295"/>
        <v>13569.078435879068</v>
      </c>
      <c r="Z438" s="509">
        <f t="shared" ca="1" si="295"/>
        <v>12577.55046048341</v>
      </c>
      <c r="AA438" s="509">
        <f t="shared" ref="AA438:AF438" ca="1" si="296">AA430+AA437</f>
        <v>11575.011236718583</v>
      </c>
      <c r="AB438" s="509">
        <f t="shared" ca="1" si="296"/>
        <v>10571.512197745385</v>
      </c>
      <c r="AC438" s="509">
        <f t="shared" ca="1" si="296"/>
        <v>9685.6759878758821</v>
      </c>
      <c r="AD438" s="509">
        <f t="shared" ca="1" si="296"/>
        <v>8926.9056230716888</v>
      </c>
      <c r="AE438" s="509">
        <f t="shared" ca="1" si="296"/>
        <v>8163.7854677018468</v>
      </c>
      <c r="AF438" s="509">
        <f t="shared" ca="1" si="296"/>
        <v>7060.2974522321419</v>
      </c>
    </row>
    <row r="439" spans="1:57" ht="10.8" thickTop="1">
      <c r="A439" s="285"/>
      <c r="B439" s="285"/>
      <c r="C439" s="486"/>
      <c r="D439" s="486"/>
      <c r="E439" s="486"/>
      <c r="F439" s="486"/>
      <c r="G439" s="486"/>
      <c r="H439" s="486"/>
      <c r="I439" s="471"/>
      <c r="J439" s="471"/>
      <c r="K439" s="471"/>
      <c r="L439" s="471"/>
      <c r="M439" s="471"/>
      <c r="N439" s="486"/>
      <c r="O439" s="486"/>
      <c r="P439" s="486"/>
      <c r="Q439" s="486"/>
      <c r="R439" s="486"/>
      <c r="S439" s="486"/>
      <c r="T439" s="486"/>
      <c r="U439" s="486"/>
      <c r="V439" s="486"/>
      <c r="W439" s="486"/>
      <c r="X439" s="486"/>
      <c r="Y439" s="486"/>
      <c r="Z439" s="486"/>
      <c r="AA439" s="486"/>
      <c r="AB439" s="486"/>
      <c r="AC439" s="486"/>
      <c r="AD439" s="486"/>
      <c r="AE439" s="486"/>
      <c r="AF439" s="486"/>
    </row>
    <row r="440" spans="1:57">
      <c r="A440" s="491" t="s">
        <v>898</v>
      </c>
      <c r="B440" s="285"/>
      <c r="C440" s="486"/>
      <c r="D440" s="486"/>
      <c r="E440" s="967">
        <f t="shared" ref="E440:Z440" si="297">E415-E438</f>
        <v>0</v>
      </c>
      <c r="F440" s="967">
        <f t="shared" si="297"/>
        <v>0</v>
      </c>
      <c r="G440" s="967">
        <f t="shared" si="297"/>
        <v>0</v>
      </c>
      <c r="H440" s="967">
        <f t="shared" ca="1" si="297"/>
        <v>0</v>
      </c>
      <c r="I440" s="967">
        <f t="shared" ca="1" si="297"/>
        <v>0</v>
      </c>
      <c r="J440" s="967">
        <f t="shared" ca="1" si="297"/>
        <v>0</v>
      </c>
      <c r="K440" s="967">
        <f t="shared" ca="1" si="297"/>
        <v>0</v>
      </c>
      <c r="L440" s="967">
        <f t="shared" ca="1" si="297"/>
        <v>0</v>
      </c>
      <c r="M440" s="967">
        <f t="shared" ca="1" si="297"/>
        <v>0</v>
      </c>
      <c r="N440" s="967">
        <f t="shared" ca="1" si="297"/>
        <v>0</v>
      </c>
      <c r="O440" s="967">
        <f t="shared" ca="1" si="297"/>
        <v>0</v>
      </c>
      <c r="P440" s="967">
        <f t="shared" ca="1" si="297"/>
        <v>0</v>
      </c>
      <c r="Q440" s="967">
        <f t="shared" ca="1" si="297"/>
        <v>0</v>
      </c>
      <c r="R440" s="967">
        <f t="shared" ca="1" si="297"/>
        <v>0</v>
      </c>
      <c r="S440" s="967">
        <f t="shared" ca="1" si="297"/>
        <v>2.9103830456733704E-11</v>
      </c>
      <c r="T440" s="967">
        <f t="shared" ca="1" si="297"/>
        <v>3.2741809263825417E-11</v>
      </c>
      <c r="U440" s="967">
        <f t="shared" ca="1" si="297"/>
        <v>4.3655745685100555E-11</v>
      </c>
      <c r="V440" s="967">
        <f t="shared" ca="1" si="297"/>
        <v>4.7293724492192268E-11</v>
      </c>
      <c r="W440" s="967">
        <f t="shared" ca="1" si="297"/>
        <v>5.6388671509921551E-11</v>
      </c>
      <c r="X440" s="967">
        <f t="shared" ca="1" si="297"/>
        <v>5.6388671509921551E-11</v>
      </c>
      <c r="Y440" s="967">
        <f t="shared" ca="1" si="297"/>
        <v>5.6388671509921551E-11</v>
      </c>
      <c r="Z440" s="967">
        <f t="shared" ca="1" si="297"/>
        <v>3.8198777474462986E-11</v>
      </c>
      <c r="AA440" s="967">
        <f t="shared" ref="AA440:AF440" ca="1" si="298">AA415-AA438</f>
        <v>8.5492501966655254E-11</v>
      </c>
      <c r="AB440" s="967">
        <f t="shared" ca="1" si="298"/>
        <v>-1.8189894035458565E-11</v>
      </c>
      <c r="AC440" s="967">
        <f t="shared" ca="1" si="298"/>
        <v>1.3096723705530167E-10</v>
      </c>
      <c r="AD440" s="967">
        <f t="shared" ca="1" si="298"/>
        <v>-2.3646862246096134E-11</v>
      </c>
      <c r="AE440" s="967">
        <f t="shared" ca="1" si="298"/>
        <v>2.02817318495363E-10</v>
      </c>
      <c r="AF440" s="967">
        <f t="shared" ca="1" si="298"/>
        <v>-3.092281986027956E-11</v>
      </c>
    </row>
    <row r="441" spans="1:57" ht="10.8" thickBot="1">
      <c r="A441" s="491"/>
      <c r="B441" s="285"/>
      <c r="C441" s="486"/>
      <c r="D441" s="486"/>
      <c r="E441" s="486"/>
      <c r="F441" s="486"/>
      <c r="G441" s="486"/>
      <c r="H441" s="486"/>
      <c r="I441" s="486"/>
      <c r="J441" s="486"/>
      <c r="K441" s="486"/>
      <c r="L441" s="486"/>
      <c r="M441" s="486"/>
      <c r="N441" s="486"/>
      <c r="O441" s="486"/>
      <c r="P441" s="486"/>
      <c r="Q441" s="486"/>
      <c r="R441" s="486"/>
      <c r="S441" s="486"/>
      <c r="T441" s="486"/>
      <c r="U441" s="486"/>
      <c r="V441" s="486"/>
      <c r="W441" s="486"/>
      <c r="X441" s="486"/>
      <c r="Y441" s="486"/>
      <c r="Z441" s="486"/>
      <c r="AA441" s="486"/>
      <c r="AB441" s="486"/>
      <c r="AC441" s="486"/>
      <c r="AD441" s="486"/>
      <c r="AE441" s="486"/>
      <c r="AF441" s="486"/>
    </row>
    <row r="442" spans="1:57" ht="11.4" thickTop="1" thickBot="1">
      <c r="A442" s="285"/>
      <c r="B442" s="285"/>
      <c r="C442" s="285"/>
      <c r="D442" s="285"/>
      <c r="E442" s="285"/>
      <c r="F442" s="285"/>
      <c r="G442" s="486"/>
      <c r="H442" s="310">
        <f>H$638</f>
        <v>36373</v>
      </c>
      <c r="I442" s="527">
        <f>I$638</f>
        <v>36525</v>
      </c>
      <c r="J442" s="528">
        <f t="shared" ref="J442:AF442" si="299">J$638</f>
        <v>36891</v>
      </c>
      <c r="K442" s="528">
        <f t="shared" si="299"/>
        <v>37256</v>
      </c>
      <c r="L442" s="528">
        <f t="shared" si="299"/>
        <v>37621</v>
      </c>
      <c r="M442" s="528">
        <f t="shared" si="299"/>
        <v>37986</v>
      </c>
      <c r="N442" s="528">
        <f t="shared" si="299"/>
        <v>38352</v>
      </c>
      <c r="O442" s="528">
        <f t="shared" si="299"/>
        <v>38717</v>
      </c>
      <c r="P442" s="528">
        <f t="shared" si="299"/>
        <v>39082</v>
      </c>
      <c r="Q442" s="528">
        <f t="shared" si="299"/>
        <v>39447</v>
      </c>
      <c r="R442" s="528">
        <f t="shared" si="299"/>
        <v>39813</v>
      </c>
      <c r="S442" s="528">
        <f t="shared" si="299"/>
        <v>40178</v>
      </c>
      <c r="T442" s="528">
        <f t="shared" si="299"/>
        <v>40543</v>
      </c>
      <c r="U442" s="528">
        <f t="shared" si="299"/>
        <v>40908</v>
      </c>
      <c r="V442" s="528">
        <f t="shared" si="299"/>
        <v>41274</v>
      </c>
      <c r="W442" s="528">
        <f t="shared" si="299"/>
        <v>41639</v>
      </c>
      <c r="X442" s="528">
        <f t="shared" si="299"/>
        <v>42004</v>
      </c>
      <c r="Y442" s="528">
        <f t="shared" si="299"/>
        <v>42369</v>
      </c>
      <c r="Z442" s="528">
        <f t="shared" si="299"/>
        <v>42735</v>
      </c>
      <c r="AA442" s="528">
        <f t="shared" si="299"/>
        <v>43100</v>
      </c>
      <c r="AB442" s="528">
        <f t="shared" si="299"/>
        <v>43465</v>
      </c>
      <c r="AC442" s="528">
        <f t="shared" si="299"/>
        <v>43830</v>
      </c>
      <c r="AD442" s="528">
        <f t="shared" si="299"/>
        <v>44196</v>
      </c>
      <c r="AE442" s="528">
        <f t="shared" si="299"/>
        <v>44561</v>
      </c>
      <c r="AF442" s="528">
        <f t="shared" si="299"/>
        <v>44926</v>
      </c>
    </row>
    <row r="443" spans="1:57" ht="10.8" thickTop="1">
      <c r="A443" s="385" t="s">
        <v>1117</v>
      </c>
      <c r="B443" s="285"/>
      <c r="C443" s="285"/>
      <c r="D443" s="481"/>
      <c r="E443" s="285"/>
      <c r="F443" s="285"/>
      <c r="G443" s="285"/>
      <c r="H443" s="280"/>
      <c r="I443" s="280"/>
      <c r="J443" s="280"/>
      <c r="K443" s="280"/>
      <c r="L443" s="280"/>
      <c r="M443" s="280"/>
      <c r="N443" s="280"/>
      <c r="O443" s="280"/>
      <c r="P443" s="280"/>
      <c r="Q443" s="280"/>
      <c r="R443" s="280"/>
      <c r="S443" s="280"/>
      <c r="T443" s="280"/>
      <c r="U443" s="280"/>
      <c r="V443" s="280"/>
      <c r="W443" s="280"/>
      <c r="X443" s="280"/>
      <c r="Y443" s="280"/>
      <c r="Z443" s="280"/>
      <c r="AA443" s="280"/>
      <c r="AB443" s="280"/>
      <c r="AC443" s="280"/>
      <c r="AD443" s="280"/>
      <c r="AE443" s="280"/>
      <c r="AF443" s="280"/>
    </row>
    <row r="444" spans="1:57" ht="13.2">
      <c r="A444" s="491" t="s">
        <v>1118</v>
      </c>
      <c r="B444" s="285"/>
      <c r="C444" s="484" t="s">
        <v>1119</v>
      </c>
      <c r="D444" s="285"/>
      <c r="E444" s="285"/>
      <c r="F444"/>
      <c r="G444" s="486"/>
      <c r="H444" s="501">
        <v>0</v>
      </c>
      <c r="I444" s="486">
        <f t="shared" ref="I444:AF444" si="300">H447</f>
        <v>0</v>
      </c>
      <c r="J444" s="486">
        <f t="shared" ca="1" si="300"/>
        <v>0</v>
      </c>
      <c r="K444" s="486">
        <f t="shared" ca="1" si="300"/>
        <v>910.0780318583129</v>
      </c>
      <c r="L444" s="486">
        <f t="shared" ca="1" si="300"/>
        <v>910.0780318583129</v>
      </c>
      <c r="M444" s="486">
        <f t="shared" ca="1" si="300"/>
        <v>910.0780318583129</v>
      </c>
      <c r="N444" s="486">
        <f t="shared" ca="1" si="300"/>
        <v>910.0780318583129</v>
      </c>
      <c r="O444" s="486">
        <f t="shared" ca="1" si="300"/>
        <v>910.0780318583129</v>
      </c>
      <c r="P444" s="486">
        <f t="shared" ca="1" si="300"/>
        <v>910.0780318583129</v>
      </c>
      <c r="Q444" s="486">
        <f t="shared" ca="1" si="300"/>
        <v>910.0780318583129</v>
      </c>
      <c r="R444" s="486">
        <f t="shared" ca="1" si="300"/>
        <v>910.0780318583129</v>
      </c>
      <c r="S444" s="486">
        <f t="shared" ca="1" si="300"/>
        <v>910.0780318583129</v>
      </c>
      <c r="T444" s="486">
        <f t="shared" ca="1" si="300"/>
        <v>910.0780318583129</v>
      </c>
      <c r="U444" s="486">
        <f t="shared" ca="1" si="300"/>
        <v>910.0780318583129</v>
      </c>
      <c r="V444" s="486">
        <f t="shared" ca="1" si="300"/>
        <v>910.0780318583129</v>
      </c>
      <c r="W444" s="486">
        <f t="shared" ca="1" si="300"/>
        <v>910.0780318583129</v>
      </c>
      <c r="X444" s="486">
        <f t="shared" ca="1" si="300"/>
        <v>910.0780318583129</v>
      </c>
      <c r="Y444" s="486">
        <f t="shared" ca="1" si="300"/>
        <v>910.0780318583129</v>
      </c>
      <c r="Z444" s="486">
        <f t="shared" ca="1" si="300"/>
        <v>910.0780318583129</v>
      </c>
      <c r="AA444" s="486">
        <f t="shared" ca="1" si="300"/>
        <v>910.0780318583129</v>
      </c>
      <c r="AB444" s="486">
        <f t="shared" ca="1" si="300"/>
        <v>910.07803185836019</v>
      </c>
      <c r="AC444" s="486">
        <f t="shared" ca="1" si="300"/>
        <v>910.0780318583129</v>
      </c>
      <c r="AD444" s="486">
        <f t="shared" ca="1" si="300"/>
        <v>910.07803185842204</v>
      </c>
      <c r="AE444" s="486">
        <f t="shared" ca="1" si="300"/>
        <v>910.0780318583129</v>
      </c>
      <c r="AF444" s="486">
        <f t="shared" ca="1" si="300"/>
        <v>910.07803185854209</v>
      </c>
      <c r="AG444" s="280"/>
      <c r="AH444" s="280"/>
      <c r="AI444" s="280"/>
      <c r="AJ444" s="280"/>
      <c r="AK444" s="280"/>
      <c r="AL444" s="280"/>
      <c r="AM444" s="280"/>
      <c r="AN444" s="280"/>
      <c r="AO444" s="280"/>
      <c r="AP444" s="280"/>
      <c r="AQ444" s="280"/>
      <c r="AR444" s="280"/>
      <c r="AS444" s="280"/>
      <c r="AT444" s="280"/>
      <c r="AU444" s="280"/>
      <c r="AV444" s="280"/>
      <c r="AW444" s="280"/>
      <c r="AX444" s="280"/>
      <c r="AY444" s="280"/>
      <c r="AZ444" s="280"/>
      <c r="BA444" s="280"/>
      <c r="BB444" s="280"/>
      <c r="BC444" s="280"/>
      <c r="BD444" s="280"/>
      <c r="BE444" s="280"/>
    </row>
    <row r="445" spans="1:57" ht="13.2">
      <c r="A445" s="285"/>
      <c r="B445" s="285"/>
      <c r="C445" s="484" t="s">
        <v>1120</v>
      </c>
      <c r="D445" s="285"/>
      <c r="E445" s="285"/>
      <c r="F445"/>
      <c r="G445" s="486"/>
      <c r="H445" s="501">
        <v>0</v>
      </c>
      <c r="I445" s="486">
        <f t="shared" ref="I445:AF445" ca="1" si="301">IF(I378+I384+(I391+I392-I569)&lt;=0,I378+I384+(I391+I392-I569),0)</f>
        <v>0</v>
      </c>
      <c r="J445" s="486">
        <f t="shared" ca="1" si="301"/>
        <v>-910.0780318583129</v>
      </c>
      <c r="K445" s="486">
        <f t="shared" ca="1" si="301"/>
        <v>0</v>
      </c>
      <c r="L445" s="486">
        <f t="shared" ca="1" si="301"/>
        <v>0</v>
      </c>
      <c r="M445" s="486">
        <f t="shared" ca="1" si="301"/>
        <v>0</v>
      </c>
      <c r="N445" s="486">
        <f t="shared" ca="1" si="301"/>
        <v>0</v>
      </c>
      <c r="O445" s="486">
        <f t="shared" ca="1" si="301"/>
        <v>0</v>
      </c>
      <c r="P445" s="486">
        <f t="shared" ca="1" si="301"/>
        <v>0</v>
      </c>
      <c r="Q445" s="486">
        <f t="shared" ca="1" si="301"/>
        <v>0</v>
      </c>
      <c r="R445" s="486">
        <f t="shared" ca="1" si="301"/>
        <v>0</v>
      </c>
      <c r="S445" s="486">
        <f t="shared" ca="1" si="301"/>
        <v>0</v>
      </c>
      <c r="T445" s="486">
        <f t="shared" ca="1" si="301"/>
        <v>0</v>
      </c>
      <c r="U445" s="486">
        <f t="shared" ca="1" si="301"/>
        <v>0</v>
      </c>
      <c r="V445" s="486">
        <f t="shared" ca="1" si="301"/>
        <v>0</v>
      </c>
      <c r="W445" s="486">
        <f t="shared" ca="1" si="301"/>
        <v>0</v>
      </c>
      <c r="X445" s="486">
        <f t="shared" ca="1" si="301"/>
        <v>0</v>
      </c>
      <c r="Y445" s="486">
        <f t="shared" ca="1" si="301"/>
        <v>0</v>
      </c>
      <c r="Z445" s="486">
        <f t="shared" ca="1" si="301"/>
        <v>-1.6370904631912708E-11</v>
      </c>
      <c r="AA445" s="486">
        <f t="shared" ca="1" si="301"/>
        <v>0</v>
      </c>
      <c r="AB445" s="486">
        <f t="shared" ca="1" si="301"/>
        <v>-4.5474735088646412E-11</v>
      </c>
      <c r="AC445" s="486">
        <f t="shared" ca="1" si="301"/>
        <v>0</v>
      </c>
      <c r="AD445" s="486">
        <f t="shared" ca="1" si="301"/>
        <v>-3.092281986027956E-11</v>
      </c>
      <c r="AE445" s="486">
        <f t="shared" ca="1" si="301"/>
        <v>0</v>
      </c>
      <c r="AF445" s="486">
        <f t="shared" ca="1" si="301"/>
        <v>-4.5474735088646412E-11</v>
      </c>
      <c r="AG445" s="280"/>
      <c r="AH445" s="280"/>
      <c r="AI445" s="280"/>
      <c r="AJ445" s="280"/>
      <c r="AK445" s="280"/>
      <c r="AL445" s="280"/>
      <c r="AM445" s="280"/>
      <c r="AN445" s="280"/>
      <c r="AO445" s="280"/>
      <c r="AP445" s="280"/>
      <c r="AQ445" s="280"/>
      <c r="AR445" s="280"/>
      <c r="AS445" s="280"/>
      <c r="AT445" s="280"/>
      <c r="AU445" s="280"/>
      <c r="AV445" s="280"/>
      <c r="AW445" s="280"/>
      <c r="AX445" s="280"/>
      <c r="AY445" s="280"/>
      <c r="AZ445" s="280"/>
      <c r="BA445" s="280"/>
      <c r="BB445" s="280"/>
      <c r="BC445" s="280"/>
      <c r="BD445" s="280"/>
      <c r="BE445" s="280"/>
    </row>
    <row r="446" spans="1:57" ht="13.2">
      <c r="A446" s="285"/>
      <c r="B446" s="285"/>
      <c r="C446" s="484" t="s">
        <v>1121</v>
      </c>
      <c r="D446" s="285"/>
      <c r="E446" s="285"/>
      <c r="F446"/>
      <c r="G446" s="486"/>
      <c r="H446" s="501">
        <v>0</v>
      </c>
      <c r="I446" s="486">
        <f t="shared" ref="I446:AF446" ca="1" si="302">IF(I378+I384&gt;0,MIN(I378+I384,I444),0)</f>
        <v>0</v>
      </c>
      <c r="J446" s="486">
        <f t="shared" ca="1" si="302"/>
        <v>0</v>
      </c>
      <c r="K446" s="486">
        <f t="shared" ca="1" si="302"/>
        <v>0</v>
      </c>
      <c r="L446" s="486">
        <f t="shared" ca="1" si="302"/>
        <v>0</v>
      </c>
      <c r="M446" s="486">
        <f t="shared" ca="1" si="302"/>
        <v>0</v>
      </c>
      <c r="N446" s="486">
        <f t="shared" ca="1" si="302"/>
        <v>0</v>
      </c>
      <c r="O446" s="486">
        <f t="shared" ca="1" si="302"/>
        <v>0</v>
      </c>
      <c r="P446" s="486">
        <f t="shared" ca="1" si="302"/>
        <v>0</v>
      </c>
      <c r="Q446" s="486">
        <f t="shared" ca="1" si="302"/>
        <v>0</v>
      </c>
      <c r="R446" s="486">
        <f t="shared" ca="1" si="302"/>
        <v>0</v>
      </c>
      <c r="S446" s="486">
        <f t="shared" ca="1" si="302"/>
        <v>0</v>
      </c>
      <c r="T446" s="486">
        <f t="shared" ca="1" si="302"/>
        <v>0</v>
      </c>
      <c r="U446" s="486">
        <f t="shared" ca="1" si="302"/>
        <v>0</v>
      </c>
      <c r="V446" s="486">
        <f t="shared" ca="1" si="302"/>
        <v>0</v>
      </c>
      <c r="W446" s="486">
        <f t="shared" ca="1" si="302"/>
        <v>0</v>
      </c>
      <c r="X446" s="486">
        <f t="shared" ca="1" si="302"/>
        <v>0</v>
      </c>
      <c r="Y446" s="486">
        <f t="shared" ca="1" si="302"/>
        <v>0</v>
      </c>
      <c r="Z446" s="486">
        <f t="shared" ca="1" si="302"/>
        <v>0</v>
      </c>
      <c r="AA446" s="486">
        <f t="shared" ca="1" si="302"/>
        <v>0</v>
      </c>
      <c r="AB446" s="486">
        <f t="shared" ca="1" si="302"/>
        <v>0</v>
      </c>
      <c r="AC446" s="486">
        <f t="shared" ca="1" si="302"/>
        <v>0</v>
      </c>
      <c r="AD446" s="486">
        <f t="shared" ca="1" si="302"/>
        <v>0</v>
      </c>
      <c r="AE446" s="486">
        <f t="shared" ca="1" si="302"/>
        <v>0</v>
      </c>
      <c r="AF446" s="486">
        <f t="shared" ca="1" si="302"/>
        <v>0</v>
      </c>
      <c r="AG446" s="280"/>
      <c r="AH446" s="280"/>
      <c r="AI446" s="280"/>
      <c r="AJ446" s="280"/>
      <c r="AK446" s="280"/>
      <c r="AL446" s="280"/>
      <c r="AM446" s="280"/>
      <c r="AN446" s="280"/>
      <c r="AO446" s="280"/>
      <c r="AP446" s="280"/>
      <c r="AQ446" s="280"/>
      <c r="AR446" s="280"/>
      <c r="AS446" s="280"/>
      <c r="AT446" s="280"/>
      <c r="AU446" s="280"/>
      <c r="AV446" s="280"/>
      <c r="AW446" s="280"/>
      <c r="AX446" s="280"/>
      <c r="AY446" s="280"/>
      <c r="AZ446" s="280"/>
      <c r="BA446" s="280"/>
      <c r="BB446" s="280"/>
      <c r="BC446" s="280"/>
      <c r="BD446" s="280"/>
      <c r="BE446" s="280"/>
    </row>
    <row r="447" spans="1:57" ht="13.2">
      <c r="A447" s="285"/>
      <c r="B447" s="285"/>
      <c r="C447" s="484" t="s">
        <v>1122</v>
      </c>
      <c r="D447" s="285"/>
      <c r="E447" s="285"/>
      <c r="F447"/>
      <c r="G447" s="486"/>
      <c r="H447" s="507">
        <f t="shared" ref="H447:AF447" si="303">H444-H445-H446</f>
        <v>0</v>
      </c>
      <c r="I447" s="495">
        <f t="shared" ca="1" si="303"/>
        <v>0</v>
      </c>
      <c r="J447" s="495">
        <f t="shared" ca="1" si="303"/>
        <v>910.0780318583129</v>
      </c>
      <c r="K447" s="495">
        <f t="shared" ca="1" si="303"/>
        <v>910.0780318583129</v>
      </c>
      <c r="L447" s="495">
        <f t="shared" ca="1" si="303"/>
        <v>910.0780318583129</v>
      </c>
      <c r="M447" s="495">
        <f t="shared" ca="1" si="303"/>
        <v>910.0780318583129</v>
      </c>
      <c r="N447" s="495">
        <f t="shared" ca="1" si="303"/>
        <v>910.0780318583129</v>
      </c>
      <c r="O447" s="495">
        <f t="shared" ca="1" si="303"/>
        <v>910.0780318583129</v>
      </c>
      <c r="P447" s="495">
        <f t="shared" ca="1" si="303"/>
        <v>910.0780318583129</v>
      </c>
      <c r="Q447" s="495">
        <f t="shared" ca="1" si="303"/>
        <v>910.0780318583129</v>
      </c>
      <c r="R447" s="495">
        <f t="shared" ca="1" si="303"/>
        <v>910.0780318583129</v>
      </c>
      <c r="S447" s="495">
        <f t="shared" ca="1" si="303"/>
        <v>910.0780318583129</v>
      </c>
      <c r="T447" s="495">
        <f t="shared" ca="1" si="303"/>
        <v>910.0780318583129</v>
      </c>
      <c r="U447" s="495">
        <f t="shared" ca="1" si="303"/>
        <v>910.0780318583129</v>
      </c>
      <c r="V447" s="495">
        <f t="shared" ca="1" si="303"/>
        <v>910.0780318583129</v>
      </c>
      <c r="W447" s="495">
        <f t="shared" ca="1" si="303"/>
        <v>910.0780318583129</v>
      </c>
      <c r="X447" s="495">
        <f t="shared" ca="1" si="303"/>
        <v>910.0780318583129</v>
      </c>
      <c r="Y447" s="495">
        <f t="shared" ca="1" si="303"/>
        <v>910.0780318583129</v>
      </c>
      <c r="Z447" s="495">
        <f t="shared" ca="1" si="303"/>
        <v>910.07803185832927</v>
      </c>
      <c r="AA447" s="495">
        <f t="shared" ca="1" si="303"/>
        <v>910.0780318583129</v>
      </c>
      <c r="AB447" s="495">
        <f t="shared" ca="1" si="303"/>
        <v>910.07803185840567</v>
      </c>
      <c r="AC447" s="495">
        <f t="shared" ca="1" si="303"/>
        <v>910.0780318583129</v>
      </c>
      <c r="AD447" s="495">
        <f t="shared" ca="1" si="303"/>
        <v>910.07803185845296</v>
      </c>
      <c r="AE447" s="495">
        <f t="shared" ca="1" si="303"/>
        <v>910.0780318583129</v>
      </c>
      <c r="AF447" s="495">
        <f t="shared" ca="1" si="303"/>
        <v>910.07803185858756</v>
      </c>
      <c r="AG447" s="280"/>
      <c r="AH447" s="280"/>
      <c r="AI447" s="280"/>
      <c r="AJ447" s="280"/>
      <c r="AK447" s="280"/>
      <c r="AL447" s="280"/>
      <c r="AM447" s="280"/>
      <c r="AN447" s="280"/>
      <c r="AO447" s="280"/>
      <c r="AP447" s="280"/>
      <c r="AQ447" s="280"/>
      <c r="AR447" s="280"/>
      <c r="AS447" s="280"/>
      <c r="AT447" s="280"/>
      <c r="AU447" s="280"/>
      <c r="AV447" s="280"/>
      <c r="AW447" s="280"/>
      <c r="AX447" s="280"/>
      <c r="AY447" s="280"/>
      <c r="AZ447" s="280"/>
      <c r="BA447" s="280"/>
      <c r="BB447" s="280"/>
      <c r="BC447" s="280"/>
      <c r="BD447" s="280"/>
      <c r="BE447" s="280"/>
    </row>
    <row r="448" spans="1:57" ht="13.2">
      <c r="A448" s="285"/>
      <c r="B448" s="285"/>
      <c r="C448" s="484" t="s">
        <v>1123</v>
      </c>
      <c r="D448" s="285"/>
      <c r="E448" s="285"/>
      <c r="F448"/>
      <c r="G448" s="285"/>
      <c r="H448" s="502"/>
      <c r="I448" s="505">
        <f t="shared" ref="I448:AF448" si="304">I626</f>
        <v>0.1</v>
      </c>
      <c r="J448" s="505">
        <f t="shared" si="304"/>
        <v>0.1</v>
      </c>
      <c r="K448" s="505">
        <f t="shared" si="304"/>
        <v>0.1</v>
      </c>
      <c r="L448" s="505">
        <f t="shared" si="304"/>
        <v>0.1</v>
      </c>
      <c r="M448" s="505">
        <f t="shared" si="304"/>
        <v>0.1</v>
      </c>
      <c r="N448" s="505">
        <f t="shared" si="304"/>
        <v>0.1</v>
      </c>
      <c r="O448" s="505">
        <f t="shared" si="304"/>
        <v>0.1</v>
      </c>
      <c r="P448" s="505">
        <f t="shared" si="304"/>
        <v>0.1</v>
      </c>
      <c r="Q448" s="505">
        <f t="shared" si="304"/>
        <v>0.1</v>
      </c>
      <c r="R448" s="505">
        <f t="shared" si="304"/>
        <v>0.1</v>
      </c>
      <c r="S448" s="505">
        <f t="shared" si="304"/>
        <v>0.1</v>
      </c>
      <c r="T448" s="505">
        <f t="shared" si="304"/>
        <v>0.1</v>
      </c>
      <c r="U448" s="505">
        <f t="shared" si="304"/>
        <v>0.1</v>
      </c>
      <c r="V448" s="505">
        <f t="shared" si="304"/>
        <v>0.1</v>
      </c>
      <c r="W448" s="505">
        <f t="shared" si="304"/>
        <v>0.1</v>
      </c>
      <c r="X448" s="505">
        <f t="shared" si="304"/>
        <v>0.1</v>
      </c>
      <c r="Y448" s="505">
        <f t="shared" si="304"/>
        <v>0.1</v>
      </c>
      <c r="Z448" s="505">
        <f t="shared" si="304"/>
        <v>0.1</v>
      </c>
      <c r="AA448" s="505">
        <f t="shared" si="304"/>
        <v>0.1</v>
      </c>
      <c r="AB448" s="505">
        <f t="shared" si="304"/>
        <v>0.1</v>
      </c>
      <c r="AC448" s="505">
        <f t="shared" si="304"/>
        <v>0.1</v>
      </c>
      <c r="AD448" s="505">
        <f t="shared" si="304"/>
        <v>0.1</v>
      </c>
      <c r="AE448" s="505">
        <f t="shared" si="304"/>
        <v>0.1</v>
      </c>
      <c r="AF448" s="505">
        <f t="shared" si="304"/>
        <v>0.1</v>
      </c>
    </row>
    <row r="449" spans="1:32" ht="13.2">
      <c r="A449" s="515"/>
      <c r="B449" s="515"/>
      <c r="C449" s="515"/>
      <c r="D449" s="515"/>
      <c r="E449" s="285"/>
      <c r="F449"/>
      <c r="G449" s="529"/>
      <c r="H449" s="502"/>
      <c r="I449" s="285"/>
      <c r="J449" s="285"/>
      <c r="K449" s="285"/>
      <c r="L449" s="285"/>
      <c r="M449" s="285"/>
      <c r="N449" s="285"/>
      <c r="O449" s="285"/>
      <c r="P449" s="285"/>
      <c r="Q449" s="285"/>
      <c r="R449" s="285"/>
      <c r="S449" s="285"/>
      <c r="T449" s="285"/>
      <c r="U449" s="285"/>
      <c r="V449" s="285"/>
      <c r="W449" s="285"/>
      <c r="X449" s="285"/>
      <c r="Y449" s="285"/>
      <c r="Z449" s="285"/>
      <c r="AA449" s="285"/>
      <c r="AB449" s="285"/>
      <c r="AC449" s="285"/>
      <c r="AD449" s="285"/>
      <c r="AE449" s="285"/>
      <c r="AF449" s="285"/>
    </row>
    <row r="450" spans="1:32">
      <c r="A450" s="285"/>
      <c r="B450" s="285"/>
      <c r="C450" s="484"/>
      <c r="D450" s="285"/>
      <c r="E450" s="285"/>
      <c r="F450" s="285"/>
      <c r="G450" s="285"/>
      <c r="H450" s="915"/>
      <c r="I450" s="916"/>
      <c r="J450" s="917"/>
      <c r="K450" s="916"/>
      <c r="L450" s="916"/>
      <c r="M450" s="916"/>
      <c r="N450" s="916"/>
      <c r="O450" s="916"/>
      <c r="P450" s="916"/>
      <c r="Q450" s="916"/>
      <c r="R450" s="916"/>
      <c r="S450" s="916"/>
      <c r="T450" s="916"/>
      <c r="U450" s="916"/>
      <c r="V450" s="916"/>
      <c r="W450" s="916"/>
      <c r="X450" s="916"/>
      <c r="Y450" s="505"/>
      <c r="Z450" s="505"/>
      <c r="AA450" s="505"/>
      <c r="AB450" s="505"/>
      <c r="AC450" s="505"/>
      <c r="AD450" s="505"/>
      <c r="AE450" s="505"/>
      <c r="AF450" s="505"/>
    </row>
    <row r="451" spans="1:32">
      <c r="A451" s="519" t="str">
        <f>B481&amp;":"</f>
        <v>Purchase Term Loan:</v>
      </c>
      <c r="B451" s="285"/>
      <c r="C451" s="484" t="s">
        <v>1119</v>
      </c>
      <c r="D451" s="285"/>
      <c r="E451" s="285"/>
      <c r="F451" s="285"/>
      <c r="G451" s="486"/>
      <c r="H451" s="501">
        <v>0</v>
      </c>
      <c r="I451" s="486">
        <f t="shared" ref="I451:Z451" ca="1" si="305">H455</f>
        <v>56499.999999999993</v>
      </c>
      <c r="J451" s="486">
        <f t="shared" ca="1" si="305"/>
        <v>56108.999998999992</v>
      </c>
      <c r="K451" s="486">
        <f t="shared" ca="1" si="305"/>
        <v>54507.000015999991</v>
      </c>
      <c r="L451" s="486">
        <f t="shared" ca="1" si="305"/>
        <v>52358.999965999988</v>
      </c>
      <c r="M451" s="486">
        <f t="shared" ca="1" si="305"/>
        <v>49858.000063499989</v>
      </c>
      <c r="N451" s="486">
        <f t="shared" ca="1" si="305"/>
        <v>47756.000053499985</v>
      </c>
      <c r="O451" s="486">
        <f t="shared" ca="1" si="305"/>
        <v>44583.000055499986</v>
      </c>
      <c r="P451" s="486">
        <f t="shared" ca="1" si="305"/>
        <v>41324.000051499985</v>
      </c>
      <c r="Q451" s="486">
        <f t="shared" ca="1" si="305"/>
        <v>39181.000025499983</v>
      </c>
      <c r="R451" s="486">
        <f t="shared" ca="1" si="305"/>
        <v>36346.000033999982</v>
      </c>
      <c r="S451" s="486">
        <f t="shared" ca="1" si="305"/>
        <v>32103.000041499981</v>
      </c>
      <c r="T451" s="486">
        <f t="shared" ca="1" si="305"/>
        <v>27762.000064499982</v>
      </c>
      <c r="U451" s="486">
        <f t="shared" ca="1" si="305"/>
        <v>24362.000129499982</v>
      </c>
      <c r="V451" s="486">
        <f t="shared" ca="1" si="305"/>
        <v>21222.000086499982</v>
      </c>
      <c r="W451" s="486">
        <f t="shared" ca="1" si="305"/>
        <v>16983.00012449998</v>
      </c>
      <c r="X451" s="486">
        <f t="shared" ca="1" si="305"/>
        <v>12697.000072499979</v>
      </c>
      <c r="Y451" s="486">
        <f t="shared" ca="1" si="305"/>
        <v>8938.0000979999786</v>
      </c>
      <c r="Z451" s="486">
        <f t="shared" ca="1" si="305"/>
        <v>4417.000104499979</v>
      </c>
      <c r="AA451" s="486">
        <f t="shared" ref="AA451:AF451" ca="1" si="306">Z455</f>
        <v>0</v>
      </c>
      <c r="AB451" s="486">
        <f t="shared" ca="1" si="306"/>
        <v>-1.6370904631912708E-11</v>
      </c>
      <c r="AC451" s="486">
        <f t="shared" ca="1" si="306"/>
        <v>3.2741809263825417E-11</v>
      </c>
      <c r="AD451" s="486">
        <f t="shared" ca="1" si="306"/>
        <v>-1.6370904631912708E-11</v>
      </c>
      <c r="AE451" s="486">
        <f t="shared" ca="1" si="306"/>
        <v>6.5483618527650833E-11</v>
      </c>
      <c r="AF451" s="486">
        <f t="shared" ca="1" si="306"/>
        <v>-1.6370904631912708E-11</v>
      </c>
    </row>
    <row r="452" spans="1:32">
      <c r="A452" s="285"/>
      <c r="B452" s="285"/>
      <c r="C452" s="484" t="s">
        <v>1120</v>
      </c>
      <c r="D452" s="514"/>
      <c r="E452" s="514"/>
      <c r="F452" s="514"/>
      <c r="G452" s="486"/>
      <c r="H452" s="501">
        <f ca="1">-H481+H608-K536</f>
        <v>-56499.999999999993</v>
      </c>
      <c r="I452" s="486">
        <f t="shared" ref="I452:Z452" si="307">I608+I604</f>
        <v>0</v>
      </c>
      <c r="J452" s="486">
        <f t="shared" si="307"/>
        <v>0</v>
      </c>
      <c r="K452" s="486">
        <f t="shared" si="307"/>
        <v>0</v>
      </c>
      <c r="L452" s="486">
        <f t="shared" si="307"/>
        <v>0</v>
      </c>
      <c r="M452" s="486">
        <f t="shared" si="307"/>
        <v>0</v>
      </c>
      <c r="N452" s="486">
        <f t="shared" si="307"/>
        <v>0</v>
      </c>
      <c r="O452" s="486">
        <f t="shared" si="307"/>
        <v>0</v>
      </c>
      <c r="P452" s="486">
        <f t="shared" si="307"/>
        <v>0</v>
      </c>
      <c r="Q452" s="486">
        <f t="shared" si="307"/>
        <v>0</v>
      </c>
      <c r="R452" s="486">
        <f t="shared" si="307"/>
        <v>0</v>
      </c>
      <c r="S452" s="486">
        <f t="shared" si="307"/>
        <v>0</v>
      </c>
      <c r="T452" s="486">
        <f t="shared" si="307"/>
        <v>0</v>
      </c>
      <c r="U452" s="486">
        <f t="shared" si="307"/>
        <v>0</v>
      </c>
      <c r="V452" s="486">
        <f t="shared" si="307"/>
        <v>0</v>
      </c>
      <c r="W452" s="486">
        <f t="shared" si="307"/>
        <v>0</v>
      </c>
      <c r="X452" s="486">
        <f t="shared" si="307"/>
        <v>0</v>
      </c>
      <c r="Y452" s="486">
        <f t="shared" si="307"/>
        <v>0</v>
      </c>
      <c r="Z452" s="486">
        <f t="shared" si="307"/>
        <v>0</v>
      </c>
      <c r="AA452" s="486">
        <f t="shared" ref="AA452:AF452" si="308">AA608+AA604</f>
        <v>0</v>
      </c>
      <c r="AB452" s="486">
        <f t="shared" si="308"/>
        <v>0</v>
      </c>
      <c r="AC452" s="486">
        <f t="shared" si="308"/>
        <v>0</v>
      </c>
      <c r="AD452" s="486">
        <f t="shared" si="308"/>
        <v>0</v>
      </c>
      <c r="AE452" s="486">
        <f t="shared" si="308"/>
        <v>0</v>
      </c>
      <c r="AF452" s="486">
        <f t="shared" si="308"/>
        <v>0</v>
      </c>
    </row>
    <row r="453" spans="1:32">
      <c r="A453" s="285"/>
      <c r="B453" s="285"/>
      <c r="C453" s="484" t="s">
        <v>1121</v>
      </c>
      <c r="D453" s="285"/>
      <c r="E453" s="285"/>
      <c r="F453" s="285"/>
      <c r="G453" s="486"/>
      <c r="H453" s="501">
        <f t="shared" ref="H453:Z453" si="309">H603</f>
        <v>0</v>
      </c>
      <c r="I453" s="486">
        <f t="shared" si="309"/>
        <v>391.000001</v>
      </c>
      <c r="J453" s="486">
        <f t="shared" si="309"/>
        <v>1601.9999830000002</v>
      </c>
      <c r="K453" s="486">
        <f t="shared" si="309"/>
        <v>2148.0000500000001</v>
      </c>
      <c r="L453" s="486">
        <f t="shared" si="309"/>
        <v>2500.9999025000002</v>
      </c>
      <c r="M453" s="486">
        <f t="shared" si="309"/>
        <v>2102.0000100000002</v>
      </c>
      <c r="N453" s="486">
        <f t="shared" si="309"/>
        <v>3172.9999980000002</v>
      </c>
      <c r="O453" s="486">
        <f t="shared" si="309"/>
        <v>3259.000004</v>
      </c>
      <c r="P453" s="486">
        <f t="shared" si="309"/>
        <v>2143.0000259999997</v>
      </c>
      <c r="Q453" s="486">
        <f t="shared" si="309"/>
        <v>2834.9999914999999</v>
      </c>
      <c r="R453" s="486">
        <f t="shared" si="309"/>
        <v>4242.9999925000011</v>
      </c>
      <c r="S453" s="486">
        <f t="shared" si="309"/>
        <v>4340.9999770000004</v>
      </c>
      <c r="T453" s="486">
        <f t="shared" si="309"/>
        <v>3399.9999349999998</v>
      </c>
      <c r="U453" s="486">
        <f t="shared" si="309"/>
        <v>3140.000043</v>
      </c>
      <c r="V453" s="486">
        <f t="shared" si="309"/>
        <v>4238.9999619999999</v>
      </c>
      <c r="W453" s="486">
        <f t="shared" si="309"/>
        <v>4286.0000520000012</v>
      </c>
      <c r="X453" s="486">
        <f t="shared" si="309"/>
        <v>3758.9999744999996</v>
      </c>
      <c r="Y453" s="486">
        <f t="shared" si="309"/>
        <v>4520.9999934999996</v>
      </c>
      <c r="Z453" s="486">
        <f t="shared" si="309"/>
        <v>4417.0001044999954</v>
      </c>
      <c r="AA453" s="486">
        <f t="shared" ref="AA453:AF453" si="310">AA603</f>
        <v>0</v>
      </c>
      <c r="AB453" s="486">
        <f t="shared" si="310"/>
        <v>0</v>
      </c>
      <c r="AC453" s="486">
        <f t="shared" si="310"/>
        <v>0</v>
      </c>
      <c r="AD453" s="486">
        <f t="shared" si="310"/>
        <v>0</v>
      </c>
      <c r="AE453" s="486">
        <f t="shared" si="310"/>
        <v>0</v>
      </c>
      <c r="AF453" s="486">
        <f t="shared" si="310"/>
        <v>0</v>
      </c>
    </row>
    <row r="454" spans="1:32">
      <c r="A454" s="285"/>
      <c r="B454" s="285"/>
      <c r="C454" s="484" t="s">
        <v>1124</v>
      </c>
      <c r="D454" s="285"/>
      <c r="E454" s="285"/>
      <c r="F454" s="285"/>
      <c r="G454" s="486"/>
      <c r="H454" s="501">
        <f t="shared" ref="H454:Z454" si="311">-H394</f>
        <v>0</v>
      </c>
      <c r="I454" s="492">
        <f t="shared" ca="1" si="311"/>
        <v>0</v>
      </c>
      <c r="J454" s="492">
        <f t="shared" ca="1" si="311"/>
        <v>0</v>
      </c>
      <c r="K454" s="492">
        <f t="shared" ca="1" si="311"/>
        <v>0</v>
      </c>
      <c r="L454" s="492">
        <f t="shared" ca="1" si="311"/>
        <v>0</v>
      </c>
      <c r="M454" s="492">
        <f t="shared" ca="1" si="311"/>
        <v>0</v>
      </c>
      <c r="N454" s="492">
        <f t="shared" ca="1" si="311"/>
        <v>0</v>
      </c>
      <c r="O454" s="492">
        <f t="shared" ca="1" si="311"/>
        <v>0</v>
      </c>
      <c r="P454" s="492">
        <f t="shared" ca="1" si="311"/>
        <v>0</v>
      </c>
      <c r="Q454" s="492">
        <f t="shared" ca="1" si="311"/>
        <v>0</v>
      </c>
      <c r="R454" s="492">
        <f t="shared" ca="1" si="311"/>
        <v>0</v>
      </c>
      <c r="S454" s="492">
        <f t="shared" ca="1" si="311"/>
        <v>0</v>
      </c>
      <c r="T454" s="492">
        <f t="shared" ca="1" si="311"/>
        <v>0</v>
      </c>
      <c r="U454" s="492">
        <f t="shared" ca="1" si="311"/>
        <v>0</v>
      </c>
      <c r="V454" s="492">
        <f t="shared" ca="1" si="311"/>
        <v>0</v>
      </c>
      <c r="W454" s="492">
        <f t="shared" ca="1" si="311"/>
        <v>0</v>
      </c>
      <c r="X454" s="492">
        <f t="shared" ca="1" si="311"/>
        <v>0</v>
      </c>
      <c r="Y454" s="492">
        <f t="shared" ca="1" si="311"/>
        <v>0</v>
      </c>
      <c r="Z454" s="492">
        <f t="shared" ca="1" si="311"/>
        <v>0</v>
      </c>
      <c r="AA454" s="492">
        <f t="shared" ref="AA454:AF454" ca="1" si="312">-AA394</f>
        <v>-1.6370904631912708E-11</v>
      </c>
      <c r="AB454" s="492">
        <f t="shared" ca="1" si="312"/>
        <v>0</v>
      </c>
      <c r="AC454" s="492">
        <f t="shared" ca="1" si="312"/>
        <v>-1.6370904631912708E-11</v>
      </c>
      <c r="AD454" s="492">
        <f t="shared" ca="1" si="312"/>
        <v>0</v>
      </c>
      <c r="AE454" s="492">
        <f t="shared" ca="1" si="312"/>
        <v>-1.6370904631912708E-11</v>
      </c>
      <c r="AF454" s="492">
        <f t="shared" ca="1" si="312"/>
        <v>0</v>
      </c>
    </row>
    <row r="455" spans="1:32">
      <c r="A455" s="285"/>
      <c r="B455" s="285"/>
      <c r="C455" s="484" t="s">
        <v>1122</v>
      </c>
      <c r="D455" s="285"/>
      <c r="E455" s="285"/>
      <c r="F455" s="285"/>
      <c r="G455" s="486"/>
      <c r="H455" s="507">
        <f t="shared" ref="H455:Z455" ca="1" si="313">H451-H453-H452-H454</f>
        <v>56499.999999999993</v>
      </c>
      <c r="I455" s="495">
        <f t="shared" ca="1" si="313"/>
        <v>56108.999998999992</v>
      </c>
      <c r="J455" s="495">
        <f t="shared" ca="1" si="313"/>
        <v>54507.000015999991</v>
      </c>
      <c r="K455" s="495">
        <f t="shared" ca="1" si="313"/>
        <v>52358.999965999988</v>
      </c>
      <c r="L455" s="495">
        <f t="shared" ca="1" si="313"/>
        <v>49858.000063499989</v>
      </c>
      <c r="M455" s="495">
        <f t="shared" ca="1" si="313"/>
        <v>47756.000053499985</v>
      </c>
      <c r="N455" s="495">
        <f t="shared" ca="1" si="313"/>
        <v>44583.000055499986</v>
      </c>
      <c r="O455" s="495">
        <f t="shared" ca="1" si="313"/>
        <v>41324.000051499985</v>
      </c>
      <c r="P455" s="495">
        <f t="shared" ca="1" si="313"/>
        <v>39181.000025499983</v>
      </c>
      <c r="Q455" s="495">
        <f t="shared" ca="1" si="313"/>
        <v>36346.000033999982</v>
      </c>
      <c r="R455" s="495">
        <f t="shared" ca="1" si="313"/>
        <v>32103.000041499981</v>
      </c>
      <c r="S455" s="495">
        <f t="shared" ca="1" si="313"/>
        <v>27762.000064499982</v>
      </c>
      <c r="T455" s="495">
        <f t="shared" ca="1" si="313"/>
        <v>24362.000129499982</v>
      </c>
      <c r="U455" s="495">
        <f t="shared" ca="1" si="313"/>
        <v>21222.000086499982</v>
      </c>
      <c r="V455" s="495">
        <f t="shared" ca="1" si="313"/>
        <v>16983.00012449998</v>
      </c>
      <c r="W455" s="495">
        <f t="shared" ca="1" si="313"/>
        <v>12697.000072499979</v>
      </c>
      <c r="X455" s="495">
        <f t="shared" ca="1" si="313"/>
        <v>8938.0000979999786</v>
      </c>
      <c r="Y455" s="495">
        <f t="shared" ca="1" si="313"/>
        <v>4417.000104499979</v>
      </c>
      <c r="Z455" s="495">
        <f t="shared" ca="1" si="313"/>
        <v>-1.6370904631912708E-11</v>
      </c>
      <c r="AA455" s="495">
        <f t="shared" ref="AA455:AF455" ca="1" si="314">AA451-AA453-AA452-AA454</f>
        <v>1.6370904631912708E-11</v>
      </c>
      <c r="AB455" s="495">
        <f t="shared" ca="1" si="314"/>
        <v>-1.6370904631912708E-11</v>
      </c>
      <c r="AC455" s="495">
        <f t="shared" ca="1" si="314"/>
        <v>4.9112713895738125E-11</v>
      </c>
      <c r="AD455" s="495">
        <f t="shared" ca="1" si="314"/>
        <v>-1.6370904631912708E-11</v>
      </c>
      <c r="AE455" s="495">
        <f t="shared" ca="1" si="314"/>
        <v>8.1854523159563541E-11</v>
      </c>
      <c r="AF455" s="495">
        <f t="shared" ca="1" si="314"/>
        <v>-1.6370904631912708E-11</v>
      </c>
    </row>
    <row r="456" spans="1:32">
      <c r="A456" s="285"/>
      <c r="B456" s="285"/>
      <c r="C456" s="484" t="s">
        <v>1123</v>
      </c>
      <c r="D456" s="285"/>
      <c r="E456" s="285"/>
      <c r="F456" s="285"/>
      <c r="G456" s="285"/>
      <c r="H456" s="502"/>
      <c r="I456" s="505">
        <f t="shared" ref="I456:Z456" si="315">I627</f>
        <v>7.7499999999999999E-2</v>
      </c>
      <c r="J456" s="505">
        <f t="shared" si="315"/>
        <v>7.7499999999999999E-2</v>
      </c>
      <c r="K456" s="505">
        <f t="shared" si="315"/>
        <v>7.7499999999999999E-2</v>
      </c>
      <c r="L456" s="505">
        <f t="shared" si="315"/>
        <v>7.8750000000000001E-2</v>
      </c>
      <c r="M456" s="505">
        <f t="shared" si="315"/>
        <v>7.8750000000000001E-2</v>
      </c>
      <c r="N456" s="505">
        <f t="shared" si="315"/>
        <v>7.8750000000000001E-2</v>
      </c>
      <c r="O456" s="505">
        <f t="shared" si="315"/>
        <v>8.1250000000000003E-2</v>
      </c>
      <c r="P456" s="505">
        <f t="shared" si="315"/>
        <v>8.1250000000000003E-2</v>
      </c>
      <c r="Q456" s="505">
        <f t="shared" si="315"/>
        <v>8.1250000000000003E-2</v>
      </c>
      <c r="R456" s="505">
        <f t="shared" si="315"/>
        <v>8.2500000000000004E-2</v>
      </c>
      <c r="S456" s="505">
        <f t="shared" si="315"/>
        <v>8.2500000000000004E-2</v>
      </c>
      <c r="T456" s="505">
        <f t="shared" si="315"/>
        <v>8.2500000000000004E-2</v>
      </c>
      <c r="U456" s="505">
        <f t="shared" si="315"/>
        <v>8.2500000000000004E-2</v>
      </c>
      <c r="V456" s="505">
        <f t="shared" si="315"/>
        <v>8.3750000000000005E-2</v>
      </c>
      <c r="W456" s="505">
        <f t="shared" si="315"/>
        <v>8.3750000000000005E-2</v>
      </c>
      <c r="X456" s="505">
        <f t="shared" si="315"/>
        <v>8.3750000000000005E-2</v>
      </c>
      <c r="Y456" s="505">
        <f t="shared" si="315"/>
        <v>8.3750000000000005E-2</v>
      </c>
      <c r="Z456" s="505">
        <f t="shared" si="315"/>
        <v>8.3750000000000005E-2</v>
      </c>
      <c r="AA456" s="505">
        <f t="shared" ref="AA456:AF456" si="316">AA627</f>
        <v>8.3750000000000005E-2</v>
      </c>
      <c r="AB456" s="505">
        <f t="shared" si="316"/>
        <v>8.3750000000000005E-2</v>
      </c>
      <c r="AC456" s="505">
        <f t="shared" si="316"/>
        <v>8.3750000000000005E-2</v>
      </c>
      <c r="AD456" s="505">
        <f t="shared" si="316"/>
        <v>8.3750000000000005E-2</v>
      </c>
      <c r="AE456" s="505">
        <f t="shared" si="316"/>
        <v>8.3750000000000005E-2</v>
      </c>
      <c r="AF456" s="505">
        <f t="shared" si="316"/>
        <v>8.3750000000000005E-2</v>
      </c>
    </row>
    <row r="457" spans="1:32">
      <c r="A457" s="285"/>
      <c r="B457" s="285"/>
      <c r="C457" s="285"/>
      <c r="D457" s="285"/>
      <c r="E457" s="285"/>
      <c r="F457" s="285"/>
      <c r="G457" s="285"/>
      <c r="H457" s="502"/>
      <c r="I457" s="285"/>
      <c r="J457" s="285"/>
      <c r="K457" s="285"/>
      <c r="L457" s="285"/>
      <c r="M457" s="285"/>
      <c r="N457" s="285"/>
      <c r="O457" s="285"/>
      <c r="P457" s="285"/>
      <c r="Q457" s="285"/>
      <c r="R457" s="285"/>
      <c r="S457" s="285"/>
      <c r="T457" s="285"/>
      <c r="U457" s="285"/>
      <c r="V457" s="285"/>
      <c r="W457" s="285"/>
      <c r="X457" s="285"/>
      <c r="Y457" s="285"/>
      <c r="Z457" s="285"/>
      <c r="AA457" s="285"/>
      <c r="AB457" s="285"/>
      <c r="AC457" s="285"/>
      <c r="AD457" s="285"/>
      <c r="AE457" s="285"/>
      <c r="AF457" s="285"/>
    </row>
    <row r="458" spans="1:32">
      <c r="A458" s="519" t="str">
        <f>B482&amp;":"</f>
        <v>Other Term Loan:</v>
      </c>
      <c r="B458" s="285"/>
      <c r="C458" s="484" t="s">
        <v>1119</v>
      </c>
      <c r="D458" s="285"/>
      <c r="E458" s="285"/>
      <c r="F458" s="285"/>
      <c r="G458" s="486"/>
      <c r="H458" s="501">
        <v>0</v>
      </c>
      <c r="I458" s="486">
        <f t="shared" ref="I458:Z458" si="317">H461</f>
        <v>0</v>
      </c>
      <c r="J458" s="486">
        <f t="shared" si="317"/>
        <v>0</v>
      </c>
      <c r="K458" s="486">
        <f t="shared" si="317"/>
        <v>0</v>
      </c>
      <c r="L458" s="486">
        <f t="shared" si="317"/>
        <v>0</v>
      </c>
      <c r="M458" s="486">
        <f t="shared" si="317"/>
        <v>0</v>
      </c>
      <c r="N458" s="486">
        <f t="shared" si="317"/>
        <v>0</v>
      </c>
      <c r="O458" s="486">
        <f t="shared" si="317"/>
        <v>0</v>
      </c>
      <c r="P458" s="486">
        <f t="shared" si="317"/>
        <v>0</v>
      </c>
      <c r="Q458" s="486">
        <f t="shared" si="317"/>
        <v>0</v>
      </c>
      <c r="R458" s="486">
        <f t="shared" si="317"/>
        <v>0</v>
      </c>
      <c r="S458" s="486">
        <f t="shared" si="317"/>
        <v>0</v>
      </c>
      <c r="T458" s="486">
        <f t="shared" si="317"/>
        <v>0</v>
      </c>
      <c r="U458" s="486">
        <f t="shared" si="317"/>
        <v>0</v>
      </c>
      <c r="V458" s="486">
        <f t="shared" si="317"/>
        <v>0</v>
      </c>
      <c r="W458" s="486">
        <f t="shared" si="317"/>
        <v>0</v>
      </c>
      <c r="X458" s="486">
        <f t="shared" si="317"/>
        <v>0</v>
      </c>
      <c r="Y458" s="486">
        <f t="shared" si="317"/>
        <v>0</v>
      </c>
      <c r="Z458" s="486">
        <f t="shared" si="317"/>
        <v>0</v>
      </c>
      <c r="AA458" s="486">
        <f t="shared" ref="AA458:AF458" si="318">Z461</f>
        <v>0</v>
      </c>
      <c r="AB458" s="486">
        <f t="shared" si="318"/>
        <v>0</v>
      </c>
      <c r="AC458" s="486">
        <f t="shared" si="318"/>
        <v>0</v>
      </c>
      <c r="AD458" s="486">
        <f t="shared" si="318"/>
        <v>0</v>
      </c>
      <c r="AE458" s="486">
        <f t="shared" si="318"/>
        <v>0</v>
      </c>
      <c r="AF458" s="486">
        <f t="shared" si="318"/>
        <v>0</v>
      </c>
    </row>
    <row r="459" spans="1:32">
      <c r="A459" s="285"/>
      <c r="B459" s="285"/>
      <c r="C459" s="484" t="s">
        <v>1120</v>
      </c>
      <c r="D459" s="285"/>
      <c r="E459" s="285"/>
      <c r="F459" s="285"/>
      <c r="G459" s="486"/>
      <c r="H459" s="501">
        <f>-H482+H616</f>
        <v>0</v>
      </c>
      <c r="I459" s="486">
        <f t="shared" ref="I459:Z459" si="319">I616+I612</f>
        <v>0</v>
      </c>
      <c r="J459" s="486">
        <f t="shared" si="319"/>
        <v>0</v>
      </c>
      <c r="K459" s="486">
        <f t="shared" si="319"/>
        <v>0</v>
      </c>
      <c r="L459" s="486">
        <f t="shared" si="319"/>
        <v>0</v>
      </c>
      <c r="M459" s="486">
        <f t="shared" si="319"/>
        <v>0</v>
      </c>
      <c r="N459" s="486">
        <f t="shared" si="319"/>
        <v>0</v>
      </c>
      <c r="O459" s="486">
        <f t="shared" si="319"/>
        <v>0</v>
      </c>
      <c r="P459" s="486">
        <f t="shared" si="319"/>
        <v>0</v>
      </c>
      <c r="Q459" s="486">
        <f t="shared" si="319"/>
        <v>0</v>
      </c>
      <c r="R459" s="486">
        <f t="shared" si="319"/>
        <v>0</v>
      </c>
      <c r="S459" s="486">
        <f t="shared" si="319"/>
        <v>0</v>
      </c>
      <c r="T459" s="486">
        <f t="shared" si="319"/>
        <v>0</v>
      </c>
      <c r="U459" s="486">
        <f t="shared" si="319"/>
        <v>0</v>
      </c>
      <c r="V459" s="486">
        <f t="shared" si="319"/>
        <v>0</v>
      </c>
      <c r="W459" s="486">
        <f t="shared" si="319"/>
        <v>0</v>
      </c>
      <c r="X459" s="486">
        <f t="shared" si="319"/>
        <v>0</v>
      </c>
      <c r="Y459" s="486">
        <f t="shared" si="319"/>
        <v>0</v>
      </c>
      <c r="Z459" s="486">
        <f t="shared" si="319"/>
        <v>0</v>
      </c>
      <c r="AA459" s="486">
        <f t="shared" ref="AA459:AF459" si="320">AA616+AA612</f>
        <v>0</v>
      </c>
      <c r="AB459" s="486">
        <f t="shared" si="320"/>
        <v>0</v>
      </c>
      <c r="AC459" s="486">
        <f t="shared" si="320"/>
        <v>0</v>
      </c>
      <c r="AD459" s="486">
        <f t="shared" si="320"/>
        <v>0</v>
      </c>
      <c r="AE459" s="486">
        <f t="shared" si="320"/>
        <v>0</v>
      </c>
      <c r="AF459" s="486">
        <f t="shared" si="320"/>
        <v>0</v>
      </c>
    </row>
    <row r="460" spans="1:32">
      <c r="A460" s="285"/>
      <c r="B460" s="285"/>
      <c r="C460" s="484" t="s">
        <v>1121</v>
      </c>
      <c r="D460" s="285"/>
      <c r="E460" s="285"/>
      <c r="F460" s="285"/>
      <c r="G460" s="285"/>
      <c r="H460" s="502">
        <f t="shared" ref="H460:Z460" si="321">H611</f>
        <v>0</v>
      </c>
      <c r="I460" s="285">
        <f t="shared" si="321"/>
        <v>0</v>
      </c>
      <c r="J460" s="285">
        <f t="shared" si="321"/>
        <v>0</v>
      </c>
      <c r="K460" s="285">
        <f t="shared" si="321"/>
        <v>0</v>
      </c>
      <c r="L460" s="285">
        <f t="shared" si="321"/>
        <v>0</v>
      </c>
      <c r="M460" s="285">
        <f t="shared" si="321"/>
        <v>0</v>
      </c>
      <c r="N460" s="285">
        <f t="shared" si="321"/>
        <v>0</v>
      </c>
      <c r="O460" s="285">
        <f t="shared" si="321"/>
        <v>0</v>
      </c>
      <c r="P460" s="285">
        <f t="shared" si="321"/>
        <v>0</v>
      </c>
      <c r="Q460" s="285">
        <f t="shared" si="321"/>
        <v>0</v>
      </c>
      <c r="R460" s="285">
        <f t="shared" si="321"/>
        <v>0</v>
      </c>
      <c r="S460" s="285">
        <f t="shared" si="321"/>
        <v>0</v>
      </c>
      <c r="T460" s="285">
        <f t="shared" si="321"/>
        <v>0</v>
      </c>
      <c r="U460" s="285">
        <f t="shared" si="321"/>
        <v>0</v>
      </c>
      <c r="V460" s="285">
        <f t="shared" si="321"/>
        <v>0</v>
      </c>
      <c r="W460" s="285">
        <f t="shared" si="321"/>
        <v>0</v>
      </c>
      <c r="X460" s="285">
        <f t="shared" si="321"/>
        <v>0</v>
      </c>
      <c r="Y460" s="285">
        <f t="shared" si="321"/>
        <v>0</v>
      </c>
      <c r="Z460" s="285">
        <f t="shared" si="321"/>
        <v>0</v>
      </c>
      <c r="AA460" s="285">
        <f t="shared" ref="AA460:AF460" si="322">AA611</f>
        <v>0</v>
      </c>
      <c r="AB460" s="285">
        <f t="shared" si="322"/>
        <v>0</v>
      </c>
      <c r="AC460" s="285">
        <f t="shared" si="322"/>
        <v>0</v>
      </c>
      <c r="AD460" s="285">
        <f t="shared" si="322"/>
        <v>0</v>
      </c>
      <c r="AE460" s="285">
        <f t="shared" si="322"/>
        <v>0</v>
      </c>
      <c r="AF460" s="285">
        <f t="shared" si="322"/>
        <v>0</v>
      </c>
    </row>
    <row r="461" spans="1:32">
      <c r="A461" s="285"/>
      <c r="B461" s="285"/>
      <c r="C461" s="484" t="s">
        <v>1122</v>
      </c>
      <c r="D461" s="285"/>
      <c r="E461" s="285"/>
      <c r="F461" s="486"/>
      <c r="G461" s="486"/>
      <c r="H461" s="507">
        <f t="shared" ref="H461:Z461" si="323">H458-H459-H460</f>
        <v>0</v>
      </c>
      <c r="I461" s="495">
        <f t="shared" si="323"/>
        <v>0</v>
      </c>
      <c r="J461" s="495">
        <f t="shared" si="323"/>
        <v>0</v>
      </c>
      <c r="K461" s="495">
        <f t="shared" si="323"/>
        <v>0</v>
      </c>
      <c r="L461" s="495">
        <f t="shared" si="323"/>
        <v>0</v>
      </c>
      <c r="M461" s="495">
        <f t="shared" si="323"/>
        <v>0</v>
      </c>
      <c r="N461" s="495">
        <f t="shared" si="323"/>
        <v>0</v>
      </c>
      <c r="O461" s="495">
        <f t="shared" si="323"/>
        <v>0</v>
      </c>
      <c r="P461" s="495">
        <f t="shared" si="323"/>
        <v>0</v>
      </c>
      <c r="Q461" s="495">
        <f t="shared" si="323"/>
        <v>0</v>
      </c>
      <c r="R461" s="495">
        <f t="shared" si="323"/>
        <v>0</v>
      </c>
      <c r="S461" s="495">
        <f t="shared" si="323"/>
        <v>0</v>
      </c>
      <c r="T461" s="495">
        <f t="shared" si="323"/>
        <v>0</v>
      </c>
      <c r="U461" s="495">
        <f t="shared" si="323"/>
        <v>0</v>
      </c>
      <c r="V461" s="495">
        <f t="shared" si="323"/>
        <v>0</v>
      </c>
      <c r="W461" s="495">
        <f t="shared" si="323"/>
        <v>0</v>
      </c>
      <c r="X461" s="495">
        <f t="shared" si="323"/>
        <v>0</v>
      </c>
      <c r="Y461" s="495">
        <f t="shared" si="323"/>
        <v>0</v>
      </c>
      <c r="Z461" s="495">
        <f t="shared" si="323"/>
        <v>0</v>
      </c>
      <c r="AA461" s="495">
        <f t="shared" ref="AA461:AF461" si="324">AA458-AA459-AA460</f>
        <v>0</v>
      </c>
      <c r="AB461" s="495">
        <f t="shared" si="324"/>
        <v>0</v>
      </c>
      <c r="AC461" s="495">
        <f t="shared" si="324"/>
        <v>0</v>
      </c>
      <c r="AD461" s="495">
        <f t="shared" si="324"/>
        <v>0</v>
      </c>
      <c r="AE461" s="495">
        <f t="shared" si="324"/>
        <v>0</v>
      </c>
      <c r="AF461" s="495">
        <f t="shared" si="324"/>
        <v>0</v>
      </c>
    </row>
    <row r="462" spans="1:32">
      <c r="A462" s="285"/>
      <c r="B462" s="285"/>
      <c r="C462" s="484" t="s">
        <v>1123</v>
      </c>
      <c r="D462" s="285"/>
      <c r="E462" s="285"/>
      <c r="F462" s="285"/>
      <c r="G462" s="285"/>
      <c r="H462" s="502"/>
      <c r="I462" s="505">
        <f t="shared" ref="I462:Z462" si="325">I628</f>
        <v>0</v>
      </c>
      <c r="J462" s="505">
        <f t="shared" si="325"/>
        <v>0</v>
      </c>
      <c r="K462" s="505">
        <f t="shared" si="325"/>
        <v>0</v>
      </c>
      <c r="L462" s="505">
        <f t="shared" si="325"/>
        <v>0</v>
      </c>
      <c r="M462" s="505">
        <f t="shared" si="325"/>
        <v>0</v>
      </c>
      <c r="N462" s="505">
        <f t="shared" si="325"/>
        <v>0</v>
      </c>
      <c r="O462" s="505">
        <f t="shared" si="325"/>
        <v>0</v>
      </c>
      <c r="P462" s="505">
        <f t="shared" si="325"/>
        <v>0</v>
      </c>
      <c r="Q462" s="505">
        <f t="shared" si="325"/>
        <v>0</v>
      </c>
      <c r="R462" s="505">
        <f t="shared" si="325"/>
        <v>0</v>
      </c>
      <c r="S462" s="505">
        <f t="shared" si="325"/>
        <v>0</v>
      </c>
      <c r="T462" s="505">
        <f t="shared" si="325"/>
        <v>0</v>
      </c>
      <c r="U462" s="505">
        <f t="shared" si="325"/>
        <v>0</v>
      </c>
      <c r="V462" s="505">
        <f t="shared" si="325"/>
        <v>0</v>
      </c>
      <c r="W462" s="505">
        <f t="shared" si="325"/>
        <v>0</v>
      </c>
      <c r="X462" s="505">
        <f t="shared" si="325"/>
        <v>0</v>
      </c>
      <c r="Y462" s="505">
        <f t="shared" si="325"/>
        <v>0</v>
      </c>
      <c r="Z462" s="505">
        <f t="shared" si="325"/>
        <v>0</v>
      </c>
      <c r="AA462" s="505">
        <f t="shared" ref="AA462:AF462" si="326">AA628</f>
        <v>0</v>
      </c>
      <c r="AB462" s="505">
        <f t="shared" si="326"/>
        <v>0</v>
      </c>
      <c r="AC462" s="505">
        <f t="shared" si="326"/>
        <v>0</v>
      </c>
      <c r="AD462" s="505">
        <f t="shared" si="326"/>
        <v>0</v>
      </c>
      <c r="AE462" s="505">
        <f t="shared" si="326"/>
        <v>0</v>
      </c>
      <c r="AF462" s="505">
        <f t="shared" si="326"/>
        <v>0</v>
      </c>
    </row>
    <row r="463" spans="1:32" ht="10.8" thickBot="1">
      <c r="A463" s="285"/>
      <c r="B463" s="285"/>
      <c r="C463" s="285"/>
      <c r="D463" s="285"/>
      <c r="E463" s="285"/>
      <c r="F463" s="285"/>
      <c r="G463" s="285"/>
      <c r="H463" s="502"/>
      <c r="I463" s="285"/>
      <c r="J463" s="285"/>
      <c r="K463" s="285"/>
      <c r="L463" s="285"/>
      <c r="M463" s="285"/>
      <c r="N463" s="285"/>
      <c r="O463" s="285"/>
      <c r="P463" s="285"/>
      <c r="Q463" s="285"/>
      <c r="R463" s="285"/>
      <c r="S463" s="285"/>
      <c r="T463" s="285"/>
      <c r="U463" s="285"/>
      <c r="V463" s="285"/>
      <c r="W463" s="285"/>
      <c r="X463" s="285"/>
      <c r="Y463" s="285"/>
      <c r="Z463" s="285"/>
      <c r="AA463" s="285"/>
      <c r="AB463" s="285"/>
      <c r="AC463" s="285"/>
      <c r="AD463" s="285"/>
      <c r="AE463" s="285"/>
      <c r="AF463" s="285"/>
    </row>
    <row r="464" spans="1:32" ht="10.8" thickTop="1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7"/>
      <c r="O464" s="457"/>
      <c r="P464" s="457"/>
      <c r="Q464" s="457"/>
      <c r="R464" s="457"/>
      <c r="S464" s="457"/>
      <c r="T464" s="457"/>
      <c r="U464" s="457"/>
      <c r="V464" s="457"/>
      <c r="W464" s="457"/>
      <c r="X464" s="457"/>
      <c r="Y464" s="457"/>
      <c r="Z464" s="457"/>
      <c r="AA464" s="457"/>
      <c r="AB464" s="457"/>
      <c r="AC464" s="457"/>
      <c r="AD464" s="457"/>
      <c r="AE464" s="457"/>
      <c r="AF464" s="457"/>
    </row>
    <row r="465" spans="1:32">
      <c r="A465" s="385" t="s">
        <v>1125</v>
      </c>
      <c r="B465" s="285"/>
      <c r="C465" s="530"/>
      <c r="D465" s="285"/>
      <c r="E465" s="285"/>
      <c r="F465" s="285"/>
      <c r="G465" s="285"/>
      <c r="H465" s="285"/>
      <c r="I465" s="285"/>
      <c r="J465" s="285"/>
      <c r="K465" s="285"/>
      <c r="L465" s="285"/>
      <c r="M465" s="285"/>
      <c r="N465" s="285"/>
      <c r="O465" s="285"/>
      <c r="P465" s="285"/>
      <c r="Q465" s="285"/>
      <c r="R465" s="285"/>
      <c r="S465" s="285"/>
      <c r="T465" s="285"/>
      <c r="U465" s="285"/>
      <c r="V465" s="285"/>
      <c r="W465" s="285"/>
      <c r="X465" s="285"/>
      <c r="Y465" s="285"/>
      <c r="Z465" s="285"/>
      <c r="AA465" s="285"/>
      <c r="AB465" s="285"/>
      <c r="AC465" s="285"/>
      <c r="AD465" s="285"/>
      <c r="AE465" s="285"/>
      <c r="AF465" s="285"/>
    </row>
    <row r="466" spans="1:32">
      <c r="A466" s="285"/>
      <c r="B466" s="285"/>
      <c r="C466" s="285"/>
      <c r="D466" s="285"/>
      <c r="E466" s="285"/>
      <c r="F466" s="285"/>
      <c r="G466" s="285"/>
      <c r="H466" s="285"/>
      <c r="I466" s="285"/>
      <c r="J466" s="285"/>
      <c r="K466" s="285"/>
      <c r="L466" s="285"/>
      <c r="M466" s="285"/>
      <c r="N466" s="285"/>
      <c r="O466" s="285"/>
      <c r="P466" s="285"/>
      <c r="Q466" s="285"/>
      <c r="R466" s="285"/>
      <c r="S466" s="285"/>
      <c r="T466" s="285"/>
      <c r="U466" s="285"/>
      <c r="V466" s="285"/>
      <c r="W466" s="285"/>
      <c r="X466" s="285"/>
      <c r="Y466" s="285"/>
      <c r="Z466" s="285"/>
      <c r="AA466" s="285"/>
      <c r="AB466" s="285"/>
      <c r="AC466" s="285"/>
      <c r="AD466" s="285"/>
      <c r="AE466" s="285"/>
      <c r="AF466" s="285"/>
    </row>
    <row r="467" spans="1:32">
      <c r="A467" s="491" t="s">
        <v>1126</v>
      </c>
      <c r="B467" s="285"/>
      <c r="C467" s="531">
        <f>+Summary!E22</f>
        <v>36373</v>
      </c>
      <c r="D467" s="285"/>
      <c r="E467" s="285"/>
      <c r="F467" s="505"/>
      <c r="G467" s="285"/>
      <c r="H467" s="285"/>
      <c r="I467" s="285"/>
      <c r="J467" s="285"/>
      <c r="K467" s="285"/>
      <c r="L467" s="280"/>
      <c r="M467" s="280"/>
      <c r="N467" s="285"/>
      <c r="O467" s="285"/>
      <c r="P467" s="285"/>
      <c r="Q467" s="285"/>
      <c r="R467" s="285"/>
      <c r="S467" s="285"/>
      <c r="T467" s="285"/>
      <c r="U467" s="285"/>
      <c r="V467" s="285"/>
      <c r="W467" s="285"/>
      <c r="X467" s="285"/>
      <c r="Y467" s="285"/>
      <c r="Z467" s="285"/>
      <c r="AA467" s="285"/>
      <c r="AB467" s="285"/>
      <c r="AC467" s="285"/>
      <c r="AD467" s="285"/>
      <c r="AE467" s="285"/>
      <c r="AF467" s="285"/>
    </row>
    <row r="468" spans="1:32">
      <c r="A468" s="491" t="s">
        <v>1128</v>
      </c>
      <c r="B468" s="285"/>
      <c r="C468" s="531"/>
      <c r="D468" s="285"/>
      <c r="E468" s="285"/>
      <c r="F468" s="505"/>
      <c r="G468" s="285"/>
      <c r="H468" s="285"/>
      <c r="I468" s="285"/>
      <c r="J468" s="285"/>
      <c r="K468" s="285"/>
      <c r="L468" s="280"/>
      <c r="M468" s="491"/>
      <c r="N468" s="285"/>
      <c r="O468" s="285"/>
      <c r="P468" s="285"/>
      <c r="Q468" s="285"/>
      <c r="R468" s="285"/>
      <c r="S468" s="285"/>
      <c r="T468" s="285"/>
      <c r="U468" s="285"/>
      <c r="V468" s="285"/>
      <c r="W468" s="285"/>
      <c r="X468" s="285"/>
      <c r="Y468" s="285"/>
      <c r="Z468" s="285"/>
      <c r="AA468" s="285"/>
      <c r="AB468" s="285"/>
      <c r="AC468" s="285"/>
      <c r="AD468" s="285"/>
      <c r="AE468" s="285"/>
      <c r="AF468" s="285"/>
    </row>
    <row r="469" spans="1:32">
      <c r="A469" s="491"/>
      <c r="B469" s="190" t="s">
        <v>769</v>
      </c>
      <c r="C469" s="191">
        <f>1-C472</f>
        <v>0.66666666666666674</v>
      </c>
      <c r="D469" s="484" t="s">
        <v>1129</v>
      </c>
      <c r="E469" s="285"/>
      <c r="F469" s="505"/>
      <c r="G469" s="285"/>
      <c r="H469" s="285"/>
      <c r="I469" s="285"/>
      <c r="J469" s="285"/>
      <c r="K469" s="285"/>
      <c r="L469" s="280"/>
      <c r="M469" s="491"/>
      <c r="N469" s="285"/>
      <c r="O469" s="285"/>
      <c r="P469" s="285"/>
      <c r="Q469" s="285"/>
      <c r="R469" s="285"/>
      <c r="S469" s="285"/>
      <c r="T469" s="285"/>
      <c r="U469" s="285"/>
      <c r="V469" s="285"/>
      <c r="W469" s="285"/>
      <c r="X469" s="285"/>
      <c r="Y469" s="285"/>
      <c r="Z469" s="285"/>
      <c r="AA469" s="285"/>
      <c r="AB469" s="285"/>
      <c r="AC469" s="285"/>
      <c r="AD469" s="285"/>
      <c r="AE469" s="285"/>
      <c r="AF469" s="285"/>
    </row>
    <row r="470" spans="1:32">
      <c r="A470" s="491"/>
      <c r="B470" s="190" t="s">
        <v>770</v>
      </c>
      <c r="C470" s="192">
        <f>C469*12</f>
        <v>8</v>
      </c>
      <c r="D470" s="484" t="s">
        <v>1130</v>
      </c>
      <c r="E470" s="285"/>
      <c r="F470" s="505"/>
      <c r="G470" s="285"/>
      <c r="H470" s="285"/>
      <c r="I470" s="285"/>
      <c r="J470" s="285"/>
      <c r="K470" s="285"/>
      <c r="L470" s="280"/>
      <c r="M470" s="491"/>
      <c r="N470" s="285"/>
      <c r="O470" s="285"/>
      <c r="P470" s="285"/>
      <c r="Q470" s="285"/>
      <c r="R470" s="285"/>
      <c r="S470" s="285"/>
      <c r="T470" s="285"/>
      <c r="U470" s="285"/>
      <c r="V470" s="285"/>
      <c r="W470" s="285"/>
      <c r="X470" s="285"/>
      <c r="Y470" s="285"/>
      <c r="Z470" s="285"/>
      <c r="AA470" s="285"/>
      <c r="AB470" s="285"/>
      <c r="AC470" s="285"/>
      <c r="AD470" s="285"/>
      <c r="AE470" s="285"/>
      <c r="AF470" s="285"/>
    </row>
    <row r="471" spans="1:32">
      <c r="A471" s="491"/>
      <c r="B471" s="285"/>
      <c r="C471" s="280"/>
      <c r="D471" s="484"/>
      <c r="E471" s="285"/>
      <c r="F471" s="505"/>
      <c r="G471" s="285"/>
      <c r="H471" s="285"/>
      <c r="I471" s="285"/>
      <c r="J471" s="285"/>
      <c r="K471" s="285"/>
      <c r="L471" s="280"/>
      <c r="M471" s="491"/>
      <c r="N471" s="285"/>
      <c r="O471" s="285"/>
      <c r="P471" s="285"/>
      <c r="Q471" s="285"/>
      <c r="R471" s="285"/>
      <c r="S471" s="285"/>
      <c r="T471" s="285"/>
      <c r="U471" s="285"/>
      <c r="V471" s="285"/>
      <c r="W471" s="285"/>
      <c r="X471" s="285"/>
      <c r="Y471" s="285"/>
      <c r="Z471" s="285"/>
      <c r="AA471" s="285"/>
      <c r="AB471" s="285"/>
      <c r="AC471" s="285"/>
      <c r="AD471" s="285"/>
      <c r="AE471" s="285"/>
      <c r="AF471" s="285"/>
    </row>
    <row r="472" spans="1:32">
      <c r="A472" s="491"/>
      <c r="B472" s="190" t="s">
        <v>769</v>
      </c>
      <c r="C472" s="191">
        <f>IF(12-MONTH(Summary!E22)+MONTH(E475)&gt;=12,(12-MONTH(Summary!E22)+MONTH(E475))-12,12-MONTH(Summary!E22)+MONTH(E475))/12</f>
        <v>0.33333333333333331</v>
      </c>
      <c r="D472" s="484" t="s">
        <v>1131</v>
      </c>
      <c r="E472" s="285"/>
      <c r="F472" s="505"/>
      <c r="G472" s="285"/>
      <c r="H472" s="285"/>
      <c r="I472" s="285"/>
      <c r="J472" s="285"/>
      <c r="K472" s="285"/>
      <c r="L472" s="280"/>
      <c r="M472" s="491"/>
      <c r="N472" s="285"/>
      <c r="O472" s="285"/>
      <c r="P472" s="285"/>
      <c r="Q472" s="285"/>
      <c r="R472" s="285"/>
      <c r="S472" s="285"/>
      <c r="T472" s="285"/>
      <c r="U472" s="285"/>
      <c r="V472" s="285"/>
      <c r="W472" s="285"/>
      <c r="X472" s="285"/>
      <c r="Y472" s="285"/>
      <c r="Z472" s="285"/>
      <c r="AA472" s="285"/>
      <c r="AB472" s="285"/>
      <c r="AC472" s="285"/>
      <c r="AD472" s="285"/>
      <c r="AE472" s="285"/>
      <c r="AF472" s="285"/>
    </row>
    <row r="473" spans="1:32">
      <c r="A473" s="491"/>
      <c r="B473" s="193" t="s">
        <v>770</v>
      </c>
      <c r="C473" s="192">
        <f>C472*12</f>
        <v>4</v>
      </c>
      <c r="D473" s="484" t="s">
        <v>1132</v>
      </c>
      <c r="E473" s="285"/>
      <c r="F473" s="505"/>
      <c r="G473" s="532" t="str">
        <f>TEXT(I638,"0")&amp;"."</f>
        <v>36525.</v>
      </c>
      <c r="H473" s="285"/>
      <c r="I473" s="285"/>
      <c r="J473" s="285"/>
      <c r="K473" s="285"/>
      <c r="L473" s="280"/>
      <c r="M473" s="491"/>
      <c r="N473" s="285"/>
      <c r="O473" s="285"/>
      <c r="P473" s="285"/>
      <c r="Q473" s="285"/>
      <c r="R473" s="285"/>
      <c r="S473" s="285"/>
      <c r="T473" s="285"/>
      <c r="U473" s="285"/>
      <c r="V473" s="285"/>
      <c r="W473" s="285"/>
      <c r="X473" s="285"/>
      <c r="Y473" s="285"/>
      <c r="Z473" s="285"/>
      <c r="AA473" s="285"/>
      <c r="AB473" s="285"/>
      <c r="AC473" s="285"/>
      <c r="AD473" s="285"/>
      <c r="AE473" s="285"/>
      <c r="AF473" s="285"/>
    </row>
    <row r="474" spans="1:32">
      <c r="A474" s="491"/>
      <c r="B474" s="285"/>
      <c r="C474" s="285"/>
      <c r="D474" s="285"/>
      <c r="E474" s="285"/>
      <c r="F474" s="505"/>
      <c r="G474" s="285"/>
      <c r="H474" s="285"/>
      <c r="I474" s="285"/>
      <c r="J474" s="285"/>
      <c r="K474" s="285"/>
      <c r="L474" s="280"/>
      <c r="M474" s="491"/>
      <c r="N474" s="285"/>
      <c r="O474" s="285"/>
      <c r="P474" s="285"/>
      <c r="Q474" s="285"/>
      <c r="R474" s="285"/>
      <c r="S474" s="285"/>
      <c r="T474" s="285"/>
      <c r="U474" s="285"/>
      <c r="V474" s="285"/>
      <c r="W474" s="285"/>
      <c r="X474" s="285"/>
      <c r="Y474" s="285"/>
      <c r="Z474" s="285"/>
      <c r="AA474" s="285"/>
      <c r="AB474" s="285"/>
      <c r="AC474" s="285"/>
      <c r="AD474" s="285"/>
      <c r="AE474" s="285"/>
      <c r="AF474" s="285"/>
    </row>
    <row r="475" spans="1:32">
      <c r="A475" s="491"/>
      <c r="B475" s="280"/>
      <c r="C475" s="190" t="s">
        <v>771</v>
      </c>
      <c r="D475" s="280"/>
      <c r="E475" s="531">
        <f>DATE(YEAR(Summary!$E$22),12,31)</f>
        <v>36525</v>
      </c>
      <c r="F475" s="280"/>
      <c r="G475" s="285"/>
      <c r="H475" s="285"/>
      <c r="I475" s="285"/>
      <c r="J475" s="285"/>
      <c r="K475" s="285"/>
      <c r="L475" s="280"/>
      <c r="M475" s="491"/>
      <c r="N475" s="285"/>
      <c r="O475" s="285"/>
      <c r="P475" s="285"/>
      <c r="Q475" s="285"/>
      <c r="R475" s="285"/>
      <c r="S475" s="285"/>
      <c r="T475" s="285"/>
      <c r="U475" s="285"/>
      <c r="V475" s="285"/>
      <c r="W475" s="285"/>
      <c r="X475" s="285"/>
      <c r="Y475" s="285"/>
      <c r="Z475" s="285"/>
      <c r="AA475" s="285"/>
      <c r="AB475" s="285"/>
      <c r="AC475" s="285"/>
      <c r="AD475" s="285"/>
      <c r="AE475" s="285"/>
      <c r="AF475" s="285"/>
    </row>
    <row r="476" spans="1:32" ht="10.8" thickBot="1">
      <c r="A476" s="491"/>
      <c r="B476" s="285"/>
      <c r="C476" s="531"/>
      <c r="D476" s="285"/>
      <c r="E476" s="285"/>
      <c r="F476" s="505"/>
      <c r="G476" s="285"/>
      <c r="H476" s="285"/>
      <c r="I476" s="285"/>
      <c r="J476" s="285"/>
      <c r="K476" s="285"/>
      <c r="L476" s="280"/>
      <c r="M476" s="491"/>
      <c r="N476" s="285"/>
      <c r="O476" s="285"/>
      <c r="P476" s="285"/>
      <c r="Q476" s="285"/>
      <c r="R476" s="285"/>
      <c r="S476" s="285"/>
      <c r="T476" s="285"/>
      <c r="U476" s="285"/>
      <c r="V476" s="285"/>
      <c r="W476" s="285"/>
      <c r="X476" s="285"/>
      <c r="Y476" s="285"/>
      <c r="Z476" s="285"/>
      <c r="AA476" s="285"/>
      <c r="AB476" s="285"/>
      <c r="AC476" s="285"/>
      <c r="AD476" s="285"/>
      <c r="AE476" s="285"/>
      <c r="AF476" s="285"/>
    </row>
    <row r="477" spans="1:32" ht="10.8" thickTop="1">
      <c r="A477" s="457"/>
      <c r="B477" s="457"/>
      <c r="C477" s="457"/>
      <c r="D477" s="457"/>
      <c r="E477" s="457"/>
      <c r="F477" s="457"/>
      <c r="G477" s="457"/>
      <c r="H477" s="457"/>
      <c r="I477" s="457"/>
      <c r="J477" s="457"/>
      <c r="K477" s="457"/>
      <c r="L477" s="533"/>
      <c r="M477" s="534"/>
      <c r="N477" s="534"/>
      <c r="O477" s="534"/>
      <c r="P477" s="457"/>
      <c r="Q477" s="457"/>
      <c r="R477" s="457"/>
      <c r="S477" s="457"/>
      <c r="T477" s="535"/>
      <c r="U477" s="457"/>
      <c r="V477" s="457"/>
      <c r="W477" s="457"/>
      <c r="X477" s="457"/>
      <c r="Y477" s="457"/>
      <c r="Z477" s="457"/>
      <c r="AA477" s="457"/>
      <c r="AB477" s="457"/>
      <c r="AC477" s="457"/>
      <c r="AD477" s="457"/>
      <c r="AE477" s="457"/>
      <c r="AF477" s="457"/>
    </row>
    <row r="478" spans="1:32">
      <c r="A478" s="453" t="s">
        <v>1133</v>
      </c>
      <c r="B478" s="285"/>
      <c r="C478" s="285"/>
      <c r="D478" s="285"/>
      <c r="E478" s="280"/>
      <c r="F478" s="285"/>
      <c r="G478" s="285"/>
      <c r="H478" s="536"/>
      <c r="I478" s="285"/>
      <c r="J478" s="537" t="s">
        <v>1134</v>
      </c>
      <c r="K478" s="285"/>
      <c r="L478" s="280"/>
      <c r="M478" s="280"/>
      <c r="N478" s="280"/>
      <c r="O478" s="280"/>
      <c r="P478" s="285"/>
      <c r="Q478" s="285"/>
      <c r="R478" s="285"/>
      <c r="S478" s="285"/>
      <c r="T478" s="285"/>
      <c r="U478" s="285"/>
      <c r="V478" s="285"/>
      <c r="W478" s="285"/>
      <c r="X478" s="285"/>
      <c r="Y478" s="285"/>
      <c r="Z478" s="285"/>
      <c r="AA478" s="285"/>
      <c r="AB478" s="285"/>
      <c r="AC478" s="285"/>
      <c r="AD478" s="285"/>
      <c r="AE478" s="285"/>
      <c r="AF478" s="285"/>
    </row>
    <row r="479" spans="1:32" ht="10.8" thickBot="1">
      <c r="A479" s="285"/>
      <c r="B479" s="285"/>
      <c r="C479" s="285"/>
      <c r="D479" s="285"/>
      <c r="E479" s="538" t="s">
        <v>1135</v>
      </c>
      <c r="F479" s="285"/>
      <c r="G479" s="280"/>
      <c r="H479" s="538" t="s">
        <v>1135</v>
      </c>
      <c r="I479" s="280"/>
      <c r="J479" s="280"/>
      <c r="K479" s="280"/>
      <c r="L479" s="280"/>
      <c r="M479" s="280"/>
      <c r="N479" s="280"/>
      <c r="O479" s="280"/>
      <c r="P479" s="280"/>
      <c r="Q479" s="280"/>
      <c r="R479" s="280"/>
      <c r="S479" s="280"/>
      <c r="T479" s="285"/>
      <c r="U479" s="285"/>
      <c r="V479" s="285"/>
      <c r="W479" s="285"/>
      <c r="X479" s="285"/>
      <c r="Y479" s="285"/>
      <c r="Z479" s="285"/>
      <c r="AA479" s="285"/>
      <c r="AB479" s="285"/>
      <c r="AC479" s="285"/>
      <c r="AD479" s="285"/>
      <c r="AE479" s="285"/>
      <c r="AF479" s="285"/>
    </row>
    <row r="480" spans="1:32" ht="11.4" thickTop="1" thickBot="1">
      <c r="A480" s="285"/>
      <c r="B480" s="539" t="s">
        <v>889</v>
      </c>
      <c r="C480" s="285"/>
      <c r="D480" s="285"/>
      <c r="E480" s="537" t="s">
        <v>1136</v>
      </c>
      <c r="F480" s="285"/>
      <c r="G480" s="280"/>
      <c r="H480" s="537" t="s">
        <v>837</v>
      </c>
      <c r="I480" s="540">
        <f>I$638</f>
        <v>36525</v>
      </c>
      <c r="J480" s="528">
        <f t="shared" ref="J480:AF480" si="327">J$638</f>
        <v>36891</v>
      </c>
      <c r="K480" s="528">
        <f t="shared" si="327"/>
        <v>37256</v>
      </c>
      <c r="L480" s="528">
        <f t="shared" si="327"/>
        <v>37621</v>
      </c>
      <c r="M480" s="528">
        <f t="shared" si="327"/>
        <v>37986</v>
      </c>
      <c r="N480" s="528">
        <f t="shared" si="327"/>
        <v>38352</v>
      </c>
      <c r="O480" s="528">
        <f t="shared" si="327"/>
        <v>38717</v>
      </c>
      <c r="P480" s="528">
        <f t="shared" si="327"/>
        <v>39082</v>
      </c>
      <c r="Q480" s="528">
        <f t="shared" si="327"/>
        <v>39447</v>
      </c>
      <c r="R480" s="528">
        <f t="shared" si="327"/>
        <v>39813</v>
      </c>
      <c r="S480" s="528">
        <f t="shared" si="327"/>
        <v>40178</v>
      </c>
      <c r="T480" s="528">
        <f t="shared" si="327"/>
        <v>40543</v>
      </c>
      <c r="U480" s="528">
        <f t="shared" si="327"/>
        <v>40908</v>
      </c>
      <c r="V480" s="528">
        <f t="shared" si="327"/>
        <v>41274</v>
      </c>
      <c r="W480" s="528">
        <f t="shared" si="327"/>
        <v>41639</v>
      </c>
      <c r="X480" s="528">
        <f t="shared" si="327"/>
        <v>42004</v>
      </c>
      <c r="Y480" s="528">
        <f t="shared" si="327"/>
        <v>42369</v>
      </c>
      <c r="Z480" s="528">
        <f t="shared" si="327"/>
        <v>42735</v>
      </c>
      <c r="AA480" s="528">
        <f t="shared" si="327"/>
        <v>43100</v>
      </c>
      <c r="AB480" s="528">
        <f t="shared" si="327"/>
        <v>43465</v>
      </c>
      <c r="AC480" s="528">
        <f t="shared" si="327"/>
        <v>43830</v>
      </c>
      <c r="AD480" s="528">
        <f t="shared" si="327"/>
        <v>44196</v>
      </c>
      <c r="AE480" s="528">
        <f t="shared" si="327"/>
        <v>44561</v>
      </c>
      <c r="AF480" s="528">
        <f t="shared" si="327"/>
        <v>44926</v>
      </c>
    </row>
    <row r="481" spans="1:32" ht="10.8" thickTop="1">
      <c r="A481" s="285"/>
      <c r="B481" s="541" t="s">
        <v>1137</v>
      </c>
      <c r="C481" s="285"/>
      <c r="D481" s="285"/>
      <c r="E481" s="835">
        <f ca="1">Summary!E98</f>
        <v>56499.999999999993</v>
      </c>
      <c r="F481" s="505"/>
      <c r="G481" s="280"/>
      <c r="H481" s="543">
        <f ca="1">E481</f>
        <v>56499.999999999993</v>
      </c>
      <c r="I481" s="482">
        <f t="shared" ref="I481:S481" si="328">-I604</f>
        <v>0</v>
      </c>
      <c r="J481" s="482">
        <f t="shared" si="328"/>
        <v>0</v>
      </c>
      <c r="K481" s="482">
        <f t="shared" si="328"/>
        <v>0</v>
      </c>
      <c r="L481" s="482">
        <f t="shared" si="328"/>
        <v>0</v>
      </c>
      <c r="M481" s="482">
        <f t="shared" si="328"/>
        <v>0</v>
      </c>
      <c r="N481" s="482">
        <f t="shared" si="328"/>
        <v>0</v>
      </c>
      <c r="O481" s="482">
        <f t="shared" si="328"/>
        <v>0</v>
      </c>
      <c r="P481" s="482">
        <f t="shared" si="328"/>
        <v>0</v>
      </c>
      <c r="Q481" s="482">
        <f t="shared" si="328"/>
        <v>0</v>
      </c>
      <c r="R481" s="482">
        <f t="shared" si="328"/>
        <v>0</v>
      </c>
      <c r="S481" s="482">
        <f t="shared" si="328"/>
        <v>0</v>
      </c>
      <c r="T481" s="482">
        <f t="shared" ref="T481:AC481" si="329">-T604</f>
        <v>0</v>
      </c>
      <c r="U481" s="482">
        <f t="shared" si="329"/>
        <v>0</v>
      </c>
      <c r="V481" s="482">
        <f t="shared" si="329"/>
        <v>0</v>
      </c>
      <c r="W481" s="482">
        <f t="shared" si="329"/>
        <v>0</v>
      </c>
      <c r="X481" s="482">
        <f t="shared" si="329"/>
        <v>0</v>
      </c>
      <c r="Y481" s="482">
        <f t="shared" si="329"/>
        <v>0</v>
      </c>
      <c r="Z481" s="482">
        <f t="shared" si="329"/>
        <v>0</v>
      </c>
      <c r="AA481" s="482">
        <f t="shared" si="329"/>
        <v>0</v>
      </c>
      <c r="AB481" s="482">
        <f t="shared" si="329"/>
        <v>0</v>
      </c>
      <c r="AC481" s="482">
        <f t="shared" si="329"/>
        <v>0</v>
      </c>
      <c r="AD481" s="482">
        <f>-AD604</f>
        <v>0</v>
      </c>
      <c r="AE481" s="482">
        <f>-AE604</f>
        <v>0</v>
      </c>
      <c r="AF481" s="482">
        <f>-AF604</f>
        <v>0</v>
      </c>
    </row>
    <row r="482" spans="1:32">
      <c r="A482" s="285"/>
      <c r="B482" s="541" t="s">
        <v>252</v>
      </c>
      <c r="C482" s="285"/>
      <c r="D482" s="285"/>
      <c r="E482" s="835">
        <v>0</v>
      </c>
      <c r="F482" s="505"/>
      <c r="G482" s="280"/>
      <c r="H482" s="544">
        <f>E482</f>
        <v>0</v>
      </c>
      <c r="I482" s="482">
        <f t="shared" ref="I482:S482" si="330">-I612</f>
        <v>0</v>
      </c>
      <c r="J482" s="482">
        <f t="shared" si="330"/>
        <v>0</v>
      </c>
      <c r="K482" s="482">
        <f t="shared" si="330"/>
        <v>0</v>
      </c>
      <c r="L482" s="482">
        <f t="shared" si="330"/>
        <v>0</v>
      </c>
      <c r="M482" s="482">
        <f t="shared" si="330"/>
        <v>0</v>
      </c>
      <c r="N482" s="482">
        <f t="shared" si="330"/>
        <v>0</v>
      </c>
      <c r="O482" s="482">
        <f t="shared" si="330"/>
        <v>0</v>
      </c>
      <c r="P482" s="482">
        <f t="shared" si="330"/>
        <v>0</v>
      </c>
      <c r="Q482" s="482">
        <f t="shared" si="330"/>
        <v>0</v>
      </c>
      <c r="R482" s="482">
        <f t="shared" si="330"/>
        <v>0</v>
      </c>
      <c r="S482" s="482">
        <f t="shared" si="330"/>
        <v>0</v>
      </c>
      <c r="T482" s="482">
        <f t="shared" ref="T482:AC482" si="331">-T612</f>
        <v>0</v>
      </c>
      <c r="U482" s="482">
        <f t="shared" si="331"/>
        <v>0</v>
      </c>
      <c r="V482" s="482">
        <f t="shared" si="331"/>
        <v>0</v>
      </c>
      <c r="W482" s="482">
        <f t="shared" si="331"/>
        <v>0</v>
      </c>
      <c r="X482" s="482">
        <f t="shared" si="331"/>
        <v>0</v>
      </c>
      <c r="Y482" s="482">
        <f t="shared" si="331"/>
        <v>0</v>
      </c>
      <c r="Z482" s="482">
        <f t="shared" si="331"/>
        <v>0</v>
      </c>
      <c r="AA482" s="482">
        <f t="shared" si="331"/>
        <v>0</v>
      </c>
      <c r="AB482" s="482">
        <f t="shared" si="331"/>
        <v>0</v>
      </c>
      <c r="AC482" s="482">
        <f t="shared" si="331"/>
        <v>0</v>
      </c>
      <c r="AD482" s="482">
        <f>-AD612</f>
        <v>0</v>
      </c>
      <c r="AE482" s="482">
        <f>-AE612</f>
        <v>0</v>
      </c>
      <c r="AF482" s="482">
        <f>-AF612</f>
        <v>0</v>
      </c>
    </row>
    <row r="483" spans="1:32">
      <c r="A483" s="285"/>
      <c r="B483" s="484" t="s">
        <v>1138</v>
      </c>
      <c r="C483" s="285"/>
      <c r="D483" s="285"/>
      <c r="E483" s="835">
        <f ca="1">+K546</f>
        <v>24000</v>
      </c>
      <c r="F483" s="285"/>
      <c r="G483" s="280"/>
      <c r="H483" s="543">
        <f ca="1">E483</f>
        <v>24000</v>
      </c>
      <c r="I483" s="482">
        <f t="shared" ref="I483:S483" si="332">-I619</f>
        <v>0</v>
      </c>
      <c r="J483" s="482">
        <f t="shared" si="332"/>
        <v>0</v>
      </c>
      <c r="K483" s="482">
        <f t="shared" si="332"/>
        <v>0</v>
      </c>
      <c r="L483" s="482">
        <f t="shared" si="332"/>
        <v>0</v>
      </c>
      <c r="M483" s="482">
        <f t="shared" si="332"/>
        <v>0</v>
      </c>
      <c r="N483" s="482">
        <f t="shared" si="332"/>
        <v>0</v>
      </c>
      <c r="O483" s="482">
        <f t="shared" si="332"/>
        <v>0</v>
      </c>
      <c r="P483" s="482">
        <f t="shared" si="332"/>
        <v>0</v>
      </c>
      <c r="Q483" s="482">
        <f t="shared" si="332"/>
        <v>0</v>
      </c>
      <c r="R483" s="482">
        <f t="shared" si="332"/>
        <v>0</v>
      </c>
      <c r="S483" s="482">
        <f t="shared" si="332"/>
        <v>0</v>
      </c>
      <c r="T483" s="482">
        <f t="shared" ref="T483:AC483" si="333">-T619</f>
        <v>0</v>
      </c>
      <c r="U483" s="482">
        <f t="shared" si="333"/>
        <v>0</v>
      </c>
      <c r="V483" s="482">
        <f t="shared" si="333"/>
        <v>0</v>
      </c>
      <c r="W483" s="482">
        <f t="shared" si="333"/>
        <v>0</v>
      </c>
      <c r="X483" s="482">
        <f t="shared" si="333"/>
        <v>0</v>
      </c>
      <c r="Y483" s="482">
        <f t="shared" si="333"/>
        <v>0</v>
      </c>
      <c r="Z483" s="482">
        <f t="shared" si="333"/>
        <v>0</v>
      </c>
      <c r="AA483" s="482">
        <f t="shared" si="333"/>
        <v>0</v>
      </c>
      <c r="AB483" s="482">
        <f t="shared" si="333"/>
        <v>0</v>
      </c>
      <c r="AC483" s="482">
        <f t="shared" si="333"/>
        <v>0</v>
      </c>
      <c r="AD483" s="482">
        <f>-AD619</f>
        <v>0</v>
      </c>
      <c r="AE483" s="482">
        <f>-AE619</f>
        <v>0</v>
      </c>
      <c r="AF483" s="482">
        <f>-AF619</f>
        <v>0</v>
      </c>
    </row>
    <row r="484" spans="1:32">
      <c r="A484" s="285"/>
      <c r="B484" s="467" t="s">
        <v>1</v>
      </c>
      <c r="C484" s="285"/>
      <c r="D484" s="285"/>
      <c r="E484" s="835">
        <v>0</v>
      </c>
      <c r="F484" s="505"/>
      <c r="G484" s="280"/>
      <c r="H484" s="482">
        <f>E484</f>
        <v>0</v>
      </c>
      <c r="I484" s="482"/>
      <c r="J484" s="482"/>
      <c r="K484" s="482"/>
      <c r="L484" s="482"/>
      <c r="M484" s="482"/>
      <c r="N484" s="482"/>
      <c r="O484" s="482"/>
      <c r="P484" s="482"/>
      <c r="Q484" s="482"/>
      <c r="R484" s="482"/>
      <c r="S484" s="482"/>
      <c r="T484" s="482"/>
      <c r="U484" s="482"/>
      <c r="V484" s="482"/>
      <c r="W484" s="482"/>
      <c r="X484" s="482"/>
      <c r="Y484" s="482"/>
      <c r="Z484" s="482"/>
      <c r="AA484" s="482"/>
      <c r="AB484" s="482"/>
      <c r="AC484" s="482"/>
      <c r="AD484" s="482"/>
      <c r="AE484" s="482"/>
      <c r="AF484" s="482"/>
    </row>
    <row r="485" spans="1:32">
      <c r="A485" s="285"/>
      <c r="B485" s="491" t="s">
        <v>2</v>
      </c>
      <c r="C485" s="285"/>
      <c r="D485" s="285"/>
      <c r="E485" s="520">
        <f ca="1">SUM(E481:E484)</f>
        <v>80500</v>
      </c>
      <c r="F485" s="545"/>
      <c r="G485" s="546"/>
      <c r="H485" s="520">
        <f t="shared" ref="H485:S485" ca="1" si="334">SUM(H481:H484)</f>
        <v>80500</v>
      </c>
      <c r="I485" s="520">
        <f t="shared" si="334"/>
        <v>0</v>
      </c>
      <c r="J485" s="520">
        <f t="shared" si="334"/>
        <v>0</v>
      </c>
      <c r="K485" s="520">
        <f t="shared" si="334"/>
        <v>0</v>
      </c>
      <c r="L485" s="520">
        <f t="shared" si="334"/>
        <v>0</v>
      </c>
      <c r="M485" s="520">
        <f t="shared" si="334"/>
        <v>0</v>
      </c>
      <c r="N485" s="520">
        <f t="shared" si="334"/>
        <v>0</v>
      </c>
      <c r="O485" s="520">
        <f t="shared" si="334"/>
        <v>0</v>
      </c>
      <c r="P485" s="520">
        <f t="shared" si="334"/>
        <v>0</v>
      </c>
      <c r="Q485" s="520">
        <f t="shared" si="334"/>
        <v>0</v>
      </c>
      <c r="R485" s="520">
        <f t="shared" si="334"/>
        <v>0</v>
      </c>
      <c r="S485" s="520">
        <f t="shared" si="334"/>
        <v>0</v>
      </c>
      <c r="T485" s="520">
        <f t="shared" ref="T485:AC485" si="335">SUM(T481:T484)</f>
        <v>0</v>
      </c>
      <c r="U485" s="520">
        <f t="shared" si="335"/>
        <v>0</v>
      </c>
      <c r="V485" s="520">
        <f t="shared" si="335"/>
        <v>0</v>
      </c>
      <c r="W485" s="520">
        <f t="shared" si="335"/>
        <v>0</v>
      </c>
      <c r="X485" s="520">
        <f t="shared" si="335"/>
        <v>0</v>
      </c>
      <c r="Y485" s="520">
        <f t="shared" si="335"/>
        <v>0</v>
      </c>
      <c r="Z485" s="520">
        <f t="shared" si="335"/>
        <v>0</v>
      </c>
      <c r="AA485" s="520">
        <f t="shared" si="335"/>
        <v>0</v>
      </c>
      <c r="AB485" s="520">
        <f t="shared" si="335"/>
        <v>0</v>
      </c>
      <c r="AC485" s="520">
        <f t="shared" si="335"/>
        <v>0</v>
      </c>
      <c r="AD485" s="520">
        <f>SUM(AD481:AD484)</f>
        <v>0</v>
      </c>
      <c r="AE485" s="520">
        <f>SUM(AE481:AE484)</f>
        <v>0</v>
      </c>
      <c r="AF485" s="520">
        <f>SUM(AF481:AF484)</f>
        <v>0</v>
      </c>
    </row>
    <row r="486" spans="1:32">
      <c r="A486" s="285"/>
      <c r="B486" s="285"/>
      <c r="C486" s="280"/>
      <c r="D486" s="280"/>
      <c r="E486" s="280"/>
      <c r="F486" s="471"/>
      <c r="G486" s="285"/>
      <c r="H486" s="285"/>
      <c r="I486" s="285"/>
      <c r="J486" s="285"/>
      <c r="K486" s="285"/>
      <c r="L486" s="285"/>
      <c r="M486" s="285"/>
      <c r="N486" s="285"/>
      <c r="O486" s="285"/>
      <c r="P486" s="285"/>
      <c r="Q486" s="285"/>
      <c r="R486" s="285"/>
      <c r="S486" s="285"/>
      <c r="T486" s="285"/>
      <c r="U486" s="285"/>
      <c r="V486" s="285"/>
      <c r="W486" s="285"/>
      <c r="X486" s="285"/>
      <c r="Y486" s="285"/>
      <c r="Z486" s="285"/>
      <c r="AA486" s="285"/>
      <c r="AB486" s="285"/>
      <c r="AC486" s="285"/>
      <c r="AD486" s="285"/>
      <c r="AE486" s="285"/>
      <c r="AF486" s="285"/>
    </row>
    <row r="487" spans="1:32">
      <c r="A487" s="484"/>
      <c r="B487" s="539" t="s">
        <v>894</v>
      </c>
      <c r="C487" s="285"/>
      <c r="D487" s="285"/>
      <c r="E487" s="547"/>
      <c r="F487" s="505"/>
      <c r="G487" s="280"/>
      <c r="H487" s="285"/>
      <c r="I487" s="285"/>
      <c r="J487" s="285"/>
      <c r="K487" s="285"/>
      <c r="L487" s="285"/>
      <c r="M487" s="285"/>
      <c r="N487" s="285"/>
      <c r="O487" s="285"/>
      <c r="P487" s="285"/>
      <c r="Q487" s="285"/>
      <c r="R487" s="285"/>
      <c r="S487" s="285"/>
      <c r="T487" s="285"/>
      <c r="U487" s="285"/>
      <c r="V487" s="285"/>
      <c r="W487" s="285"/>
      <c r="X487" s="285"/>
      <c r="Y487" s="285"/>
      <c r="Z487" s="285"/>
      <c r="AA487" s="285"/>
      <c r="AB487" s="285"/>
      <c r="AC487" s="285"/>
      <c r="AD487" s="285"/>
      <c r="AE487" s="285"/>
      <c r="AF487" s="285"/>
    </row>
    <row r="488" spans="1:32">
      <c r="A488" s="484"/>
      <c r="B488" s="280" t="s">
        <v>3</v>
      </c>
      <c r="C488" s="482" t="str">
        <f>A521</f>
        <v>Intangibles</v>
      </c>
      <c r="D488" s="280"/>
      <c r="E488" s="548">
        <v>0</v>
      </c>
      <c r="F488" s="505"/>
      <c r="G488" s="280"/>
      <c r="H488" s="549">
        <f>E488</f>
        <v>0</v>
      </c>
      <c r="I488" s="498">
        <f>I777-H488</f>
        <v>0</v>
      </c>
      <c r="J488" s="498">
        <f t="shared" ref="J488:S488" si="336">J777</f>
        <v>0</v>
      </c>
      <c r="K488" s="498">
        <f t="shared" si="336"/>
        <v>0</v>
      </c>
      <c r="L488" s="498">
        <f t="shared" si="336"/>
        <v>0</v>
      </c>
      <c r="M488" s="498">
        <f t="shared" si="336"/>
        <v>0</v>
      </c>
      <c r="N488" s="498">
        <f t="shared" si="336"/>
        <v>0</v>
      </c>
      <c r="O488" s="498">
        <f t="shared" si="336"/>
        <v>0</v>
      </c>
      <c r="P488" s="498">
        <f t="shared" si="336"/>
        <v>0</v>
      </c>
      <c r="Q488" s="498">
        <f t="shared" si="336"/>
        <v>0</v>
      </c>
      <c r="R488" s="498">
        <f t="shared" si="336"/>
        <v>0</v>
      </c>
      <c r="S488" s="499">
        <f t="shared" si="336"/>
        <v>0</v>
      </c>
      <c r="T488" s="499">
        <f t="shared" ref="T488:AC488" si="337">T777</f>
        <v>0</v>
      </c>
      <c r="U488" s="499">
        <f t="shared" si="337"/>
        <v>0</v>
      </c>
      <c r="V488" s="499">
        <f t="shared" si="337"/>
        <v>0</v>
      </c>
      <c r="W488" s="499">
        <f t="shared" si="337"/>
        <v>0</v>
      </c>
      <c r="X488" s="499">
        <f t="shared" si="337"/>
        <v>0</v>
      </c>
      <c r="Y488" s="499">
        <f t="shared" si="337"/>
        <v>0</v>
      </c>
      <c r="Z488" s="499">
        <f t="shared" si="337"/>
        <v>0</v>
      </c>
      <c r="AA488" s="499">
        <f t="shared" si="337"/>
        <v>0</v>
      </c>
      <c r="AB488" s="499">
        <f t="shared" si="337"/>
        <v>0</v>
      </c>
      <c r="AC488" s="499">
        <f t="shared" si="337"/>
        <v>0</v>
      </c>
      <c r="AD488" s="499">
        <f>AD777</f>
        <v>0</v>
      </c>
      <c r="AE488" s="499">
        <f>AE777</f>
        <v>0</v>
      </c>
      <c r="AF488" s="499">
        <f>AF777</f>
        <v>0</v>
      </c>
    </row>
    <row r="489" spans="1:32">
      <c r="A489" s="484"/>
      <c r="B489" s="280"/>
      <c r="C489" s="482" t="s">
        <v>4</v>
      </c>
      <c r="D489" s="280"/>
      <c r="E489" s="550">
        <v>0</v>
      </c>
      <c r="F489" s="505"/>
      <c r="G489" s="280"/>
      <c r="H489" s="551">
        <f>E489</f>
        <v>0</v>
      </c>
      <c r="I489" s="282">
        <f>(I774-I777-I776)-H489</f>
        <v>0</v>
      </c>
      <c r="J489" s="282">
        <f t="shared" ref="J489:AF489" si="338">J774-J490</f>
        <v>0</v>
      </c>
      <c r="K489" s="282">
        <f t="shared" si="338"/>
        <v>0</v>
      </c>
      <c r="L489" s="282">
        <f t="shared" si="338"/>
        <v>0</v>
      </c>
      <c r="M489" s="282">
        <f t="shared" si="338"/>
        <v>1331.9046155778003</v>
      </c>
      <c r="N489" s="282">
        <f t="shared" si="338"/>
        <v>0</v>
      </c>
      <c r="O489" s="282">
        <f t="shared" si="338"/>
        <v>0</v>
      </c>
      <c r="P489" s="282">
        <f t="shared" si="338"/>
        <v>0</v>
      </c>
      <c r="Q489" s="282">
        <f t="shared" si="338"/>
        <v>4611.7398197956873</v>
      </c>
      <c r="R489" s="282">
        <f t="shared" si="338"/>
        <v>0</v>
      </c>
      <c r="S489" s="500">
        <f t="shared" si="338"/>
        <v>0</v>
      </c>
      <c r="T489" s="500">
        <f t="shared" si="338"/>
        <v>0</v>
      </c>
      <c r="U489" s="500">
        <f t="shared" si="338"/>
        <v>1870.6553139776611</v>
      </c>
      <c r="V489" s="500">
        <f t="shared" si="338"/>
        <v>0</v>
      </c>
      <c r="W489" s="500">
        <f t="shared" si="338"/>
        <v>0</v>
      </c>
      <c r="X489" s="500">
        <f t="shared" si="338"/>
        <v>0</v>
      </c>
      <c r="Y489" s="500">
        <f t="shared" si="338"/>
        <v>6463.75753668992</v>
      </c>
      <c r="Z489" s="500">
        <f t="shared" si="338"/>
        <v>0</v>
      </c>
      <c r="AA489" s="500">
        <f t="shared" si="338"/>
        <v>0</v>
      </c>
      <c r="AB489" s="500">
        <f t="shared" si="338"/>
        <v>0</v>
      </c>
      <c r="AC489" s="500">
        <f t="shared" si="338"/>
        <v>0</v>
      </c>
      <c r="AD489" s="500">
        <f t="shared" si="338"/>
        <v>0</v>
      </c>
      <c r="AE489" s="500">
        <f t="shared" si="338"/>
        <v>0</v>
      </c>
      <c r="AF489" s="500">
        <f t="shared" si="338"/>
        <v>0</v>
      </c>
    </row>
    <row r="490" spans="1:32">
      <c r="A490" s="484"/>
      <c r="B490" s="280"/>
      <c r="C490" s="482" t="s">
        <v>972</v>
      </c>
      <c r="D490" s="280"/>
      <c r="E490" s="552">
        <v>0</v>
      </c>
      <c r="F490" s="505"/>
      <c r="G490" s="280"/>
      <c r="H490" s="553">
        <f>E490</f>
        <v>0</v>
      </c>
      <c r="I490" s="554">
        <f>I776-H490</f>
        <v>0</v>
      </c>
      <c r="J490" s="554">
        <f>J776</f>
        <v>0</v>
      </c>
      <c r="K490" s="554">
        <f t="shared" ref="K490:AF490" si="339">K776</f>
        <v>0</v>
      </c>
      <c r="L490" s="554">
        <f t="shared" si="339"/>
        <v>0</v>
      </c>
      <c r="M490" s="554">
        <f t="shared" si="339"/>
        <v>0</v>
      </c>
      <c r="N490" s="554">
        <f t="shared" si="339"/>
        <v>0</v>
      </c>
      <c r="O490" s="554">
        <f t="shared" si="339"/>
        <v>0</v>
      </c>
      <c r="P490" s="554">
        <f t="shared" si="339"/>
        <v>0</v>
      </c>
      <c r="Q490" s="554">
        <f t="shared" si="339"/>
        <v>0</v>
      </c>
      <c r="R490" s="554">
        <f t="shared" si="339"/>
        <v>0</v>
      </c>
      <c r="S490" s="554">
        <f t="shared" si="339"/>
        <v>0</v>
      </c>
      <c r="T490" s="554">
        <f t="shared" si="339"/>
        <v>0</v>
      </c>
      <c r="U490" s="554">
        <f t="shared" si="339"/>
        <v>0</v>
      </c>
      <c r="V490" s="554">
        <f t="shared" si="339"/>
        <v>0</v>
      </c>
      <c r="W490" s="554">
        <f t="shared" si="339"/>
        <v>0</v>
      </c>
      <c r="X490" s="554">
        <f t="shared" si="339"/>
        <v>0</v>
      </c>
      <c r="Y490" s="554">
        <f t="shared" si="339"/>
        <v>0</v>
      </c>
      <c r="Z490" s="554">
        <f t="shared" si="339"/>
        <v>0</v>
      </c>
      <c r="AA490" s="554">
        <f t="shared" si="339"/>
        <v>0</v>
      </c>
      <c r="AB490" s="554">
        <f t="shared" si="339"/>
        <v>0</v>
      </c>
      <c r="AC490" s="554">
        <f t="shared" si="339"/>
        <v>0</v>
      </c>
      <c r="AD490" s="554">
        <f t="shared" si="339"/>
        <v>0</v>
      </c>
      <c r="AE490" s="554">
        <f t="shared" si="339"/>
        <v>0</v>
      </c>
      <c r="AF490" s="554">
        <f t="shared" si="339"/>
        <v>0</v>
      </c>
    </row>
    <row r="491" spans="1:32">
      <c r="A491" s="484"/>
      <c r="B491" s="280" t="s">
        <v>5</v>
      </c>
      <c r="C491" s="280"/>
      <c r="D491" s="280"/>
      <c r="E491" s="556">
        <v>0</v>
      </c>
      <c r="F491" s="505"/>
      <c r="G491" s="280"/>
      <c r="H491" s="544">
        <v>0</v>
      </c>
      <c r="I491" s="544">
        <v>0</v>
      </c>
      <c r="J491" s="544">
        <v>0</v>
      </c>
      <c r="K491" s="544">
        <v>0</v>
      </c>
      <c r="L491" s="544">
        <v>0</v>
      </c>
      <c r="M491" s="544">
        <v>0</v>
      </c>
      <c r="N491" s="544">
        <v>0</v>
      </c>
      <c r="O491" s="544">
        <v>0</v>
      </c>
      <c r="P491" s="544">
        <v>0</v>
      </c>
      <c r="Q491" s="544">
        <v>0</v>
      </c>
      <c r="R491" s="544">
        <v>0</v>
      </c>
      <c r="S491" s="544">
        <v>0</v>
      </c>
      <c r="T491" s="544">
        <v>0</v>
      </c>
      <c r="U491" s="544">
        <v>0</v>
      </c>
      <c r="V491" s="544">
        <v>0</v>
      </c>
      <c r="W491" s="544">
        <v>0</v>
      </c>
      <c r="X491" s="544">
        <v>0</v>
      </c>
      <c r="Y491" s="544">
        <v>0</v>
      </c>
      <c r="Z491" s="544">
        <v>0</v>
      </c>
      <c r="AA491" s="544">
        <v>0</v>
      </c>
      <c r="AB491" s="544">
        <v>0</v>
      </c>
      <c r="AC491" s="544">
        <v>0</v>
      </c>
      <c r="AD491" s="544">
        <v>0</v>
      </c>
      <c r="AE491" s="544">
        <v>0</v>
      </c>
      <c r="AF491" s="544">
        <v>0</v>
      </c>
    </row>
    <row r="492" spans="1:32">
      <c r="A492" s="484"/>
      <c r="B492" s="280" t="s">
        <v>6</v>
      </c>
      <c r="C492" s="280"/>
      <c r="D492" s="280"/>
      <c r="E492" s="485">
        <v>0</v>
      </c>
      <c r="F492" s="505"/>
      <c r="G492" s="280"/>
      <c r="H492" s="544">
        <f>E492</f>
        <v>0</v>
      </c>
      <c r="I492" s="543">
        <f t="shared" ref="I492:S492" si="340">-I618</f>
        <v>0</v>
      </c>
      <c r="J492" s="543">
        <f t="shared" si="340"/>
        <v>0</v>
      </c>
      <c r="K492" s="543">
        <f t="shared" si="340"/>
        <v>0</v>
      </c>
      <c r="L492" s="543">
        <f t="shared" si="340"/>
        <v>0</v>
      </c>
      <c r="M492" s="543">
        <f t="shared" si="340"/>
        <v>0</v>
      </c>
      <c r="N492" s="543">
        <f t="shared" si="340"/>
        <v>0</v>
      </c>
      <c r="O492" s="543">
        <f t="shared" si="340"/>
        <v>0</v>
      </c>
      <c r="P492" s="543">
        <f t="shared" si="340"/>
        <v>0</v>
      </c>
      <c r="Q492" s="543">
        <f t="shared" si="340"/>
        <v>0</v>
      </c>
      <c r="R492" s="543">
        <f t="shared" si="340"/>
        <v>0</v>
      </c>
      <c r="S492" s="543">
        <f t="shared" si="340"/>
        <v>0</v>
      </c>
      <c r="T492" s="543">
        <f t="shared" ref="T492:AC492" si="341">-T618</f>
        <v>0</v>
      </c>
      <c r="U492" s="543">
        <f t="shared" si="341"/>
        <v>0</v>
      </c>
      <c r="V492" s="543">
        <f t="shared" si="341"/>
        <v>0</v>
      </c>
      <c r="W492" s="543">
        <f t="shared" si="341"/>
        <v>0</v>
      </c>
      <c r="X492" s="543">
        <f t="shared" si="341"/>
        <v>0</v>
      </c>
      <c r="Y492" s="543">
        <f t="shared" si="341"/>
        <v>0</v>
      </c>
      <c r="Z492" s="543">
        <f t="shared" si="341"/>
        <v>0</v>
      </c>
      <c r="AA492" s="543">
        <f t="shared" si="341"/>
        <v>0</v>
      </c>
      <c r="AB492" s="543">
        <f t="shared" si="341"/>
        <v>0</v>
      </c>
      <c r="AC492" s="543">
        <f t="shared" si="341"/>
        <v>0</v>
      </c>
      <c r="AD492" s="543">
        <f>-AD618</f>
        <v>0</v>
      </c>
      <c r="AE492" s="543">
        <f>-AE618</f>
        <v>0</v>
      </c>
      <c r="AF492" s="543">
        <f>-AF618</f>
        <v>0</v>
      </c>
    </row>
    <row r="493" spans="1:32">
      <c r="A493" s="484"/>
      <c r="B493" s="541" t="s">
        <v>7</v>
      </c>
      <c r="C493" s="285"/>
      <c r="D493" s="285"/>
      <c r="E493" s="486">
        <f ca="1">I503+I504</f>
        <v>774.44448</v>
      </c>
      <c r="F493" s="505"/>
      <c r="G493" s="280"/>
      <c r="H493" s="557">
        <f ca="1">E493</f>
        <v>774.44448</v>
      </c>
      <c r="I493" s="557">
        <f ca="1">+I370</f>
        <v>0</v>
      </c>
      <c r="J493" s="557">
        <f ca="1">+J370</f>
        <v>0</v>
      </c>
      <c r="K493" s="557">
        <f ca="1">+K370</f>
        <v>0</v>
      </c>
      <c r="L493" s="557">
        <f t="shared" ref="L493:AF493" ca="1" si="342">+L370</f>
        <v>0</v>
      </c>
      <c r="M493" s="557">
        <f t="shared" ca="1" si="342"/>
        <v>0</v>
      </c>
      <c r="N493" s="557">
        <f t="shared" ca="1" si="342"/>
        <v>0</v>
      </c>
      <c r="O493" s="557">
        <f t="shared" ca="1" si="342"/>
        <v>0</v>
      </c>
      <c r="P493" s="557">
        <f t="shared" ca="1" si="342"/>
        <v>0</v>
      </c>
      <c r="Q493" s="557">
        <f t="shared" ca="1" si="342"/>
        <v>0</v>
      </c>
      <c r="R493" s="557">
        <f t="shared" ca="1" si="342"/>
        <v>0</v>
      </c>
      <c r="S493" s="557">
        <f t="shared" ca="1" si="342"/>
        <v>0</v>
      </c>
      <c r="T493" s="557">
        <f t="shared" ca="1" si="342"/>
        <v>0</v>
      </c>
      <c r="U493" s="557">
        <f t="shared" ca="1" si="342"/>
        <v>0</v>
      </c>
      <c r="V493" s="557">
        <f t="shared" ca="1" si="342"/>
        <v>0</v>
      </c>
      <c r="W493" s="557">
        <f t="shared" ca="1" si="342"/>
        <v>0</v>
      </c>
      <c r="X493" s="557">
        <f t="shared" ca="1" si="342"/>
        <v>0</v>
      </c>
      <c r="Y493" s="557">
        <f t="shared" ca="1" si="342"/>
        <v>0</v>
      </c>
      <c r="Z493" s="557">
        <f t="shared" ca="1" si="342"/>
        <v>0</v>
      </c>
      <c r="AA493" s="557">
        <f t="shared" ca="1" si="342"/>
        <v>0</v>
      </c>
      <c r="AB493" s="557">
        <f t="shared" ca="1" si="342"/>
        <v>0</v>
      </c>
      <c r="AC493" s="557">
        <f t="shared" ca="1" si="342"/>
        <v>0</v>
      </c>
      <c r="AD493" s="557">
        <f t="shared" ca="1" si="342"/>
        <v>0</v>
      </c>
      <c r="AE493" s="557">
        <f t="shared" ca="1" si="342"/>
        <v>0</v>
      </c>
      <c r="AF493" s="557">
        <f t="shared" ca="1" si="342"/>
        <v>0</v>
      </c>
    </row>
    <row r="494" spans="1:32">
      <c r="A494" s="484"/>
      <c r="B494" s="558" t="s">
        <v>8</v>
      </c>
      <c r="C494" s="285"/>
      <c r="D494" s="285"/>
      <c r="E494" s="543">
        <f ca="1">E485-SUM(E488:E493)</f>
        <v>79725.555519999994</v>
      </c>
      <c r="F494" s="505"/>
      <c r="G494" s="280"/>
      <c r="H494" s="543">
        <f t="shared" ref="H494:S494" ca="1" si="343">H485-SUM(H488:H493)</f>
        <v>79725.555519999994</v>
      </c>
      <c r="I494" s="543">
        <f t="shared" ca="1" si="343"/>
        <v>0</v>
      </c>
      <c r="J494" s="543">
        <f t="shared" ca="1" si="343"/>
        <v>0</v>
      </c>
      <c r="K494" s="543">
        <f ca="1">K485-SUM(K488:K493)</f>
        <v>0</v>
      </c>
      <c r="L494" s="543">
        <f t="shared" ca="1" si="343"/>
        <v>0</v>
      </c>
      <c r="M494" s="543">
        <f t="shared" ca="1" si="343"/>
        <v>-1331.9046155778003</v>
      </c>
      <c r="N494" s="543">
        <f t="shared" ca="1" si="343"/>
        <v>0</v>
      </c>
      <c r="O494" s="543">
        <f t="shared" ca="1" si="343"/>
        <v>0</v>
      </c>
      <c r="P494" s="543">
        <f t="shared" ca="1" si="343"/>
        <v>0</v>
      </c>
      <c r="Q494" s="543">
        <f t="shared" ca="1" si="343"/>
        <v>-4611.7398197956873</v>
      </c>
      <c r="R494" s="543">
        <f t="shared" ca="1" si="343"/>
        <v>0</v>
      </c>
      <c r="S494" s="543">
        <f t="shared" ca="1" si="343"/>
        <v>0</v>
      </c>
      <c r="T494" s="543">
        <f t="shared" ref="T494:AC494" ca="1" si="344">T485-SUM(T488:T493)</f>
        <v>0</v>
      </c>
      <c r="U494" s="543">
        <f t="shared" ca="1" si="344"/>
        <v>-1870.6553139776611</v>
      </c>
      <c r="V494" s="543">
        <f t="shared" ca="1" si="344"/>
        <v>0</v>
      </c>
      <c r="W494" s="543">
        <f t="shared" ca="1" si="344"/>
        <v>0</v>
      </c>
      <c r="X494" s="543">
        <f t="shared" ca="1" si="344"/>
        <v>0</v>
      </c>
      <c r="Y494" s="543">
        <f t="shared" ca="1" si="344"/>
        <v>-6463.75753668992</v>
      </c>
      <c r="Z494" s="543">
        <f t="shared" ca="1" si="344"/>
        <v>0</v>
      </c>
      <c r="AA494" s="543">
        <f t="shared" ca="1" si="344"/>
        <v>0</v>
      </c>
      <c r="AB494" s="543">
        <f t="shared" ca="1" si="344"/>
        <v>0</v>
      </c>
      <c r="AC494" s="543">
        <f t="shared" ca="1" si="344"/>
        <v>0</v>
      </c>
      <c r="AD494" s="543">
        <f ca="1">AD485-SUM(AD488:AD493)</f>
        <v>0</v>
      </c>
      <c r="AE494" s="543">
        <f ca="1">AE485-SUM(AE488:AE493)</f>
        <v>0</v>
      </c>
      <c r="AF494" s="543">
        <f ca="1">AF485-SUM(AF488:AF493)</f>
        <v>0</v>
      </c>
    </row>
    <row r="495" spans="1:32">
      <c r="A495" s="484"/>
      <c r="B495" s="285"/>
      <c r="C495" s="285"/>
      <c r="D495" s="285"/>
      <c r="E495" s="486"/>
      <c r="F495" s="505"/>
      <c r="G495" s="280"/>
      <c r="H495" s="285"/>
      <c r="I495" s="285"/>
      <c r="J495" s="285"/>
      <c r="K495" s="285"/>
      <c r="L495" s="285"/>
      <c r="M495" s="285"/>
      <c r="N495" s="285"/>
      <c r="O495" s="285"/>
      <c r="P495" s="285"/>
      <c r="Q495" s="285"/>
      <c r="R495" s="285"/>
      <c r="S495" s="285"/>
      <c r="T495" s="285"/>
      <c r="U495" s="285"/>
      <c r="V495" s="285"/>
      <c r="W495" s="285"/>
      <c r="X495" s="285"/>
      <c r="Y495" s="285"/>
      <c r="Z495" s="285"/>
      <c r="AA495" s="285"/>
      <c r="AB495" s="285"/>
      <c r="AC495" s="285"/>
      <c r="AD495" s="285"/>
      <c r="AE495" s="285"/>
      <c r="AF495" s="285"/>
    </row>
    <row r="496" spans="1:32">
      <c r="A496" s="484"/>
      <c r="B496" s="491" t="s">
        <v>9</v>
      </c>
      <c r="C496" s="285"/>
      <c r="D496" s="285"/>
      <c r="E496" s="486">
        <f ca="1">SUM(E488:E495)</f>
        <v>80500</v>
      </c>
      <c r="F496" s="505"/>
      <c r="G496" s="280"/>
      <c r="H496" s="520">
        <f t="shared" ref="H496:S496" ca="1" si="345">SUM(H488:H495)</f>
        <v>80500</v>
      </c>
      <c r="I496" s="520">
        <f t="shared" ca="1" si="345"/>
        <v>0</v>
      </c>
      <c r="J496" s="520">
        <f t="shared" ca="1" si="345"/>
        <v>0</v>
      </c>
      <c r="K496" s="520">
        <f t="shared" ca="1" si="345"/>
        <v>0</v>
      </c>
      <c r="L496" s="520">
        <f t="shared" ca="1" si="345"/>
        <v>0</v>
      </c>
      <c r="M496" s="520">
        <f t="shared" ca="1" si="345"/>
        <v>0</v>
      </c>
      <c r="N496" s="520">
        <f t="shared" ca="1" si="345"/>
        <v>0</v>
      </c>
      <c r="O496" s="520">
        <f t="shared" ca="1" si="345"/>
        <v>0</v>
      </c>
      <c r="P496" s="520">
        <f t="shared" ca="1" si="345"/>
        <v>0</v>
      </c>
      <c r="Q496" s="520">
        <f t="shared" ca="1" si="345"/>
        <v>0</v>
      </c>
      <c r="R496" s="520">
        <f t="shared" ca="1" si="345"/>
        <v>0</v>
      </c>
      <c r="S496" s="520">
        <f t="shared" ca="1" si="345"/>
        <v>0</v>
      </c>
      <c r="T496" s="520">
        <f t="shared" ref="T496:AC496" ca="1" si="346">SUM(T488:T495)</f>
        <v>0</v>
      </c>
      <c r="U496" s="520">
        <f t="shared" ca="1" si="346"/>
        <v>0</v>
      </c>
      <c r="V496" s="520">
        <f t="shared" ca="1" si="346"/>
        <v>0</v>
      </c>
      <c r="W496" s="520">
        <f t="shared" ca="1" si="346"/>
        <v>0</v>
      </c>
      <c r="X496" s="520">
        <f t="shared" ca="1" si="346"/>
        <v>0</v>
      </c>
      <c r="Y496" s="520">
        <f t="shared" ca="1" si="346"/>
        <v>0</v>
      </c>
      <c r="Z496" s="520">
        <f t="shared" ca="1" si="346"/>
        <v>0</v>
      </c>
      <c r="AA496" s="520">
        <f t="shared" ca="1" si="346"/>
        <v>0</v>
      </c>
      <c r="AB496" s="520">
        <f t="shared" ca="1" si="346"/>
        <v>0</v>
      </c>
      <c r="AC496" s="520">
        <f t="shared" ca="1" si="346"/>
        <v>0</v>
      </c>
      <c r="AD496" s="520">
        <f ca="1">SUM(AD488:AD495)</f>
        <v>0</v>
      </c>
      <c r="AE496" s="520">
        <f ca="1">SUM(AE488:AE495)</f>
        <v>0</v>
      </c>
      <c r="AF496" s="520">
        <f ca="1">SUM(AF488:AF495)</f>
        <v>0</v>
      </c>
    </row>
    <row r="497" spans="1:32">
      <c r="A497" s="484"/>
      <c r="B497" s="471"/>
      <c r="C497" s="559" t="s">
        <v>10</v>
      </c>
      <c r="D497" s="285"/>
      <c r="E497" s="192">
        <f ca="1">E496-E485</f>
        <v>0</v>
      </c>
      <c r="F497" s="505"/>
      <c r="G497" s="280"/>
      <c r="H497" s="192">
        <f t="shared" ref="H497:S497" ca="1" si="347">H496-H485</f>
        <v>0</v>
      </c>
      <c r="I497" s="192">
        <f t="shared" ca="1" si="347"/>
        <v>0</v>
      </c>
      <c r="J497" s="192">
        <f t="shared" ca="1" si="347"/>
        <v>0</v>
      </c>
      <c r="K497" s="192">
        <f t="shared" ca="1" si="347"/>
        <v>0</v>
      </c>
      <c r="L497" s="192">
        <f t="shared" ca="1" si="347"/>
        <v>0</v>
      </c>
      <c r="M497" s="192">
        <f t="shared" ca="1" si="347"/>
        <v>0</v>
      </c>
      <c r="N497" s="192">
        <f t="shared" ca="1" si="347"/>
        <v>0</v>
      </c>
      <c r="O497" s="192">
        <f t="shared" ca="1" si="347"/>
        <v>0</v>
      </c>
      <c r="P497" s="192">
        <f t="shared" ca="1" si="347"/>
        <v>0</v>
      </c>
      <c r="Q497" s="192">
        <f t="shared" ca="1" si="347"/>
        <v>0</v>
      </c>
      <c r="R497" s="192">
        <f t="shared" ca="1" si="347"/>
        <v>0</v>
      </c>
      <c r="S497" s="192">
        <f t="shared" ca="1" si="347"/>
        <v>0</v>
      </c>
      <c r="T497" s="192">
        <f t="shared" ref="T497:AC497" ca="1" si="348">T496-T485</f>
        <v>0</v>
      </c>
      <c r="U497" s="192">
        <f t="shared" ca="1" si="348"/>
        <v>0</v>
      </c>
      <c r="V497" s="192">
        <f t="shared" ca="1" si="348"/>
        <v>0</v>
      </c>
      <c r="W497" s="192">
        <f t="shared" ca="1" si="348"/>
        <v>0</v>
      </c>
      <c r="X497" s="192">
        <f t="shared" ca="1" si="348"/>
        <v>0</v>
      </c>
      <c r="Y497" s="192">
        <f t="shared" ca="1" si="348"/>
        <v>0</v>
      </c>
      <c r="Z497" s="192">
        <f t="shared" ca="1" si="348"/>
        <v>0</v>
      </c>
      <c r="AA497" s="192">
        <f t="shared" ca="1" si="348"/>
        <v>0</v>
      </c>
      <c r="AB497" s="192">
        <f t="shared" ca="1" si="348"/>
        <v>0</v>
      </c>
      <c r="AC497" s="192">
        <f t="shared" ca="1" si="348"/>
        <v>0</v>
      </c>
      <c r="AD497" s="192">
        <f ca="1">AD496-AD485</f>
        <v>0</v>
      </c>
      <c r="AE497" s="192">
        <f ca="1">AE496-AE485</f>
        <v>0</v>
      </c>
      <c r="AF497" s="192">
        <f ca="1">AF496-AF485</f>
        <v>0</v>
      </c>
    </row>
    <row r="498" spans="1:32">
      <c r="A498" s="484"/>
      <c r="B498" s="280"/>
      <c r="C498" s="280"/>
      <c r="D498" s="280"/>
      <c r="E498" s="280"/>
      <c r="F498" s="505"/>
      <c r="G498" s="280"/>
      <c r="H498" s="285"/>
      <c r="I498" s="285"/>
      <c r="J498" s="285"/>
      <c r="K498" s="285"/>
      <c r="L498" s="285"/>
      <c r="M498" s="285"/>
      <c r="N498" s="285"/>
      <c r="O498" s="285"/>
      <c r="P498" s="285"/>
      <c r="Q498" s="285"/>
      <c r="R498" s="285"/>
      <c r="S498" s="285"/>
      <c r="T498" s="285"/>
      <c r="U498" s="285"/>
      <c r="V498" s="285"/>
      <c r="W498" s="285"/>
      <c r="X498" s="285"/>
      <c r="Y498" s="285"/>
      <c r="Z498" s="285"/>
      <c r="AA498" s="285"/>
      <c r="AB498" s="285"/>
      <c r="AC498" s="285"/>
      <c r="AD498" s="285"/>
      <c r="AE498" s="285"/>
      <c r="AF498" s="285"/>
    </row>
    <row r="499" spans="1:32" ht="10.8" thickBot="1">
      <c r="A499" s="484"/>
      <c r="B499" s="285"/>
      <c r="C499" s="285"/>
      <c r="D499" s="285"/>
      <c r="E499" s="285"/>
      <c r="F499" s="285"/>
      <c r="G499" s="285"/>
      <c r="H499" s="285"/>
      <c r="I499" s="285"/>
      <c r="J499" s="285"/>
      <c r="K499" s="285"/>
      <c r="L499" s="285"/>
      <c r="M499" s="285"/>
      <c r="N499" s="285"/>
      <c r="O499" s="285"/>
      <c r="P499" s="285"/>
      <c r="Q499" s="285"/>
      <c r="R499" s="285"/>
      <c r="S499" s="285"/>
      <c r="T499" s="285"/>
      <c r="U499" s="285"/>
      <c r="V499" s="285"/>
      <c r="W499" s="285"/>
      <c r="X499" s="285"/>
      <c r="Y499" s="285"/>
      <c r="Z499" s="285"/>
      <c r="AA499" s="285"/>
      <c r="AB499" s="285"/>
      <c r="AC499" s="285"/>
      <c r="AD499" s="285"/>
      <c r="AE499" s="285"/>
      <c r="AF499" s="285"/>
    </row>
    <row r="500" spans="1:32" ht="11.4" thickTop="1" thickBot="1">
      <c r="A500" s="533"/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57"/>
      <c r="M500" s="457"/>
      <c r="N500" s="457"/>
      <c r="O500" s="457"/>
      <c r="P500" s="457"/>
      <c r="Q500" s="457"/>
      <c r="R500" s="457"/>
      <c r="S500" s="457"/>
      <c r="T500" s="457"/>
      <c r="U500" s="457"/>
      <c r="V500" s="457"/>
      <c r="W500" s="457"/>
      <c r="X500" s="457"/>
      <c r="Y500" s="457"/>
      <c r="Z500" s="457"/>
      <c r="AA500" s="457"/>
      <c r="AB500" s="457"/>
      <c r="AC500" s="457"/>
      <c r="AD500" s="457"/>
      <c r="AE500" s="457"/>
      <c r="AF500" s="457"/>
    </row>
    <row r="501" spans="1:32" ht="11.4" thickTop="1" thickBot="1">
      <c r="A501" s="385" t="s">
        <v>11</v>
      </c>
      <c r="B501" s="285"/>
      <c r="C501" s="1297"/>
      <c r="D501" s="285"/>
      <c r="E501" s="282"/>
      <c r="F501" s="560" t="s">
        <v>17</v>
      </c>
      <c r="G501" s="561" t="s">
        <v>18</v>
      </c>
      <c r="H501" s="562"/>
      <c r="I501" s="285"/>
      <c r="J501" s="285"/>
      <c r="K501" s="285"/>
      <c r="L501" s="285"/>
      <c r="M501" s="285"/>
      <c r="N501" s="285"/>
      <c r="O501" s="285"/>
      <c r="P501" s="285"/>
      <c r="Q501" s="285"/>
      <c r="R501" s="285"/>
      <c r="S501" s="285"/>
      <c r="T501" s="285"/>
      <c r="U501" s="285"/>
      <c r="V501" s="285"/>
      <c r="W501" s="285"/>
      <c r="X501" s="285"/>
      <c r="Y501" s="285"/>
      <c r="Z501" s="285"/>
      <c r="AA501" s="285"/>
      <c r="AB501" s="285"/>
      <c r="AC501" s="285"/>
      <c r="AD501" s="285"/>
      <c r="AE501" s="285"/>
      <c r="AF501" s="285"/>
    </row>
    <row r="502" spans="1:32" ht="11.4" thickTop="1" thickBot="1">
      <c r="A502" s="484"/>
      <c r="B502" s="285"/>
      <c r="C502" s="563" t="s">
        <v>19</v>
      </c>
      <c r="D502" s="285"/>
      <c r="E502" s="563" t="s">
        <v>901</v>
      </c>
      <c r="F502" s="564" t="s">
        <v>20</v>
      </c>
      <c r="G502" s="565" t="s">
        <v>21</v>
      </c>
      <c r="H502" s="566"/>
      <c r="I502" s="567">
        <f>I$638</f>
        <v>36525</v>
      </c>
      <c r="J502" s="568">
        <f t="shared" ref="J502:AF502" si="349">J$638</f>
        <v>36891</v>
      </c>
      <c r="K502" s="568">
        <f t="shared" si="349"/>
        <v>37256</v>
      </c>
      <c r="L502" s="568">
        <f t="shared" si="349"/>
        <v>37621</v>
      </c>
      <c r="M502" s="568">
        <f t="shared" si="349"/>
        <v>37986</v>
      </c>
      <c r="N502" s="568">
        <f t="shared" si="349"/>
        <v>38352</v>
      </c>
      <c r="O502" s="568">
        <f t="shared" si="349"/>
        <v>38717</v>
      </c>
      <c r="P502" s="568">
        <f t="shared" si="349"/>
        <v>39082</v>
      </c>
      <c r="Q502" s="568">
        <f t="shared" si="349"/>
        <v>39447</v>
      </c>
      <c r="R502" s="568">
        <f t="shared" si="349"/>
        <v>39813</v>
      </c>
      <c r="S502" s="568">
        <f t="shared" si="349"/>
        <v>40178</v>
      </c>
      <c r="T502" s="568">
        <f t="shared" si="349"/>
        <v>40543</v>
      </c>
      <c r="U502" s="568">
        <f t="shared" si="349"/>
        <v>40908</v>
      </c>
      <c r="V502" s="568">
        <f t="shared" si="349"/>
        <v>41274</v>
      </c>
      <c r="W502" s="568">
        <f t="shared" si="349"/>
        <v>41639</v>
      </c>
      <c r="X502" s="568">
        <f t="shared" si="349"/>
        <v>42004</v>
      </c>
      <c r="Y502" s="568">
        <f t="shared" si="349"/>
        <v>42369</v>
      </c>
      <c r="Z502" s="568">
        <f t="shared" si="349"/>
        <v>42735</v>
      </c>
      <c r="AA502" s="568">
        <f t="shared" si="349"/>
        <v>43100</v>
      </c>
      <c r="AB502" s="568">
        <f t="shared" si="349"/>
        <v>43465</v>
      </c>
      <c r="AC502" s="568">
        <f t="shared" si="349"/>
        <v>43830</v>
      </c>
      <c r="AD502" s="568">
        <f t="shared" si="349"/>
        <v>44196</v>
      </c>
      <c r="AE502" s="568">
        <f t="shared" si="349"/>
        <v>44561</v>
      </c>
      <c r="AF502" s="568">
        <f t="shared" si="349"/>
        <v>44926</v>
      </c>
    </row>
    <row r="503" spans="1:32" ht="10.8" thickTop="1">
      <c r="A503" s="484" t="s">
        <v>22</v>
      </c>
      <c r="B503" s="285"/>
      <c r="C503" s="285"/>
      <c r="D503" s="285"/>
      <c r="E503" s="472">
        <v>0</v>
      </c>
      <c r="F503" s="190" t="s">
        <v>23</v>
      </c>
      <c r="G503" s="471"/>
      <c r="H503" s="190" t="s">
        <v>24</v>
      </c>
      <c r="I503" s="569">
        <v>0</v>
      </c>
      <c r="J503" s="285"/>
      <c r="K503" s="285"/>
      <c r="L503" s="285"/>
      <c r="M503" s="285"/>
      <c r="N503" s="285"/>
      <c r="O503" s="285"/>
      <c r="P503" s="285"/>
      <c r="Q503" s="285"/>
      <c r="R503" s="285"/>
      <c r="S503" s="285"/>
      <c r="T503" s="285"/>
      <c r="U503" s="285"/>
      <c r="V503" s="285"/>
      <c r="W503" s="285"/>
      <c r="X503" s="285"/>
      <c r="Y503" s="285"/>
      <c r="Z503" s="285"/>
      <c r="AA503" s="285"/>
      <c r="AB503" s="285"/>
      <c r="AC503" s="285"/>
      <c r="AD503" s="285"/>
      <c r="AE503" s="285"/>
      <c r="AF503" s="285"/>
    </row>
    <row r="504" spans="1:32">
      <c r="A504" s="484" t="s">
        <v>25</v>
      </c>
      <c r="B504" s="285"/>
      <c r="C504" s="285"/>
      <c r="D504" s="285"/>
      <c r="E504" s="1118">
        <f>Summary!E91</f>
        <v>0</v>
      </c>
      <c r="F504" s="190">
        <f>Summary!E114</f>
        <v>15</v>
      </c>
      <c r="G504" s="471"/>
      <c r="H504" s="190" t="s">
        <v>26</v>
      </c>
      <c r="I504" s="569">
        <f ca="1">E509-I503</f>
        <v>774.44448</v>
      </c>
      <c r="J504" s="285"/>
      <c r="K504" s="285"/>
      <c r="L504" s="285"/>
      <c r="M504" s="285"/>
      <c r="N504" s="285"/>
      <c r="O504" s="285"/>
      <c r="P504" s="285"/>
      <c r="Q504" s="285"/>
      <c r="R504" s="285"/>
      <c r="S504" s="285"/>
      <c r="T504" s="285"/>
      <c r="U504" s="285"/>
      <c r="V504" s="285"/>
      <c r="W504" s="285"/>
      <c r="X504" s="285"/>
      <c r="Y504" s="285"/>
      <c r="Z504" s="285"/>
      <c r="AA504" s="285"/>
      <c r="AB504" s="285"/>
      <c r="AC504" s="285"/>
      <c r="AD504" s="285"/>
      <c r="AE504" s="285"/>
      <c r="AF504" s="285"/>
    </row>
    <row r="505" spans="1:32">
      <c r="A505" s="484" t="s">
        <v>27</v>
      </c>
      <c r="B505" s="285"/>
      <c r="C505" s="285"/>
      <c r="D505" s="285"/>
      <c r="E505" s="285"/>
      <c r="F505" s="285"/>
      <c r="G505" s="471"/>
      <c r="H505" s="190" t="s">
        <v>631</v>
      </c>
      <c r="I505" s="1226">
        <v>0.05</v>
      </c>
      <c r="J505" s="1226">
        <v>9.5000000000000001E-2</v>
      </c>
      <c r="K505" s="1226">
        <v>8.5500000000000007E-2</v>
      </c>
      <c r="L505" s="1226">
        <v>7.6999999999999999E-2</v>
      </c>
      <c r="M505" s="1226">
        <v>6.93E-2</v>
      </c>
      <c r="N505" s="1226">
        <v>6.2300000000000001E-2</v>
      </c>
      <c r="O505" s="1226">
        <v>5.8999999999999997E-2</v>
      </c>
      <c r="P505" s="1226">
        <v>5.8999999999999997E-2</v>
      </c>
      <c r="Q505" s="1226">
        <v>5.91E-2</v>
      </c>
      <c r="R505" s="1226">
        <v>5.8999999999999997E-2</v>
      </c>
      <c r="S505" s="1226">
        <v>5.91E-2</v>
      </c>
      <c r="T505" s="1226">
        <v>5.8999999999999997E-2</v>
      </c>
      <c r="U505" s="1226">
        <v>5.91E-2</v>
      </c>
      <c r="V505" s="1226">
        <v>5.8999999999999997E-2</v>
      </c>
      <c r="W505" s="1226">
        <v>5.91E-2</v>
      </c>
      <c r="X505" s="1226">
        <v>2.9499999999999998E-2</v>
      </c>
      <c r="Y505" s="285"/>
      <c r="Z505" s="285"/>
      <c r="AA505" s="285"/>
      <c r="AB505" s="285"/>
      <c r="AC505" s="285"/>
      <c r="AD505" s="285"/>
      <c r="AE505" s="285"/>
      <c r="AF505" s="285"/>
    </row>
    <row r="506" spans="1:32">
      <c r="A506" s="484" t="str">
        <f>"    "&amp;B481</f>
        <v xml:space="preserve">    Purchase Term Loan</v>
      </c>
      <c r="B506" s="285"/>
      <c r="C506" s="570">
        <f>Summary!E113</f>
        <v>1.4999999999999999E-2</v>
      </c>
      <c r="D506" s="285"/>
      <c r="E506" s="285">
        <f ca="1">450+(E481+Summary!$E$103+Summary!$E$104)*0.0025+0.004*(15000)+0.0025*(E481+Summary!$E$103+Summary!$E$104-15000)</f>
        <v>774.44448</v>
      </c>
      <c r="F506" s="1119">
        <f>Summary!$E$114</f>
        <v>15</v>
      </c>
      <c r="G506" s="285"/>
      <c r="H506" s="190" t="s">
        <v>680</v>
      </c>
      <c r="I506" s="285">
        <f ca="1">$I$504/15</f>
        <v>51.629632000000001</v>
      </c>
      <c r="J506" s="285">
        <f t="shared" ref="J506:W506" ca="1" si="350">$I$504/15</f>
        <v>51.629632000000001</v>
      </c>
      <c r="K506" s="285">
        <f t="shared" ca="1" si="350"/>
        <v>51.629632000000001</v>
      </c>
      <c r="L506" s="285">
        <f t="shared" ca="1" si="350"/>
        <v>51.629632000000001</v>
      </c>
      <c r="M506" s="285">
        <f t="shared" ca="1" si="350"/>
        <v>51.629632000000001</v>
      </c>
      <c r="N506" s="285">
        <f t="shared" ca="1" si="350"/>
        <v>51.629632000000001</v>
      </c>
      <c r="O506" s="285">
        <f t="shared" ca="1" si="350"/>
        <v>51.629632000000001</v>
      </c>
      <c r="P506" s="285">
        <f t="shared" ca="1" si="350"/>
        <v>51.629632000000001</v>
      </c>
      <c r="Q506" s="285">
        <f t="shared" ca="1" si="350"/>
        <v>51.629632000000001</v>
      </c>
      <c r="R506" s="285">
        <f t="shared" ca="1" si="350"/>
        <v>51.629632000000001</v>
      </c>
      <c r="S506" s="285">
        <f t="shared" ca="1" si="350"/>
        <v>51.629632000000001</v>
      </c>
      <c r="T506" s="285">
        <f t="shared" ca="1" si="350"/>
        <v>51.629632000000001</v>
      </c>
      <c r="U506" s="285">
        <f t="shared" ca="1" si="350"/>
        <v>51.629632000000001</v>
      </c>
      <c r="V506" s="285">
        <f t="shared" ca="1" si="350"/>
        <v>51.629632000000001</v>
      </c>
      <c r="W506" s="285">
        <f t="shared" ca="1" si="350"/>
        <v>51.629632000000001</v>
      </c>
      <c r="X506" s="285"/>
      <c r="Y506" s="285"/>
      <c r="Z506" s="285"/>
      <c r="AA506" s="285"/>
      <c r="AB506" s="285"/>
      <c r="AC506" s="285"/>
      <c r="AD506" s="285"/>
      <c r="AE506" s="285"/>
      <c r="AF506" s="285"/>
    </row>
    <row r="507" spans="1:32">
      <c r="A507" s="484" t="str">
        <f>"    "&amp;B482</f>
        <v xml:space="preserve">    Other Term Loan</v>
      </c>
      <c r="B507" s="285"/>
      <c r="C507" s="570">
        <v>0</v>
      </c>
      <c r="D507" s="285"/>
      <c r="E507" s="285">
        <f>C507*SUM(H482:S482)</f>
        <v>0</v>
      </c>
      <c r="F507" s="1119">
        <f>Summary!$E$114</f>
        <v>15</v>
      </c>
      <c r="G507" s="285"/>
      <c r="H507" s="285"/>
      <c r="I507" s="876">
        <v>0</v>
      </c>
      <c r="J507" s="876">
        <v>0</v>
      </c>
      <c r="K507" s="876">
        <v>0</v>
      </c>
      <c r="L507" s="876">
        <v>0</v>
      </c>
      <c r="M507" s="876">
        <v>0</v>
      </c>
      <c r="N507" s="876">
        <v>0</v>
      </c>
      <c r="O507" s="876">
        <v>0</v>
      </c>
      <c r="P507" s="876">
        <v>0</v>
      </c>
      <c r="Q507" s="876">
        <v>0</v>
      </c>
      <c r="R507" s="876">
        <v>0</v>
      </c>
      <c r="S507" s="876">
        <v>0</v>
      </c>
      <c r="T507" s="876">
        <v>0</v>
      </c>
      <c r="U507" s="876">
        <v>0</v>
      </c>
      <c r="V507" s="876">
        <v>0</v>
      </c>
      <c r="W507" s="876">
        <v>0</v>
      </c>
      <c r="X507" s="876">
        <v>0</v>
      </c>
      <c r="Y507" s="285"/>
      <c r="Z507" s="285"/>
      <c r="AA507" s="285"/>
      <c r="AB507" s="285"/>
      <c r="AC507" s="285"/>
      <c r="AD507" s="285"/>
      <c r="AE507" s="285"/>
      <c r="AF507" s="285"/>
    </row>
    <row r="508" spans="1:32">
      <c r="A508" s="484" t="str">
        <f>"    "&amp;B483</f>
        <v xml:space="preserve">    Common Stock</v>
      </c>
      <c r="B508" s="285"/>
      <c r="C508" s="570">
        <v>0</v>
      </c>
      <c r="D508" s="285"/>
      <c r="E508" s="285">
        <f ca="1">C508*SUM(H483:S483)</f>
        <v>0</v>
      </c>
      <c r="F508" s="190" t="s">
        <v>23</v>
      </c>
      <c r="G508" s="285"/>
      <c r="H508" s="285"/>
      <c r="I508" s="876">
        <v>0</v>
      </c>
      <c r="J508" s="876">
        <v>0</v>
      </c>
      <c r="K508" s="876">
        <v>0</v>
      </c>
      <c r="L508" s="876">
        <v>0</v>
      </c>
      <c r="M508" s="876">
        <v>0</v>
      </c>
      <c r="N508" s="876">
        <v>0</v>
      </c>
      <c r="O508" s="876">
        <v>0</v>
      </c>
      <c r="P508" s="876">
        <v>0</v>
      </c>
      <c r="Q508" s="876">
        <v>0</v>
      </c>
      <c r="R508" s="876">
        <v>0</v>
      </c>
      <c r="S508" s="876">
        <v>0</v>
      </c>
      <c r="T508" s="876">
        <v>0</v>
      </c>
      <c r="U508" s="876">
        <v>0</v>
      </c>
      <c r="V508" s="876">
        <v>0</v>
      </c>
      <c r="W508" s="876">
        <v>0</v>
      </c>
      <c r="X508" s="876">
        <v>0</v>
      </c>
      <c r="Z508" s="285"/>
      <c r="AA508" s="285"/>
      <c r="AB508" s="285"/>
      <c r="AC508" s="285"/>
      <c r="AD508" s="285"/>
      <c r="AE508" s="285"/>
      <c r="AF508" s="285"/>
    </row>
    <row r="509" spans="1:32" ht="10.8" thickBot="1">
      <c r="A509" s="484" t="s">
        <v>29</v>
      </c>
      <c r="B509" s="285"/>
      <c r="C509" s="484" t="s">
        <v>720</v>
      </c>
      <c r="D509" s="285"/>
      <c r="E509" s="512">
        <f ca="1">SUM(E503:E508)</f>
        <v>774.44448</v>
      </c>
      <c r="F509" s="285"/>
      <c r="G509" s="484" t="s">
        <v>1018</v>
      </c>
      <c r="H509" s="285"/>
      <c r="I509" s="512">
        <f ca="1">SUM(I506:I508)</f>
        <v>51.629632000000001</v>
      </c>
      <c r="J509" s="512">
        <f t="shared" ref="J509:X509" ca="1" si="351">SUM(J506:J508)</f>
        <v>51.629632000000001</v>
      </c>
      <c r="K509" s="512">
        <f t="shared" ca="1" si="351"/>
        <v>51.629632000000001</v>
      </c>
      <c r="L509" s="512">
        <f t="shared" ca="1" si="351"/>
        <v>51.629632000000001</v>
      </c>
      <c r="M509" s="512">
        <f t="shared" ca="1" si="351"/>
        <v>51.629632000000001</v>
      </c>
      <c r="N509" s="512">
        <f t="shared" ca="1" si="351"/>
        <v>51.629632000000001</v>
      </c>
      <c r="O509" s="512">
        <f t="shared" ca="1" si="351"/>
        <v>51.629632000000001</v>
      </c>
      <c r="P509" s="512">
        <f t="shared" ca="1" si="351"/>
        <v>51.629632000000001</v>
      </c>
      <c r="Q509" s="512">
        <f t="shared" ca="1" si="351"/>
        <v>51.629632000000001</v>
      </c>
      <c r="R509" s="512">
        <f t="shared" ca="1" si="351"/>
        <v>51.629632000000001</v>
      </c>
      <c r="S509" s="512">
        <f t="shared" ca="1" si="351"/>
        <v>51.629632000000001</v>
      </c>
      <c r="T509" s="512">
        <f t="shared" ca="1" si="351"/>
        <v>51.629632000000001</v>
      </c>
      <c r="U509" s="512">
        <f t="shared" ca="1" si="351"/>
        <v>51.629632000000001</v>
      </c>
      <c r="V509" s="512">
        <f t="shared" ca="1" si="351"/>
        <v>51.629632000000001</v>
      </c>
      <c r="W509" s="512">
        <f t="shared" ca="1" si="351"/>
        <v>51.629632000000001</v>
      </c>
      <c r="X509" s="512">
        <f t="shared" si="351"/>
        <v>0</v>
      </c>
      <c r="Y509" s="285"/>
      <c r="Z509" s="285"/>
      <c r="AA509" s="285"/>
      <c r="AB509" s="285"/>
      <c r="AC509" s="285"/>
      <c r="AD509" s="285"/>
      <c r="AE509" s="285"/>
      <c r="AF509" s="285"/>
    </row>
    <row r="510" spans="1:32" ht="10.8" thickTop="1">
      <c r="A510" s="484"/>
      <c r="B510" s="285"/>
      <c r="C510" s="484"/>
      <c r="D510" s="285"/>
      <c r="E510" s="282"/>
      <c r="F510" s="285"/>
      <c r="G510" s="484"/>
      <c r="H510" s="285"/>
      <c r="I510" s="282"/>
      <c r="J510" s="282"/>
      <c r="K510" s="282"/>
      <c r="L510" s="282"/>
      <c r="M510" s="282"/>
      <c r="N510" s="282"/>
      <c r="O510" s="282"/>
      <c r="P510" s="282"/>
      <c r="Q510" s="282"/>
      <c r="R510" s="282"/>
      <c r="S510" s="282"/>
      <c r="T510" s="285"/>
      <c r="U510" s="285"/>
      <c r="V510" s="285"/>
      <c r="W510" s="285"/>
      <c r="X510" s="285"/>
      <c r="Y510" s="285"/>
      <c r="Z510" s="285"/>
      <c r="AA510" s="285"/>
      <c r="AB510" s="285"/>
      <c r="AC510" s="285"/>
      <c r="AD510" s="285"/>
      <c r="AE510" s="285"/>
      <c r="AF510" s="285"/>
    </row>
    <row r="511" spans="1:32" ht="10.8" thickBot="1">
      <c r="A511" s="484"/>
      <c r="B511" s="285"/>
      <c r="C511" s="484"/>
      <c r="D511" s="285"/>
      <c r="E511" s="282"/>
      <c r="F511" s="285"/>
      <c r="G511" s="484"/>
      <c r="H511" s="285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  <c r="AC511" s="282"/>
      <c r="AD511" s="282"/>
      <c r="AE511" s="282"/>
      <c r="AF511" s="282"/>
    </row>
    <row r="512" spans="1:32" ht="10.8" thickTop="1">
      <c r="A512" s="533"/>
      <c r="B512" s="457"/>
      <c r="C512" s="533"/>
      <c r="D512" s="457"/>
      <c r="E512" s="457"/>
      <c r="F512" s="457"/>
      <c r="G512" s="533"/>
      <c r="H512" s="457"/>
      <c r="I512" s="457"/>
      <c r="J512" s="457"/>
      <c r="K512" s="457"/>
      <c r="L512" s="457"/>
      <c r="M512" s="457"/>
      <c r="N512" s="457"/>
      <c r="O512" s="457"/>
      <c r="P512" s="457"/>
      <c r="Q512" s="457"/>
      <c r="R512" s="457"/>
      <c r="S512" s="457"/>
      <c r="T512" s="457"/>
      <c r="U512" s="457"/>
      <c r="V512" s="457"/>
      <c r="W512" s="457"/>
      <c r="X512" s="457"/>
      <c r="Y512" s="457"/>
      <c r="Z512" s="457"/>
      <c r="AA512" s="457"/>
      <c r="AB512" s="457"/>
      <c r="AC512" s="457"/>
      <c r="AD512" s="457"/>
      <c r="AE512" s="457"/>
      <c r="AF512" s="457"/>
    </row>
    <row r="513" spans="1:32" ht="16.2" thickBot="1">
      <c r="A513" s="1686" t="s">
        <v>30</v>
      </c>
      <c r="B513" s="285"/>
      <c r="C513" s="285"/>
      <c r="D513" s="285"/>
      <c r="E513" s="285"/>
      <c r="F513" s="285"/>
      <c r="G513" s="285" t="s">
        <v>617</v>
      </c>
      <c r="H513" s="285"/>
      <c r="I513" s="285"/>
      <c r="J513" s="285"/>
      <c r="K513" s="285"/>
      <c r="L513" s="285"/>
      <c r="M513" s="285"/>
      <c r="N513" s="285"/>
      <c r="O513" s="285"/>
      <c r="P513" s="285"/>
      <c r="Q513" s="285"/>
      <c r="R513" s="285"/>
      <c r="S513" s="285"/>
      <c r="T513" s="285"/>
      <c r="U513" s="285"/>
      <c r="V513" s="285"/>
      <c r="W513" s="285"/>
      <c r="X513" s="285"/>
      <c r="Y513" s="285"/>
      <c r="Z513" s="285"/>
      <c r="AA513" s="285"/>
      <c r="AB513" s="285"/>
      <c r="AC513" s="285"/>
      <c r="AD513" s="285"/>
      <c r="AE513" s="285"/>
      <c r="AF513" s="285"/>
    </row>
    <row r="514" spans="1:32" ht="11.4" thickTop="1" thickBot="1">
      <c r="A514" s="491" t="s">
        <v>31</v>
      </c>
      <c r="B514" s="285"/>
      <c r="C514" s="285"/>
      <c r="D514" s="285"/>
      <c r="E514" s="571">
        <f>E638</f>
        <v>35430</v>
      </c>
      <c r="F514" s="571">
        <f>E514+1</f>
        <v>35431</v>
      </c>
      <c r="G514" s="571">
        <f>F514+365</f>
        <v>35796</v>
      </c>
      <c r="H514" s="285"/>
      <c r="I514" s="572">
        <f>C467</f>
        <v>36373</v>
      </c>
      <c r="J514" s="285"/>
      <c r="K514" s="573" t="s">
        <v>32</v>
      </c>
      <c r="L514" s="573" t="s">
        <v>33</v>
      </c>
      <c r="M514" s="285"/>
      <c r="N514" s="572">
        <f>I514</f>
        <v>36373</v>
      </c>
      <c r="O514" s="285"/>
      <c r="P514" s="574" t="s">
        <v>34</v>
      </c>
      <c r="Q514" s="575"/>
      <c r="R514" s="280"/>
      <c r="S514" s="285"/>
      <c r="T514" s="285"/>
      <c r="U514" s="285"/>
      <c r="V514" s="285"/>
      <c r="W514" s="285"/>
      <c r="X514" s="285"/>
      <c r="Y514" s="285"/>
      <c r="Z514" s="285"/>
      <c r="AA514" s="285"/>
      <c r="AB514" s="285"/>
      <c r="AC514" s="285"/>
      <c r="AD514" s="285"/>
      <c r="AE514" s="285"/>
      <c r="AF514" s="285"/>
    </row>
    <row r="515" spans="1:32" ht="11.4" thickTop="1" thickBot="1">
      <c r="A515" s="484" t="s">
        <v>35</v>
      </c>
      <c r="B515" s="285"/>
      <c r="C515" s="285"/>
      <c r="D515" s="285"/>
      <c r="E515" s="485">
        <v>0</v>
      </c>
      <c r="F515" s="485">
        <v>960</v>
      </c>
      <c r="G515" s="836">
        <v>1493</v>
      </c>
      <c r="H515" s="285"/>
      <c r="I515" s="1221">
        <v>1493</v>
      </c>
      <c r="J515" s="486"/>
      <c r="K515" s="1220">
        <f ca="1">H569</f>
        <v>0</v>
      </c>
      <c r="L515" s="486">
        <f>H484</f>
        <v>0</v>
      </c>
      <c r="M515" s="486"/>
      <c r="N515" s="486">
        <f ca="1">K515</f>
        <v>0</v>
      </c>
      <c r="O515" s="486"/>
      <c r="P515" s="576" t="str">
        <f>"at "&amp;TEXT(N514,"mm/dd/yy")&amp;":*"</f>
        <v>at 08/01/99:*</v>
      </c>
      <c r="Q515" s="577"/>
      <c r="R515" s="280"/>
      <c r="S515" s="285"/>
      <c r="T515" s="285"/>
      <c r="U515" s="285"/>
      <c r="V515" s="285"/>
      <c r="W515" s="285"/>
      <c r="X515" s="285"/>
      <c r="Y515" s="285"/>
      <c r="Z515" s="285"/>
      <c r="AA515" s="285"/>
      <c r="AB515" s="285"/>
      <c r="AC515" s="285"/>
      <c r="AD515" s="285"/>
      <c r="AE515" s="285"/>
      <c r="AF515" s="285"/>
    </row>
    <row r="516" spans="1:32" ht="10.8" thickTop="1">
      <c r="A516" s="484" t="s">
        <v>36</v>
      </c>
      <c r="B516" s="285"/>
      <c r="C516" s="285"/>
      <c r="D516" s="285"/>
      <c r="E516" s="485">
        <v>0</v>
      </c>
      <c r="F516" s="485">
        <v>1187</v>
      </c>
      <c r="G516" s="485">
        <v>591</v>
      </c>
      <c r="H516" s="285"/>
      <c r="I516" s="485">
        <v>591</v>
      </c>
      <c r="J516" s="486"/>
      <c r="K516" s="485">
        <f ca="1">H571</f>
        <v>303.37527413486293</v>
      </c>
      <c r="L516" s="485"/>
      <c r="M516" s="486"/>
      <c r="N516" s="486">
        <f ca="1">K516</f>
        <v>303.37527413486293</v>
      </c>
      <c r="O516" s="486"/>
      <c r="P516" s="578">
        <f ca="1">N515</f>
        <v>0</v>
      </c>
      <c r="Q516" s="579"/>
      <c r="R516" s="280"/>
      <c r="S516" s="285"/>
      <c r="T516" s="285"/>
      <c r="U516" s="285"/>
      <c r="V516" s="285"/>
      <c r="W516" s="285"/>
      <c r="X516" s="285"/>
      <c r="Y516" s="285"/>
      <c r="Z516" s="285"/>
      <c r="AA516" s="285"/>
      <c r="AB516" s="285"/>
      <c r="AC516" s="285"/>
      <c r="AD516" s="285"/>
      <c r="AE516" s="285"/>
      <c r="AF516" s="285"/>
    </row>
    <row r="517" spans="1:32">
      <c r="A517" s="484" t="s">
        <v>37</v>
      </c>
      <c r="B517" s="285"/>
      <c r="C517" s="285"/>
      <c r="D517" s="285"/>
      <c r="E517" s="485">
        <v>0</v>
      </c>
      <c r="F517" s="485">
        <v>0</v>
      </c>
      <c r="G517" s="485">
        <v>0</v>
      </c>
      <c r="H517" s="285"/>
      <c r="I517" s="485">
        <v>0</v>
      </c>
      <c r="J517" s="486"/>
      <c r="K517" s="485">
        <v>0</v>
      </c>
      <c r="L517" s="485"/>
      <c r="M517" s="486"/>
      <c r="N517" s="486">
        <f>I517+K517-L517</f>
        <v>0</v>
      </c>
      <c r="O517" s="486"/>
      <c r="P517" s="285"/>
      <c r="Q517" s="486"/>
      <c r="R517" s="486"/>
      <c r="S517" s="285"/>
      <c r="T517" s="285"/>
      <c r="U517" s="285"/>
      <c r="V517" s="285"/>
      <c r="W517" s="285"/>
      <c r="X517" s="285"/>
      <c r="Y517" s="285"/>
      <c r="Z517" s="285"/>
      <c r="AA517" s="285"/>
      <c r="AB517" s="285"/>
      <c r="AC517" s="285"/>
      <c r="AD517" s="285"/>
      <c r="AE517" s="285"/>
      <c r="AF517" s="285"/>
    </row>
    <row r="518" spans="1:32">
      <c r="A518" s="484" t="s">
        <v>38</v>
      </c>
      <c r="B518" s="285"/>
      <c r="C518" s="285"/>
      <c r="D518" s="285"/>
      <c r="E518" s="485">
        <v>0</v>
      </c>
      <c r="F518" s="485">
        <v>427</v>
      </c>
      <c r="G518" s="485">
        <v>381</v>
      </c>
      <c r="H518" s="285"/>
      <c r="I518" s="485">
        <v>381</v>
      </c>
      <c r="J518" s="486"/>
      <c r="K518" s="485">
        <v>0</v>
      </c>
      <c r="L518" s="485"/>
      <c r="M518" s="486"/>
      <c r="N518" s="486">
        <v>0</v>
      </c>
      <c r="O518" s="486"/>
      <c r="P518" s="285"/>
      <c r="Q518" s="486"/>
      <c r="R518" s="486"/>
      <c r="S518" s="285"/>
      <c r="T518" s="285"/>
      <c r="U518" s="285"/>
      <c r="V518" s="285"/>
      <c r="W518" s="285"/>
      <c r="X518" s="285"/>
      <c r="Y518" s="285"/>
      <c r="Z518" s="285"/>
      <c r="AA518" s="285"/>
      <c r="AB518" s="285"/>
      <c r="AC518" s="285"/>
      <c r="AD518" s="285"/>
      <c r="AE518" s="285"/>
      <c r="AF518" s="285"/>
    </row>
    <row r="519" spans="1:32">
      <c r="A519" s="491" t="s">
        <v>39</v>
      </c>
      <c r="B519" s="285"/>
      <c r="C519" s="285"/>
      <c r="D519" s="285"/>
      <c r="E519" s="495">
        <f>SUM(E515:E518)</f>
        <v>0</v>
      </c>
      <c r="F519" s="495">
        <f>SUM(F515:F518)</f>
        <v>2574</v>
      </c>
      <c r="G519" s="495">
        <f>SUM(G515:G518)</f>
        <v>2465</v>
      </c>
      <c r="H519" s="285"/>
      <c r="I519" s="495">
        <f>SUM(I515:I518)</f>
        <v>2465</v>
      </c>
      <c r="J519" s="486"/>
      <c r="K519" s="495">
        <f ca="1">SUM(K515:K518)</f>
        <v>303.37527413486293</v>
      </c>
      <c r="L519" s="495">
        <f>SUM(L515:L518)</f>
        <v>0</v>
      </c>
      <c r="M519" s="486"/>
      <c r="N519" s="495">
        <f ca="1">SUM(N515:N518)</f>
        <v>303.37527413486293</v>
      </c>
      <c r="O519" s="486"/>
      <c r="P519" s="285"/>
      <c r="Q519" s="486"/>
      <c r="R519" s="486"/>
      <c r="S519" s="285"/>
      <c r="T519" s="285"/>
      <c r="U519" s="285"/>
      <c r="V519" s="285"/>
      <c r="W519" s="285"/>
      <c r="X519" s="285"/>
      <c r="Y519" s="285"/>
      <c r="Z519" s="285"/>
      <c r="AA519" s="285"/>
      <c r="AB519" s="285"/>
      <c r="AC519" s="285"/>
      <c r="AD519" s="285"/>
      <c r="AE519" s="285"/>
      <c r="AF519" s="285"/>
    </row>
    <row r="520" spans="1:32">
      <c r="A520" s="285"/>
      <c r="B520" s="285"/>
      <c r="C520" s="285"/>
      <c r="D520" s="285"/>
      <c r="E520" s="485"/>
      <c r="F520" s="485"/>
      <c r="G520" s="485"/>
      <c r="H520" s="285"/>
      <c r="I520" s="485"/>
      <c r="J520" s="486"/>
      <c r="K520" s="486"/>
      <c r="L520" s="486"/>
      <c r="M520" s="486"/>
      <c r="N520" s="486"/>
      <c r="O520" s="486"/>
      <c r="P520" s="285"/>
      <c r="Q520" s="486"/>
      <c r="R520" s="486"/>
      <c r="S520" s="285"/>
      <c r="T520" s="285"/>
      <c r="U520" s="285"/>
      <c r="V520" s="285"/>
      <c r="W520" s="285"/>
      <c r="X520" s="285"/>
      <c r="Y520" s="285"/>
      <c r="Z520" s="285"/>
      <c r="AA520" s="285"/>
      <c r="AB520" s="285"/>
      <c r="AC520" s="285"/>
      <c r="AD520" s="285"/>
      <c r="AE520" s="285"/>
      <c r="AF520" s="285"/>
    </row>
    <row r="521" spans="1:32">
      <c r="A521" s="484" t="s">
        <v>40</v>
      </c>
      <c r="B521" s="285"/>
      <c r="C521" s="285"/>
      <c r="D521" s="285"/>
      <c r="E521" s="485">
        <v>0</v>
      </c>
      <c r="F521" s="485">
        <v>0</v>
      </c>
      <c r="G521" s="485">
        <v>0</v>
      </c>
      <c r="H521" s="285"/>
      <c r="I521" s="485">
        <v>0</v>
      </c>
      <c r="J521" s="486"/>
      <c r="K521" s="580">
        <f>H488</f>
        <v>0</v>
      </c>
      <c r="L521" s="485"/>
      <c r="M521" s="486"/>
      <c r="N521" s="486">
        <f>I521+K521-L521</f>
        <v>0</v>
      </c>
      <c r="O521" s="486"/>
      <c r="P521" s="486"/>
      <c r="Q521" s="486"/>
      <c r="R521" s="486"/>
      <c r="S521" s="285"/>
      <c r="T521" s="285"/>
      <c r="U521" s="285"/>
      <c r="V521" s="285"/>
      <c r="W521" s="285"/>
      <c r="X521" s="285"/>
      <c r="Y521" s="285"/>
      <c r="Z521" s="285"/>
      <c r="AA521" s="285"/>
      <c r="AB521" s="285"/>
      <c r="AC521" s="285"/>
      <c r="AD521" s="285"/>
      <c r="AE521" s="285"/>
      <c r="AF521" s="285"/>
    </row>
    <row r="522" spans="1:32">
      <c r="A522" s="484" t="s">
        <v>7</v>
      </c>
      <c r="B522" s="285"/>
      <c r="C522" s="285"/>
      <c r="D522" s="285"/>
      <c r="E522" s="485">
        <v>0</v>
      </c>
      <c r="F522" s="485">
        <v>0</v>
      </c>
      <c r="G522" s="485">
        <v>0</v>
      </c>
      <c r="H522" s="285"/>
      <c r="I522" s="542">
        <f>G522</f>
        <v>0</v>
      </c>
      <c r="J522" s="486"/>
      <c r="K522" s="1415">
        <f ca="1">E509</f>
        <v>774.44448</v>
      </c>
      <c r="L522" s="485"/>
      <c r="M522" s="485" t="s">
        <v>892</v>
      </c>
      <c r="N522" s="486">
        <f ca="1">I522+K522-L522</f>
        <v>774.44448</v>
      </c>
      <c r="O522" s="486"/>
      <c r="P522" s="486"/>
      <c r="Q522" s="486"/>
      <c r="R522" s="486"/>
      <c r="S522" s="285"/>
      <c r="T522" s="285"/>
      <c r="U522" s="285"/>
      <c r="V522" s="285"/>
      <c r="W522" s="285"/>
      <c r="X522" s="285"/>
      <c r="Y522" s="285"/>
      <c r="Z522" s="285"/>
      <c r="AA522" s="285"/>
      <c r="AB522" s="285"/>
      <c r="AC522" s="285"/>
      <c r="AD522" s="285"/>
      <c r="AE522" s="285"/>
      <c r="AF522" s="285"/>
    </row>
    <row r="523" spans="1:32">
      <c r="A523" s="285"/>
      <c r="B523" s="285"/>
      <c r="C523" s="285"/>
      <c r="D523" s="285"/>
      <c r="E523" s="485"/>
      <c r="F523" s="485"/>
      <c r="G523" s="485"/>
      <c r="H523" s="285"/>
      <c r="I523" s="485"/>
      <c r="J523" s="486"/>
      <c r="K523" s="580"/>
      <c r="L523" s="485"/>
      <c r="M523" s="486"/>
      <c r="N523" s="486"/>
      <c r="O523" s="486"/>
      <c r="P523" s="486"/>
      <c r="Q523" s="486"/>
      <c r="R523" s="486"/>
      <c r="S523" s="285"/>
      <c r="T523" s="285"/>
      <c r="U523" s="285"/>
      <c r="V523" s="285"/>
      <c r="W523" s="285"/>
      <c r="X523" s="285"/>
      <c r="Y523" s="285"/>
      <c r="Z523" s="285"/>
      <c r="AA523" s="285"/>
      <c r="AB523" s="285"/>
      <c r="AC523" s="285"/>
      <c r="AD523" s="285"/>
      <c r="AE523" s="285"/>
      <c r="AF523" s="285"/>
    </row>
    <row r="524" spans="1:32">
      <c r="A524" s="484" t="s">
        <v>41</v>
      </c>
      <c r="B524" s="285"/>
      <c r="C524" s="285"/>
      <c r="D524" s="285"/>
      <c r="E524" s="485">
        <v>0</v>
      </c>
      <c r="F524" s="485">
        <v>68707</v>
      </c>
      <c r="G524" s="835">
        <v>68740</v>
      </c>
      <c r="H524" s="285"/>
      <c r="I524" s="485">
        <v>68740</v>
      </c>
      <c r="J524" s="486"/>
      <c r="K524" s="835">
        <f ca="1">H10</f>
        <v>78714.555519999994</v>
      </c>
      <c r="L524" s="485">
        <v>0</v>
      </c>
      <c r="M524" s="486"/>
      <c r="N524" s="486">
        <f ca="1">K524</f>
        <v>78714.555519999994</v>
      </c>
      <c r="O524" s="486"/>
      <c r="P524" s="486"/>
      <c r="Q524" s="486"/>
      <c r="R524" s="486"/>
      <c r="S524" s="285"/>
      <c r="T524" s="285"/>
      <c r="U524" s="285"/>
      <c r="V524" s="285"/>
      <c r="W524" s="285"/>
      <c r="X524" s="285"/>
      <c r="Y524" s="285"/>
      <c r="Z524" s="285"/>
      <c r="AA524" s="285"/>
      <c r="AB524" s="285"/>
      <c r="AC524" s="285"/>
      <c r="AD524" s="285"/>
      <c r="AE524" s="285"/>
      <c r="AF524" s="285"/>
    </row>
    <row r="525" spans="1:32">
      <c r="A525" s="484" t="s">
        <v>42</v>
      </c>
      <c r="B525" s="285"/>
      <c r="C525" s="285"/>
      <c r="D525" s="285"/>
      <c r="E525" s="485">
        <v>0</v>
      </c>
      <c r="F525" s="485">
        <v>-8596</v>
      </c>
      <c r="G525" s="485">
        <v>-11789</v>
      </c>
      <c r="H525" s="285"/>
      <c r="I525" s="485">
        <v>-11789</v>
      </c>
      <c r="J525" s="486"/>
      <c r="K525" s="485">
        <v>0</v>
      </c>
      <c r="L525" s="485"/>
      <c r="M525" s="486"/>
      <c r="N525" s="486">
        <f>K525</f>
        <v>0</v>
      </c>
      <c r="O525" s="486"/>
      <c r="P525" s="486"/>
      <c r="Q525" s="486"/>
      <c r="R525" s="486"/>
      <c r="S525" s="285"/>
      <c r="T525" s="285"/>
      <c r="U525" s="285"/>
      <c r="V525" s="285"/>
      <c r="W525" s="285"/>
      <c r="X525" s="285"/>
      <c r="Y525" s="285"/>
      <c r="Z525" s="285"/>
      <c r="AA525" s="285"/>
      <c r="AB525" s="285"/>
      <c r="AC525" s="285"/>
      <c r="AD525" s="285"/>
      <c r="AE525" s="285"/>
      <c r="AF525" s="285"/>
    </row>
    <row r="526" spans="1:32">
      <c r="A526" s="491" t="s">
        <v>43</v>
      </c>
      <c r="B526" s="285"/>
      <c r="C526" s="285"/>
      <c r="D526" s="285"/>
      <c r="E526" s="495">
        <f>E524+E525</f>
        <v>0</v>
      </c>
      <c r="F526" s="495">
        <f>F524+F525</f>
        <v>60111</v>
      </c>
      <c r="G526" s="495">
        <f>G524+G525</f>
        <v>56951</v>
      </c>
      <c r="H526" s="285"/>
      <c r="I526" s="495">
        <f>I524+I525</f>
        <v>56951</v>
      </c>
      <c r="J526" s="486"/>
      <c r="K526" s="495">
        <f ca="1">K524+K525</f>
        <v>78714.555519999994</v>
      </c>
      <c r="L526" s="486"/>
      <c r="M526" s="486"/>
      <c r="N526" s="495">
        <f ca="1">N524+N525</f>
        <v>78714.555519999994</v>
      </c>
      <c r="O526" s="486"/>
      <c r="P526" s="486"/>
      <c r="Q526" s="486"/>
      <c r="R526" s="486"/>
      <c r="S526" s="285"/>
      <c r="T526" s="285"/>
      <c r="U526" s="285"/>
      <c r="V526" s="285"/>
      <c r="W526" s="285"/>
      <c r="X526" s="285"/>
      <c r="Y526" s="285"/>
      <c r="Z526" s="285"/>
      <c r="AA526" s="285"/>
      <c r="AB526" s="285"/>
      <c r="AC526" s="285"/>
      <c r="AD526" s="285"/>
      <c r="AE526" s="285"/>
      <c r="AF526" s="285"/>
    </row>
    <row r="527" spans="1:32">
      <c r="A527" s="285"/>
      <c r="B527" s="285"/>
      <c r="C527" s="285"/>
      <c r="D527" s="285"/>
      <c r="E527" s="486"/>
      <c r="F527" s="486"/>
      <c r="G527" s="486"/>
      <c r="H527" s="285"/>
      <c r="I527" s="486"/>
      <c r="J527" s="486"/>
      <c r="K527" s="486"/>
      <c r="L527" s="486"/>
      <c r="M527" s="486"/>
      <c r="N527" s="486"/>
      <c r="O527" s="486"/>
      <c r="P527" s="486"/>
      <c r="Q527" s="486"/>
      <c r="R527" s="486"/>
      <c r="S527" s="285"/>
      <c r="T527" s="285"/>
      <c r="U527" s="285"/>
      <c r="V527" s="285"/>
      <c r="W527" s="285"/>
      <c r="X527" s="285"/>
      <c r="Y527" s="285"/>
      <c r="Z527" s="285"/>
      <c r="AA527" s="285"/>
      <c r="AB527" s="285"/>
      <c r="AC527" s="285"/>
      <c r="AD527" s="285"/>
      <c r="AE527" s="285"/>
      <c r="AF527" s="285"/>
    </row>
    <row r="528" spans="1:32">
      <c r="A528" s="484" t="s">
        <v>427</v>
      </c>
      <c r="B528" s="285"/>
      <c r="C528" s="285"/>
      <c r="D528" s="285"/>
      <c r="E528" s="485">
        <v>0</v>
      </c>
      <c r="F528" s="485">
        <v>0</v>
      </c>
      <c r="G528" s="485">
        <v>590</v>
      </c>
      <c r="H528" s="285"/>
      <c r="I528" s="485">
        <v>590</v>
      </c>
      <c r="J528" s="486"/>
      <c r="K528" s="485">
        <v>0</v>
      </c>
      <c r="L528" s="485"/>
      <c r="M528" s="486"/>
      <c r="N528" s="486">
        <v>0</v>
      </c>
      <c r="O528" s="486"/>
      <c r="P528" s="486"/>
      <c r="Q528" s="486"/>
      <c r="R528" s="486"/>
      <c r="S528" s="285"/>
      <c r="T528" s="285"/>
      <c r="U528" s="285"/>
      <c r="V528" s="285"/>
      <c r="W528" s="285"/>
      <c r="X528" s="285"/>
      <c r="Y528" s="285"/>
      <c r="Z528" s="285"/>
      <c r="AA528" s="285"/>
      <c r="AB528" s="285"/>
      <c r="AC528" s="285"/>
      <c r="AD528" s="285"/>
      <c r="AE528" s="285"/>
      <c r="AF528" s="285"/>
    </row>
    <row r="529" spans="1:32">
      <c r="A529" s="484" t="s">
        <v>258</v>
      </c>
      <c r="B529" s="285"/>
      <c r="C529" s="285"/>
      <c r="D529" s="285"/>
      <c r="E529" s="485">
        <v>0</v>
      </c>
      <c r="F529" s="485">
        <v>5250</v>
      </c>
      <c r="G529" s="485">
        <v>5851</v>
      </c>
      <c r="H529" s="285"/>
      <c r="I529" s="485">
        <v>5851</v>
      </c>
      <c r="J529" s="486"/>
      <c r="K529" s="542">
        <f>Summary!E97</f>
        <v>0</v>
      </c>
      <c r="L529" s="485"/>
      <c r="M529" s="486"/>
      <c r="N529" s="486">
        <f>K529</f>
        <v>0</v>
      </c>
      <c r="O529" s="486"/>
      <c r="P529" s="486"/>
      <c r="Q529" s="486"/>
      <c r="R529" s="486"/>
      <c r="S529" s="285"/>
      <c r="T529" s="285"/>
      <c r="U529" s="285"/>
      <c r="V529" s="285"/>
      <c r="W529" s="285"/>
      <c r="X529" s="285"/>
      <c r="Y529" s="285"/>
      <c r="Z529" s="285"/>
      <c r="AA529" s="285"/>
      <c r="AB529" s="285"/>
      <c r="AC529" s="285"/>
      <c r="AD529" s="285"/>
      <c r="AE529" s="285"/>
      <c r="AF529" s="285"/>
    </row>
    <row r="530" spans="1:32" ht="10.8" thickBot="1">
      <c r="A530" s="491" t="s">
        <v>44</v>
      </c>
      <c r="B530" s="285"/>
      <c r="C530" s="285"/>
      <c r="D530" s="285"/>
      <c r="E530" s="509">
        <f>E519+E521+E522+E526+E528+E529</f>
        <v>0</v>
      </c>
      <c r="F530" s="509">
        <f>F519+F521+F522+F526+F528+F529</f>
        <v>67935</v>
      </c>
      <c r="G530" s="509">
        <f>G519+G521+G522+G526+G528+G529</f>
        <v>65857</v>
      </c>
      <c r="H530" s="285"/>
      <c r="I530" s="509">
        <f>I519+I521+I522+I526+I528+I529</f>
        <v>65857</v>
      </c>
      <c r="J530" s="486"/>
      <c r="K530" s="509">
        <f ca="1">K519+K521+K522+K526+K528+K529</f>
        <v>79792.375274134858</v>
      </c>
      <c r="L530" s="509">
        <f>L519+L521+L522+L526+L528+L529</f>
        <v>0</v>
      </c>
      <c r="M530" s="486"/>
      <c r="N530" s="509">
        <f ca="1">N519+N521+N522+N526+N528+N529</f>
        <v>79792.375274134858</v>
      </c>
      <c r="O530" s="486"/>
      <c r="P530" s="285"/>
      <c r="Q530" s="285"/>
      <c r="R530" s="285"/>
      <c r="S530" s="285"/>
      <c r="T530" s="285"/>
      <c r="U530" s="285"/>
      <c r="V530" s="285"/>
      <c r="W530" s="285"/>
      <c r="X530" s="285"/>
      <c r="Y530" s="285"/>
      <c r="Z530" s="285"/>
      <c r="AA530" s="285"/>
      <c r="AB530" s="285"/>
      <c r="AC530" s="285"/>
      <c r="AD530" s="285"/>
      <c r="AE530" s="285"/>
      <c r="AF530" s="285"/>
    </row>
    <row r="531" spans="1:32" ht="10.8" thickTop="1">
      <c r="A531" s="285"/>
      <c r="B531" s="285"/>
      <c r="C531" s="285"/>
      <c r="D531" s="285"/>
      <c r="E531" s="485"/>
      <c r="F531" s="485"/>
      <c r="G531" s="485"/>
      <c r="H531" s="285"/>
      <c r="I531" s="485"/>
      <c r="J531" s="486"/>
      <c r="K531" s="486"/>
      <c r="L531" s="486"/>
      <c r="M531" s="486"/>
      <c r="N531" s="486"/>
      <c r="O531" s="486"/>
      <c r="P531" s="285"/>
      <c r="Q531" s="285"/>
      <c r="R531" s="285"/>
      <c r="S531" s="285"/>
      <c r="T531" s="285"/>
      <c r="U531" s="285"/>
      <c r="V531" s="285"/>
      <c r="W531" s="285"/>
      <c r="X531" s="285"/>
      <c r="Y531" s="285"/>
      <c r="Z531" s="285"/>
      <c r="AA531" s="285"/>
      <c r="AB531" s="285"/>
      <c r="AC531" s="285"/>
      <c r="AD531" s="285"/>
      <c r="AE531" s="285"/>
      <c r="AF531" s="285"/>
    </row>
    <row r="532" spans="1:32" ht="10.8" thickBot="1">
      <c r="A532" s="491" t="s">
        <v>45</v>
      </c>
      <c r="B532" s="285"/>
      <c r="C532" s="285"/>
      <c r="D532" s="285"/>
      <c r="E532" s="486"/>
      <c r="F532" s="486"/>
      <c r="G532" s="486"/>
      <c r="H532" s="285"/>
      <c r="I532" s="486"/>
      <c r="J532" s="486"/>
      <c r="K532" s="486"/>
      <c r="L532" s="486"/>
      <c r="M532" s="486"/>
      <c r="N532" s="486"/>
      <c r="O532" s="486"/>
      <c r="P532" s="285"/>
      <c r="Q532" s="285"/>
      <c r="R532" s="285"/>
      <c r="S532" s="285"/>
      <c r="T532" s="285"/>
      <c r="U532" s="285"/>
      <c r="V532" s="285"/>
      <c r="W532" s="285"/>
      <c r="X532" s="285"/>
      <c r="Y532" s="285"/>
      <c r="Z532" s="285"/>
      <c r="AA532" s="285"/>
      <c r="AB532" s="285"/>
      <c r="AC532" s="285"/>
      <c r="AD532" s="285"/>
      <c r="AE532" s="285"/>
      <c r="AF532" s="285"/>
    </row>
    <row r="533" spans="1:32" ht="10.8" thickTop="1">
      <c r="A533" s="484" t="s">
        <v>46</v>
      </c>
      <c r="B533" s="285"/>
      <c r="C533" s="285"/>
      <c r="D533" s="285"/>
      <c r="E533" s="485">
        <v>0</v>
      </c>
      <c r="F533" s="485">
        <v>920</v>
      </c>
      <c r="G533" s="485">
        <v>951</v>
      </c>
      <c r="H533" s="285"/>
      <c r="I533" s="485">
        <v>951</v>
      </c>
      <c r="J533" s="486"/>
      <c r="K533" s="485">
        <f ca="1">H574</f>
        <v>-707.62472586513707</v>
      </c>
      <c r="L533" s="485"/>
      <c r="M533" s="486"/>
      <c r="N533" s="486">
        <f ca="1">K533</f>
        <v>-707.62472586513707</v>
      </c>
      <c r="O533" s="486"/>
      <c r="P533" s="581" t="s">
        <v>720</v>
      </c>
      <c r="Q533" s="582"/>
      <c r="R533" s="581" t="s">
        <v>47</v>
      </c>
      <c r="S533" s="582"/>
      <c r="T533" s="285"/>
      <c r="U533" s="285"/>
      <c r="V533" s="285"/>
      <c r="W533" s="285"/>
      <c r="X533" s="285"/>
      <c r="Y533" s="285"/>
      <c r="Z533" s="285"/>
      <c r="AA533" s="285"/>
      <c r="AB533" s="285"/>
      <c r="AC533" s="285"/>
      <c r="AD533" s="285"/>
      <c r="AE533" s="285"/>
      <c r="AF533" s="285"/>
    </row>
    <row r="534" spans="1:32" ht="10.8" thickBot="1">
      <c r="A534" s="484" t="s">
        <v>48</v>
      </c>
      <c r="B534" s="285"/>
      <c r="C534" s="285"/>
      <c r="D534" s="285"/>
      <c r="E534" s="485">
        <v>0</v>
      </c>
      <c r="F534" s="485">
        <v>0</v>
      </c>
      <c r="G534" s="485">
        <v>0</v>
      </c>
      <c r="H534" s="285"/>
      <c r="I534" s="485">
        <v>0</v>
      </c>
      <c r="J534" s="486"/>
      <c r="K534" s="485">
        <v>0</v>
      </c>
      <c r="L534" s="485"/>
      <c r="M534" s="486"/>
      <c r="N534" s="486">
        <f>I534+K534-L534</f>
        <v>0</v>
      </c>
      <c r="O534" s="486"/>
      <c r="P534" s="583" t="s">
        <v>49</v>
      </c>
      <c r="Q534" s="584"/>
      <c r="R534" s="583" t="s">
        <v>49</v>
      </c>
      <c r="S534" s="584"/>
      <c r="T534" s="285"/>
      <c r="U534" s="285"/>
      <c r="V534" s="285"/>
      <c r="W534" s="285"/>
      <c r="X534" s="285"/>
      <c r="Y534" s="285"/>
      <c r="Z534" s="285"/>
      <c r="AA534" s="285"/>
      <c r="AB534" s="285"/>
      <c r="AC534" s="285"/>
      <c r="AD534" s="285"/>
      <c r="AE534" s="285"/>
      <c r="AF534" s="285"/>
    </row>
    <row r="535" spans="1:32" ht="10.8" thickTop="1">
      <c r="A535" s="484" t="s">
        <v>50</v>
      </c>
      <c r="B535" s="285"/>
      <c r="C535" s="285"/>
      <c r="D535" s="285"/>
      <c r="E535" s="485">
        <v>0</v>
      </c>
      <c r="F535" s="485">
        <v>516</v>
      </c>
      <c r="G535" s="485">
        <v>387</v>
      </c>
      <c r="H535" s="285"/>
      <c r="I535" s="485">
        <v>387</v>
      </c>
      <c r="J535" s="486"/>
      <c r="K535" s="485">
        <v>0</v>
      </c>
      <c r="L535" s="485"/>
      <c r="M535" s="486"/>
      <c r="N535" s="486">
        <v>0</v>
      </c>
      <c r="O535" s="486"/>
      <c r="P535" s="547" t="s">
        <v>901</v>
      </c>
      <c r="Q535" s="547" t="s">
        <v>19</v>
      </c>
      <c r="R535" s="547" t="s">
        <v>901</v>
      </c>
      <c r="S535" s="547" t="s">
        <v>19</v>
      </c>
      <c r="T535" s="285"/>
      <c r="U535" s="285"/>
      <c r="V535" s="285"/>
      <c r="W535" s="285"/>
      <c r="X535" s="285"/>
      <c r="Y535" s="285"/>
      <c r="Z535" s="285"/>
      <c r="AA535" s="285"/>
      <c r="AB535" s="285"/>
      <c r="AC535" s="285"/>
      <c r="AD535" s="285"/>
      <c r="AE535" s="285"/>
      <c r="AF535" s="285"/>
    </row>
    <row r="536" spans="1:32">
      <c r="A536" s="484" t="s">
        <v>51</v>
      </c>
      <c r="B536" s="285"/>
      <c r="C536" s="285"/>
      <c r="D536" s="285"/>
      <c r="E536" s="485">
        <v>0</v>
      </c>
      <c r="F536" s="485">
        <v>2067</v>
      </c>
      <c r="G536" s="485">
        <v>2584</v>
      </c>
      <c r="H536" s="285"/>
      <c r="I536" s="485">
        <v>2584</v>
      </c>
      <c r="J536" s="486"/>
      <c r="K536" s="485">
        <v>0</v>
      </c>
      <c r="L536" s="485">
        <v>0</v>
      </c>
      <c r="M536" s="486"/>
      <c r="N536" s="486">
        <v>0</v>
      </c>
      <c r="O536" s="486"/>
      <c r="P536" s="486">
        <f>N536</f>
        <v>0</v>
      </c>
      <c r="Q536" s="505">
        <f ca="1">IF($P$552=0,0,P536/$P$552)</f>
        <v>0</v>
      </c>
      <c r="R536" s="486">
        <f>N536</f>
        <v>0</v>
      </c>
      <c r="S536" s="505">
        <f ca="1">IF($R$552=0,0,R536/$R$552)</f>
        <v>0</v>
      </c>
      <c r="T536" s="285"/>
      <c r="U536" s="285"/>
      <c r="V536" s="285"/>
      <c r="W536" s="285"/>
      <c r="X536" s="285"/>
      <c r="Y536" s="285"/>
      <c r="Z536" s="285"/>
      <c r="AA536" s="285"/>
      <c r="AB536" s="285"/>
      <c r="AC536" s="285"/>
      <c r="AD536" s="285"/>
      <c r="AE536" s="285"/>
      <c r="AF536" s="285"/>
    </row>
    <row r="537" spans="1:32">
      <c r="A537" s="491" t="s">
        <v>52</v>
      </c>
      <c r="B537" s="285"/>
      <c r="C537" s="285"/>
      <c r="D537" s="285"/>
      <c r="E537" s="495">
        <f>SUM(E533:E536)</f>
        <v>0</v>
      </c>
      <c r="F537" s="495">
        <f>SUM(F533:F536)</f>
        <v>3503</v>
      </c>
      <c r="G537" s="495">
        <f>SUM(G533:G536)</f>
        <v>3922</v>
      </c>
      <c r="H537" s="285"/>
      <c r="I537" s="495">
        <f>SUM(I533:I536)</f>
        <v>3922</v>
      </c>
      <c r="J537" s="486"/>
      <c r="K537" s="495">
        <f ca="1">SUM(K532:K536)</f>
        <v>-707.62472586513707</v>
      </c>
      <c r="L537" s="495">
        <f>SUM(L532:L536)</f>
        <v>0</v>
      </c>
      <c r="M537" s="486"/>
      <c r="N537" s="495">
        <f ca="1">SUM(N533:N536)</f>
        <v>-707.62472586513707</v>
      </c>
      <c r="O537" s="486"/>
      <c r="P537" s="495">
        <f>SUM(P536:P536)</f>
        <v>0</v>
      </c>
      <c r="Q537" s="545">
        <f ca="1">IF($P$552=0,0,P537/$P$552)</f>
        <v>0</v>
      </c>
      <c r="R537" s="495">
        <f>SUM(R536:R536)</f>
        <v>0</v>
      </c>
      <c r="S537" s="545">
        <f ca="1">IF($R$552=0,0,R537/$R$552)</f>
        <v>0</v>
      </c>
      <c r="T537" s="285"/>
      <c r="U537" s="285"/>
      <c r="V537" s="285"/>
      <c r="W537" s="285"/>
      <c r="X537" s="285"/>
      <c r="Y537" s="285"/>
      <c r="Z537" s="285"/>
      <c r="AA537" s="285"/>
      <c r="AB537" s="285"/>
      <c r="AC537" s="285"/>
      <c r="AD537" s="285"/>
      <c r="AE537" s="285"/>
      <c r="AF537" s="285"/>
    </row>
    <row r="538" spans="1:32">
      <c r="A538" s="285"/>
      <c r="B538" s="285"/>
      <c r="C538" s="285"/>
      <c r="D538" s="285"/>
      <c r="E538" s="485"/>
      <c r="F538" s="485"/>
      <c r="G538" s="485"/>
      <c r="H538" s="285"/>
      <c r="I538" s="485"/>
      <c r="J538" s="486"/>
      <c r="K538" s="486"/>
      <c r="L538" s="486"/>
      <c r="M538" s="486"/>
      <c r="N538" s="486"/>
      <c r="O538" s="486"/>
      <c r="P538" s="486"/>
      <c r="Q538" s="505"/>
      <c r="R538" s="486"/>
      <c r="S538" s="285"/>
      <c r="T538" s="285"/>
      <c r="U538" s="285"/>
      <c r="V538" s="285"/>
      <c r="W538" s="285"/>
      <c r="X538" s="285"/>
      <c r="Y538" s="285"/>
      <c r="Z538" s="285"/>
      <c r="AA538" s="285"/>
      <c r="AB538" s="285"/>
      <c r="AC538" s="285"/>
      <c r="AD538" s="285"/>
      <c r="AE538" s="285"/>
      <c r="AF538" s="285"/>
    </row>
    <row r="539" spans="1:32">
      <c r="A539" s="484" t="str">
        <f>+B481&amp;" Debt"</f>
        <v>Purchase Term Loan Debt</v>
      </c>
      <c r="B539" s="285"/>
      <c r="C539" s="285"/>
      <c r="D539" s="285"/>
      <c r="E539" s="485">
        <v>0</v>
      </c>
      <c r="F539" s="485">
        <v>52041</v>
      </c>
      <c r="G539" s="485">
        <v>48866</v>
      </c>
      <c r="H539" s="285"/>
      <c r="I539" s="485">
        <v>48866</v>
      </c>
      <c r="J539" s="485" t="s">
        <v>787</v>
      </c>
      <c r="K539" s="485">
        <f ca="1">Summary!E98</f>
        <v>56499.999999999993</v>
      </c>
      <c r="L539" s="285">
        <v>0</v>
      </c>
      <c r="M539" s="486"/>
      <c r="N539" s="486">
        <f ca="1">K539</f>
        <v>56499.999999999993</v>
      </c>
      <c r="O539" s="486"/>
      <c r="P539" s="285">
        <f ca="1">N539</f>
        <v>56499.999999999993</v>
      </c>
      <c r="Q539" s="505">
        <f ca="1">IF($P$552=0,0,P539/$P$552)</f>
        <v>0.70186335403726696</v>
      </c>
      <c r="R539" s="285">
        <f ca="1">N539</f>
        <v>56499.999999999993</v>
      </c>
      <c r="S539" s="505">
        <f ca="1">IF($R$552=0,0,R539/$R$552)</f>
        <v>0.70186335403726696</v>
      </c>
      <c r="T539" s="285"/>
      <c r="U539" s="285"/>
      <c r="V539" s="285"/>
      <c r="W539" s="285"/>
      <c r="X539" s="285"/>
      <c r="Y539" s="285"/>
      <c r="Z539" s="285"/>
      <c r="AA539" s="285"/>
      <c r="AB539" s="285"/>
      <c r="AC539" s="285"/>
      <c r="AD539" s="285"/>
      <c r="AE539" s="285"/>
      <c r="AF539" s="285"/>
    </row>
    <row r="540" spans="1:32">
      <c r="A540" s="484" t="s">
        <v>426</v>
      </c>
      <c r="B540" s="285"/>
      <c r="C540" s="285"/>
      <c r="D540" s="285"/>
      <c r="E540" s="485">
        <v>0</v>
      </c>
      <c r="F540" s="485">
        <v>4947</v>
      </c>
      <c r="G540" s="485">
        <v>7387</v>
      </c>
      <c r="H540" s="285"/>
      <c r="I540" s="485">
        <f>6797+590</f>
        <v>7387</v>
      </c>
      <c r="J540" s="486"/>
      <c r="K540" s="485">
        <v>0</v>
      </c>
      <c r="L540" s="485"/>
      <c r="M540" s="486"/>
      <c r="N540" s="486">
        <v>0</v>
      </c>
      <c r="O540" s="486"/>
      <c r="P540" s="285"/>
      <c r="Q540" s="505"/>
      <c r="R540" s="285"/>
      <c r="S540" s="505"/>
      <c r="T540" s="285"/>
      <c r="U540" s="285"/>
      <c r="V540" s="285"/>
      <c r="W540" s="285"/>
      <c r="X540" s="285"/>
      <c r="Y540" s="285"/>
      <c r="Z540" s="285"/>
      <c r="AA540" s="285"/>
      <c r="AB540" s="285"/>
      <c r="AC540" s="285"/>
      <c r="AD540" s="285"/>
      <c r="AE540" s="285"/>
      <c r="AF540" s="285"/>
    </row>
    <row r="541" spans="1:32">
      <c r="A541" s="484" t="s">
        <v>53</v>
      </c>
      <c r="B541" s="285"/>
      <c r="C541" s="285"/>
      <c r="D541" s="285"/>
      <c r="E541" s="472">
        <v>0</v>
      </c>
      <c r="F541" s="472">
        <v>675</v>
      </c>
      <c r="G541" s="472">
        <v>1026</v>
      </c>
      <c r="H541" s="285"/>
      <c r="I541" s="472">
        <v>1026</v>
      </c>
      <c r="J541" s="471"/>
      <c r="K541" s="472">
        <v>0</v>
      </c>
      <c r="L541" s="285"/>
      <c r="M541" s="285"/>
      <c r="N541" s="486">
        <v>0</v>
      </c>
      <c r="O541" s="285"/>
      <c r="P541" s="285"/>
      <c r="Q541" s="505"/>
      <c r="R541" s="285"/>
      <c r="S541" s="505"/>
      <c r="T541" s="285"/>
      <c r="U541" s="285"/>
      <c r="V541" s="285"/>
      <c r="W541" s="285"/>
      <c r="X541" s="285"/>
      <c r="Y541" s="285"/>
      <c r="Z541" s="285"/>
      <c r="AA541" s="285"/>
      <c r="AB541" s="285"/>
      <c r="AC541" s="285"/>
      <c r="AD541" s="285"/>
      <c r="AE541" s="285"/>
      <c r="AF541" s="285"/>
    </row>
    <row r="542" spans="1:32">
      <c r="A542" s="491" t="s">
        <v>54</v>
      </c>
      <c r="B542" s="285"/>
      <c r="C542" s="285"/>
      <c r="D542" s="285"/>
      <c r="E542" s="495">
        <f>+SUM(E539:E541)</f>
        <v>0</v>
      </c>
      <c r="F542" s="495">
        <f>+SUM(F539:F541)</f>
        <v>57663</v>
      </c>
      <c r="G542" s="495">
        <f>+SUM(G539:G541)</f>
        <v>57279</v>
      </c>
      <c r="H542" s="285"/>
      <c r="I542" s="495">
        <f>+SUM(I539:I541)</f>
        <v>57279</v>
      </c>
      <c r="J542" s="471"/>
      <c r="K542" s="495">
        <f ca="1">+SUM(K539:K541)</f>
        <v>56499.999999999993</v>
      </c>
      <c r="L542" s="495">
        <f>+SUM(L539:L541)</f>
        <v>0</v>
      </c>
      <c r="M542" s="486"/>
      <c r="N542" s="495">
        <f ca="1">+SUM(N539:N541)</f>
        <v>56499.999999999993</v>
      </c>
      <c r="O542" s="486"/>
      <c r="P542" s="495">
        <f ca="1">+SUM(P539:P541)</f>
        <v>56499.999999999993</v>
      </c>
      <c r="Q542" s="545">
        <f ca="1">IF($P$552=0,0,P542/$P$552)</f>
        <v>0.70186335403726696</v>
      </c>
      <c r="R542" s="495">
        <f ca="1">+SUM(R539:R541)</f>
        <v>56499.999999999993</v>
      </c>
      <c r="S542" s="545">
        <f ca="1">IF($R$552=0,0,R542/$R$552)</f>
        <v>0.70186335403726696</v>
      </c>
      <c r="T542" s="285"/>
      <c r="U542" s="285"/>
      <c r="V542" s="285"/>
      <c r="W542" s="285"/>
      <c r="X542" s="285"/>
      <c r="Y542" s="285"/>
      <c r="Z542" s="285"/>
      <c r="AA542" s="285"/>
      <c r="AB542" s="285"/>
      <c r="AC542" s="285"/>
      <c r="AD542" s="285"/>
      <c r="AE542" s="285"/>
      <c r="AF542" s="285"/>
    </row>
    <row r="543" spans="1:32">
      <c r="A543" s="285"/>
      <c r="B543" s="285"/>
      <c r="C543" s="285"/>
      <c r="D543" s="285"/>
      <c r="E543" s="486"/>
      <c r="F543" s="486"/>
      <c r="G543" s="486"/>
      <c r="H543" s="285"/>
      <c r="I543" s="486"/>
      <c r="J543" s="486"/>
      <c r="K543" s="486"/>
      <c r="L543" s="486"/>
      <c r="M543" s="486"/>
      <c r="N543" s="486"/>
      <c r="O543" s="486"/>
      <c r="P543" s="486"/>
      <c r="Q543" s="505"/>
      <c r="R543" s="486"/>
      <c r="S543" s="505"/>
      <c r="T543" s="285"/>
      <c r="U543" s="285"/>
      <c r="V543" s="285"/>
      <c r="W543" s="285"/>
      <c r="X543" s="285"/>
      <c r="Y543" s="285"/>
      <c r="Z543" s="285"/>
      <c r="AA543" s="285"/>
      <c r="AB543" s="285"/>
      <c r="AC543" s="285"/>
      <c r="AD543" s="285"/>
      <c r="AE543" s="285"/>
      <c r="AF543" s="285"/>
    </row>
    <row r="544" spans="1:32">
      <c r="A544" s="491" t="s">
        <v>55</v>
      </c>
      <c r="B544" s="285"/>
      <c r="C544" s="285"/>
      <c r="D544" s="285"/>
      <c r="E544" s="486">
        <f>E542+E537</f>
        <v>0</v>
      </c>
      <c r="F544" s="486">
        <f>F542+F537</f>
        <v>61166</v>
      </c>
      <c r="G544" s="486">
        <f>G542+G537</f>
        <v>61201</v>
      </c>
      <c r="H544" s="285"/>
      <c r="I544" s="486">
        <f>I542+I537</f>
        <v>61201</v>
      </c>
      <c r="J544" s="486"/>
      <c r="K544" s="486">
        <f ca="1">K542+K537</f>
        <v>55792.375274134858</v>
      </c>
      <c r="L544" s="486">
        <f>L542+L537</f>
        <v>0</v>
      </c>
      <c r="M544" s="486"/>
      <c r="N544" s="486">
        <f ca="1">N537+N542</f>
        <v>55792.375274134858</v>
      </c>
      <c r="O544" s="486"/>
      <c r="P544" s="486">
        <f ca="1">P537+P542</f>
        <v>56499.999999999993</v>
      </c>
      <c r="Q544" s="505">
        <f ca="1">IF($P$552=0,0,P544/$P$552)</f>
        <v>0.70186335403726696</v>
      </c>
      <c r="R544" s="486">
        <f ca="1">R537+R542</f>
        <v>56499.999999999993</v>
      </c>
      <c r="S544" s="505">
        <f ca="1">IF($R$552=0,0,R544/$R$552)</f>
        <v>0.70186335403726696</v>
      </c>
      <c r="T544" s="285"/>
      <c r="U544" s="285"/>
      <c r="V544" s="285"/>
      <c r="W544" s="285"/>
      <c r="X544" s="285"/>
      <c r="Y544" s="285"/>
      <c r="Z544" s="285"/>
      <c r="AA544" s="285"/>
      <c r="AB544" s="285"/>
      <c r="AC544" s="285"/>
      <c r="AD544" s="285"/>
      <c r="AE544" s="285"/>
      <c r="AF544" s="285"/>
    </row>
    <row r="545" spans="1:32">
      <c r="A545" s="285"/>
      <c r="B545" s="285"/>
      <c r="C545" s="285"/>
      <c r="D545" s="285"/>
      <c r="E545" s="485"/>
      <c r="F545" s="485"/>
      <c r="G545" s="485"/>
      <c r="H545" s="285"/>
      <c r="I545" s="485"/>
      <c r="J545" s="486"/>
      <c r="K545" s="486"/>
      <c r="L545" s="486"/>
      <c r="M545" s="486"/>
      <c r="N545" s="486"/>
      <c r="O545" s="486"/>
      <c r="P545" s="486"/>
      <c r="Q545" s="505"/>
      <c r="R545" s="486"/>
      <c r="S545" s="505"/>
      <c r="T545" s="285"/>
      <c r="U545" s="285"/>
      <c r="V545" s="285"/>
      <c r="W545" s="285"/>
      <c r="X545" s="285"/>
      <c r="Y545" s="285"/>
      <c r="Z545" s="285"/>
      <c r="AA545" s="285"/>
      <c r="AB545" s="285"/>
      <c r="AC545" s="285"/>
      <c r="AD545" s="285"/>
      <c r="AE545" s="285"/>
      <c r="AF545" s="285"/>
    </row>
    <row r="546" spans="1:32">
      <c r="A546" s="285" t="str">
        <f>B483</f>
        <v>Common Stock</v>
      </c>
      <c r="B546" s="285"/>
      <c r="C546" s="285"/>
      <c r="D546" s="285"/>
      <c r="E546" s="472">
        <v>0</v>
      </c>
      <c r="F546" s="472">
        <v>6769</v>
      </c>
      <c r="G546" s="472">
        <v>4656</v>
      </c>
      <c r="H546" s="285"/>
      <c r="I546" s="472">
        <v>4656</v>
      </c>
      <c r="J546" s="485" t="s">
        <v>787</v>
      </c>
      <c r="K546" s="485">
        <f ca="1">K530-K544</f>
        <v>24000</v>
      </c>
      <c r="L546" s="485">
        <v>0</v>
      </c>
      <c r="M546" s="486"/>
      <c r="N546" s="486">
        <f ca="1">K546</f>
        <v>24000</v>
      </c>
      <c r="O546" s="486"/>
      <c r="P546" s="486">
        <f ca="1">N546</f>
        <v>24000</v>
      </c>
      <c r="Q546" s="505">
        <f t="shared" ref="Q546:Q552" ca="1" si="352">IF($P$552=0,0,P546/$P$552)</f>
        <v>0.29813664596273293</v>
      </c>
      <c r="R546" s="486">
        <f ca="1">N546</f>
        <v>24000</v>
      </c>
      <c r="S546" s="505">
        <f t="shared" ref="S546:S552" ca="1" si="353">IF($R$552=0,0,R546/$R$552)</f>
        <v>0.29813664596273293</v>
      </c>
      <c r="T546" s="285"/>
      <c r="U546" s="285"/>
      <c r="V546" s="285"/>
      <c r="W546" s="285"/>
      <c r="X546" s="285"/>
      <c r="Y546" s="285"/>
      <c r="Z546" s="285"/>
      <c r="AA546" s="285"/>
      <c r="AB546" s="285"/>
      <c r="AC546" s="285"/>
      <c r="AD546" s="285"/>
      <c r="AE546" s="285"/>
      <c r="AF546" s="285"/>
    </row>
    <row r="547" spans="1:32">
      <c r="A547" s="484" t="s">
        <v>56</v>
      </c>
      <c r="B547" s="285"/>
      <c r="C547" s="285"/>
      <c r="D547" s="285"/>
      <c r="E547" s="485">
        <v>0</v>
      </c>
      <c r="F547" s="485">
        <v>0</v>
      </c>
      <c r="G547" s="485">
        <v>0</v>
      </c>
      <c r="H547" s="285"/>
      <c r="I547" s="485">
        <v>0</v>
      </c>
      <c r="J547" s="486"/>
      <c r="K547" s="485">
        <v>0</v>
      </c>
      <c r="L547" s="485">
        <v>0</v>
      </c>
      <c r="M547" s="486"/>
      <c r="N547" s="486">
        <f>I547+K547-L547</f>
        <v>0</v>
      </c>
      <c r="O547" s="486"/>
      <c r="P547" s="486">
        <f>N547</f>
        <v>0</v>
      </c>
      <c r="Q547" s="505">
        <f t="shared" ca="1" si="352"/>
        <v>0</v>
      </c>
      <c r="R547" s="486">
        <f>N547</f>
        <v>0</v>
      </c>
      <c r="S547" s="505">
        <f t="shared" ca="1" si="353"/>
        <v>0</v>
      </c>
      <c r="T547" s="285"/>
      <c r="U547" s="285"/>
      <c r="V547" s="285"/>
      <c r="W547" s="285"/>
      <c r="X547" s="285"/>
      <c r="Y547" s="285"/>
      <c r="Z547" s="285"/>
      <c r="AA547" s="285"/>
      <c r="AB547" s="285"/>
      <c r="AC547" s="285"/>
      <c r="AD547" s="285"/>
      <c r="AE547" s="285"/>
      <c r="AF547" s="285"/>
    </row>
    <row r="548" spans="1:32">
      <c r="A548" s="484" t="s">
        <v>57</v>
      </c>
      <c r="B548" s="285"/>
      <c r="C548" s="285"/>
      <c r="D548" s="285"/>
      <c r="E548" s="485">
        <v>0</v>
      </c>
      <c r="F548" s="485">
        <v>0</v>
      </c>
      <c r="G548" s="485">
        <v>0</v>
      </c>
      <c r="H548" s="285"/>
      <c r="I548" s="485">
        <v>0</v>
      </c>
      <c r="J548" s="486"/>
      <c r="K548" s="485">
        <v>0</v>
      </c>
      <c r="L548" s="585">
        <f>H492</f>
        <v>0</v>
      </c>
      <c r="M548" s="486"/>
      <c r="N548" s="486">
        <f>I548+K548-L548</f>
        <v>0</v>
      </c>
      <c r="O548" s="486"/>
      <c r="P548" s="486">
        <f>N548</f>
        <v>0</v>
      </c>
      <c r="Q548" s="505">
        <f t="shared" ca="1" si="352"/>
        <v>0</v>
      </c>
      <c r="R548" s="486">
        <f>N548</f>
        <v>0</v>
      </c>
      <c r="S548" s="505">
        <f t="shared" ca="1" si="353"/>
        <v>0</v>
      </c>
      <c r="T548" s="285"/>
      <c r="U548" s="285"/>
      <c r="V548" s="285"/>
      <c r="W548" s="285"/>
      <c r="X548" s="285"/>
      <c r="Y548" s="285"/>
      <c r="Z548" s="285"/>
      <c r="AA548" s="285"/>
      <c r="AB548" s="285"/>
      <c r="AC548" s="285"/>
      <c r="AD548" s="285"/>
      <c r="AE548" s="285"/>
      <c r="AF548" s="285"/>
    </row>
    <row r="549" spans="1:32">
      <c r="A549" s="484" t="s">
        <v>58</v>
      </c>
      <c r="B549" s="285"/>
      <c r="C549" s="285"/>
      <c r="D549" s="285"/>
      <c r="E549" s="485">
        <v>0</v>
      </c>
      <c r="F549" s="485">
        <v>0</v>
      </c>
      <c r="G549" s="485">
        <v>0</v>
      </c>
      <c r="H549" s="285"/>
      <c r="I549" s="485">
        <v>0</v>
      </c>
      <c r="J549" s="486"/>
      <c r="K549" s="485">
        <v>0</v>
      </c>
      <c r="L549" s="585">
        <f>H491-L547-L546</f>
        <v>0</v>
      </c>
      <c r="M549" s="486"/>
      <c r="N549" s="486">
        <f>I549+K549-L549</f>
        <v>0</v>
      </c>
      <c r="O549" s="486"/>
      <c r="P549" s="486">
        <f>N549</f>
        <v>0</v>
      </c>
      <c r="Q549" s="505">
        <f t="shared" ca="1" si="352"/>
        <v>0</v>
      </c>
      <c r="R549" s="486">
        <f>N549</f>
        <v>0</v>
      </c>
      <c r="S549" s="505">
        <f t="shared" ca="1" si="353"/>
        <v>0</v>
      </c>
      <c r="T549" s="285"/>
      <c r="U549" s="285"/>
      <c r="V549" s="285"/>
      <c r="W549" s="285"/>
      <c r="X549" s="285"/>
      <c r="Y549" s="285"/>
      <c r="Z549" s="285"/>
      <c r="AA549" s="285"/>
      <c r="AB549" s="285"/>
      <c r="AC549" s="285"/>
      <c r="AD549" s="285"/>
      <c r="AE549" s="285"/>
      <c r="AF549" s="285"/>
    </row>
    <row r="550" spans="1:32">
      <c r="A550" s="484" t="s">
        <v>59</v>
      </c>
      <c r="B550" s="285"/>
      <c r="C550" s="285"/>
      <c r="D550" s="285"/>
      <c r="E550" s="472">
        <v>0</v>
      </c>
      <c r="F550" s="472">
        <v>0</v>
      </c>
      <c r="G550" s="472">
        <v>0</v>
      </c>
      <c r="H550" s="285"/>
      <c r="I550" s="485">
        <v>0</v>
      </c>
      <c r="J550" s="285"/>
      <c r="K550" s="472">
        <v>0</v>
      </c>
      <c r="L550" s="586"/>
      <c r="M550" s="285"/>
      <c r="N550" s="486">
        <f>I550+K550-L550</f>
        <v>0</v>
      </c>
      <c r="O550" s="285"/>
      <c r="P550" s="486">
        <f>N550</f>
        <v>0</v>
      </c>
      <c r="Q550" s="505">
        <f t="shared" ca="1" si="352"/>
        <v>0</v>
      </c>
      <c r="R550" s="486">
        <f>N550</f>
        <v>0</v>
      </c>
      <c r="S550" s="505">
        <f t="shared" ca="1" si="353"/>
        <v>0</v>
      </c>
      <c r="T550" s="285"/>
      <c r="U550" s="285"/>
      <c r="V550" s="285"/>
      <c r="W550" s="285"/>
      <c r="X550" s="285"/>
      <c r="Y550" s="285"/>
      <c r="Z550" s="285"/>
      <c r="AA550" s="285"/>
      <c r="AB550" s="285"/>
      <c r="AC550" s="285"/>
      <c r="AD550" s="285"/>
      <c r="AE550" s="285"/>
      <c r="AF550" s="285"/>
    </row>
    <row r="551" spans="1:32">
      <c r="A551" s="491" t="s">
        <v>60</v>
      </c>
      <c r="B551" s="285"/>
      <c r="C551" s="285"/>
      <c r="D551" s="486"/>
      <c r="E551" s="495">
        <f>SUM(E546:E550)</f>
        <v>0</v>
      </c>
      <c r="F551" s="495">
        <f>SUM(F546:F550)</f>
        <v>6769</v>
      </c>
      <c r="G551" s="495">
        <f>SUM(G546:G550)</f>
        <v>4656</v>
      </c>
      <c r="H551" s="285"/>
      <c r="I551" s="495">
        <f>SUM(I546:I550)</f>
        <v>4656</v>
      </c>
      <c r="J551" s="486"/>
      <c r="K551" s="495">
        <f ca="1">SUM(K546:K550)</f>
        <v>24000</v>
      </c>
      <c r="L551" s="495">
        <f>SUM(L546:L550)</f>
        <v>0</v>
      </c>
      <c r="M551" s="486"/>
      <c r="N551" s="495">
        <f ca="1">SUM(N546:N550)</f>
        <v>24000</v>
      </c>
      <c r="O551" s="486"/>
      <c r="P551" s="495">
        <f ca="1">SUM(P546:P550)</f>
        <v>24000</v>
      </c>
      <c r="Q551" s="545">
        <f t="shared" ca="1" si="352"/>
        <v>0.29813664596273293</v>
      </c>
      <c r="R551" s="495">
        <f ca="1">SUM(R546:R550)</f>
        <v>24000</v>
      </c>
      <c r="S551" s="545">
        <f t="shared" ca="1" si="353"/>
        <v>0.29813664596273293</v>
      </c>
      <c r="T551" s="285"/>
      <c r="U551" s="285"/>
      <c r="V551" s="285"/>
      <c r="W551" s="285"/>
      <c r="X551" s="285"/>
      <c r="Y551" s="285"/>
      <c r="Z551" s="285"/>
      <c r="AA551" s="285"/>
      <c r="AB551" s="285"/>
      <c r="AC551" s="285"/>
      <c r="AD551" s="285"/>
      <c r="AE551" s="285"/>
      <c r="AF551" s="285"/>
    </row>
    <row r="552" spans="1:32" ht="10.8" thickBot="1">
      <c r="A552" s="491" t="s">
        <v>61</v>
      </c>
      <c r="B552" s="285"/>
      <c r="C552" s="285"/>
      <c r="D552" s="285"/>
      <c r="E552" s="509">
        <f>E544+E551</f>
        <v>0</v>
      </c>
      <c r="F552" s="509">
        <f>F544+F551</f>
        <v>67935</v>
      </c>
      <c r="G552" s="509">
        <f>G544+G551</f>
        <v>65857</v>
      </c>
      <c r="H552" s="285"/>
      <c r="I552" s="509">
        <f>I544+I551</f>
        <v>65857</v>
      </c>
      <c r="J552" s="486"/>
      <c r="K552" s="509">
        <f ca="1">K551+K544</f>
        <v>79792.375274134858</v>
      </c>
      <c r="L552" s="509">
        <f>L551+L544</f>
        <v>0</v>
      </c>
      <c r="M552" s="486"/>
      <c r="N552" s="509">
        <f ca="1">N544+N551</f>
        <v>79792.375274134858</v>
      </c>
      <c r="O552" s="486"/>
      <c r="P552" s="509">
        <f ca="1">P544+P551</f>
        <v>80500</v>
      </c>
      <c r="Q552" s="587">
        <f t="shared" ca="1" si="352"/>
        <v>1</v>
      </c>
      <c r="R552" s="509">
        <f ca="1">R544+R551</f>
        <v>80500</v>
      </c>
      <c r="S552" s="587">
        <f t="shared" ca="1" si="353"/>
        <v>1</v>
      </c>
      <c r="T552" s="285"/>
      <c r="U552" s="285"/>
      <c r="V552" s="285"/>
      <c r="W552" s="285"/>
      <c r="X552" s="285"/>
      <c r="Y552" s="285"/>
      <c r="Z552" s="285"/>
      <c r="AA552" s="285"/>
      <c r="AB552" s="285"/>
      <c r="AC552" s="285"/>
      <c r="AD552" s="285"/>
      <c r="AE552" s="285"/>
      <c r="AF552" s="285"/>
    </row>
    <row r="553" spans="1:32" ht="10.8" thickTop="1">
      <c r="A553" s="519"/>
      <c r="B553" s="285"/>
      <c r="C553" s="285"/>
      <c r="D553" s="285"/>
      <c r="E553" s="285"/>
      <c r="F553" s="285"/>
      <c r="G553" s="285"/>
      <c r="H553" s="285"/>
      <c r="I553" s="285"/>
      <c r="J553" s="486"/>
      <c r="K553" s="486"/>
      <c r="L553" s="486"/>
      <c r="M553" s="486"/>
      <c r="N553" s="486"/>
      <c r="O553" s="486"/>
      <c r="P553" s="486"/>
      <c r="Q553" s="505"/>
      <c r="R553" s="486"/>
      <c r="S553" s="285"/>
      <c r="T553" s="285"/>
      <c r="U553" s="285"/>
      <c r="V553" s="285"/>
      <c r="W553" s="285"/>
      <c r="X553" s="285"/>
      <c r="Y553" s="285"/>
      <c r="Z553" s="285"/>
      <c r="AA553" s="285"/>
      <c r="AB553" s="285"/>
      <c r="AC553" s="285"/>
      <c r="AD553" s="285"/>
      <c r="AE553" s="285"/>
      <c r="AF553" s="285"/>
    </row>
    <row r="554" spans="1:32">
      <c r="A554" s="491" t="s">
        <v>898</v>
      </c>
      <c r="B554" s="285"/>
      <c r="C554" s="285"/>
      <c r="D554" s="285"/>
      <c r="E554" s="486">
        <f>E530-E552</f>
        <v>0</v>
      </c>
      <c r="F554" s="486">
        <f>F530-F552</f>
        <v>0</v>
      </c>
      <c r="G554" s="486">
        <f>G530-G552</f>
        <v>0</v>
      </c>
      <c r="H554" s="285"/>
      <c r="I554" s="486">
        <f>I530-I552</f>
        <v>0</v>
      </c>
      <c r="J554" s="486"/>
      <c r="K554" s="486">
        <f ca="1">K530-K552</f>
        <v>0</v>
      </c>
      <c r="L554" s="486">
        <f>L530-L552</f>
        <v>0</v>
      </c>
      <c r="M554" s="486"/>
      <c r="N554" s="486">
        <f ca="1">N530-N552</f>
        <v>0</v>
      </c>
      <c r="O554" s="486"/>
      <c r="P554" s="486"/>
      <c r="Q554" s="486"/>
      <c r="R554" s="486"/>
      <c r="S554" s="285"/>
      <c r="T554" s="285"/>
      <c r="U554" s="285"/>
      <c r="V554" s="285"/>
      <c r="W554" s="285"/>
      <c r="X554" s="285"/>
      <c r="Y554" s="285"/>
      <c r="Z554" s="285"/>
      <c r="AA554" s="285"/>
      <c r="AB554" s="285"/>
      <c r="AC554" s="285"/>
      <c r="AD554" s="285"/>
      <c r="AE554" s="285"/>
      <c r="AF554" s="285"/>
    </row>
    <row r="555" spans="1:32">
      <c r="A555" s="285"/>
      <c r="B555" s="285"/>
      <c r="C555" s="285"/>
      <c r="D555" s="285"/>
      <c r="E555" s="285"/>
      <c r="F555" s="285"/>
      <c r="G555" s="285"/>
      <c r="H555" s="285"/>
      <c r="I555" s="285"/>
      <c r="J555" s="285"/>
      <c r="K555" s="285"/>
      <c r="L555" s="285"/>
      <c r="M555" s="285"/>
      <c r="N555" s="285"/>
      <c r="O555" s="285"/>
      <c r="P555" s="285"/>
      <c r="Q555" s="285"/>
      <c r="R555" s="285"/>
      <c r="S555" s="285"/>
      <c r="T555" s="285"/>
      <c r="U555" s="285"/>
      <c r="V555" s="285"/>
      <c r="W555" s="285"/>
      <c r="X555" s="285"/>
      <c r="Y555" s="285"/>
      <c r="Z555" s="285"/>
      <c r="AA555" s="285"/>
      <c r="AB555" s="285"/>
      <c r="AC555" s="285"/>
      <c r="AD555" s="285"/>
      <c r="AE555" s="285"/>
      <c r="AF555" s="285"/>
    </row>
    <row r="556" spans="1:32" ht="10.8" thickBot="1">
      <c r="A556" s="484"/>
      <c r="B556" s="471"/>
      <c r="C556" s="471"/>
      <c r="D556" s="471"/>
      <c r="E556" s="471"/>
      <c r="F556" s="505"/>
      <c r="G556" s="285"/>
      <c r="H556" s="285"/>
      <c r="I556" s="285"/>
      <c r="J556" s="285"/>
      <c r="K556" s="285"/>
      <c r="L556" s="285"/>
      <c r="M556" s="285"/>
      <c r="N556" s="285"/>
      <c r="O556" s="285"/>
      <c r="P556" s="285"/>
      <c r="Q556" s="285"/>
      <c r="R556" s="285"/>
      <c r="S556" s="285"/>
      <c r="T556" s="285"/>
      <c r="U556" s="285"/>
      <c r="V556" s="285"/>
      <c r="W556" s="285"/>
      <c r="X556" s="285"/>
      <c r="Y556" s="285"/>
      <c r="Z556" s="285"/>
      <c r="AA556" s="285"/>
      <c r="AB556" s="285"/>
      <c r="AC556" s="285"/>
      <c r="AD556" s="285"/>
      <c r="AE556" s="285"/>
      <c r="AF556" s="285"/>
    </row>
    <row r="557" spans="1:32" ht="11.4" thickTop="1" thickBot="1">
      <c r="A557" s="534"/>
      <c r="B557" s="588"/>
      <c r="C557" s="588"/>
      <c r="D557" s="588"/>
      <c r="E557" s="588"/>
      <c r="F557" s="589"/>
      <c r="G557" s="457"/>
      <c r="H557" s="457"/>
      <c r="I557" s="457"/>
      <c r="J557" s="457"/>
      <c r="K557" s="457"/>
      <c r="L557" s="457"/>
      <c r="M557" s="457"/>
      <c r="N557" s="457"/>
      <c r="O557" s="457"/>
      <c r="P557" s="457"/>
      <c r="Q557" s="457"/>
      <c r="R557" s="457"/>
      <c r="S557" s="457"/>
      <c r="T557" s="457"/>
      <c r="U557" s="457"/>
      <c r="V557" s="457"/>
      <c r="W557" s="457"/>
      <c r="X557" s="457"/>
      <c r="Y557" s="457"/>
      <c r="Z557" s="285"/>
      <c r="AA557" s="285"/>
      <c r="AB557" s="285"/>
      <c r="AC557" s="285"/>
      <c r="AD557" s="285"/>
      <c r="AE557" s="285"/>
      <c r="AF557" s="285"/>
    </row>
    <row r="558" spans="1:32" ht="11.4" thickTop="1" thickBot="1">
      <c r="A558" s="453" t="s">
        <v>900</v>
      </c>
      <c r="B558" s="285"/>
      <c r="C558" s="285"/>
      <c r="D558" s="481"/>
      <c r="E558" s="571">
        <f>E$638</f>
        <v>35430</v>
      </c>
      <c r="F558" s="571">
        <f>F$638</f>
        <v>35795</v>
      </c>
      <c r="G558" s="571">
        <f>G$638</f>
        <v>36160</v>
      </c>
      <c r="H558" s="590">
        <f>H$638</f>
        <v>36373</v>
      </c>
      <c r="I558" s="567">
        <f>I$638</f>
        <v>36525</v>
      </c>
      <c r="J558" s="568">
        <f t="shared" ref="J558:AF558" si="354">J$638</f>
        <v>36891</v>
      </c>
      <c r="K558" s="568">
        <f t="shared" si="354"/>
        <v>37256</v>
      </c>
      <c r="L558" s="568">
        <f t="shared" si="354"/>
        <v>37621</v>
      </c>
      <c r="M558" s="568">
        <f t="shared" si="354"/>
        <v>37986</v>
      </c>
      <c r="N558" s="568">
        <f t="shared" si="354"/>
        <v>38352</v>
      </c>
      <c r="O558" s="568">
        <f t="shared" si="354"/>
        <v>38717</v>
      </c>
      <c r="P558" s="568">
        <f t="shared" si="354"/>
        <v>39082</v>
      </c>
      <c r="Q558" s="568">
        <f t="shared" si="354"/>
        <v>39447</v>
      </c>
      <c r="R558" s="568">
        <f t="shared" si="354"/>
        <v>39813</v>
      </c>
      <c r="S558" s="568">
        <f t="shared" si="354"/>
        <v>40178</v>
      </c>
      <c r="T558" s="568">
        <f t="shared" si="354"/>
        <v>40543</v>
      </c>
      <c r="U558" s="568">
        <f t="shared" si="354"/>
        <v>40908</v>
      </c>
      <c r="V558" s="568">
        <f t="shared" si="354"/>
        <v>41274</v>
      </c>
      <c r="W558" s="568">
        <f t="shared" si="354"/>
        <v>41639</v>
      </c>
      <c r="X558" s="568">
        <f t="shared" si="354"/>
        <v>42004</v>
      </c>
      <c r="Y558" s="568">
        <f t="shared" si="354"/>
        <v>42369</v>
      </c>
      <c r="Z558" s="568">
        <f t="shared" si="354"/>
        <v>42735</v>
      </c>
      <c r="AA558" s="568">
        <f t="shared" si="354"/>
        <v>43100</v>
      </c>
      <c r="AB558" s="568">
        <f t="shared" si="354"/>
        <v>43465</v>
      </c>
      <c r="AC558" s="568">
        <f t="shared" si="354"/>
        <v>43830</v>
      </c>
      <c r="AD558" s="568">
        <f t="shared" si="354"/>
        <v>44196</v>
      </c>
      <c r="AE558" s="568">
        <f t="shared" si="354"/>
        <v>44561</v>
      </c>
      <c r="AF558" s="568">
        <f t="shared" si="354"/>
        <v>44926</v>
      </c>
    </row>
    <row r="559" spans="1:32" ht="10.8" thickTop="1">
      <c r="A559" s="591" t="str">
        <f>A569&amp;"  (Days)"</f>
        <v>Operating Cash Balance  (Days)</v>
      </c>
      <c r="B559" s="479"/>
      <c r="C559" s="479"/>
      <c r="D559" s="479"/>
      <c r="E559" s="592">
        <v>0</v>
      </c>
      <c r="F559" s="592">
        <v>0</v>
      </c>
      <c r="G559" s="592">
        <v>0</v>
      </c>
      <c r="H559" s="593">
        <v>0</v>
      </c>
      <c r="I559" s="593">
        <f>H559</f>
        <v>0</v>
      </c>
      <c r="J559" s="594">
        <f t="shared" ref="J559:AF559" si="355">I559</f>
        <v>0</v>
      </c>
      <c r="K559" s="594">
        <f t="shared" si="355"/>
        <v>0</v>
      </c>
      <c r="L559" s="594">
        <f t="shared" si="355"/>
        <v>0</v>
      </c>
      <c r="M559" s="594">
        <f t="shared" si="355"/>
        <v>0</v>
      </c>
      <c r="N559" s="594">
        <f t="shared" si="355"/>
        <v>0</v>
      </c>
      <c r="O559" s="594">
        <f t="shared" si="355"/>
        <v>0</v>
      </c>
      <c r="P559" s="594">
        <f t="shared" si="355"/>
        <v>0</v>
      </c>
      <c r="Q559" s="594">
        <f t="shared" si="355"/>
        <v>0</v>
      </c>
      <c r="R559" s="594">
        <f t="shared" si="355"/>
        <v>0</v>
      </c>
      <c r="S559" s="594">
        <f t="shared" si="355"/>
        <v>0</v>
      </c>
      <c r="T559" s="594">
        <f t="shared" si="355"/>
        <v>0</v>
      </c>
      <c r="U559" s="594">
        <f t="shared" si="355"/>
        <v>0</v>
      </c>
      <c r="V559" s="594">
        <f t="shared" si="355"/>
        <v>0</v>
      </c>
      <c r="W559" s="594">
        <f t="shared" si="355"/>
        <v>0</v>
      </c>
      <c r="X559" s="594">
        <f t="shared" si="355"/>
        <v>0</v>
      </c>
      <c r="Y559" s="594">
        <f t="shared" si="355"/>
        <v>0</v>
      </c>
      <c r="Z559" s="594">
        <f t="shared" si="355"/>
        <v>0</v>
      </c>
      <c r="AA559" s="594">
        <f t="shared" si="355"/>
        <v>0</v>
      </c>
      <c r="AB559" s="594">
        <f t="shared" si="355"/>
        <v>0</v>
      </c>
      <c r="AC559" s="594">
        <f t="shared" si="355"/>
        <v>0</v>
      </c>
      <c r="AD559" s="594">
        <f t="shared" si="355"/>
        <v>0</v>
      </c>
      <c r="AE559" s="594">
        <f t="shared" si="355"/>
        <v>0</v>
      </c>
      <c r="AF559" s="594">
        <f t="shared" si="355"/>
        <v>0</v>
      </c>
    </row>
    <row r="560" spans="1:32">
      <c r="A560" s="591" t="str">
        <f>A571&amp;"  (Days)"</f>
        <v>Accounts Receivable  (Days)</v>
      </c>
      <c r="B560" s="479"/>
      <c r="C560" s="479"/>
      <c r="D560" s="479"/>
      <c r="E560" s="592">
        <v>0</v>
      </c>
      <c r="F560" s="592">
        <v>0</v>
      </c>
      <c r="G560" s="592">
        <v>0</v>
      </c>
      <c r="H560" s="593">
        <v>60</v>
      </c>
      <c r="I560" s="593">
        <v>30</v>
      </c>
      <c r="J560" s="594">
        <v>30</v>
      </c>
      <c r="K560" s="594">
        <v>30</v>
      </c>
      <c r="L560" s="594">
        <v>30</v>
      </c>
      <c r="M560" s="594">
        <v>30</v>
      </c>
      <c r="N560" s="594">
        <v>30</v>
      </c>
      <c r="O560" s="594">
        <v>30</v>
      </c>
      <c r="P560" s="594">
        <v>30</v>
      </c>
      <c r="Q560" s="594">
        <v>30</v>
      </c>
      <c r="R560" s="594">
        <v>30</v>
      </c>
      <c r="S560" s="594">
        <v>30</v>
      </c>
      <c r="T560" s="594">
        <v>30</v>
      </c>
      <c r="U560" s="594">
        <v>30</v>
      </c>
      <c r="V560" s="594">
        <v>30</v>
      </c>
      <c r="W560" s="594">
        <v>30</v>
      </c>
      <c r="X560" s="594">
        <v>30</v>
      </c>
      <c r="Y560" s="594">
        <v>30</v>
      </c>
      <c r="Z560" s="594">
        <v>30</v>
      </c>
      <c r="AA560" s="594">
        <v>30</v>
      </c>
      <c r="AB560" s="594">
        <v>30</v>
      </c>
      <c r="AC560" s="594">
        <v>30</v>
      </c>
      <c r="AD560" s="594">
        <v>30</v>
      </c>
      <c r="AE560" s="594">
        <v>30</v>
      </c>
      <c r="AF560" s="594">
        <v>30</v>
      </c>
    </row>
    <row r="561" spans="1:32">
      <c r="A561" s="591" t="str">
        <f>A572&amp;"  (x)"</f>
        <v>Inventories  (x)</v>
      </c>
      <c r="B561" s="479"/>
      <c r="C561" s="479"/>
      <c r="D561" s="479"/>
      <c r="E561" s="592">
        <v>0</v>
      </c>
      <c r="F561" s="592">
        <v>0</v>
      </c>
      <c r="G561" s="592">
        <v>0</v>
      </c>
      <c r="H561" s="593">
        <v>20</v>
      </c>
      <c r="I561" s="593">
        <f>H561</f>
        <v>20</v>
      </c>
      <c r="J561" s="594">
        <f>I561</f>
        <v>20</v>
      </c>
      <c r="K561" s="594">
        <f t="shared" ref="K561:AF561" si="356">J561</f>
        <v>20</v>
      </c>
      <c r="L561" s="594">
        <f t="shared" si="356"/>
        <v>20</v>
      </c>
      <c r="M561" s="594">
        <f t="shared" si="356"/>
        <v>20</v>
      </c>
      <c r="N561" s="594">
        <f t="shared" si="356"/>
        <v>20</v>
      </c>
      <c r="O561" s="594">
        <f t="shared" si="356"/>
        <v>20</v>
      </c>
      <c r="P561" s="594">
        <f t="shared" si="356"/>
        <v>20</v>
      </c>
      <c r="Q561" s="594">
        <f t="shared" si="356"/>
        <v>20</v>
      </c>
      <c r="R561" s="594">
        <f t="shared" si="356"/>
        <v>20</v>
      </c>
      <c r="S561" s="594">
        <f t="shared" si="356"/>
        <v>20</v>
      </c>
      <c r="T561" s="594">
        <f t="shared" si="356"/>
        <v>20</v>
      </c>
      <c r="U561" s="594">
        <f t="shared" si="356"/>
        <v>20</v>
      </c>
      <c r="V561" s="594">
        <f t="shared" si="356"/>
        <v>20</v>
      </c>
      <c r="W561" s="594">
        <f t="shared" si="356"/>
        <v>20</v>
      </c>
      <c r="X561" s="594">
        <f t="shared" si="356"/>
        <v>20</v>
      </c>
      <c r="Y561" s="594">
        <f t="shared" si="356"/>
        <v>20</v>
      </c>
      <c r="Z561" s="594">
        <f t="shared" si="356"/>
        <v>20</v>
      </c>
      <c r="AA561" s="594">
        <f t="shared" si="356"/>
        <v>20</v>
      </c>
      <c r="AB561" s="594">
        <f t="shared" si="356"/>
        <v>20</v>
      </c>
      <c r="AC561" s="594">
        <f t="shared" si="356"/>
        <v>20</v>
      </c>
      <c r="AD561" s="594">
        <f t="shared" si="356"/>
        <v>20</v>
      </c>
      <c r="AE561" s="594">
        <f t="shared" si="356"/>
        <v>20</v>
      </c>
      <c r="AF561" s="594">
        <f t="shared" si="356"/>
        <v>20</v>
      </c>
    </row>
    <row r="562" spans="1:32">
      <c r="A562" s="591" t="str">
        <f>A573&amp;"  ($)"</f>
        <v>Other Current Assets  ($)</v>
      </c>
      <c r="B562" s="479"/>
      <c r="C562" s="479"/>
      <c r="D562" s="479"/>
      <c r="E562" s="592">
        <v>0</v>
      </c>
      <c r="F562" s="592">
        <v>0</v>
      </c>
      <c r="G562" s="592">
        <v>0</v>
      </c>
      <c r="H562" s="595">
        <v>0</v>
      </c>
      <c r="I562" s="593">
        <f>H562</f>
        <v>0</v>
      </c>
      <c r="J562" s="596">
        <f>I562</f>
        <v>0</v>
      </c>
      <c r="K562" s="596">
        <f t="shared" ref="K562:AF562" si="357">J562</f>
        <v>0</v>
      </c>
      <c r="L562" s="596">
        <f t="shared" si="357"/>
        <v>0</v>
      </c>
      <c r="M562" s="596">
        <f t="shared" si="357"/>
        <v>0</v>
      </c>
      <c r="N562" s="596">
        <f t="shared" si="357"/>
        <v>0</v>
      </c>
      <c r="O562" s="596">
        <f t="shared" si="357"/>
        <v>0</v>
      </c>
      <c r="P562" s="596">
        <f t="shared" si="357"/>
        <v>0</v>
      </c>
      <c r="Q562" s="596">
        <f t="shared" si="357"/>
        <v>0</v>
      </c>
      <c r="R562" s="596">
        <f t="shared" si="357"/>
        <v>0</v>
      </c>
      <c r="S562" s="596">
        <f t="shared" si="357"/>
        <v>0</v>
      </c>
      <c r="T562" s="596">
        <f t="shared" si="357"/>
        <v>0</v>
      </c>
      <c r="U562" s="596">
        <f t="shared" si="357"/>
        <v>0</v>
      </c>
      <c r="V562" s="596">
        <f t="shared" si="357"/>
        <v>0</v>
      </c>
      <c r="W562" s="596">
        <f t="shared" si="357"/>
        <v>0</v>
      </c>
      <c r="X562" s="596">
        <f t="shared" si="357"/>
        <v>0</v>
      </c>
      <c r="Y562" s="596">
        <f t="shared" si="357"/>
        <v>0</v>
      </c>
      <c r="Z562" s="596">
        <f t="shared" si="357"/>
        <v>0</v>
      </c>
      <c r="AA562" s="596">
        <f t="shared" si="357"/>
        <v>0</v>
      </c>
      <c r="AB562" s="596">
        <f t="shared" si="357"/>
        <v>0</v>
      </c>
      <c r="AC562" s="596">
        <f t="shared" si="357"/>
        <v>0</v>
      </c>
      <c r="AD562" s="596">
        <f t="shared" si="357"/>
        <v>0</v>
      </c>
      <c r="AE562" s="596">
        <f t="shared" si="357"/>
        <v>0</v>
      </c>
      <c r="AF562" s="596">
        <f t="shared" si="357"/>
        <v>0</v>
      </c>
    </row>
    <row r="563" spans="1:32">
      <c r="A563" s="591" t="str">
        <f>A574&amp;"  (Days)"</f>
        <v>Accounts Payable  (Days)</v>
      </c>
      <c r="B563" s="479"/>
      <c r="C563" s="479"/>
      <c r="D563" s="479"/>
      <c r="E563" s="592">
        <v>0</v>
      </c>
      <c r="F563" s="592">
        <v>0</v>
      </c>
      <c r="G563" s="592">
        <v>0</v>
      </c>
      <c r="H563" s="593">
        <v>30</v>
      </c>
      <c r="I563" s="593">
        <v>20</v>
      </c>
      <c r="J563" s="594">
        <v>20</v>
      </c>
      <c r="K563" s="594">
        <v>20</v>
      </c>
      <c r="L563" s="594">
        <v>20</v>
      </c>
      <c r="M563" s="594">
        <v>20</v>
      </c>
      <c r="N563" s="594">
        <v>20</v>
      </c>
      <c r="O563" s="594">
        <v>20</v>
      </c>
      <c r="P563" s="594">
        <v>20</v>
      </c>
      <c r="Q563" s="594">
        <v>20</v>
      </c>
      <c r="R563" s="594">
        <v>20</v>
      </c>
      <c r="S563" s="594">
        <v>20</v>
      </c>
      <c r="T563" s="594">
        <v>20</v>
      </c>
      <c r="U563" s="594">
        <v>20</v>
      </c>
      <c r="V563" s="594">
        <v>20</v>
      </c>
      <c r="W563" s="594">
        <v>20</v>
      </c>
      <c r="X563" s="594">
        <v>20</v>
      </c>
      <c r="Y563" s="594">
        <v>20</v>
      </c>
      <c r="Z563" s="594">
        <v>20</v>
      </c>
      <c r="AA563" s="594">
        <v>20</v>
      </c>
      <c r="AB563" s="594">
        <v>20</v>
      </c>
      <c r="AC563" s="594">
        <v>20</v>
      </c>
      <c r="AD563" s="594">
        <v>20</v>
      </c>
      <c r="AE563" s="594">
        <v>20</v>
      </c>
      <c r="AF563" s="594">
        <v>20</v>
      </c>
    </row>
    <row r="564" spans="1:32">
      <c r="A564" s="591" t="str">
        <f>A575&amp;"  (Days)"</f>
        <v>Accrued Expenses  (Days)</v>
      </c>
      <c r="B564" s="479"/>
      <c r="C564" s="479"/>
      <c r="D564" s="479"/>
      <c r="E564" s="592">
        <v>0</v>
      </c>
      <c r="F564" s="592">
        <v>0</v>
      </c>
      <c r="G564" s="592">
        <v>0</v>
      </c>
      <c r="H564" s="593">
        <v>20</v>
      </c>
      <c r="I564" s="593">
        <f>H564</f>
        <v>20</v>
      </c>
      <c r="J564" s="594">
        <f>I564</f>
        <v>20</v>
      </c>
      <c r="K564" s="594">
        <f t="shared" ref="K564:AF564" si="358">J564</f>
        <v>20</v>
      </c>
      <c r="L564" s="594">
        <f t="shared" si="358"/>
        <v>20</v>
      </c>
      <c r="M564" s="594">
        <f t="shared" si="358"/>
        <v>20</v>
      </c>
      <c r="N564" s="594">
        <f t="shared" si="358"/>
        <v>20</v>
      </c>
      <c r="O564" s="594">
        <f t="shared" si="358"/>
        <v>20</v>
      </c>
      <c r="P564" s="594">
        <f t="shared" si="358"/>
        <v>20</v>
      </c>
      <c r="Q564" s="594">
        <f t="shared" si="358"/>
        <v>20</v>
      </c>
      <c r="R564" s="594">
        <f t="shared" si="358"/>
        <v>20</v>
      </c>
      <c r="S564" s="594">
        <f t="shared" si="358"/>
        <v>20</v>
      </c>
      <c r="T564" s="594">
        <f t="shared" si="358"/>
        <v>20</v>
      </c>
      <c r="U564" s="594">
        <f t="shared" si="358"/>
        <v>20</v>
      </c>
      <c r="V564" s="594">
        <f t="shared" si="358"/>
        <v>20</v>
      </c>
      <c r="W564" s="594">
        <f t="shared" si="358"/>
        <v>20</v>
      </c>
      <c r="X564" s="594">
        <f t="shared" si="358"/>
        <v>20</v>
      </c>
      <c r="Y564" s="594">
        <f t="shared" si="358"/>
        <v>20</v>
      </c>
      <c r="Z564" s="594">
        <f t="shared" si="358"/>
        <v>20</v>
      </c>
      <c r="AA564" s="594">
        <f t="shared" si="358"/>
        <v>20</v>
      </c>
      <c r="AB564" s="594">
        <f t="shared" si="358"/>
        <v>20</v>
      </c>
      <c r="AC564" s="594">
        <f t="shared" si="358"/>
        <v>20</v>
      </c>
      <c r="AD564" s="594">
        <f t="shared" si="358"/>
        <v>20</v>
      </c>
      <c r="AE564" s="594">
        <f t="shared" si="358"/>
        <v>20</v>
      </c>
      <c r="AF564" s="594">
        <f t="shared" si="358"/>
        <v>20</v>
      </c>
    </row>
    <row r="565" spans="1:32">
      <c r="A565" s="591" t="str">
        <f>A576&amp;"  ($)"</f>
        <v>Other Payables  ($)</v>
      </c>
      <c r="B565" s="479"/>
      <c r="C565" s="479"/>
      <c r="D565" s="479"/>
      <c r="E565" s="592">
        <v>0</v>
      </c>
      <c r="F565" s="592">
        <v>0</v>
      </c>
      <c r="G565" s="592">
        <v>0</v>
      </c>
      <c r="H565" s="595">
        <v>0</v>
      </c>
      <c r="I565" s="593">
        <f>H565</f>
        <v>0</v>
      </c>
      <c r="J565" s="596">
        <f t="shared" ref="J565:AF565" si="359">I565</f>
        <v>0</v>
      </c>
      <c r="K565" s="596">
        <f t="shared" si="359"/>
        <v>0</v>
      </c>
      <c r="L565" s="596">
        <f t="shared" si="359"/>
        <v>0</v>
      </c>
      <c r="M565" s="596">
        <f t="shared" si="359"/>
        <v>0</v>
      </c>
      <c r="N565" s="596">
        <f t="shared" si="359"/>
        <v>0</v>
      </c>
      <c r="O565" s="596">
        <f t="shared" si="359"/>
        <v>0</v>
      </c>
      <c r="P565" s="596">
        <f t="shared" si="359"/>
        <v>0</v>
      </c>
      <c r="Q565" s="596">
        <f t="shared" si="359"/>
        <v>0</v>
      </c>
      <c r="R565" s="596">
        <f t="shared" si="359"/>
        <v>0</v>
      </c>
      <c r="S565" s="596">
        <f t="shared" si="359"/>
        <v>0</v>
      </c>
      <c r="T565" s="596">
        <f t="shared" si="359"/>
        <v>0</v>
      </c>
      <c r="U565" s="596">
        <f t="shared" si="359"/>
        <v>0</v>
      </c>
      <c r="V565" s="596">
        <f t="shared" si="359"/>
        <v>0</v>
      </c>
      <c r="W565" s="596">
        <f t="shared" si="359"/>
        <v>0</v>
      </c>
      <c r="X565" s="596">
        <f t="shared" si="359"/>
        <v>0</v>
      </c>
      <c r="Y565" s="596">
        <f t="shared" si="359"/>
        <v>0</v>
      </c>
      <c r="Z565" s="596">
        <f t="shared" si="359"/>
        <v>0</v>
      </c>
      <c r="AA565" s="596">
        <f t="shared" si="359"/>
        <v>0</v>
      </c>
      <c r="AB565" s="596">
        <f t="shared" si="359"/>
        <v>0</v>
      </c>
      <c r="AC565" s="596">
        <f t="shared" si="359"/>
        <v>0</v>
      </c>
      <c r="AD565" s="596">
        <f t="shared" si="359"/>
        <v>0</v>
      </c>
      <c r="AE565" s="596">
        <f t="shared" si="359"/>
        <v>0</v>
      </c>
      <c r="AF565" s="596">
        <f t="shared" si="359"/>
        <v>0</v>
      </c>
    </row>
    <row r="566" spans="1:32">
      <c r="A566" s="285"/>
      <c r="B566" s="285"/>
      <c r="C566" s="285"/>
      <c r="D566" s="285"/>
      <c r="E566" s="285"/>
      <c r="F566" s="285"/>
      <c r="G566" s="285"/>
      <c r="H566" s="285"/>
      <c r="I566" s="285"/>
      <c r="J566" s="285"/>
      <c r="K566" s="285"/>
      <c r="L566" s="285"/>
      <c r="M566" s="285"/>
      <c r="N566" s="285"/>
      <c r="O566" s="285"/>
      <c r="P566" s="285"/>
      <c r="Q566" s="285"/>
      <c r="R566" s="285"/>
      <c r="S566" s="285"/>
      <c r="T566" s="285"/>
      <c r="U566" s="285"/>
      <c r="V566" s="285"/>
      <c r="W566" s="285"/>
      <c r="X566" s="285"/>
      <c r="Y566" s="285"/>
      <c r="Z566" s="285"/>
      <c r="AA566" s="285"/>
      <c r="AB566" s="285"/>
      <c r="AC566" s="285"/>
      <c r="AD566" s="285"/>
      <c r="AE566" s="285"/>
      <c r="AF566" s="285"/>
    </row>
    <row r="567" spans="1:32" ht="10.8" thickBot="1">
      <c r="A567" s="285"/>
      <c r="B567" s="285"/>
      <c r="C567" s="285"/>
      <c r="D567" s="285"/>
      <c r="E567" s="285"/>
      <c r="F567" s="285"/>
      <c r="G567" s="285"/>
      <c r="H567" s="285"/>
      <c r="I567" s="285"/>
      <c r="J567" s="285"/>
      <c r="K567" s="285"/>
      <c r="L567" s="285"/>
      <c r="M567" s="285"/>
      <c r="N567" s="285"/>
      <c r="O567" s="285"/>
      <c r="P567" s="285"/>
      <c r="Q567" s="285"/>
      <c r="R567" s="285"/>
      <c r="S567" s="285"/>
      <c r="T567" s="285"/>
      <c r="U567" s="285"/>
      <c r="V567" s="285"/>
      <c r="W567" s="285"/>
      <c r="X567" s="285"/>
      <c r="Y567" s="285"/>
      <c r="Z567" s="285"/>
      <c r="AA567" s="285"/>
      <c r="AB567" s="285"/>
      <c r="AC567" s="285"/>
      <c r="AD567" s="285"/>
      <c r="AE567" s="285"/>
      <c r="AF567" s="285"/>
    </row>
    <row r="568" spans="1:32" ht="11.4" thickTop="1" thickBot="1">
      <c r="A568" s="597" t="s">
        <v>62</v>
      </c>
      <c r="B568" s="498"/>
      <c r="C568" s="498"/>
      <c r="D568" s="498"/>
      <c r="E568" s="598">
        <f>E$638</f>
        <v>35430</v>
      </c>
      <c r="F568" s="598">
        <f>F$638</f>
        <v>35795</v>
      </c>
      <c r="G568" s="598">
        <f>G$638</f>
        <v>36160</v>
      </c>
      <c r="H568" s="590">
        <f>H$638</f>
        <v>36373</v>
      </c>
      <c r="I568" s="567">
        <f>I$638</f>
        <v>36525</v>
      </c>
      <c r="J568" s="839">
        <f t="shared" ref="J568:AF568" si="360">J$638</f>
        <v>36891</v>
      </c>
      <c r="K568" s="839">
        <f t="shared" si="360"/>
        <v>37256</v>
      </c>
      <c r="L568" s="839">
        <f t="shared" si="360"/>
        <v>37621</v>
      </c>
      <c r="M568" s="839">
        <f t="shared" si="360"/>
        <v>37986</v>
      </c>
      <c r="N568" s="839">
        <f t="shared" si="360"/>
        <v>38352</v>
      </c>
      <c r="O568" s="839">
        <f t="shared" si="360"/>
        <v>38717</v>
      </c>
      <c r="P568" s="839">
        <f t="shared" si="360"/>
        <v>39082</v>
      </c>
      <c r="Q568" s="839">
        <f t="shared" si="360"/>
        <v>39447</v>
      </c>
      <c r="R568" s="839">
        <f t="shared" si="360"/>
        <v>39813</v>
      </c>
      <c r="S568" s="839">
        <f t="shared" si="360"/>
        <v>40178</v>
      </c>
      <c r="T568" s="839">
        <f t="shared" si="360"/>
        <v>40543</v>
      </c>
      <c r="U568" s="839">
        <f t="shared" si="360"/>
        <v>40908</v>
      </c>
      <c r="V568" s="839">
        <f t="shared" si="360"/>
        <v>41274</v>
      </c>
      <c r="W568" s="839">
        <f t="shared" si="360"/>
        <v>41639</v>
      </c>
      <c r="X568" s="839">
        <f t="shared" si="360"/>
        <v>42004</v>
      </c>
      <c r="Y568" s="839">
        <f t="shared" si="360"/>
        <v>42369</v>
      </c>
      <c r="Z568" s="839">
        <f t="shared" si="360"/>
        <v>42735</v>
      </c>
      <c r="AA568" s="839">
        <f t="shared" si="360"/>
        <v>43100</v>
      </c>
      <c r="AB568" s="839">
        <f t="shared" si="360"/>
        <v>43465</v>
      </c>
      <c r="AC568" s="839">
        <f t="shared" si="360"/>
        <v>43830</v>
      </c>
      <c r="AD568" s="839">
        <f t="shared" si="360"/>
        <v>44196</v>
      </c>
      <c r="AE568" s="839">
        <f t="shared" si="360"/>
        <v>44561</v>
      </c>
      <c r="AF568" s="840">
        <f t="shared" si="360"/>
        <v>44926</v>
      </c>
    </row>
    <row r="569" spans="1:32" ht="10.8" thickTop="1">
      <c r="A569" s="599" t="s">
        <v>63</v>
      </c>
      <c r="B569" s="282"/>
      <c r="C569" s="282"/>
      <c r="D569" s="282"/>
      <c r="E569" s="492">
        <f>E515</f>
        <v>0</v>
      </c>
      <c r="F569" s="492">
        <f>F515</f>
        <v>960</v>
      </c>
      <c r="G569" s="492">
        <f>G515</f>
        <v>1493</v>
      </c>
      <c r="H569" s="862">
        <f ca="1">IF(I316=0,0,H559/365*(I$316))</f>
        <v>0</v>
      </c>
      <c r="I569" s="842">
        <f t="shared" ref="I569:AF569" ca="1" si="361">IF(I316=0,0,I559/365*(I$316))</f>
        <v>0</v>
      </c>
      <c r="J569" s="841">
        <f t="shared" si="361"/>
        <v>0</v>
      </c>
      <c r="K569" s="842">
        <f t="shared" si="361"/>
        <v>0</v>
      </c>
      <c r="L569" s="842">
        <f t="shared" si="361"/>
        <v>0</v>
      </c>
      <c r="M569" s="842">
        <f t="shared" si="361"/>
        <v>0</v>
      </c>
      <c r="N569" s="842">
        <f t="shared" si="361"/>
        <v>0</v>
      </c>
      <c r="O569" s="842">
        <f t="shared" si="361"/>
        <v>0</v>
      </c>
      <c r="P569" s="842">
        <f t="shared" si="361"/>
        <v>0</v>
      </c>
      <c r="Q569" s="842">
        <f t="shared" si="361"/>
        <v>0</v>
      </c>
      <c r="R569" s="842">
        <f t="shared" si="361"/>
        <v>0</v>
      </c>
      <c r="S569" s="842">
        <f t="shared" si="361"/>
        <v>0</v>
      </c>
      <c r="T569" s="842">
        <f t="shared" si="361"/>
        <v>0</v>
      </c>
      <c r="U569" s="842">
        <f t="shared" si="361"/>
        <v>0</v>
      </c>
      <c r="V569" s="842">
        <f t="shared" si="361"/>
        <v>0</v>
      </c>
      <c r="W569" s="842">
        <f t="shared" si="361"/>
        <v>0</v>
      </c>
      <c r="X569" s="842">
        <f t="shared" si="361"/>
        <v>0</v>
      </c>
      <c r="Y569" s="842">
        <f t="shared" si="361"/>
        <v>0</v>
      </c>
      <c r="Z569" s="842">
        <f t="shared" si="361"/>
        <v>0</v>
      </c>
      <c r="AA569" s="842">
        <f t="shared" si="361"/>
        <v>0</v>
      </c>
      <c r="AB569" s="842">
        <f t="shared" si="361"/>
        <v>0</v>
      </c>
      <c r="AC569" s="842">
        <f t="shared" si="361"/>
        <v>0</v>
      </c>
      <c r="AD569" s="842">
        <f t="shared" si="361"/>
        <v>0</v>
      </c>
      <c r="AE569" s="842">
        <f t="shared" si="361"/>
        <v>0</v>
      </c>
      <c r="AF569" s="843">
        <f t="shared" si="361"/>
        <v>0</v>
      </c>
    </row>
    <row r="570" spans="1:32">
      <c r="A570" s="599"/>
      <c r="B570" s="282"/>
      <c r="C570" s="282"/>
      <c r="D570" s="282"/>
      <c r="E570" s="492"/>
      <c r="F570" s="492"/>
      <c r="G570" s="492"/>
      <c r="H570" s="492"/>
      <c r="I570" s="600"/>
      <c r="J570" s="601"/>
      <c r="K570" s="600"/>
      <c r="L570" s="600"/>
      <c r="M570" s="600"/>
      <c r="N570" s="600"/>
      <c r="O570" s="600"/>
      <c r="P570" s="600"/>
      <c r="Q570" s="600"/>
      <c r="R570" s="600"/>
      <c r="S570" s="600"/>
      <c r="T570" s="600"/>
      <c r="U570" s="600"/>
      <c r="V570" s="600"/>
      <c r="W570" s="600"/>
      <c r="X570" s="600"/>
      <c r="Y570" s="600"/>
      <c r="Z570" s="600"/>
      <c r="AA570" s="600"/>
      <c r="AB570" s="600"/>
      <c r="AC570" s="600"/>
      <c r="AD570" s="600"/>
      <c r="AE570" s="600"/>
      <c r="AF570" s="602"/>
    </row>
    <row r="571" spans="1:32">
      <c r="A571" s="599" t="str">
        <f>A400</f>
        <v>Accounts Receivable</v>
      </c>
      <c r="B571" s="282"/>
      <c r="C571" s="603"/>
      <c r="D571" s="492"/>
      <c r="E571" s="492">
        <f t="shared" ref="E571:G573" si="362">E516</f>
        <v>0</v>
      </c>
      <c r="F571" s="492">
        <f t="shared" si="362"/>
        <v>1187</v>
      </c>
      <c r="G571" s="492">
        <f t="shared" si="362"/>
        <v>591</v>
      </c>
      <c r="H571" s="863">
        <f ca="1">IF(I316=0,0,H560/365*(I$316))</f>
        <v>303.37527413486293</v>
      </c>
      <c r="I571" s="600">
        <f>883</f>
        <v>883</v>
      </c>
      <c r="J571" s="601">
        <f t="shared" ref="J571:AF571" si="363">IF(J316=0,0,J560/365*(J$316))</f>
        <v>1521.2038158434234</v>
      </c>
      <c r="K571" s="600">
        <f t="shared" si="363"/>
        <v>1763.5563731819395</v>
      </c>
      <c r="L571" s="600">
        <f t="shared" si="363"/>
        <v>1639.5884550711421</v>
      </c>
      <c r="M571" s="600">
        <f t="shared" si="363"/>
        <v>1570.652829347192</v>
      </c>
      <c r="N571" s="600">
        <f t="shared" si="363"/>
        <v>1545.8255772593525</v>
      </c>
      <c r="O571" s="600">
        <f t="shared" si="363"/>
        <v>1548.9458397010621</v>
      </c>
      <c r="P571" s="600">
        <f t="shared" si="363"/>
        <v>1609.7305615419045</v>
      </c>
      <c r="Q571" s="600">
        <f t="shared" si="363"/>
        <v>1658.1943220089627</v>
      </c>
      <c r="R571" s="600">
        <f t="shared" si="363"/>
        <v>1712.8137907309551</v>
      </c>
      <c r="S571" s="600">
        <f t="shared" si="363"/>
        <v>1738.7504366863363</v>
      </c>
      <c r="T571" s="600">
        <f t="shared" si="363"/>
        <v>1786.1201580075062</v>
      </c>
      <c r="U571" s="600">
        <f t="shared" si="363"/>
        <v>1816.8065638411656</v>
      </c>
      <c r="V571" s="600">
        <f t="shared" si="363"/>
        <v>1863.7222818026137</v>
      </c>
      <c r="W571" s="600">
        <f t="shared" si="363"/>
        <v>1899.5795099613401</v>
      </c>
      <c r="X571" s="600">
        <f t="shared" si="363"/>
        <v>1942.4565764998456</v>
      </c>
      <c r="Y571" s="600">
        <f t="shared" si="363"/>
        <v>1992.3374250435704</v>
      </c>
      <c r="Z571" s="600">
        <f t="shared" si="363"/>
        <v>2042.6110559813606</v>
      </c>
      <c r="AA571" s="600">
        <f t="shared" si="363"/>
        <v>2081.8734385499356</v>
      </c>
      <c r="AB571" s="600">
        <f t="shared" si="363"/>
        <v>2120.1760059102112</v>
      </c>
      <c r="AC571" s="600">
        <f t="shared" si="363"/>
        <v>2178.7114381044166</v>
      </c>
      <c r="AD571" s="600">
        <f t="shared" si="363"/>
        <v>2227.9107653865071</v>
      </c>
      <c r="AE571" s="600">
        <f t="shared" si="363"/>
        <v>2272.7603021027662</v>
      </c>
      <c r="AF571" s="602">
        <f t="shared" si="363"/>
        <v>1977.2419787194342</v>
      </c>
    </row>
    <row r="572" spans="1:32">
      <c r="A572" s="599" t="str">
        <f>A401</f>
        <v>Inventories</v>
      </c>
      <c r="B572" s="282"/>
      <c r="C572" s="603"/>
      <c r="D572" s="492"/>
      <c r="E572" s="492">
        <f t="shared" si="362"/>
        <v>0</v>
      </c>
      <c r="F572" s="492">
        <f t="shared" si="362"/>
        <v>0</v>
      </c>
      <c r="G572" s="492">
        <f t="shared" si="362"/>
        <v>0</v>
      </c>
      <c r="H572" s="492">
        <f>K517</f>
        <v>0</v>
      </c>
      <c r="I572" s="600">
        <f>163</f>
        <v>163</v>
      </c>
      <c r="J572" s="844">
        <v>0</v>
      </c>
      <c r="K572" s="837">
        <f t="shared" ref="J572:AF573" si="364">J572</f>
        <v>0</v>
      </c>
      <c r="L572" s="837">
        <f t="shared" si="364"/>
        <v>0</v>
      </c>
      <c r="M572" s="837">
        <f t="shared" si="364"/>
        <v>0</v>
      </c>
      <c r="N572" s="837">
        <f t="shared" si="364"/>
        <v>0</v>
      </c>
      <c r="O572" s="837">
        <f t="shared" si="364"/>
        <v>0</v>
      </c>
      <c r="P572" s="837">
        <f t="shared" si="364"/>
        <v>0</v>
      </c>
      <c r="Q572" s="837">
        <f t="shared" si="364"/>
        <v>0</v>
      </c>
      <c r="R572" s="837">
        <f t="shared" si="364"/>
        <v>0</v>
      </c>
      <c r="S572" s="837">
        <f t="shared" si="364"/>
        <v>0</v>
      </c>
      <c r="T572" s="837">
        <f t="shared" si="364"/>
        <v>0</v>
      </c>
      <c r="U572" s="837">
        <f t="shared" si="364"/>
        <v>0</v>
      </c>
      <c r="V572" s="837">
        <f t="shared" si="364"/>
        <v>0</v>
      </c>
      <c r="W572" s="837">
        <f t="shared" si="364"/>
        <v>0</v>
      </c>
      <c r="X572" s="837">
        <f t="shared" si="364"/>
        <v>0</v>
      </c>
      <c r="Y572" s="837">
        <f t="shared" si="364"/>
        <v>0</v>
      </c>
      <c r="Z572" s="837">
        <f t="shared" si="364"/>
        <v>0</v>
      </c>
      <c r="AA572" s="837">
        <f t="shared" si="364"/>
        <v>0</v>
      </c>
      <c r="AB572" s="837">
        <f t="shared" si="364"/>
        <v>0</v>
      </c>
      <c r="AC572" s="837">
        <f t="shared" si="364"/>
        <v>0</v>
      </c>
      <c r="AD572" s="837">
        <f t="shared" si="364"/>
        <v>0</v>
      </c>
      <c r="AE572" s="837">
        <f t="shared" si="364"/>
        <v>0</v>
      </c>
      <c r="AF572" s="838">
        <f t="shared" si="364"/>
        <v>0</v>
      </c>
    </row>
    <row r="573" spans="1:32">
      <c r="A573" s="599" t="str">
        <f>A402</f>
        <v>Other Current Assets</v>
      </c>
      <c r="B573" s="282"/>
      <c r="C573" s="603"/>
      <c r="D573" s="492"/>
      <c r="E573" s="492">
        <f t="shared" si="362"/>
        <v>0</v>
      </c>
      <c r="F573" s="492">
        <f t="shared" si="362"/>
        <v>427</v>
      </c>
      <c r="G573" s="492">
        <f t="shared" si="362"/>
        <v>381</v>
      </c>
      <c r="H573" s="492">
        <f>K518</f>
        <v>0</v>
      </c>
      <c r="I573" s="600">
        <f>H573</f>
        <v>0</v>
      </c>
      <c r="J573" s="844">
        <f t="shared" si="364"/>
        <v>0</v>
      </c>
      <c r="K573" s="837">
        <f t="shared" si="364"/>
        <v>0</v>
      </c>
      <c r="L573" s="837">
        <f t="shared" si="364"/>
        <v>0</v>
      </c>
      <c r="M573" s="837">
        <f t="shared" si="364"/>
        <v>0</v>
      </c>
      <c r="N573" s="837">
        <f t="shared" si="364"/>
        <v>0</v>
      </c>
      <c r="O573" s="837">
        <f t="shared" si="364"/>
        <v>0</v>
      </c>
      <c r="P573" s="837">
        <f t="shared" si="364"/>
        <v>0</v>
      </c>
      <c r="Q573" s="837">
        <f t="shared" si="364"/>
        <v>0</v>
      </c>
      <c r="R573" s="837">
        <f t="shared" si="364"/>
        <v>0</v>
      </c>
      <c r="S573" s="837">
        <f t="shared" si="364"/>
        <v>0</v>
      </c>
      <c r="T573" s="837">
        <f t="shared" si="364"/>
        <v>0</v>
      </c>
      <c r="U573" s="837">
        <f t="shared" si="364"/>
        <v>0</v>
      </c>
      <c r="V573" s="837">
        <f t="shared" si="364"/>
        <v>0</v>
      </c>
      <c r="W573" s="837">
        <f t="shared" si="364"/>
        <v>0</v>
      </c>
      <c r="X573" s="837">
        <f t="shared" si="364"/>
        <v>0</v>
      </c>
      <c r="Y573" s="837">
        <f t="shared" si="364"/>
        <v>0</v>
      </c>
      <c r="Z573" s="837">
        <f t="shared" si="364"/>
        <v>0</v>
      </c>
      <c r="AA573" s="837">
        <f t="shared" si="364"/>
        <v>0</v>
      </c>
      <c r="AB573" s="837">
        <f t="shared" si="364"/>
        <v>0</v>
      </c>
      <c r="AC573" s="837">
        <f t="shared" si="364"/>
        <v>0</v>
      </c>
      <c r="AD573" s="837">
        <f t="shared" si="364"/>
        <v>0</v>
      </c>
      <c r="AE573" s="837">
        <f t="shared" si="364"/>
        <v>0</v>
      </c>
      <c r="AF573" s="838">
        <f t="shared" si="364"/>
        <v>0</v>
      </c>
    </row>
    <row r="574" spans="1:32">
      <c r="A574" s="599" t="str">
        <f>A418</f>
        <v>Accounts Payable</v>
      </c>
      <c r="B574" s="282"/>
      <c r="C574" s="603"/>
      <c r="D574" s="492"/>
      <c r="E574" s="492">
        <f t="shared" ref="E574:G576" si="365">E533</f>
        <v>0</v>
      </c>
      <c r="F574" s="492">
        <f t="shared" si="365"/>
        <v>920</v>
      </c>
      <c r="G574" s="492">
        <f t="shared" si="365"/>
        <v>951</v>
      </c>
      <c r="H574" s="863">
        <f ca="1">+H571-1011</f>
        <v>-707.62472586513707</v>
      </c>
      <c r="I574" s="600">
        <f>834</f>
        <v>834</v>
      </c>
      <c r="J574" s="601">
        <f t="shared" ref="J574:AF574" si="366">IF(J317=0,0,J563/365*(J$316))</f>
        <v>1014.135877228949</v>
      </c>
      <c r="K574" s="600">
        <f t="shared" si="366"/>
        <v>1175.7042487879598</v>
      </c>
      <c r="L574" s="600">
        <f t="shared" si="366"/>
        <v>1093.0589700474281</v>
      </c>
      <c r="M574" s="600">
        <f t="shared" si="366"/>
        <v>1047.1018862314613</v>
      </c>
      <c r="N574" s="600">
        <f t="shared" si="366"/>
        <v>1030.5503848395683</v>
      </c>
      <c r="O574" s="600">
        <f t="shared" si="366"/>
        <v>1032.6305598007082</v>
      </c>
      <c r="P574" s="600">
        <f t="shared" si="366"/>
        <v>1073.1537076946031</v>
      </c>
      <c r="Q574" s="600">
        <f t="shared" si="366"/>
        <v>1105.4628813393083</v>
      </c>
      <c r="R574" s="600">
        <f t="shared" si="366"/>
        <v>1141.8758604873035</v>
      </c>
      <c r="S574" s="600">
        <f t="shared" si="366"/>
        <v>1159.1669577908908</v>
      </c>
      <c r="T574" s="600">
        <f t="shared" si="366"/>
        <v>1190.7467720050042</v>
      </c>
      <c r="U574" s="600">
        <f t="shared" si="366"/>
        <v>1211.2043758941104</v>
      </c>
      <c r="V574" s="600">
        <f t="shared" si="366"/>
        <v>1242.4815212017425</v>
      </c>
      <c r="W574" s="600">
        <f t="shared" si="366"/>
        <v>1266.3863399742268</v>
      </c>
      <c r="X574" s="600">
        <f t="shared" si="366"/>
        <v>1294.9710509998972</v>
      </c>
      <c r="Y574" s="600">
        <f t="shared" si="366"/>
        <v>1328.224950029047</v>
      </c>
      <c r="Z574" s="600">
        <f t="shared" si="366"/>
        <v>1361.7407039875739</v>
      </c>
      <c r="AA574" s="600">
        <f t="shared" si="366"/>
        <v>1387.9156256999572</v>
      </c>
      <c r="AB574" s="600">
        <f t="shared" si="366"/>
        <v>1413.4506706068075</v>
      </c>
      <c r="AC574" s="600">
        <f t="shared" si="366"/>
        <v>1452.474292069611</v>
      </c>
      <c r="AD574" s="600">
        <f t="shared" si="366"/>
        <v>1485.2738435910048</v>
      </c>
      <c r="AE574" s="600">
        <f t="shared" si="366"/>
        <v>1515.1735347351776</v>
      </c>
      <c r="AF574" s="600">
        <f t="shared" si="366"/>
        <v>1318.1613191462895</v>
      </c>
    </row>
    <row r="575" spans="1:32">
      <c r="A575" s="599" t="str">
        <f>A419</f>
        <v>Accrued Expenses</v>
      </c>
      <c r="B575" s="282"/>
      <c r="C575" s="603"/>
      <c r="D575" s="492"/>
      <c r="E575" s="492">
        <f t="shared" si="365"/>
        <v>0</v>
      </c>
      <c r="F575" s="492">
        <f t="shared" si="365"/>
        <v>0</v>
      </c>
      <c r="G575" s="492">
        <f t="shared" si="365"/>
        <v>0</v>
      </c>
      <c r="H575" s="492">
        <f>K534</f>
        <v>0</v>
      </c>
      <c r="I575" s="600">
        <v>0</v>
      </c>
      <c r="J575" s="601">
        <v>0</v>
      </c>
      <c r="K575" s="600">
        <f t="shared" ref="K575:AF575" si="367">J575</f>
        <v>0</v>
      </c>
      <c r="L575" s="600">
        <f t="shared" si="367"/>
        <v>0</v>
      </c>
      <c r="M575" s="600">
        <f t="shared" si="367"/>
        <v>0</v>
      </c>
      <c r="N575" s="600">
        <f t="shared" si="367"/>
        <v>0</v>
      </c>
      <c r="O575" s="600">
        <f t="shared" si="367"/>
        <v>0</v>
      </c>
      <c r="P575" s="600">
        <f t="shared" si="367"/>
        <v>0</v>
      </c>
      <c r="Q575" s="600">
        <f t="shared" si="367"/>
        <v>0</v>
      </c>
      <c r="R575" s="600">
        <f t="shared" si="367"/>
        <v>0</v>
      </c>
      <c r="S575" s="600">
        <f t="shared" si="367"/>
        <v>0</v>
      </c>
      <c r="T575" s="600">
        <f t="shared" si="367"/>
        <v>0</v>
      </c>
      <c r="U575" s="600">
        <f t="shared" si="367"/>
        <v>0</v>
      </c>
      <c r="V575" s="600">
        <f t="shared" si="367"/>
        <v>0</v>
      </c>
      <c r="W575" s="600">
        <f t="shared" si="367"/>
        <v>0</v>
      </c>
      <c r="X575" s="600">
        <f t="shared" si="367"/>
        <v>0</v>
      </c>
      <c r="Y575" s="600">
        <f t="shared" si="367"/>
        <v>0</v>
      </c>
      <c r="Z575" s="600">
        <f t="shared" si="367"/>
        <v>0</v>
      </c>
      <c r="AA575" s="600">
        <f t="shared" si="367"/>
        <v>0</v>
      </c>
      <c r="AB575" s="600">
        <f t="shared" si="367"/>
        <v>0</v>
      </c>
      <c r="AC575" s="600">
        <f t="shared" si="367"/>
        <v>0</v>
      </c>
      <c r="AD575" s="600">
        <f t="shared" si="367"/>
        <v>0</v>
      </c>
      <c r="AE575" s="600">
        <f t="shared" si="367"/>
        <v>0</v>
      </c>
      <c r="AF575" s="602">
        <f t="shared" si="367"/>
        <v>0</v>
      </c>
    </row>
    <row r="576" spans="1:32">
      <c r="A576" s="599" t="str">
        <f>A420</f>
        <v>Other Payables</v>
      </c>
      <c r="B576" s="282"/>
      <c r="C576" s="492"/>
      <c r="D576" s="492"/>
      <c r="E576" s="492">
        <f t="shared" si="365"/>
        <v>0</v>
      </c>
      <c r="F576" s="492">
        <f t="shared" si="365"/>
        <v>516</v>
      </c>
      <c r="G576" s="492">
        <f t="shared" si="365"/>
        <v>387</v>
      </c>
      <c r="H576" s="492">
        <f>K535</f>
        <v>0</v>
      </c>
      <c r="I576" s="600">
        <f>H576</f>
        <v>0</v>
      </c>
      <c r="J576" s="845">
        <f>I576</f>
        <v>0</v>
      </c>
      <c r="K576" s="846">
        <f t="shared" ref="K576:AF576" si="368">J576</f>
        <v>0</v>
      </c>
      <c r="L576" s="846">
        <f t="shared" si="368"/>
        <v>0</v>
      </c>
      <c r="M576" s="846">
        <f t="shared" si="368"/>
        <v>0</v>
      </c>
      <c r="N576" s="846">
        <f t="shared" si="368"/>
        <v>0</v>
      </c>
      <c r="O576" s="846">
        <f t="shared" si="368"/>
        <v>0</v>
      </c>
      <c r="P576" s="846">
        <f t="shared" si="368"/>
        <v>0</v>
      </c>
      <c r="Q576" s="846">
        <f t="shared" si="368"/>
        <v>0</v>
      </c>
      <c r="R576" s="846">
        <f t="shared" si="368"/>
        <v>0</v>
      </c>
      <c r="S576" s="846">
        <f t="shared" si="368"/>
        <v>0</v>
      </c>
      <c r="T576" s="846">
        <f t="shared" si="368"/>
        <v>0</v>
      </c>
      <c r="U576" s="846">
        <f t="shared" si="368"/>
        <v>0</v>
      </c>
      <c r="V576" s="846">
        <f t="shared" si="368"/>
        <v>0</v>
      </c>
      <c r="W576" s="846">
        <f t="shared" si="368"/>
        <v>0</v>
      </c>
      <c r="X576" s="846">
        <f t="shared" si="368"/>
        <v>0</v>
      </c>
      <c r="Y576" s="846">
        <f t="shared" si="368"/>
        <v>0</v>
      </c>
      <c r="Z576" s="846">
        <f t="shared" si="368"/>
        <v>0</v>
      </c>
      <c r="AA576" s="846">
        <f t="shared" si="368"/>
        <v>0</v>
      </c>
      <c r="AB576" s="846">
        <f t="shared" si="368"/>
        <v>0</v>
      </c>
      <c r="AC576" s="846">
        <f t="shared" si="368"/>
        <v>0</v>
      </c>
      <c r="AD576" s="846">
        <f t="shared" si="368"/>
        <v>0</v>
      </c>
      <c r="AE576" s="846">
        <f t="shared" si="368"/>
        <v>0</v>
      </c>
      <c r="AF576" s="847">
        <f t="shared" si="368"/>
        <v>0</v>
      </c>
    </row>
    <row r="577" spans="1:32" ht="10.8" thickBot="1">
      <c r="A577" s="599" t="s">
        <v>64</v>
      </c>
      <c r="B577" s="282"/>
      <c r="C577" s="492"/>
      <c r="D577" s="604">
        <f>E577</f>
        <v>0</v>
      </c>
      <c r="E577" s="509">
        <f>E569+E571+E572+E573-E574-E575-E576</f>
        <v>0</v>
      </c>
      <c r="F577" s="509">
        <f>F569+F571+F572+F573-F574-F575-F576</f>
        <v>1138</v>
      </c>
      <c r="G577" s="509">
        <f>G569+G571+G572+G573-G574-G575-G576</f>
        <v>1127</v>
      </c>
      <c r="H577" s="509">
        <f ca="1">H569+H571+H572+H573-H574-H575-H576</f>
        <v>1011</v>
      </c>
      <c r="I577" s="522">
        <f ca="1">I569+I571+I572+I573-I574-I575-I576</f>
        <v>212</v>
      </c>
      <c r="J577" s="509">
        <f t="shared" ref="J577:AF577" si="369">J569+J571+J572+J573-J574-J575-J576</f>
        <v>507.06793861447443</v>
      </c>
      <c r="K577" s="509">
        <f t="shared" si="369"/>
        <v>587.85212439397969</v>
      </c>
      <c r="L577" s="509">
        <f t="shared" si="369"/>
        <v>546.52948502371396</v>
      </c>
      <c r="M577" s="509">
        <f t="shared" si="369"/>
        <v>523.55094311573066</v>
      </c>
      <c r="N577" s="509">
        <f t="shared" si="369"/>
        <v>515.27519241978416</v>
      </c>
      <c r="O577" s="509">
        <f t="shared" si="369"/>
        <v>516.31527990035397</v>
      </c>
      <c r="P577" s="509">
        <f t="shared" si="369"/>
        <v>536.57685384730144</v>
      </c>
      <c r="Q577" s="509">
        <f t="shared" si="369"/>
        <v>552.73144066965438</v>
      </c>
      <c r="R577" s="509">
        <f t="shared" si="369"/>
        <v>570.93793024365164</v>
      </c>
      <c r="S577" s="509">
        <f t="shared" si="369"/>
        <v>579.58347889544552</v>
      </c>
      <c r="T577" s="509">
        <f t="shared" si="369"/>
        <v>595.373386002502</v>
      </c>
      <c r="U577" s="509">
        <f t="shared" si="369"/>
        <v>605.6021879470552</v>
      </c>
      <c r="V577" s="509">
        <f t="shared" si="369"/>
        <v>621.24076060087123</v>
      </c>
      <c r="W577" s="509">
        <f t="shared" si="369"/>
        <v>633.19316998711338</v>
      </c>
      <c r="X577" s="509">
        <f t="shared" si="369"/>
        <v>647.48552549994838</v>
      </c>
      <c r="Y577" s="509">
        <f t="shared" si="369"/>
        <v>664.1124750145234</v>
      </c>
      <c r="Z577" s="509">
        <f t="shared" si="369"/>
        <v>680.8703519937867</v>
      </c>
      <c r="AA577" s="509">
        <f t="shared" si="369"/>
        <v>693.95781284997838</v>
      </c>
      <c r="AB577" s="509">
        <f t="shared" si="369"/>
        <v>706.72533530340365</v>
      </c>
      <c r="AC577" s="509">
        <f t="shared" si="369"/>
        <v>726.23714603480562</v>
      </c>
      <c r="AD577" s="509">
        <f t="shared" si="369"/>
        <v>742.6369217955023</v>
      </c>
      <c r="AE577" s="509">
        <f t="shared" si="369"/>
        <v>757.58676736758866</v>
      </c>
      <c r="AF577" s="509">
        <f t="shared" si="369"/>
        <v>659.08065957314466</v>
      </c>
    </row>
    <row r="578" spans="1:32" ht="10.8" thickTop="1">
      <c r="A578" s="599"/>
      <c r="B578" s="282"/>
      <c r="C578" s="282"/>
      <c r="D578" s="282"/>
      <c r="E578" s="282"/>
      <c r="F578" s="282"/>
      <c r="G578" s="282"/>
      <c r="H578" s="282"/>
      <c r="I578" s="282"/>
      <c r="J578" s="525"/>
      <c r="K578" s="282"/>
      <c r="L578" s="282"/>
      <c r="M578" s="282"/>
      <c r="N578" s="282"/>
      <c r="O578" s="282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  <c r="AA578" s="282"/>
      <c r="AB578" s="282"/>
      <c r="AC578" s="282"/>
      <c r="AD578" s="282"/>
      <c r="AE578" s="282"/>
      <c r="AF578" s="500"/>
    </row>
    <row r="579" spans="1:32">
      <c r="A579" s="605" t="s">
        <v>1069</v>
      </c>
      <c r="B579" s="554"/>
      <c r="C579" s="554"/>
      <c r="D579" s="554"/>
      <c r="E579" s="554">
        <f>E577-D577</f>
        <v>0</v>
      </c>
      <c r="F579" s="554">
        <f>F577-E577</f>
        <v>1138</v>
      </c>
      <c r="G579" s="554">
        <f>G577-F577</f>
        <v>-11</v>
      </c>
      <c r="H579" s="891">
        <f ca="1">H577-G577</f>
        <v>-116</v>
      </c>
      <c r="I579" s="852">
        <f ca="1">+I577-H577</f>
        <v>-799</v>
      </c>
      <c r="J579" s="554">
        <f t="shared" ref="J579:AF579" ca="1" si="370">+J577-I577</f>
        <v>295.06793861447443</v>
      </c>
      <c r="K579" s="554">
        <f t="shared" si="370"/>
        <v>80.784185779505265</v>
      </c>
      <c r="L579" s="554">
        <f t="shared" si="370"/>
        <v>-41.322639370265733</v>
      </c>
      <c r="M579" s="554">
        <f t="shared" si="370"/>
        <v>-22.978541907983299</v>
      </c>
      <c r="N579" s="554">
        <f t="shared" si="370"/>
        <v>-8.275750695946499</v>
      </c>
      <c r="O579" s="554">
        <f t="shared" si="370"/>
        <v>1.0400874805698095</v>
      </c>
      <c r="P579" s="554">
        <f t="shared" si="370"/>
        <v>20.261573946947465</v>
      </c>
      <c r="Q579" s="554">
        <f t="shared" si="370"/>
        <v>16.15458682235294</v>
      </c>
      <c r="R579" s="554">
        <f t="shared" si="370"/>
        <v>18.20648957399726</v>
      </c>
      <c r="S579" s="554">
        <f t="shared" si="370"/>
        <v>8.645548651793888</v>
      </c>
      <c r="T579" s="554">
        <f t="shared" si="370"/>
        <v>15.789907107056479</v>
      </c>
      <c r="U579" s="554">
        <f t="shared" si="370"/>
        <v>10.228801944553197</v>
      </c>
      <c r="V579" s="554">
        <f t="shared" si="370"/>
        <v>15.638572653816027</v>
      </c>
      <c r="W579" s="554">
        <f t="shared" si="370"/>
        <v>11.952409386242152</v>
      </c>
      <c r="X579" s="554">
        <f t="shared" si="370"/>
        <v>14.292355512835002</v>
      </c>
      <c r="Y579" s="554">
        <f t="shared" si="370"/>
        <v>16.626949514575017</v>
      </c>
      <c r="Z579" s="554">
        <f t="shared" si="370"/>
        <v>16.757876979263301</v>
      </c>
      <c r="AA579" s="554">
        <f t="shared" si="370"/>
        <v>13.087460856191683</v>
      </c>
      <c r="AB579" s="554">
        <f t="shared" si="370"/>
        <v>12.767522453425272</v>
      </c>
      <c r="AC579" s="554">
        <f t="shared" si="370"/>
        <v>19.511810731401965</v>
      </c>
      <c r="AD579" s="554">
        <f t="shared" si="370"/>
        <v>16.399775760696684</v>
      </c>
      <c r="AE579" s="554">
        <f t="shared" si="370"/>
        <v>14.94984557208636</v>
      </c>
      <c r="AF579" s="555">
        <f t="shared" si="370"/>
        <v>-98.506107794444006</v>
      </c>
    </row>
    <row r="580" spans="1:32">
      <c r="A580" s="484"/>
      <c r="B580" s="285"/>
      <c r="C580" s="285"/>
      <c r="D580" s="285"/>
      <c r="E580" s="285"/>
      <c r="F580" s="285"/>
      <c r="G580" s="285"/>
      <c r="H580" s="285"/>
      <c r="I580" s="282"/>
      <c r="J580" s="282"/>
      <c r="K580" s="285"/>
      <c r="L580" s="285"/>
      <c r="M580" s="285"/>
      <c r="N580" s="285"/>
      <c r="O580" s="285"/>
      <c r="P580" s="285"/>
      <c r="Q580" s="285"/>
      <c r="R580" s="285"/>
      <c r="S580" s="285"/>
      <c r="T580" s="285"/>
      <c r="U580" s="285"/>
      <c r="V580" s="285"/>
      <c r="W580" s="285"/>
      <c r="X580" s="285"/>
      <c r="Y580" s="285"/>
      <c r="Z580" s="285"/>
      <c r="AA580" s="285"/>
      <c r="AB580" s="285"/>
      <c r="AC580" s="285"/>
      <c r="AD580" s="285"/>
      <c r="AE580" s="285"/>
      <c r="AF580" s="285"/>
    </row>
    <row r="581" spans="1:32">
      <c r="A581" s="606" t="s">
        <v>683</v>
      </c>
      <c r="B581" s="498"/>
      <c r="C581" s="498"/>
      <c r="D581" s="498"/>
      <c r="E581" s="607"/>
      <c r="F581" s="607"/>
      <c r="G581" s="607"/>
      <c r="H581" s="607"/>
      <c r="I581" s="1244">
        <f>I587-H587</f>
        <v>0</v>
      </c>
      <c r="J581" s="1244">
        <f t="shared" ref="J581:AF581" si="371">J587-I587</f>
        <v>0</v>
      </c>
      <c r="K581" s="1244">
        <f t="shared" si="371"/>
        <v>0</v>
      </c>
      <c r="L581" s="1244">
        <f t="shared" si="371"/>
        <v>332.97615389445008</v>
      </c>
      <c r="M581" s="1244">
        <f t="shared" si="371"/>
        <v>-332.97615389445008</v>
      </c>
      <c r="N581" s="1244">
        <f t="shared" si="371"/>
        <v>0</v>
      </c>
      <c r="O581" s="1244">
        <f t="shared" si="371"/>
        <v>576.46747747446091</v>
      </c>
      <c r="P581" s="1244">
        <f t="shared" si="371"/>
        <v>2305.8699098978436</v>
      </c>
      <c r="Q581" s="1244">
        <f t="shared" si="371"/>
        <v>-2882.3373873723044</v>
      </c>
      <c r="R581" s="1244">
        <f t="shared" si="371"/>
        <v>0</v>
      </c>
      <c r="S581" s="1244">
        <f t="shared" si="371"/>
        <v>0</v>
      </c>
      <c r="T581" s="1244">
        <f t="shared" si="371"/>
        <v>467.66382849441527</v>
      </c>
      <c r="U581" s="1244">
        <f t="shared" si="371"/>
        <v>-467.66382849441527</v>
      </c>
      <c r="V581" s="1244">
        <f t="shared" si="371"/>
        <v>0</v>
      </c>
      <c r="W581" s="1244">
        <f t="shared" si="371"/>
        <v>807.96969208624</v>
      </c>
      <c r="X581" s="1244">
        <f t="shared" si="371"/>
        <v>3231.87876834496</v>
      </c>
      <c r="Y581" s="1244">
        <f t="shared" si="371"/>
        <v>-4039.8484604311998</v>
      </c>
      <c r="Z581" s="1244">
        <f t="shared" si="371"/>
        <v>0</v>
      </c>
      <c r="AA581" s="1244">
        <f t="shared" si="371"/>
        <v>0</v>
      </c>
      <c r="AB581" s="1244">
        <f t="shared" si="371"/>
        <v>0</v>
      </c>
      <c r="AC581" s="1244">
        <f t="shared" si="371"/>
        <v>0</v>
      </c>
      <c r="AD581" s="1244">
        <f t="shared" si="371"/>
        <v>0</v>
      </c>
      <c r="AE581" s="1244">
        <f t="shared" si="371"/>
        <v>0</v>
      </c>
      <c r="AF581" s="1245">
        <f t="shared" si="371"/>
        <v>0</v>
      </c>
    </row>
    <row r="582" spans="1:32">
      <c r="A582" s="343"/>
      <c r="B582" s="282"/>
      <c r="C582" s="282"/>
      <c r="D582" s="282"/>
      <c r="E582" s="282"/>
      <c r="F582" s="282"/>
      <c r="G582" s="348"/>
      <c r="H582" s="348"/>
      <c r="I582" s="348"/>
      <c r="J582" s="348"/>
      <c r="K582" s="348"/>
      <c r="L582" s="348"/>
      <c r="M582" s="348"/>
      <c r="N582" s="348"/>
      <c r="O582" s="348"/>
      <c r="P582" s="348"/>
      <c r="Q582" s="348"/>
      <c r="R582" s="348"/>
      <c r="S582" s="348"/>
      <c r="T582" s="348"/>
      <c r="U582" s="348"/>
      <c r="V582" s="348"/>
      <c r="W582" s="348"/>
      <c r="X582" s="348"/>
      <c r="Y582" s="348"/>
      <c r="Z582" s="348"/>
      <c r="AA582" s="348"/>
      <c r="AB582" s="348"/>
      <c r="AC582" s="348"/>
      <c r="AD582" s="348"/>
      <c r="AE582" s="348"/>
      <c r="AF582" s="344"/>
    </row>
    <row r="583" spans="1:32">
      <c r="A583" s="343"/>
      <c r="B583" s="282"/>
      <c r="C583" s="282"/>
      <c r="D583" s="282"/>
      <c r="E583" s="282"/>
      <c r="F583" s="282"/>
      <c r="G583" s="282"/>
      <c r="H583" s="282"/>
      <c r="I583" s="608" t="s">
        <v>787</v>
      </c>
      <c r="J583" s="608"/>
      <c r="K583" s="608"/>
      <c r="L583" s="608"/>
      <c r="M583" s="608"/>
      <c r="N583" s="608"/>
      <c r="O583" s="608"/>
      <c r="P583" s="608"/>
      <c r="Q583" s="608"/>
      <c r="R583" s="608"/>
      <c r="S583" s="608"/>
      <c r="T583" s="608"/>
      <c r="U583" s="608"/>
      <c r="V583" s="608"/>
      <c r="W583" s="608"/>
      <c r="X583" s="608"/>
      <c r="Y583" s="608"/>
      <c r="Z583" s="608"/>
      <c r="AA583" s="608"/>
      <c r="AB583" s="608"/>
      <c r="AC583" s="608"/>
      <c r="AD583" s="608"/>
      <c r="AE583" s="608"/>
      <c r="AF583" s="609"/>
    </row>
    <row r="584" spans="1:32" s="393" customFormat="1">
      <c r="A584" s="1256" t="s">
        <v>65</v>
      </c>
      <c r="B584" s="1257"/>
      <c r="C584" s="1257"/>
      <c r="D584" s="1257"/>
      <c r="E584" s="1257"/>
      <c r="F584" s="1257"/>
      <c r="G584" s="1257"/>
      <c r="H584" s="861">
        <v>0</v>
      </c>
      <c r="I584" s="861">
        <v>0</v>
      </c>
      <c r="J584" s="610">
        <f t="shared" ref="J584:AF584" ca="1" si="372">+J$453+J$460+J$339</f>
        <v>5933.8738851741655</v>
      </c>
      <c r="K584" s="610">
        <f t="shared" ca="1" si="372"/>
        <v>6380.065352488331</v>
      </c>
      <c r="L584" s="610">
        <f t="shared" ca="1" si="372"/>
        <v>6616.8020818473924</v>
      </c>
      <c r="M584" s="610">
        <f t="shared" ca="1" si="372"/>
        <v>6036.5590677927048</v>
      </c>
      <c r="N584" s="610">
        <f t="shared" ca="1" si="372"/>
        <v>6899.8559304777054</v>
      </c>
      <c r="O584" s="610">
        <f t="shared" ca="1" si="372"/>
        <v>6839.9796865327044</v>
      </c>
      <c r="P584" s="610">
        <f t="shared" ca="1" si="372"/>
        <v>5504.5234573139551</v>
      </c>
      <c r="Q584" s="610">
        <f t="shared" ca="1" si="372"/>
        <v>5994.292172103017</v>
      </c>
      <c r="R584" s="610">
        <f t="shared" ca="1" si="372"/>
        <v>7157.5290488002065</v>
      </c>
      <c r="S584" s="610">
        <f t="shared" ca="1" si="372"/>
        <v>6901.4390345583306</v>
      </c>
      <c r="T584" s="610">
        <f t="shared" ca="1" si="372"/>
        <v>5641.12274618833</v>
      </c>
      <c r="U584" s="610">
        <f t="shared" ca="1" si="372"/>
        <v>5111.3478550958298</v>
      </c>
      <c r="V584" s="610">
        <f t="shared" ca="1" si="372"/>
        <v>5929.842149021455</v>
      </c>
      <c r="W584" s="610">
        <f t="shared" ca="1" si="372"/>
        <v>5619.8578634352061</v>
      </c>
      <c r="X584" s="610">
        <f t="shared" ca="1" si="372"/>
        <v>4755.9734098255167</v>
      </c>
      <c r="Y584" s="610">
        <f t="shared" ca="1" si="372"/>
        <v>5171.2484301655168</v>
      </c>
      <c r="Z584" s="610">
        <f t="shared" ca="1" si="372"/>
        <v>4692.9697870617629</v>
      </c>
      <c r="AA584" s="610">
        <f t="shared" ca="1" si="372"/>
        <v>91.007803185833112</v>
      </c>
      <c r="AB584" s="610">
        <f t="shared" ca="1" si="372"/>
        <v>91.007803185833353</v>
      </c>
      <c r="AC584" s="610">
        <f t="shared" ca="1" si="372"/>
        <v>91.007803185839293</v>
      </c>
      <c r="AD584" s="610">
        <f t="shared" ca="1" si="372"/>
        <v>91.007803185836096</v>
      </c>
      <c r="AE584" s="610">
        <f t="shared" ca="1" si="372"/>
        <v>91.007803185850577</v>
      </c>
      <c r="AF584" s="851">
        <f t="shared" ca="1" si="372"/>
        <v>91.007803185838839</v>
      </c>
    </row>
    <row r="585" spans="1:32">
      <c r="A585" s="599" t="str">
        <f>"DS Reserve Account ("&amp;Summary!$E$118*100&amp;"% of Scheduled DS)"</f>
        <v>DS Reserve Account (50% of Scheduled DS)</v>
      </c>
      <c r="B585" s="282"/>
      <c r="C585" s="282"/>
      <c r="D585" s="282"/>
      <c r="E585" s="282"/>
      <c r="F585" s="282"/>
      <c r="G585" s="282"/>
      <c r="H585" s="861">
        <v>0</v>
      </c>
      <c r="I585" s="861">
        <f ca="1">IF(I425&gt;0,I584*Summary!$E$118,0)</f>
        <v>0</v>
      </c>
      <c r="J585" s="610"/>
      <c r="K585" s="610"/>
      <c r="L585" s="610"/>
      <c r="M585" s="610"/>
      <c r="N585" s="610"/>
      <c r="O585" s="610"/>
      <c r="P585" s="610"/>
      <c r="Q585" s="610"/>
      <c r="R585" s="610"/>
      <c r="S585" s="610"/>
      <c r="T585" s="610"/>
      <c r="U585" s="610"/>
      <c r="V585" s="610"/>
      <c r="W585" s="610"/>
      <c r="X585" s="610"/>
      <c r="Y585" s="610"/>
      <c r="Z585" s="610"/>
      <c r="AA585" s="610"/>
      <c r="AB585" s="610"/>
      <c r="AC585" s="610"/>
      <c r="AD585" s="610"/>
      <c r="AE585" s="610"/>
      <c r="AF585" s="610"/>
    </row>
    <row r="586" spans="1:32">
      <c r="A586" s="599"/>
      <c r="B586" s="282"/>
      <c r="C586" s="282"/>
      <c r="D586" s="282"/>
      <c r="E586" s="282"/>
      <c r="F586" s="282"/>
      <c r="G586" s="282"/>
      <c r="H586" s="861">
        <v>0</v>
      </c>
      <c r="I586" s="861">
        <v>0</v>
      </c>
      <c r="J586" s="611"/>
      <c r="K586" s="611"/>
      <c r="L586" s="611"/>
      <c r="M586" s="611"/>
      <c r="N586" s="611"/>
      <c r="O586" s="611"/>
      <c r="P586" s="611"/>
      <c r="Q586" s="611"/>
      <c r="R586" s="611"/>
      <c r="S586" s="611"/>
      <c r="T586" s="611"/>
      <c r="U586" s="611"/>
      <c r="V586" s="611"/>
      <c r="W586" s="611"/>
      <c r="X586" s="611"/>
      <c r="Y586" s="611"/>
      <c r="Z586" s="611"/>
      <c r="AA586" s="611"/>
      <c r="AB586" s="611"/>
      <c r="AC586" s="611"/>
      <c r="AD586" s="611"/>
      <c r="AE586" s="611"/>
      <c r="AF586" s="1246"/>
    </row>
    <row r="587" spans="1:32">
      <c r="A587" s="599" t="s">
        <v>347</v>
      </c>
      <c r="B587" s="282"/>
      <c r="C587" s="282"/>
      <c r="D587" s="282"/>
      <c r="E587" s="282"/>
      <c r="F587" s="282"/>
      <c r="G587" s="282"/>
      <c r="H587" s="1258"/>
      <c r="I587" s="1258"/>
      <c r="J587" s="1258">
        <f ca="1">IF(Summary!$O$109=0,0,SUMIF($J$598:$AF$598,J598,#REF!))</f>
        <v>0</v>
      </c>
      <c r="K587" s="1258">
        <f ca="1">IF(Summary!$O$109=0,0,SUMIF($J$598:$AF$598,K598,#REF!))</f>
        <v>0</v>
      </c>
      <c r="L587" s="1258">
        <f ca="1">IF(Summary!$O$109=0,Summary!$E$44*0.25,SUMIF($J$598:$AF$598,L598,#REF!))</f>
        <v>332.97615389445008</v>
      </c>
      <c r="M587" s="1258">
        <f ca="1">IF(Summary!$O$109=0,0,SUMIF($J$598:$AF$598,M598,#REF!))</f>
        <v>0</v>
      </c>
      <c r="N587" s="1258">
        <f ca="1">IF(Summary!$O$109=0,0,SUMIF($J$598:$AF$598,N598,#REF!))</f>
        <v>0</v>
      </c>
      <c r="O587" s="1258">
        <f ca="1">IF(Summary!$O$109=0,Summary!$E$50*0.125,SUMIF($J$598:$AF$598,O598,#REF!))</f>
        <v>576.46747747446091</v>
      </c>
      <c r="P587" s="1258">
        <f ca="1">IF(Summary!$O$109=0,Summary!$E$50*0.625,SUMIF($J$598:$AF$598,P598,#REF!))</f>
        <v>2882.3373873723044</v>
      </c>
      <c r="Q587" s="1258">
        <f ca="1">IF(Summary!$O$109=0,0,SUMIF($J$598:$AF$598,Q598,#REF!))</f>
        <v>0</v>
      </c>
      <c r="R587" s="1258">
        <f ca="1">IF(Summary!$O$109=0,0,SUMIF($J$598:$AF$598,R598,#REF!))</f>
        <v>0</v>
      </c>
      <c r="S587" s="1258">
        <f ca="1">IF(Summary!$O$109=0,0,SUMIF($J$598:$AF$598,S598,#REF!))</f>
        <v>0</v>
      </c>
      <c r="T587" s="1258">
        <f ca="1">IF(Summary!$O$109=0,Summary!$E$56*0.25,SUMIF($J$598:$AF$598,T598,#REF!))</f>
        <v>467.66382849441527</v>
      </c>
      <c r="U587" s="1258">
        <f ca="1">IF(Summary!$O$109=0,0,SUMIF($J$598:$AF$598,U598,#REF!))</f>
        <v>0</v>
      </c>
      <c r="V587" s="1258">
        <f ca="1">IF(Summary!$O$109=0,0,SUMIF($J$598:$AF$598,V598,#REF!))</f>
        <v>0</v>
      </c>
      <c r="W587" s="1258">
        <f ca="1">IF(Summary!$O$109=0,Summary!$E$62*0.125,SUMIF($J$598:$AF$598,W598,#REF!))</f>
        <v>807.96969208624</v>
      </c>
      <c r="X587" s="1258">
        <f ca="1">IF(Summary!$O$109=0,Summary!$E$62*0.625,SUMIF($J$598:$AF$598,X598,#REF!))</f>
        <v>4039.8484604311998</v>
      </c>
      <c r="Y587" s="1258">
        <f ca="1">IF(Summary!$O$109=0,0,SUMIF($J$598:$AF$598,Y598,#REF!))</f>
        <v>0</v>
      </c>
      <c r="Z587" s="1258">
        <f ca="1">IF(Summary!$O$109=0,0,SUMIF($J$598:$AF$598,Z598,#REF!))</f>
        <v>0</v>
      </c>
      <c r="AA587" s="1258">
        <f ca="1">IF(Summary!$O$109=0,0,SUMIF($J$598:$AF$598,AA598,#REF!))</f>
        <v>0</v>
      </c>
      <c r="AB587" s="1258">
        <f ca="1">IF(Summary!$O$109=0,0,SUMIF($J$598:$AF$598,AB598,#REF!))</f>
        <v>0</v>
      </c>
      <c r="AC587" s="1258">
        <f ca="1">IF(Summary!$O$109=0,0,SUMIF($J$598:$AF$598,AC598,#REF!))</f>
        <v>0</v>
      </c>
      <c r="AD587" s="1258">
        <f ca="1">IF(Summary!$O$109=0,0,SUMIF($J$598:$AF$598,AD598,#REF!))</f>
        <v>0</v>
      </c>
      <c r="AE587" s="1258">
        <f ca="1">IF(Summary!$O$109=0,0,SUMIF($J$598:$AF$598,AE598,#REF!))</f>
        <v>0</v>
      </c>
      <c r="AF587" s="1258">
        <f ca="1">IF(Summary!$O$109=0,0,SUMIF($J$598:$AF$598,AF598,#REF!))</f>
        <v>0</v>
      </c>
    </row>
    <row r="588" spans="1:32">
      <c r="A588" s="599" t="s">
        <v>257</v>
      </c>
      <c r="B588" s="282"/>
      <c r="C588" s="282"/>
      <c r="D588" s="282"/>
      <c r="E588" s="282"/>
      <c r="F588" s="282"/>
      <c r="G588" s="282"/>
      <c r="H588" s="850"/>
      <c r="I588" s="610">
        <v>0</v>
      </c>
      <c r="J588" s="610">
        <f t="shared" ref="J588:AF588" si="373">SUM(J585:J587)</f>
        <v>0</v>
      </c>
      <c r="K588" s="610">
        <f t="shared" si="373"/>
        <v>0</v>
      </c>
      <c r="L588" s="610">
        <f t="shared" si="373"/>
        <v>332.97615389445008</v>
      </c>
      <c r="M588" s="610">
        <f t="shared" si="373"/>
        <v>0</v>
      </c>
      <c r="N588" s="610">
        <f t="shared" si="373"/>
        <v>0</v>
      </c>
      <c r="O588" s="610">
        <f t="shared" si="373"/>
        <v>576.46747747446091</v>
      </c>
      <c r="P588" s="610">
        <f t="shared" si="373"/>
        <v>2882.3373873723044</v>
      </c>
      <c r="Q588" s="610">
        <f t="shared" si="373"/>
        <v>0</v>
      </c>
      <c r="R588" s="610">
        <f t="shared" si="373"/>
        <v>0</v>
      </c>
      <c r="S588" s="610">
        <f t="shared" si="373"/>
        <v>0</v>
      </c>
      <c r="T588" s="610">
        <f t="shared" si="373"/>
        <v>467.66382849441527</v>
      </c>
      <c r="U588" s="610">
        <f t="shared" si="373"/>
        <v>0</v>
      </c>
      <c r="V588" s="610">
        <f t="shared" si="373"/>
        <v>0</v>
      </c>
      <c r="W588" s="610">
        <f t="shared" si="373"/>
        <v>807.96969208624</v>
      </c>
      <c r="X588" s="610">
        <f t="shared" si="373"/>
        <v>4039.8484604311998</v>
      </c>
      <c r="Y588" s="610">
        <f t="shared" si="373"/>
        <v>0</v>
      </c>
      <c r="Z588" s="610">
        <f t="shared" si="373"/>
        <v>0</v>
      </c>
      <c r="AA588" s="610">
        <f t="shared" si="373"/>
        <v>0</v>
      </c>
      <c r="AB588" s="610">
        <f t="shared" si="373"/>
        <v>0</v>
      </c>
      <c r="AC588" s="610">
        <f t="shared" si="373"/>
        <v>0</v>
      </c>
      <c r="AD588" s="610">
        <f t="shared" si="373"/>
        <v>0</v>
      </c>
      <c r="AE588" s="610">
        <f t="shared" si="373"/>
        <v>0</v>
      </c>
      <c r="AF588" s="851">
        <f t="shared" si="373"/>
        <v>0</v>
      </c>
    </row>
    <row r="589" spans="1:32">
      <c r="A589" s="599"/>
      <c r="B589" s="282"/>
      <c r="C589" s="282"/>
      <c r="D589" s="282"/>
      <c r="E589" s="282"/>
      <c r="F589" s="282"/>
      <c r="G589" s="282"/>
      <c r="H589" s="850"/>
      <c r="I589" s="610"/>
      <c r="J589" s="610"/>
      <c r="K589" s="610"/>
      <c r="L589" s="610"/>
      <c r="M589" s="610"/>
      <c r="N589" s="610"/>
      <c r="O589" s="610"/>
      <c r="P589" s="610"/>
      <c r="Q589" s="610"/>
      <c r="R589" s="610"/>
      <c r="S589" s="610"/>
      <c r="T589" s="610"/>
      <c r="U589" s="610"/>
      <c r="V589" s="610"/>
      <c r="W589" s="610"/>
      <c r="X589" s="610"/>
      <c r="Y589" s="610"/>
      <c r="Z589" s="610"/>
      <c r="AA589" s="610"/>
      <c r="AB589" s="610"/>
      <c r="AC589" s="610"/>
      <c r="AD589" s="610"/>
      <c r="AE589" s="610"/>
      <c r="AF589" s="851"/>
    </row>
    <row r="590" spans="1:32">
      <c r="A590" s="599" t="s">
        <v>66</v>
      </c>
      <c r="B590" s="282"/>
      <c r="C590" s="282"/>
      <c r="D590" s="282"/>
      <c r="E590" s="282"/>
      <c r="F590" s="282"/>
      <c r="G590" s="282"/>
      <c r="H590" s="732">
        <v>0</v>
      </c>
      <c r="I590" s="610">
        <f>+H593</f>
        <v>0</v>
      </c>
      <c r="J590" s="610">
        <f>+I593+I593+J588</f>
        <v>0</v>
      </c>
      <c r="K590" s="610">
        <f>IF(Summary!$O$109=0,+J593,+J593+K588)</f>
        <v>0</v>
      </c>
      <c r="L590" s="610">
        <f>IF(Summary!$O$109=0,+K593,+K593+L588)</f>
        <v>0</v>
      </c>
      <c r="M590" s="610">
        <f>IF(Summary!$O$109=0,+L593,+L593+M588)</f>
        <v>332.97615389445008</v>
      </c>
      <c r="N590" s="610">
        <f>IF(Summary!$O$109=0,+M593,+M593+N588)</f>
        <v>0</v>
      </c>
      <c r="O590" s="610">
        <f>IF(Summary!$O$109=0,+N593,+N593+O588)</f>
        <v>0</v>
      </c>
      <c r="P590" s="610">
        <f>IF(Summary!$O$109=0,+O593,+O593+P588)</f>
        <v>576.46747747446091</v>
      </c>
      <c r="Q590" s="610">
        <f>IF(Summary!$O$109=0,+P593,+P593+Q588)</f>
        <v>2882.3373873723044</v>
      </c>
      <c r="R590" s="610">
        <f>IF(Summary!$O$109=0,+Q593,+Q593+R588)</f>
        <v>0</v>
      </c>
      <c r="S590" s="610">
        <f>IF(Summary!$O$109=0,+R593,+R593+S588)</f>
        <v>0</v>
      </c>
      <c r="T590" s="610">
        <f>IF(Summary!$O$109=0,+S593,+S593+T588)</f>
        <v>0</v>
      </c>
      <c r="U590" s="610">
        <f>IF(Summary!$O$109=0,+T593,+T593+U588)</f>
        <v>467.66382849441527</v>
      </c>
      <c r="V590" s="610">
        <f>IF(Summary!$O$109=0,+U593,+U593+V588)</f>
        <v>0</v>
      </c>
      <c r="W590" s="610">
        <f>IF(Summary!$O$109=0,+V593,+V593+W588)</f>
        <v>0</v>
      </c>
      <c r="X590" s="610">
        <f>IF(Summary!$O$109=0,+W593,+W593+X588)</f>
        <v>807.96969208624</v>
      </c>
      <c r="Y590" s="610">
        <f>IF(Summary!$O$109=0,+X593,+X593+Y588)</f>
        <v>4039.8484604311998</v>
      </c>
      <c r="Z590" s="610">
        <f>IF(Summary!$O$109=0,+Y593,+Y593+Z588)</f>
        <v>0</v>
      </c>
      <c r="AA590" s="610">
        <f>IF(Summary!$O$109=0,+Z593,+Z593+AA588)</f>
        <v>0</v>
      </c>
      <c r="AB590" s="610">
        <f>IF(Summary!$O$109=0,+AA593,+AA593+AB588)</f>
        <v>0</v>
      </c>
      <c r="AC590" s="610">
        <f>IF(Summary!$O$109=0,+AB593,+AB593+AC588)</f>
        <v>0</v>
      </c>
      <c r="AD590" s="610">
        <f>IF(Summary!$O$109=0,+AC593,+AC593+AD588)</f>
        <v>0</v>
      </c>
      <c r="AE590" s="610">
        <f>IF(Summary!$O$109=0,+AD593,+AD593+AE588)</f>
        <v>0</v>
      </c>
      <c r="AF590" s="610">
        <f>IF(Summary!$O$109=0,+AE593,+AE593+AF588)</f>
        <v>0</v>
      </c>
    </row>
    <row r="591" spans="1:32">
      <c r="A591" s="599" t="s">
        <v>693</v>
      </c>
      <c r="B591" s="282"/>
      <c r="C591" s="282"/>
      <c r="D591" s="282"/>
      <c r="E591" s="282"/>
      <c r="F591" s="282"/>
      <c r="G591" s="282"/>
      <c r="H591" s="861">
        <v>0</v>
      </c>
      <c r="I591" s="861">
        <v>0</v>
      </c>
      <c r="J591" s="1321">
        <f>-CCFMODEL!J590</f>
        <v>0</v>
      </c>
      <c r="K591" s="1321">
        <f>IF(Summary!O109=1,0,K585-J585)</f>
        <v>0</v>
      </c>
      <c r="L591" s="610">
        <f>L585-K585</f>
        <v>0</v>
      </c>
      <c r="M591" s="610">
        <f>M585-L585</f>
        <v>0</v>
      </c>
      <c r="N591" s="610">
        <f t="shared" ref="N591:AF591" si="374">N585-M585</f>
        <v>0</v>
      </c>
      <c r="O591" s="610">
        <f>O585-N585</f>
        <v>0</v>
      </c>
      <c r="P591" s="610">
        <f>P585-O585</f>
        <v>0</v>
      </c>
      <c r="Q591" s="610">
        <f>Q585-P585</f>
        <v>0</v>
      </c>
      <c r="R591" s="610">
        <f t="shared" si="374"/>
        <v>0</v>
      </c>
      <c r="S591" s="610">
        <f t="shared" si="374"/>
        <v>0</v>
      </c>
      <c r="T591" s="610">
        <f>T585-S585</f>
        <v>0</v>
      </c>
      <c r="U591" s="610">
        <f>U585-T585</f>
        <v>0</v>
      </c>
      <c r="V591" s="610">
        <f t="shared" si="374"/>
        <v>0</v>
      </c>
      <c r="W591" s="610">
        <f>W585-V585</f>
        <v>0</v>
      </c>
      <c r="X591" s="610">
        <f>X585-W585</f>
        <v>0</v>
      </c>
      <c r="Y591" s="610">
        <f>Y585-X585</f>
        <v>0</v>
      </c>
      <c r="Z591" s="610">
        <f t="shared" si="374"/>
        <v>0</v>
      </c>
      <c r="AA591" s="610">
        <f t="shared" si="374"/>
        <v>0</v>
      </c>
      <c r="AB591" s="610">
        <f t="shared" si="374"/>
        <v>0</v>
      </c>
      <c r="AC591" s="610">
        <f t="shared" si="374"/>
        <v>0</v>
      </c>
      <c r="AD591" s="610">
        <f t="shared" si="374"/>
        <v>0</v>
      </c>
      <c r="AE591" s="610">
        <f t="shared" si="374"/>
        <v>0</v>
      </c>
      <c r="AF591" s="610">
        <f t="shared" si="374"/>
        <v>0</v>
      </c>
    </row>
    <row r="592" spans="1:32">
      <c r="A592" s="599" t="s">
        <v>692</v>
      </c>
      <c r="B592" s="282"/>
      <c r="C592" s="282"/>
      <c r="D592" s="282"/>
      <c r="E592" s="282"/>
      <c r="F592" s="282"/>
      <c r="G592" s="282"/>
      <c r="H592" s="1258">
        <v>0</v>
      </c>
      <c r="I592" s="1258">
        <v>0</v>
      </c>
      <c r="J592" s="1258">
        <v>0</v>
      </c>
      <c r="K592" s="1258">
        <v>0</v>
      </c>
      <c r="L592" s="1258">
        <f>IF(Summary!$O$109=0,L587-K587,-SUM($J$598:$AF$598,L598))</f>
        <v>332.97615389445008</v>
      </c>
      <c r="M592" s="1258">
        <f>IF(Summary!$O$109=0,M587-L587,-SUM($J$598:$AF$598,M598))</f>
        <v>-332.97615389445008</v>
      </c>
      <c r="N592" s="1258">
        <f>IF(Summary!$O$109=0,N587-M587,-SUM($J$598:$AF$598,N598))</f>
        <v>0</v>
      </c>
      <c r="O592" s="1258">
        <f>IF(Summary!$O$109=0,O587-N587,-SUM($J$598:$AF$598,O598))</f>
        <v>576.46747747446091</v>
      </c>
      <c r="P592" s="1258">
        <f>IF(Summary!$O$109=0,P587-O587,-SUM($J$598:$AF$598,P598))</f>
        <v>2305.8699098978436</v>
      </c>
      <c r="Q592" s="1258">
        <f>IF(Summary!$O$109=0,Q587-P587,-SUM($J$598:$AF$598,Q598))</f>
        <v>-2882.3373873723044</v>
      </c>
      <c r="R592" s="1258">
        <f>IF(Summary!$O$109=0,R587-Q587,-SUM($J$598:$AF$598,R598))</f>
        <v>0</v>
      </c>
      <c r="S592" s="1258">
        <f>IF(Summary!$O$109=0,S587-R587,-SUM($J$598:$AF$598,S598))</f>
        <v>0</v>
      </c>
      <c r="T592" s="1258">
        <f>IF(Summary!$O$109=0,T587-S587,-SUM($J$598:$AF$598,T598))</f>
        <v>467.66382849441527</v>
      </c>
      <c r="U592" s="1258">
        <f>IF(Summary!$O$109=0,U587-T587,-SUM($J$598:$AF$598,U598))</f>
        <v>-467.66382849441527</v>
      </c>
      <c r="V592" s="1258">
        <f>IF(Summary!$O$109=0,V587-U587,-SUM($J$598:$AF$598,V598))</f>
        <v>0</v>
      </c>
      <c r="W592" s="1258">
        <f>IF(Summary!$O$109=0,W587-V587,-SUM($J$598:$AF$598,W598))</f>
        <v>807.96969208624</v>
      </c>
      <c r="X592" s="1258">
        <f>IF(Summary!$O$109=0,X587-W587,-SUM($J$598:$AF$598,X598))</f>
        <v>3231.87876834496</v>
      </c>
      <c r="Y592" s="1258">
        <f>IF(Summary!$O$109=0,Y587-X587,-SUM($J$598:$AF$598,Y598))</f>
        <v>-4039.8484604311998</v>
      </c>
      <c r="Z592" s="1258">
        <f>IF(Summary!$O$109=0,Z587-Y587,-SUM($J$598:$AF$598,Z598))</f>
        <v>0</v>
      </c>
      <c r="AA592" s="1258">
        <f>IF(Summary!$O$109=0,AA587-Z587,-SUM($J$598:$AF$598,AA598))</f>
        <v>0</v>
      </c>
      <c r="AB592" s="1258">
        <f>IF(Summary!$O$109=0,AB587-AA587,-SUM($J$598:$AF$598,AB598))</f>
        <v>0</v>
      </c>
      <c r="AC592" s="1258">
        <f>IF(Summary!$O$109=0,AC587-AB587,-SUM($J$598:$AF$598,AC598))</f>
        <v>0</v>
      </c>
      <c r="AD592" s="1258">
        <f>IF(Summary!$O$109=0,AD587-AC587,-SUM($J$598:$AF$598,AD598))</f>
        <v>0</v>
      </c>
      <c r="AE592" s="1258">
        <f>IF(Summary!$O$109=0,AE587-AD587,-SUM($J$598:$AF$598,AE598))</f>
        <v>0</v>
      </c>
      <c r="AF592" s="1258">
        <f>IF(Summary!$O$109=0,AF587-AE587,-SUM($J$598:$AF$598,AF598))</f>
        <v>0</v>
      </c>
    </row>
    <row r="593" spans="1:32">
      <c r="A593" s="599" t="s">
        <v>67</v>
      </c>
      <c r="B593" s="282"/>
      <c r="C593" s="282"/>
      <c r="D593" s="282"/>
      <c r="E593" s="282"/>
      <c r="F593" s="282"/>
      <c r="G593" s="610">
        <v>0</v>
      </c>
      <c r="H593" s="610">
        <f>SUM(H590:H592)</f>
        <v>0</v>
      </c>
      <c r="I593" s="610">
        <f t="shared" ref="I593:AF593" si="375">SUM(I590:I592)</f>
        <v>0</v>
      </c>
      <c r="J593" s="610">
        <f t="shared" si="375"/>
        <v>0</v>
      </c>
      <c r="K593" s="610">
        <f t="shared" si="375"/>
        <v>0</v>
      </c>
      <c r="L593" s="610">
        <f>SUM(L590:L592)</f>
        <v>332.97615389445008</v>
      </c>
      <c r="M593" s="610">
        <f>SUM(M590:M592)</f>
        <v>0</v>
      </c>
      <c r="N593" s="610">
        <f t="shared" si="375"/>
        <v>0</v>
      </c>
      <c r="O593" s="610">
        <f>SUM(O590:O592)</f>
        <v>576.46747747446091</v>
      </c>
      <c r="P593" s="610">
        <f>SUM(P590:P592)</f>
        <v>2882.3373873723044</v>
      </c>
      <c r="Q593" s="610">
        <f>SUM(Q590:Q592)</f>
        <v>0</v>
      </c>
      <c r="R593" s="610">
        <f t="shared" si="375"/>
        <v>0</v>
      </c>
      <c r="S593" s="610">
        <f t="shared" si="375"/>
        <v>0</v>
      </c>
      <c r="T593" s="610">
        <f>SUM(T590:T592)</f>
        <v>467.66382849441527</v>
      </c>
      <c r="U593" s="610">
        <f>SUM(U590:U592)</f>
        <v>0</v>
      </c>
      <c r="V593" s="610">
        <f t="shared" si="375"/>
        <v>0</v>
      </c>
      <c r="W593" s="610">
        <f>SUM(W590:W592)</f>
        <v>807.96969208624</v>
      </c>
      <c r="X593" s="610">
        <f>SUM(X590:X592)</f>
        <v>4039.8484604311998</v>
      </c>
      <c r="Y593" s="610">
        <f>SUM(Y590:Y592)</f>
        <v>0</v>
      </c>
      <c r="Z593" s="610">
        <f t="shared" si="375"/>
        <v>0</v>
      </c>
      <c r="AA593" s="610">
        <f t="shared" si="375"/>
        <v>0</v>
      </c>
      <c r="AB593" s="610">
        <f t="shared" si="375"/>
        <v>0</v>
      </c>
      <c r="AC593" s="610">
        <f t="shared" si="375"/>
        <v>0</v>
      </c>
      <c r="AD593" s="610">
        <f t="shared" si="375"/>
        <v>0</v>
      </c>
      <c r="AE593" s="610">
        <f t="shared" si="375"/>
        <v>0</v>
      </c>
      <c r="AF593" s="610">
        <f t="shared" si="375"/>
        <v>0</v>
      </c>
    </row>
    <row r="594" spans="1:32">
      <c r="A594" s="599"/>
      <c r="B594" s="282"/>
      <c r="C594" s="282"/>
      <c r="D594" s="282"/>
      <c r="E594" s="282"/>
      <c r="F594" s="282"/>
      <c r="G594" s="282"/>
      <c r="H594" s="608"/>
      <c r="I594" s="608"/>
      <c r="J594" s="610" t="s">
        <v>915</v>
      </c>
      <c r="K594" s="1474">
        <f t="shared" ref="K594:AF594" si="376">K589-J589</f>
        <v>0</v>
      </c>
      <c r="L594" s="1474">
        <f t="shared" si="376"/>
        <v>0</v>
      </c>
      <c r="M594" s="1474">
        <f t="shared" si="376"/>
        <v>0</v>
      </c>
      <c r="N594" s="1474">
        <f t="shared" si="376"/>
        <v>0</v>
      </c>
      <c r="O594" s="1474">
        <f t="shared" si="376"/>
        <v>0</v>
      </c>
      <c r="P594" s="1474">
        <f t="shared" si="376"/>
        <v>0</v>
      </c>
      <c r="Q594" s="1474">
        <f t="shared" si="376"/>
        <v>0</v>
      </c>
      <c r="R594" s="1474">
        <f t="shared" si="376"/>
        <v>0</v>
      </c>
      <c r="S594" s="1474">
        <f t="shared" si="376"/>
        <v>0</v>
      </c>
      <c r="T594" s="1474">
        <f t="shared" si="376"/>
        <v>0</v>
      </c>
      <c r="U594" s="1474">
        <f t="shared" si="376"/>
        <v>0</v>
      </c>
      <c r="V594" s="1474">
        <f t="shared" si="376"/>
        <v>0</v>
      </c>
      <c r="W594" s="1474">
        <f t="shared" si="376"/>
        <v>0</v>
      </c>
      <c r="X594" s="1474">
        <f t="shared" si="376"/>
        <v>0</v>
      </c>
      <c r="Y594" s="1474">
        <f t="shared" si="376"/>
        <v>0</v>
      </c>
      <c r="Z594" s="1474">
        <f t="shared" si="376"/>
        <v>0</v>
      </c>
      <c r="AA594" s="1474">
        <f t="shared" si="376"/>
        <v>0</v>
      </c>
      <c r="AB594" s="1474">
        <f t="shared" si="376"/>
        <v>0</v>
      </c>
      <c r="AC594" s="1474">
        <f t="shared" si="376"/>
        <v>0</v>
      </c>
      <c r="AD594" s="1474">
        <f t="shared" si="376"/>
        <v>0</v>
      </c>
      <c r="AE594" s="1474">
        <f t="shared" si="376"/>
        <v>0</v>
      </c>
      <c r="AF594" s="1475">
        <f t="shared" si="376"/>
        <v>0</v>
      </c>
    </row>
    <row r="595" spans="1:32">
      <c r="A595" s="599" t="s">
        <v>684</v>
      </c>
      <c r="B595" s="282"/>
      <c r="C595" s="282"/>
      <c r="D595" s="282"/>
      <c r="E595" s="282"/>
      <c r="F595" s="282"/>
      <c r="G595" s="282">
        <v>0</v>
      </c>
      <c r="H595" s="611">
        <f t="shared" ref="H595:AF595" si="377">H593-G593</f>
        <v>0</v>
      </c>
      <c r="I595" s="611">
        <f t="shared" si="377"/>
        <v>0</v>
      </c>
      <c r="J595" s="611">
        <f t="shared" si="377"/>
        <v>0</v>
      </c>
      <c r="K595" s="611">
        <f t="shared" si="377"/>
        <v>0</v>
      </c>
      <c r="L595" s="611">
        <f t="shared" si="377"/>
        <v>332.97615389445008</v>
      </c>
      <c r="M595" s="611">
        <f t="shared" si="377"/>
        <v>-332.97615389445008</v>
      </c>
      <c r="N595" s="611">
        <f t="shared" si="377"/>
        <v>0</v>
      </c>
      <c r="O595" s="611">
        <f t="shared" si="377"/>
        <v>576.46747747446091</v>
      </c>
      <c r="P595" s="611">
        <f t="shared" si="377"/>
        <v>2305.8699098978436</v>
      </c>
      <c r="Q595" s="611">
        <f t="shared" si="377"/>
        <v>-2882.3373873723044</v>
      </c>
      <c r="R595" s="611">
        <f t="shared" si="377"/>
        <v>0</v>
      </c>
      <c r="S595" s="611">
        <f t="shared" si="377"/>
        <v>0</v>
      </c>
      <c r="T595" s="611">
        <f t="shared" si="377"/>
        <v>467.66382849441527</v>
      </c>
      <c r="U595" s="611">
        <f t="shared" si="377"/>
        <v>-467.66382849441527</v>
      </c>
      <c r="V595" s="611">
        <f t="shared" si="377"/>
        <v>0</v>
      </c>
      <c r="W595" s="611">
        <f t="shared" si="377"/>
        <v>807.96969208624</v>
      </c>
      <c r="X595" s="611">
        <f t="shared" si="377"/>
        <v>3231.87876834496</v>
      </c>
      <c r="Y595" s="611">
        <f t="shared" si="377"/>
        <v>-4039.8484604311998</v>
      </c>
      <c r="Z595" s="611">
        <f t="shared" si="377"/>
        <v>0</v>
      </c>
      <c r="AA595" s="611">
        <f t="shared" si="377"/>
        <v>0</v>
      </c>
      <c r="AB595" s="611">
        <f t="shared" si="377"/>
        <v>0</v>
      </c>
      <c r="AC595" s="611">
        <f t="shared" si="377"/>
        <v>0</v>
      </c>
      <c r="AD595" s="611">
        <f t="shared" si="377"/>
        <v>0</v>
      </c>
      <c r="AE595" s="611">
        <f t="shared" si="377"/>
        <v>0</v>
      </c>
      <c r="AF595" s="1246">
        <f t="shared" si="377"/>
        <v>0</v>
      </c>
    </row>
    <row r="596" spans="1:32" ht="10.8" thickBot="1">
      <c r="A596" s="605"/>
      <c r="B596" s="554"/>
      <c r="C596" s="554"/>
      <c r="D596" s="554"/>
      <c r="E596" s="554"/>
      <c r="F596" s="282"/>
      <c r="G596" s="348"/>
      <c r="H596" s="348" t="s">
        <v>787</v>
      </c>
      <c r="I596" s="282"/>
      <c r="J596" s="282"/>
      <c r="K596" s="282"/>
      <c r="L596" s="282" t="s">
        <v>909</v>
      </c>
      <c r="M596" s="282"/>
      <c r="N596" s="282"/>
      <c r="O596" s="282" t="s">
        <v>910</v>
      </c>
      <c r="P596" s="282" t="s">
        <v>911</v>
      </c>
      <c r="Q596" s="282"/>
      <c r="R596" s="282"/>
      <c r="S596" s="282"/>
      <c r="T596" s="282" t="s">
        <v>912</v>
      </c>
      <c r="U596" s="282"/>
      <c r="V596" s="282"/>
      <c r="W596" s="282" t="s">
        <v>913</v>
      </c>
      <c r="X596" s="282" t="s">
        <v>914</v>
      </c>
      <c r="Y596" s="282"/>
      <c r="Z596" s="282"/>
      <c r="AA596" s="282"/>
      <c r="AB596" s="282"/>
      <c r="AC596" s="282"/>
      <c r="AD596" s="282"/>
      <c r="AE596" s="282"/>
      <c r="AF596" s="500"/>
    </row>
    <row r="597" spans="1:32" ht="10.8" thickBot="1">
      <c r="A597" s="385" t="s">
        <v>68</v>
      </c>
      <c r="B597" s="285"/>
      <c r="C597" s="285"/>
      <c r="D597" s="285"/>
      <c r="E597" s="285"/>
      <c r="F597" s="1423"/>
      <c r="G597" s="1424" t="s">
        <v>672</v>
      </c>
      <c r="H597" s="1425"/>
      <c r="I597" s="1425">
        <v>391.000001</v>
      </c>
      <c r="J597" s="1425">
        <v>1601.9999830000002</v>
      </c>
      <c r="K597" s="1425">
        <v>2148.0000500000001</v>
      </c>
      <c r="L597" s="1425">
        <v>2500.9999025000002</v>
      </c>
      <c r="M597" s="1425">
        <v>2102.0000100000002</v>
      </c>
      <c r="N597" s="1425">
        <v>3172.9999980000002</v>
      </c>
      <c r="O597" s="1425">
        <v>3259.000004</v>
      </c>
      <c r="P597" s="1425">
        <v>2143.0000259999997</v>
      </c>
      <c r="Q597" s="1425">
        <v>2834.9999914999999</v>
      </c>
      <c r="R597" s="1425">
        <v>4242.9999925000011</v>
      </c>
      <c r="S597" s="1425">
        <v>4340.9999770000004</v>
      </c>
      <c r="T597" s="1425">
        <v>3399.9999349999998</v>
      </c>
      <c r="U597" s="1425">
        <v>3140.000043</v>
      </c>
      <c r="V597" s="1425">
        <v>4238.9999619999999</v>
      </c>
      <c r="W597" s="1425">
        <v>4286.0000520000012</v>
      </c>
      <c r="X597" s="1425">
        <v>3758.9999744999996</v>
      </c>
      <c r="Y597" s="1425">
        <v>4520.9999934999996</v>
      </c>
      <c r="Z597" s="1425">
        <v>4417.0001044999954</v>
      </c>
      <c r="AA597" s="1425">
        <v>0</v>
      </c>
      <c r="AB597" s="1425">
        <v>0</v>
      </c>
      <c r="AC597" s="1425">
        <v>0</v>
      </c>
      <c r="AD597" s="1425">
        <v>0</v>
      </c>
      <c r="AE597" s="1425">
        <v>0</v>
      </c>
      <c r="AF597" s="1426">
        <v>0</v>
      </c>
    </row>
    <row r="598" spans="1:32" ht="11.4" thickTop="1" thickBot="1">
      <c r="A598" s="385" t="s">
        <v>69</v>
      </c>
      <c r="B598" s="285"/>
      <c r="C598" s="285"/>
      <c r="D598" s="481"/>
      <c r="E598" s="571">
        <f>E$638</f>
        <v>35430</v>
      </c>
      <c r="F598" s="1418">
        <f>F$638</f>
        <v>35795</v>
      </c>
      <c r="G598" s="1418">
        <f>G$638</f>
        <v>36160</v>
      </c>
      <c r="H598" s="1419">
        <f>H$638</f>
        <v>36373</v>
      </c>
      <c r="I598" s="1420">
        <f>I$638</f>
        <v>36525</v>
      </c>
      <c r="J598" s="1421">
        <f t="shared" ref="J598:AF598" si="378">J$638</f>
        <v>36891</v>
      </c>
      <c r="K598" s="1421">
        <f t="shared" si="378"/>
        <v>37256</v>
      </c>
      <c r="L598" s="1421">
        <f t="shared" si="378"/>
        <v>37621</v>
      </c>
      <c r="M598" s="1421">
        <f t="shared" si="378"/>
        <v>37986</v>
      </c>
      <c r="N598" s="1421">
        <f t="shared" si="378"/>
        <v>38352</v>
      </c>
      <c r="O598" s="1421">
        <f t="shared" si="378"/>
        <v>38717</v>
      </c>
      <c r="P598" s="1421">
        <f t="shared" si="378"/>
        <v>39082</v>
      </c>
      <c r="Q598" s="1421">
        <f t="shared" si="378"/>
        <v>39447</v>
      </c>
      <c r="R598" s="1421">
        <f t="shared" si="378"/>
        <v>39813</v>
      </c>
      <c r="S598" s="1422">
        <f t="shared" si="378"/>
        <v>40178</v>
      </c>
      <c r="T598" s="1422">
        <f t="shared" si="378"/>
        <v>40543</v>
      </c>
      <c r="U598" s="1422">
        <f t="shared" si="378"/>
        <v>40908</v>
      </c>
      <c r="V598" s="1422">
        <f t="shared" si="378"/>
        <v>41274</v>
      </c>
      <c r="W598" s="1422">
        <f t="shared" si="378"/>
        <v>41639</v>
      </c>
      <c r="X598" s="1422">
        <f t="shared" si="378"/>
        <v>42004</v>
      </c>
      <c r="Y598" s="1422">
        <f t="shared" si="378"/>
        <v>42369</v>
      </c>
      <c r="Z598" s="1422">
        <f t="shared" si="378"/>
        <v>42735</v>
      </c>
      <c r="AA598" s="1421">
        <f t="shared" si="378"/>
        <v>43100</v>
      </c>
      <c r="AB598" s="1421">
        <f t="shared" si="378"/>
        <v>43465</v>
      </c>
      <c r="AC598" s="1421">
        <f t="shared" si="378"/>
        <v>43830</v>
      </c>
      <c r="AD598" s="1421">
        <f t="shared" si="378"/>
        <v>44196</v>
      </c>
      <c r="AE598" s="1421">
        <f t="shared" si="378"/>
        <v>44561</v>
      </c>
      <c r="AF598" s="1421">
        <f t="shared" si="378"/>
        <v>44926</v>
      </c>
    </row>
    <row r="599" spans="1:32" ht="10.8" thickTop="1">
      <c r="A599" s="385"/>
      <c r="B599" s="285"/>
      <c r="C599" s="285"/>
      <c r="D599" s="481"/>
      <c r="E599" s="1313"/>
      <c r="F599" s="1313"/>
      <c r="G599" s="1315" t="s">
        <v>854</v>
      </c>
      <c r="H599" s="1314"/>
      <c r="I599" s="1238">
        <v>6.9203540000000001E-3</v>
      </c>
      <c r="J599" s="1238">
        <v>2.8353982000000003E-2</v>
      </c>
      <c r="K599" s="1238">
        <v>3.8017700000000001E-2</v>
      </c>
      <c r="L599" s="1238">
        <v>4.4265485E-2</v>
      </c>
      <c r="M599" s="1238">
        <v>3.720354E-2</v>
      </c>
      <c r="N599" s="1238">
        <v>5.6159292000000006E-2</v>
      </c>
      <c r="O599" s="1238">
        <v>5.7681415999999999E-2</v>
      </c>
      <c r="P599" s="1238">
        <v>3.7929203999999994E-2</v>
      </c>
      <c r="Q599" s="1238">
        <v>5.0176990999999997E-2</v>
      </c>
      <c r="R599" s="1238">
        <v>7.5097345000000024E-2</v>
      </c>
      <c r="S599" s="1238">
        <v>7.6831858000000003E-2</v>
      </c>
      <c r="T599" s="1238">
        <v>6.017699E-2</v>
      </c>
      <c r="U599" s="1238">
        <v>5.5575222000000001E-2</v>
      </c>
      <c r="V599" s="1238">
        <v>7.5026547999999998E-2</v>
      </c>
      <c r="W599" s="1238">
        <v>7.5858408000000016E-2</v>
      </c>
      <c r="X599" s="1238">
        <v>6.6530972999999993E-2</v>
      </c>
      <c r="Y599" s="1238">
        <v>8.0017698999999998E-2</v>
      </c>
      <c r="Z599" s="1238">
        <v>7.8176992999999917E-2</v>
      </c>
      <c r="AA599" s="1238">
        <v>0</v>
      </c>
      <c r="AB599" s="1238">
        <v>0</v>
      </c>
      <c r="AC599" s="1238">
        <v>0</v>
      </c>
      <c r="AD599" s="1238">
        <v>0</v>
      </c>
      <c r="AE599" s="1238">
        <v>0</v>
      </c>
      <c r="AF599" s="1238">
        <v>0</v>
      </c>
    </row>
    <row r="600" spans="1:32">
      <c r="A600" s="491"/>
      <c r="B600" s="285"/>
      <c r="C600" s="285"/>
      <c r="D600" s="285"/>
      <c r="E600" s="285" t="s">
        <v>787</v>
      </c>
      <c r="F600" s="285"/>
      <c r="G600" s="915" t="s">
        <v>855</v>
      </c>
      <c r="H600" s="1318">
        <v>1.0000000000000001E-5</v>
      </c>
      <c r="I600" s="1316">
        <f>IF(OR(H602&gt;0,H600=0),0,IF(AND(YEAR(I598)=YEAR(Summary!$O$111),Summary!$O$109=1),1-SUM(CCFMODEL!$I599:I599),I599))</f>
        <v>6.9203540000000001E-3</v>
      </c>
      <c r="J600" s="1316">
        <f>IF(J602&gt;0,J602/$H$455,IF(AND(YEAR(J598)=YEAR(Summary!$O$111),Summary!$O$109=1),1-SUM(CCFMODEL!$I599:I599),MIN(J599,1-SUM($I600:I600))))</f>
        <v>2.8353982000000003E-2</v>
      </c>
      <c r="K600" s="1316">
        <f>IF(K602&gt;0,K602/$H$455,IF(AND(YEAR(K598)=YEAR(Summary!$O$111),Summary!$O$109=1),1-SUM(CCFMODEL!$I599:J599),MIN(K599,1-SUM($I600:J600))))</f>
        <v>3.8017700000000001E-2</v>
      </c>
      <c r="L600" s="1316">
        <f>IF(L602&gt;0,L602/$H$455,IF(AND(YEAR(L598)=YEAR(Summary!$O$111),Summary!$O$109=1),1-SUM(CCFMODEL!$I599:K599),MIN(L599,1-SUM($I600:K600))))</f>
        <v>4.4265485E-2</v>
      </c>
      <c r="M600" s="1316">
        <f>IF(M602&gt;0,M602/$H$455,IF(AND(YEAR(M598)=YEAR(Summary!$O$111),Summary!$O$109=1),1-SUM(CCFMODEL!$I599:L599),MIN(M599,1-SUM($I600:L600))))</f>
        <v>3.720354E-2</v>
      </c>
      <c r="N600" s="1316">
        <f>IF(N602&gt;0,N602/$H$455,IF(AND(YEAR(N598)=YEAR(Summary!$O$111),Summary!$O$109=1),1-SUM(CCFMODEL!$I599:M599),MIN(N599,1-SUM($I600:M600))))</f>
        <v>5.6159292000000006E-2</v>
      </c>
      <c r="O600" s="1316">
        <f>IF(O602&gt;0,O602/$H$455,IF(AND(YEAR(O598)=YEAR(Summary!$O$111),Summary!$O$109=1),1-SUM(CCFMODEL!$I599:N599),MIN(O599,1-SUM($I600:N600))))</f>
        <v>5.7681415999999999E-2</v>
      </c>
      <c r="P600" s="1316">
        <f>IF(P602&gt;0,P602/$H$455,IF(AND(YEAR(P598)=YEAR(Summary!$O$111),Summary!$O$109=1),1-SUM(CCFMODEL!$I599:O599),MIN(P599,1-SUM($I600:O600))))</f>
        <v>3.7929203999999994E-2</v>
      </c>
      <c r="Q600" s="1316">
        <f>IF(Q602&gt;0,Q602/$H$455,IF(AND(YEAR(Q598)=YEAR(Summary!$O$111),Summary!$O$109=1),1-SUM(CCFMODEL!$I599:P599),MIN(Q599,1-SUM($I600:P600))))</f>
        <v>5.0176990999999997E-2</v>
      </c>
      <c r="R600" s="1316">
        <f>IF(R602&gt;0,R602/$H$455,IF(AND(YEAR(R598)=YEAR(Summary!$O$111),Summary!$O$109=1),1-SUM(CCFMODEL!$I599:Q599),MIN(R599,1-SUM($I600:Q600))))</f>
        <v>7.5097345000000024E-2</v>
      </c>
      <c r="S600" s="1316">
        <f>IF(S602&gt;0,S602/$H$455,IF(AND(YEAR(S598)=YEAR(Summary!$O$111),Summary!$O$109=1),1-SUM(CCFMODEL!$I599:R599),MIN(S599,1-SUM($I600:R600))))</f>
        <v>7.6831858000000003E-2</v>
      </c>
      <c r="T600" s="1316">
        <f>IF(T602&gt;0,T602/$H$455,IF(AND(YEAR(T598)=YEAR(Summary!$O$111),Summary!$O$109=1),1-SUM(CCFMODEL!$I599:S599),MIN(T599,1-SUM($I600:S600))))</f>
        <v>6.017699E-2</v>
      </c>
      <c r="U600" s="1316">
        <f>IF(U602&gt;0,U602/$H$455,IF(AND(YEAR(U598)=YEAR(Summary!$O$111),Summary!$O$109=1),1-SUM(CCFMODEL!$I599:T599),MIN(U599,1-SUM($I600:T600))))</f>
        <v>5.5575222000000001E-2</v>
      </c>
      <c r="V600" s="1316">
        <f>IF(V602&gt;0,V602/$H$455,IF(AND(YEAR(V598)=YEAR(Summary!$O$111),Summary!$O$109=1),1-SUM(CCFMODEL!$I599:U599),MIN(V599,1-SUM($I600:U600))))</f>
        <v>7.5026547999999998E-2</v>
      </c>
      <c r="W600" s="1316">
        <f>IF(W602&gt;0,W602/$H$455,IF(AND(YEAR(W598)=YEAR(Summary!$O$111),Summary!$O$109=1),1-SUM(CCFMODEL!$I599:V599),MIN(W599,1-SUM($I600:V600))))</f>
        <v>7.5858408000000016E-2</v>
      </c>
      <c r="X600" s="1316">
        <f>IF(X602&gt;0,X602/$H$455,IF(AND(YEAR(X598)=YEAR(Summary!$O$111),Summary!$O$109=1),1-SUM(CCFMODEL!$I599:W599),MIN(X599,1-SUM($I600:W600))))</f>
        <v>6.6530972999999993E-2</v>
      </c>
      <c r="Y600" s="1316">
        <f>IF(Y602&gt;0,Y602/$H$455,IF(AND(YEAR(Y598)=YEAR(Summary!$O$111),Summary!$O$109=1),1-SUM(CCFMODEL!$I599:X599),MIN(Y599,1-SUM($I600:X600))))</f>
        <v>8.0017698999999998E-2</v>
      </c>
      <c r="Z600" s="1316">
        <f>IF(Z602&gt;0,Z602/$H$455,IF(AND(YEAR(Z598)=YEAR(Summary!$O$111),Summary!$O$109=1),1-SUM(CCFMODEL!$I599:Y599),MIN(Z599,1-SUM($I600:Y600))))</f>
        <v>7.8176992999999917E-2</v>
      </c>
      <c r="AA600" s="1316">
        <f>IF(AA602&gt;0,AA602/$H$455,IF(AND(YEAR(AA598)=YEAR(Summary!$O$111),Summary!$O$109=1),1-SUM(CCFMODEL!$I599:Z599),MIN(AA599,1-SUM($I600:Z600))))</f>
        <v>0</v>
      </c>
      <c r="AB600" s="1316">
        <f>IF(AB602&gt;0,AB602/$H$455,IF(AND(YEAR(AB598)=YEAR(Summary!$O$111),Summary!$O$109=1),1-SUM(CCFMODEL!$I599:AA599),MIN(AB599,1-SUM($I600:AA600))))</f>
        <v>0</v>
      </c>
      <c r="AC600" s="1316">
        <f>IF(AC602&gt;0,AC602/$H$455,IF(AND(YEAR(AC598)=YEAR(Summary!$O$111),Summary!$O$109=1),1-SUM(CCFMODEL!$I599:AB599),MIN(AC599,1-SUM($I600:AB600))))</f>
        <v>0</v>
      </c>
      <c r="AD600" s="1316">
        <f>IF(AD602&gt;0,AD602/$H$455,IF(AND(YEAR(AD598)=YEAR(Summary!$O$111),Summary!$O$109=1),1-SUM(CCFMODEL!$I599:AC599),MIN(AD599,1-SUM($I600:AC600))))</f>
        <v>0</v>
      </c>
      <c r="AE600" s="1316">
        <f>IF(AE602&gt;0,AE602/$H$455,IF(AND(YEAR(AE598)=YEAR(Summary!$O$111),Summary!$O$109=1),1-SUM(CCFMODEL!$I599:AD599),MIN(AE599,1-SUM($I600:AD600))))</f>
        <v>0</v>
      </c>
      <c r="AF600" s="1316">
        <f>IF(AF602&gt;0,AF602/$H$455,IF(AND(YEAR(AF598)=YEAR(Summary!$O$111),Summary!$O$109=1),1-SUM(CCFMODEL!$I599:AE599),MIN(AF599,1-SUM($I600:AE600))))</f>
        <v>0</v>
      </c>
    </row>
    <row r="601" spans="1:32" s="1311" customFormat="1">
      <c r="A601" s="491"/>
      <c r="B601" s="285"/>
      <c r="C601" s="285"/>
      <c r="D601" s="285"/>
      <c r="E601" s="285"/>
      <c r="F601" s="285"/>
      <c r="G601" s="915" t="s">
        <v>852</v>
      </c>
      <c r="H601" s="1319"/>
      <c r="I601" s="1312">
        <f>IF(I602&gt;0,0,I597)</f>
        <v>391.000001</v>
      </c>
      <c r="J601" s="1317">
        <f>IF(Summary!$J$75="YES",0,IF(J602&gt;0,0,J597))</f>
        <v>1601.9999830000002</v>
      </c>
      <c r="K601" s="1317">
        <f>IF(Summary!$J$75="YES",0,IF(K602&gt;0,0,K597))</f>
        <v>2148.0000500000001</v>
      </c>
      <c r="L601" s="1317">
        <f>IF(Summary!$J$75="YES",0,IF(L602&gt;0,0,L597))</f>
        <v>2500.9999025000002</v>
      </c>
      <c r="M601" s="1317">
        <f>IF(Summary!$J$75="YES",0,IF(M602&gt;0,0,M597))</f>
        <v>2102.0000100000002</v>
      </c>
      <c r="N601" s="1317">
        <f>IF(Summary!$J$75="YES",0,IF(N602&gt;0,0,N597))</f>
        <v>3172.9999980000002</v>
      </c>
      <c r="O601" s="1317">
        <f>IF(Summary!$J$75="YES",0,IF(O602&gt;0,0,O597))</f>
        <v>3259.000004</v>
      </c>
      <c r="P601" s="1317">
        <f>IF(Summary!$J$75="YES",0,IF(P602&gt;0,0,P597))</f>
        <v>2143.0000259999997</v>
      </c>
      <c r="Q601" s="1317">
        <f>IF(Summary!$J$75="YES",0,IF(Q602&gt;0,0,Q597))</f>
        <v>2834.9999914999999</v>
      </c>
      <c r="R601" s="1317">
        <f>IF(Summary!$J$75="YES",0,IF(R602&gt;0,0,R597))</f>
        <v>4242.9999925000011</v>
      </c>
      <c r="S601" s="1317">
        <f>IF(Summary!$J$75="YES",0,IF(S602&gt;0,0,S597))</f>
        <v>4340.9999770000004</v>
      </c>
      <c r="T601" s="1317">
        <f>IF(Summary!$J$75="YES",0,IF(T602&gt;0,0,T597))</f>
        <v>3399.9999349999998</v>
      </c>
      <c r="U601" s="1317">
        <f>IF(Summary!$J$75="YES",0,IF(U602&gt;0,0,U597))</f>
        <v>3140.000043</v>
      </c>
      <c r="V601" s="1317">
        <f>IF(Summary!$J$75="YES",0,IF(V602&gt;0,0,V597))</f>
        <v>4238.9999619999999</v>
      </c>
      <c r="W601" s="1317">
        <f>IF(Summary!$J$75="YES",0,IF(W602&gt;0,0,W597))</f>
        <v>4286.0000520000012</v>
      </c>
      <c r="X601" s="1317">
        <f>IF(Summary!$J$75="YES",0,IF(X602&gt;0,0,X597))</f>
        <v>3758.9999744999996</v>
      </c>
      <c r="Y601" s="1317">
        <f>IF(Summary!$J$75="YES",0,IF(Y602&gt;0,0,Y597))</f>
        <v>4520.9999934999996</v>
      </c>
      <c r="Z601" s="1317">
        <f>IF(Summary!$J$75="YES",0,IF(Z602&gt;0,0,Z597))</f>
        <v>4417.0001044999954</v>
      </c>
      <c r="AA601" s="1317">
        <f>IF(Summary!$J$75="YES",0,IF(AA602&gt;0,0,AA597))</f>
        <v>0</v>
      </c>
      <c r="AB601" s="1317">
        <f>IF(Summary!$J$75="YES",0,IF(AB602&gt;0,0,AB597))</f>
        <v>0</v>
      </c>
      <c r="AC601" s="1317">
        <f>IF(Summary!$J$75="YES",0,IF(AC602&gt;0,0,AC597))</f>
        <v>0</v>
      </c>
      <c r="AD601" s="1317">
        <f>IF(Summary!$J$75="YES",0,IF(AD602&gt;0,0,AD597))</f>
        <v>0</v>
      </c>
      <c r="AE601" s="1317">
        <f>IF(Summary!$J$75="YES",0,IF(AE602&gt;0,0,AE597))</f>
        <v>0</v>
      </c>
      <c r="AF601" s="1317">
        <f>IF(Summary!$J$75="YES",0,IF(AF602&gt;0,0,AF597))</f>
        <v>0</v>
      </c>
    </row>
    <row r="602" spans="1:32" s="1311" customFormat="1">
      <c r="A602" s="491"/>
      <c r="B602" s="285"/>
      <c r="C602" s="285"/>
      <c r="D602" s="285"/>
      <c r="E602" s="285"/>
      <c r="F602" s="285"/>
      <c r="G602" s="915" t="s">
        <v>853</v>
      </c>
      <c r="H602" s="918"/>
      <c r="I602" s="1312"/>
      <c r="J602" s="1312">
        <f>IF(AND(YEAR(J598)=YEAR(Summary!$O$111),Summary!$O$109=1),(1-SUM(CCFMODEL!$I599:I599))*$H$455,0)</f>
        <v>0</v>
      </c>
      <c r="K602" s="1312">
        <f>IF(AND(YEAR(K598)=YEAR(Summary!$O$111),Summary!$O$109=1),MIN(Summary!$J$77,(1-SUM(CCFMODEL!$I599:J599))*$H$455),0)</f>
        <v>0</v>
      </c>
      <c r="L602" s="1312">
        <f>IF(AND(YEAR(L598)=YEAR(Summary!$O$111),Summary!$O$109=1),MIN(Summary!$J$77,(1-SUM(CCFMODEL!$I599:K599))*$H$455),0)</f>
        <v>0</v>
      </c>
      <c r="M602" s="1312">
        <f>IF(AND(YEAR(M598)=YEAR(Summary!$O$111),Summary!$O$109=1),MIN(Summary!$J$77,(1-SUM(CCFMODEL!$I599:L599))*$H$455),0)</f>
        <v>0</v>
      </c>
      <c r="N602" s="1312">
        <f>IF(AND(YEAR(N598)=YEAR(Summary!$O$111),Summary!$O$109=1),MIN(Summary!$J$77,(1-SUM(CCFMODEL!$I599:M599))*$H$455),0)</f>
        <v>0</v>
      </c>
      <c r="O602" s="1312">
        <f>IF(AND(YEAR(O598)=YEAR(Summary!$O$111),Summary!$O$109=1),MIN(Summary!$J$77,(1-SUM(CCFMODEL!$I599:N599))*$H$455),0)</f>
        <v>0</v>
      </c>
      <c r="P602" s="1312">
        <f>IF(AND(YEAR(P598)=YEAR(Summary!$O$111),Summary!$O$109=1),MIN(Summary!$J$77,(1-SUM(CCFMODEL!$I599:O599))*$H$455),0)</f>
        <v>0</v>
      </c>
      <c r="Q602" s="1312">
        <f>IF(AND(YEAR(Q598)=YEAR(Summary!$O$111),Summary!$O$109=1),MIN(Summary!$J$77,(1-SUM(CCFMODEL!$I599:P599))*$H$455),0)</f>
        <v>0</v>
      </c>
      <c r="R602" s="1312">
        <f>IF(AND(YEAR(R598)=YEAR(Summary!$O$111),Summary!$O$109=1),MIN(Summary!$J$77,(1-SUM(CCFMODEL!$I599:Q599))*$H$455),0)</f>
        <v>0</v>
      </c>
      <c r="S602" s="1312">
        <f>IF(AND(YEAR(S598)=YEAR(Summary!$O$111),Summary!$O$109=1),MIN(Summary!$J$77,(1-SUM(CCFMODEL!$I599:R599))*$H$455),0)</f>
        <v>0</v>
      </c>
      <c r="T602" s="1312">
        <f>IF(AND(YEAR(T598)=YEAR(Summary!$O$111),Summary!$O$109=1),MIN(Summary!$J$77,(1-SUM(CCFMODEL!$I599:S599))*$H$455),0)</f>
        <v>0</v>
      </c>
      <c r="U602" s="1312">
        <f>IF(AND(YEAR(U598)=YEAR(Summary!$O$111),Summary!$O$109=1),MIN(Summary!$J$77,(1-SUM(CCFMODEL!$I599:T599))*$H$455),0)</f>
        <v>0</v>
      </c>
      <c r="V602" s="1312">
        <f>IF(AND(YEAR(V598)=YEAR(Summary!$O$111),Summary!$O$109=1),MIN(Summary!$J$77,(1-SUM(CCFMODEL!$I599:U599))*$H$455),0)</f>
        <v>0</v>
      </c>
      <c r="W602" s="1312">
        <f>IF(AND(YEAR(W598)=YEAR(Summary!$O$111),Summary!$O$109=1),MIN(Summary!$J$77,(1-SUM(CCFMODEL!$I599:V599))*$H$455),0)</f>
        <v>0</v>
      </c>
      <c r="X602" s="1312">
        <f>IF(AND(YEAR(X598)=YEAR(Summary!$O$111),Summary!$O$109=1),MIN(Summary!$J$77,(1-SUM(CCFMODEL!$I599:W599))*$H$455),0)</f>
        <v>0</v>
      </c>
      <c r="Y602" s="1312">
        <f>IF(AND(YEAR(Y598)=YEAR(Summary!$O$111),Summary!$O$109=1),MIN(Summary!$J$77,(1-SUM(CCFMODEL!$I599:X599))*$H$455),0)</f>
        <v>0</v>
      </c>
      <c r="Z602" s="1312">
        <f>IF(AND(YEAR(Z598)=YEAR(Summary!$O$111),Summary!$O$109=1),MIN(Summary!$J$77,(1-SUM(CCFMODEL!$I599:Y599))*$H$455),0)</f>
        <v>0</v>
      </c>
      <c r="AA602" s="1312">
        <f>IF(AND(YEAR(AA598)=YEAR(Summary!$O$111),Summary!$O$109=1),MIN(Summary!$J$77,(1-SUM(CCFMODEL!$I599:Z599))*$H$455),0)</f>
        <v>0</v>
      </c>
      <c r="AB602" s="1312">
        <f>IF(AND(YEAR(AB598)=YEAR(Summary!$O$111),Summary!$O$109=1),MIN(Summary!$J$77,(1-SUM(CCFMODEL!$I599:AA599))*$H$455),0)</f>
        <v>0</v>
      </c>
      <c r="AC602" s="1312">
        <f>IF(AND(YEAR(AC598)=YEAR(Summary!$O$111),Summary!$O$109=1),MIN(Summary!$J$77,(1-SUM(CCFMODEL!$I599:AB599))*$H$455),0)</f>
        <v>0</v>
      </c>
      <c r="AD602" s="1312">
        <f>IF(AND(YEAR(AD598)=YEAR(Summary!$O$111),Summary!$O$109=1),MIN(Summary!$J$77,(1-SUM(CCFMODEL!$I599:AC599))*$H$455),0)</f>
        <v>0</v>
      </c>
      <c r="AE602" s="1312">
        <f>IF(AND(YEAR(AE598)=YEAR(Summary!$O$111),Summary!$O$109=1),MIN(Summary!$J$77,(1-SUM(CCFMODEL!$I599:AD599))*$H$455),0)</f>
        <v>0</v>
      </c>
      <c r="AF602" s="1312">
        <f>IF(AND(YEAR(AF598)=YEAR(Summary!$O$111),Summary!$O$109=1),MIN(Summary!$J$77,(1-SUM(CCFMODEL!$I599:AE599))*$H$455),0)</f>
        <v>0</v>
      </c>
    </row>
    <row r="603" spans="1:32">
      <c r="A603" s="491" t="str">
        <f>B481</f>
        <v>Purchase Term Loan</v>
      </c>
      <c r="B603" s="280"/>
      <c r="C603" s="285"/>
      <c r="D603" s="485"/>
      <c r="E603" s="485"/>
      <c r="F603" s="485"/>
      <c r="G603" s="190" t="s">
        <v>1121</v>
      </c>
      <c r="H603" s="285"/>
      <c r="I603" s="542">
        <f>+I601+I602</f>
        <v>391.000001</v>
      </c>
      <c r="J603" s="542">
        <f t="shared" ref="J603:AF603" si="379">+J601+J602</f>
        <v>1601.9999830000002</v>
      </c>
      <c r="K603" s="542">
        <f t="shared" si="379"/>
        <v>2148.0000500000001</v>
      </c>
      <c r="L603" s="542">
        <f t="shared" si="379"/>
        <v>2500.9999025000002</v>
      </c>
      <c r="M603" s="542">
        <f t="shared" si="379"/>
        <v>2102.0000100000002</v>
      </c>
      <c r="N603" s="542">
        <f t="shared" si="379"/>
        <v>3172.9999980000002</v>
      </c>
      <c r="O603" s="542">
        <f t="shared" si="379"/>
        <v>3259.000004</v>
      </c>
      <c r="P603" s="542">
        <f t="shared" si="379"/>
        <v>2143.0000259999997</v>
      </c>
      <c r="Q603" s="542">
        <f t="shared" si="379"/>
        <v>2834.9999914999999</v>
      </c>
      <c r="R603" s="542">
        <f t="shared" si="379"/>
        <v>4242.9999925000011</v>
      </c>
      <c r="S603" s="542">
        <f t="shared" si="379"/>
        <v>4340.9999770000004</v>
      </c>
      <c r="T603" s="542">
        <f t="shared" si="379"/>
        <v>3399.9999349999998</v>
      </c>
      <c r="U603" s="542">
        <f t="shared" si="379"/>
        <v>3140.000043</v>
      </c>
      <c r="V603" s="542">
        <f t="shared" si="379"/>
        <v>4238.9999619999999</v>
      </c>
      <c r="W603" s="542">
        <f t="shared" si="379"/>
        <v>4286.0000520000012</v>
      </c>
      <c r="X603" s="542">
        <f t="shared" si="379"/>
        <v>3758.9999744999996</v>
      </c>
      <c r="Y603" s="542">
        <f t="shared" si="379"/>
        <v>4520.9999934999996</v>
      </c>
      <c r="Z603" s="542">
        <f t="shared" si="379"/>
        <v>4417.0001044999954</v>
      </c>
      <c r="AA603" s="542">
        <f t="shared" si="379"/>
        <v>0</v>
      </c>
      <c r="AB603" s="542">
        <f t="shared" si="379"/>
        <v>0</v>
      </c>
      <c r="AC603" s="542">
        <f t="shared" si="379"/>
        <v>0</v>
      </c>
      <c r="AD603" s="542">
        <f t="shared" si="379"/>
        <v>0</v>
      </c>
      <c r="AE603" s="542">
        <f t="shared" si="379"/>
        <v>0</v>
      </c>
      <c r="AF603" s="542">
        <f t="shared" si="379"/>
        <v>0</v>
      </c>
    </row>
    <row r="604" spans="1:32">
      <c r="A604" s="491"/>
      <c r="B604" s="280"/>
      <c r="C604" s="285"/>
      <c r="D604" s="285"/>
      <c r="E604" s="285"/>
      <c r="F604" s="285"/>
      <c r="G604" s="477" t="s">
        <v>70</v>
      </c>
      <c r="H604" s="285"/>
      <c r="I604" s="472">
        <v>0</v>
      </c>
      <c r="J604" s="472">
        <v>0</v>
      </c>
      <c r="K604" s="472">
        <v>0</v>
      </c>
      <c r="L604" s="472">
        <v>0</v>
      </c>
      <c r="M604" s="472">
        <v>0</v>
      </c>
      <c r="N604" s="472">
        <v>0</v>
      </c>
      <c r="O604" s="472">
        <v>0</v>
      </c>
      <c r="P604" s="472">
        <v>0</v>
      </c>
      <c r="Q604" s="472">
        <v>0</v>
      </c>
      <c r="R604" s="472">
        <v>0</v>
      </c>
      <c r="S604" s="472">
        <v>0</v>
      </c>
      <c r="T604" s="472">
        <v>0</v>
      </c>
      <c r="U604" s="472">
        <v>0</v>
      </c>
      <c r="V604" s="472">
        <v>0</v>
      </c>
      <c r="W604" s="472">
        <v>0</v>
      </c>
      <c r="X604" s="472">
        <v>0</v>
      </c>
      <c r="Y604" s="472">
        <v>0</v>
      </c>
      <c r="Z604" s="472">
        <v>0</v>
      </c>
      <c r="AA604" s="472">
        <v>0</v>
      </c>
      <c r="AB604" s="472">
        <v>0</v>
      </c>
      <c r="AC604" s="472">
        <v>0</v>
      </c>
      <c r="AD604" s="472">
        <v>0</v>
      </c>
      <c r="AE604" s="472">
        <v>0</v>
      </c>
      <c r="AF604" s="472">
        <v>0</v>
      </c>
    </row>
    <row r="605" spans="1:32">
      <c r="A605" s="491"/>
      <c r="B605" s="280"/>
      <c r="C605" s="285"/>
      <c r="D605" s="612"/>
      <c r="E605" s="612"/>
      <c r="F605" s="612"/>
      <c r="G605" s="190" t="s">
        <v>71</v>
      </c>
      <c r="H605" s="285"/>
      <c r="I605" s="613" t="s">
        <v>772</v>
      </c>
      <c r="J605" s="613" t="s">
        <v>772</v>
      </c>
      <c r="K605" s="613" t="s">
        <v>772</v>
      </c>
      <c r="L605" s="613" t="s">
        <v>772</v>
      </c>
      <c r="M605" s="613" t="s">
        <v>772</v>
      </c>
      <c r="N605" s="613" t="s">
        <v>772</v>
      </c>
      <c r="O605" s="613" t="s">
        <v>772</v>
      </c>
      <c r="P605" s="613" t="s">
        <v>772</v>
      </c>
      <c r="Q605" s="613" t="s">
        <v>772</v>
      </c>
      <c r="R605" s="613" t="s">
        <v>772</v>
      </c>
      <c r="S605" s="613" t="s">
        <v>772</v>
      </c>
      <c r="T605" s="613" t="s">
        <v>772</v>
      </c>
      <c r="U605" s="613" t="s">
        <v>772</v>
      </c>
      <c r="V605" s="613" t="s">
        <v>772</v>
      </c>
      <c r="W605" s="613" t="s">
        <v>772</v>
      </c>
      <c r="X605" s="613" t="s">
        <v>772</v>
      </c>
      <c r="Y605" s="613" t="s">
        <v>772</v>
      </c>
      <c r="Z605" s="613" t="s">
        <v>772</v>
      </c>
      <c r="AA605" s="613" t="s">
        <v>772</v>
      </c>
      <c r="AB605" s="613" t="s">
        <v>772</v>
      </c>
      <c r="AC605" s="613" t="s">
        <v>772</v>
      </c>
      <c r="AD605" s="613" t="s">
        <v>772</v>
      </c>
      <c r="AE605" s="613" t="s">
        <v>772</v>
      </c>
      <c r="AF605" s="613" t="s">
        <v>772</v>
      </c>
    </row>
    <row r="606" spans="1:32">
      <c r="A606" s="491"/>
      <c r="B606" s="280"/>
      <c r="C606" s="285"/>
      <c r="D606" s="285"/>
      <c r="E606" s="285"/>
      <c r="F606" s="285"/>
      <c r="G606" s="190" t="s">
        <v>75</v>
      </c>
      <c r="H606" s="285"/>
      <c r="I606" s="613" t="s">
        <v>76</v>
      </c>
      <c r="J606" s="285"/>
      <c r="K606" s="285"/>
      <c r="L606" s="285"/>
      <c r="M606" s="285"/>
      <c r="N606" s="285"/>
      <c r="O606" s="285"/>
      <c r="P606" s="285"/>
      <c r="Q606" s="285"/>
      <c r="R606" s="285"/>
      <c r="S606" s="285"/>
      <c r="T606" s="285"/>
      <c r="U606" s="285"/>
      <c r="V606" s="285"/>
      <c r="W606" s="285"/>
      <c r="X606" s="285"/>
      <c r="Y606" s="285"/>
      <c r="Z606" s="285"/>
      <c r="AA606" s="285"/>
      <c r="AB606" s="285"/>
      <c r="AC606" s="285"/>
      <c r="AD606" s="285"/>
      <c r="AE606" s="285"/>
      <c r="AF606" s="285"/>
    </row>
    <row r="607" spans="1:32">
      <c r="A607" s="491"/>
      <c r="B607" s="479" t="s">
        <v>561</v>
      </c>
      <c r="C607" s="1271">
        <f ca="1">Summary!O103</f>
        <v>0.89635605590128131</v>
      </c>
      <c r="D607" s="614"/>
      <c r="E607" s="614"/>
      <c r="F607" s="614"/>
      <c r="G607" s="190" t="s">
        <v>77</v>
      </c>
      <c r="H607" s="481"/>
      <c r="I607" s="614">
        <v>0</v>
      </c>
      <c r="J607" s="614">
        <f>I607</f>
        <v>0</v>
      </c>
      <c r="K607" s="614">
        <f t="shared" ref="K607:AF607" si="380">J607</f>
        <v>0</v>
      </c>
      <c r="L607" s="614">
        <f t="shared" si="380"/>
        <v>0</v>
      </c>
      <c r="M607" s="614">
        <f t="shared" si="380"/>
        <v>0</v>
      </c>
      <c r="N607" s="614">
        <f t="shared" si="380"/>
        <v>0</v>
      </c>
      <c r="O607" s="614">
        <f t="shared" si="380"/>
        <v>0</v>
      </c>
      <c r="P607" s="614">
        <f t="shared" si="380"/>
        <v>0</v>
      </c>
      <c r="Q607" s="614">
        <f t="shared" si="380"/>
        <v>0</v>
      </c>
      <c r="R607" s="614">
        <f t="shared" si="380"/>
        <v>0</v>
      </c>
      <c r="S607" s="614">
        <f t="shared" si="380"/>
        <v>0</v>
      </c>
      <c r="T607" s="614">
        <f t="shared" si="380"/>
        <v>0</v>
      </c>
      <c r="U607" s="614">
        <f t="shared" si="380"/>
        <v>0</v>
      </c>
      <c r="V607" s="614">
        <f t="shared" si="380"/>
        <v>0</v>
      </c>
      <c r="W607" s="614">
        <f t="shared" si="380"/>
        <v>0</v>
      </c>
      <c r="X607" s="614">
        <f t="shared" si="380"/>
        <v>0</v>
      </c>
      <c r="Y607" s="614">
        <f t="shared" si="380"/>
        <v>0</v>
      </c>
      <c r="Z607" s="614">
        <f t="shared" si="380"/>
        <v>0</v>
      </c>
      <c r="AA607" s="614">
        <f t="shared" si="380"/>
        <v>0</v>
      </c>
      <c r="AB607" s="614">
        <f t="shared" si="380"/>
        <v>0</v>
      </c>
      <c r="AC607" s="614">
        <f t="shared" si="380"/>
        <v>0</v>
      </c>
      <c r="AD607" s="614">
        <f t="shared" si="380"/>
        <v>0</v>
      </c>
      <c r="AE607" s="614">
        <f t="shared" si="380"/>
        <v>0</v>
      </c>
      <c r="AF607" s="614">
        <f t="shared" si="380"/>
        <v>0</v>
      </c>
    </row>
    <row r="608" spans="1:32">
      <c r="A608" s="491"/>
      <c r="B608" s="479" t="s">
        <v>562</v>
      </c>
      <c r="C608" s="1271">
        <f ca="1">Summary!O105</f>
        <v>1.5496807512122024</v>
      </c>
      <c r="D608" s="285"/>
      <c r="E608" s="285"/>
      <c r="F608" s="285"/>
      <c r="G608" s="190" t="s">
        <v>78</v>
      </c>
      <c r="H608" s="486"/>
      <c r="I608" s="486">
        <f>IF(I605="YES",((1+I607/2)^2-1)*I451*-1,0)*C472</f>
        <v>0</v>
      </c>
      <c r="J608" s="486">
        <f t="shared" ref="J608:AF608" si="381">IF(J605="YES",((1+J607/2)^2-1)*J451*-1,0)</f>
        <v>0</v>
      </c>
      <c r="K608" s="486">
        <f t="shared" si="381"/>
        <v>0</v>
      </c>
      <c r="L608" s="486">
        <f t="shared" si="381"/>
        <v>0</v>
      </c>
      <c r="M608" s="486">
        <f t="shared" si="381"/>
        <v>0</v>
      </c>
      <c r="N608" s="486">
        <f t="shared" si="381"/>
        <v>0</v>
      </c>
      <c r="O608" s="486">
        <f t="shared" si="381"/>
        <v>0</v>
      </c>
      <c r="P608" s="486">
        <f t="shared" si="381"/>
        <v>0</v>
      </c>
      <c r="Q608" s="486">
        <f t="shared" si="381"/>
        <v>0</v>
      </c>
      <c r="R608" s="486">
        <f t="shared" si="381"/>
        <v>0</v>
      </c>
      <c r="S608" s="486">
        <f t="shared" si="381"/>
        <v>0</v>
      </c>
      <c r="T608" s="486">
        <f t="shared" si="381"/>
        <v>0</v>
      </c>
      <c r="U608" s="486">
        <f t="shared" si="381"/>
        <v>0</v>
      </c>
      <c r="V608" s="486">
        <f t="shared" si="381"/>
        <v>0</v>
      </c>
      <c r="W608" s="486">
        <f t="shared" si="381"/>
        <v>0</v>
      </c>
      <c r="X608" s="486">
        <f t="shared" si="381"/>
        <v>0</v>
      </c>
      <c r="Y608" s="486">
        <f t="shared" si="381"/>
        <v>0</v>
      </c>
      <c r="Z608" s="486">
        <f t="shared" si="381"/>
        <v>0</v>
      </c>
      <c r="AA608" s="486">
        <f t="shared" si="381"/>
        <v>0</v>
      </c>
      <c r="AB608" s="486">
        <f t="shared" si="381"/>
        <v>0</v>
      </c>
      <c r="AC608" s="486">
        <f t="shared" si="381"/>
        <v>0</v>
      </c>
      <c r="AD608" s="486">
        <f t="shared" si="381"/>
        <v>0</v>
      </c>
      <c r="AE608" s="486">
        <f t="shared" si="381"/>
        <v>0</v>
      </c>
      <c r="AF608" s="486">
        <f t="shared" si="381"/>
        <v>0</v>
      </c>
    </row>
    <row r="609" spans="1:32">
      <c r="A609" s="491"/>
      <c r="B609" s="280" t="s">
        <v>182</v>
      </c>
      <c r="C609" s="529" t="s">
        <v>787</v>
      </c>
      <c r="D609" s="285"/>
      <c r="E609" s="285"/>
      <c r="F609" s="285"/>
      <c r="G609" s="190" t="s">
        <v>79</v>
      </c>
      <c r="H609" s="486"/>
      <c r="I609" s="615">
        <f>IF(Summary!$J$75="Yes",1,0)</f>
        <v>0</v>
      </c>
      <c r="J609" s="615">
        <v>0</v>
      </c>
      <c r="K609" s="615">
        <v>0</v>
      </c>
      <c r="L609" s="615">
        <v>0</v>
      </c>
      <c r="M609" s="615">
        <v>0</v>
      </c>
      <c r="N609" s="615">
        <v>0</v>
      </c>
      <c r="O609" s="615">
        <v>0</v>
      </c>
      <c r="P609" s="615">
        <v>0</v>
      </c>
      <c r="Q609" s="615">
        <v>0</v>
      </c>
      <c r="R609" s="615">
        <v>0</v>
      </c>
      <c r="S609" s="615">
        <v>0</v>
      </c>
      <c r="T609" s="615">
        <v>0</v>
      </c>
      <c r="U609" s="615">
        <v>0</v>
      </c>
      <c r="V609" s="615">
        <v>0</v>
      </c>
      <c r="W609" s="615">
        <v>0</v>
      </c>
      <c r="X609" s="615">
        <v>0</v>
      </c>
      <c r="Y609" s="615">
        <v>0</v>
      </c>
      <c r="Z609" s="615">
        <v>0</v>
      </c>
      <c r="AA609" s="615">
        <v>0</v>
      </c>
      <c r="AB609" s="615">
        <v>0</v>
      </c>
      <c r="AC609" s="615">
        <v>0</v>
      </c>
      <c r="AD609" s="615">
        <v>0</v>
      </c>
      <c r="AE609" s="615">
        <v>0</v>
      </c>
      <c r="AF609" s="615">
        <v>0</v>
      </c>
    </row>
    <row r="610" spans="1:32">
      <c r="A610" s="491"/>
      <c r="B610" s="285"/>
      <c r="D610" s="285"/>
      <c r="E610" s="285"/>
      <c r="F610" s="285"/>
      <c r="G610" s="1270" t="s">
        <v>594</v>
      </c>
      <c r="H610" s="481"/>
      <c r="I610" s="1271">
        <f ca="1">I751</f>
        <v>1</v>
      </c>
      <c r="J610" s="1271">
        <f t="shared" ref="J610:AF610" ca="1" si="382">J751</f>
        <v>0.89635605590128131</v>
      </c>
      <c r="K610" s="1271">
        <f t="shared" ca="1" si="382"/>
        <v>1.4442818201370802</v>
      </c>
      <c r="L610" s="1271">
        <f t="shared" ca="1" si="382"/>
        <v>1.2724726469179721</v>
      </c>
      <c r="M610" s="1271">
        <f t="shared" ca="1" si="382"/>
        <v>1.3482979081855024</v>
      </c>
      <c r="N610" s="1271">
        <f t="shared" ca="1" si="382"/>
        <v>1.1634479800736561</v>
      </c>
      <c r="O610" s="1271">
        <f t="shared" ca="1" si="382"/>
        <v>1.1987445290315148</v>
      </c>
      <c r="P610" s="1271">
        <f t="shared" ca="1" si="382"/>
        <v>1.5675535976716484</v>
      </c>
      <c r="Q610" s="1271">
        <f t="shared" ca="1" si="382"/>
        <v>1.5009216712663047</v>
      </c>
      <c r="R610" s="1271">
        <f t="shared" ca="1" si="382"/>
        <v>1.3122349323426674</v>
      </c>
      <c r="S610" s="1271">
        <f t="shared" ca="1" si="382"/>
        <v>1.4024474161627278</v>
      </c>
      <c r="T610" s="1271">
        <f t="shared" ca="1" si="382"/>
        <v>1.6274957317010177</v>
      </c>
      <c r="U610" s="1271">
        <f t="shared" ca="1" si="382"/>
        <v>1.8327414952161265</v>
      </c>
      <c r="V610" s="1271">
        <f t="shared" ca="1" si="382"/>
        <v>1.706889015315852</v>
      </c>
      <c r="W610" s="1271">
        <f t="shared" ca="1" si="382"/>
        <v>1.8421227633864525</v>
      </c>
      <c r="X610" s="1271">
        <f t="shared" ca="1" si="382"/>
        <v>2.2465502310378915</v>
      </c>
      <c r="Y610" s="1271">
        <f t="shared" ca="1" si="382"/>
        <v>2.1249604177072143</v>
      </c>
      <c r="Z610" s="1271">
        <f t="shared" ca="1" si="382"/>
        <v>2.4067353097647359</v>
      </c>
      <c r="AA610" s="1271" t="str">
        <f t="shared" si="382"/>
        <v xml:space="preserve"> </v>
      </c>
      <c r="AB610" s="1271">
        <f t="shared" si="382"/>
        <v>0</v>
      </c>
      <c r="AC610" s="1271">
        <f t="shared" si="382"/>
        <v>0</v>
      </c>
      <c r="AD610" s="1271">
        <f t="shared" si="382"/>
        <v>0</v>
      </c>
      <c r="AE610" s="1271">
        <f t="shared" si="382"/>
        <v>0</v>
      </c>
      <c r="AF610" s="1271">
        <f t="shared" si="382"/>
        <v>0</v>
      </c>
    </row>
    <row r="611" spans="1:32">
      <c r="A611" s="491" t="str">
        <f>B482</f>
        <v>Other Term Loan</v>
      </c>
      <c r="B611" s="280"/>
      <c r="C611" s="285"/>
      <c r="D611" s="285"/>
      <c r="E611" s="285"/>
      <c r="F611" s="285"/>
      <c r="G611" s="190" t="s">
        <v>1121</v>
      </c>
      <c r="H611" s="481"/>
      <c r="I611" s="485">
        <v>0</v>
      </c>
      <c r="J611" s="485">
        <v>0</v>
      </c>
      <c r="K611" s="485">
        <v>0</v>
      </c>
      <c r="L611" s="485">
        <v>0</v>
      </c>
      <c r="M611" s="485">
        <v>0</v>
      </c>
      <c r="N611" s="485">
        <v>0</v>
      </c>
      <c r="O611" s="485">
        <v>0</v>
      </c>
      <c r="P611" s="485">
        <v>0</v>
      </c>
      <c r="Q611" s="485">
        <v>0</v>
      </c>
      <c r="R611" s="485">
        <v>0</v>
      </c>
      <c r="S611" s="485">
        <v>0</v>
      </c>
      <c r="T611" s="485">
        <v>0</v>
      </c>
      <c r="U611" s="485">
        <v>0</v>
      </c>
      <c r="V611" s="485">
        <v>0</v>
      </c>
      <c r="W611" s="485">
        <v>0</v>
      </c>
      <c r="X611" s="485">
        <v>0</v>
      </c>
      <c r="Y611" s="485">
        <v>0</v>
      </c>
      <c r="Z611" s="485">
        <v>0</v>
      </c>
      <c r="AA611" s="485">
        <v>0</v>
      </c>
      <c r="AB611" s="485">
        <v>0</v>
      </c>
      <c r="AC611" s="485">
        <v>0</v>
      </c>
      <c r="AD611" s="485">
        <v>0</v>
      </c>
      <c r="AE611" s="485">
        <v>0</v>
      </c>
      <c r="AF611" s="485">
        <v>0</v>
      </c>
    </row>
    <row r="612" spans="1:32">
      <c r="A612" s="491"/>
      <c r="B612" s="280"/>
      <c r="C612" s="285"/>
      <c r="D612" s="285"/>
      <c r="E612" s="285"/>
      <c r="F612" s="285"/>
      <c r="G612" s="477" t="s">
        <v>70</v>
      </c>
      <c r="H612" s="481"/>
      <c r="I612" s="472">
        <v>0</v>
      </c>
      <c r="J612" s="472">
        <v>0</v>
      </c>
      <c r="K612" s="472">
        <v>0</v>
      </c>
      <c r="L612" s="472">
        <v>0</v>
      </c>
      <c r="M612" s="472">
        <v>0</v>
      </c>
      <c r="N612" s="472">
        <v>0</v>
      </c>
      <c r="O612" s="472">
        <v>0</v>
      </c>
      <c r="P612" s="472">
        <v>0</v>
      </c>
      <c r="Q612" s="472">
        <v>0</v>
      </c>
      <c r="R612" s="472">
        <v>0</v>
      </c>
      <c r="S612" s="472">
        <v>0</v>
      </c>
      <c r="T612" s="472">
        <v>0</v>
      </c>
      <c r="U612" s="472">
        <v>0</v>
      </c>
      <c r="V612" s="472">
        <v>0</v>
      </c>
      <c r="W612" s="472">
        <v>0</v>
      </c>
      <c r="X612" s="472">
        <v>0</v>
      </c>
      <c r="Y612" s="472">
        <v>0</v>
      </c>
      <c r="Z612" s="472">
        <v>0</v>
      </c>
      <c r="AA612" s="472">
        <v>0</v>
      </c>
      <c r="AB612" s="472">
        <v>0</v>
      </c>
      <c r="AC612" s="472">
        <v>0</v>
      </c>
      <c r="AD612" s="472">
        <v>0</v>
      </c>
      <c r="AE612" s="472">
        <v>0</v>
      </c>
      <c r="AF612" s="472">
        <v>0</v>
      </c>
    </row>
    <row r="613" spans="1:32">
      <c r="A613" s="491"/>
      <c r="B613" s="280"/>
      <c r="C613" s="285"/>
      <c r="D613" s="285"/>
      <c r="E613" s="285"/>
      <c r="F613" s="285"/>
      <c r="G613" s="190" t="s">
        <v>71</v>
      </c>
      <c r="H613" s="285"/>
      <c r="I613" s="613" t="s">
        <v>772</v>
      </c>
      <c r="J613" s="613" t="s">
        <v>772</v>
      </c>
      <c r="K613" s="613" t="s">
        <v>772</v>
      </c>
      <c r="L613" s="613" t="s">
        <v>772</v>
      </c>
      <c r="M613" s="613" t="s">
        <v>772</v>
      </c>
      <c r="N613" s="613" t="s">
        <v>772</v>
      </c>
      <c r="O613" s="613" t="s">
        <v>772</v>
      </c>
      <c r="P613" s="613" t="s">
        <v>772</v>
      </c>
      <c r="Q613" s="613" t="s">
        <v>772</v>
      </c>
      <c r="R613" s="613" t="s">
        <v>772</v>
      </c>
      <c r="S613" s="613" t="s">
        <v>772</v>
      </c>
      <c r="T613" s="613" t="s">
        <v>772</v>
      </c>
      <c r="U613" s="613" t="s">
        <v>772</v>
      </c>
      <c r="V613" s="613" t="s">
        <v>772</v>
      </c>
      <c r="W613" s="613" t="s">
        <v>772</v>
      </c>
      <c r="X613" s="613" t="s">
        <v>772</v>
      </c>
      <c r="Y613" s="613" t="s">
        <v>772</v>
      </c>
      <c r="Z613" s="613" t="s">
        <v>772</v>
      </c>
      <c r="AA613" s="613" t="s">
        <v>772</v>
      </c>
      <c r="AB613" s="613" t="s">
        <v>772</v>
      </c>
      <c r="AC613" s="613" t="s">
        <v>772</v>
      </c>
      <c r="AD613" s="613" t="s">
        <v>772</v>
      </c>
      <c r="AE613" s="613" t="s">
        <v>772</v>
      </c>
      <c r="AF613" s="613" t="s">
        <v>772</v>
      </c>
    </row>
    <row r="614" spans="1:32">
      <c r="A614" s="491"/>
      <c r="B614" s="280"/>
      <c r="C614" s="285"/>
      <c r="D614" s="285"/>
      <c r="E614" s="285"/>
      <c r="F614" s="285"/>
      <c r="G614" s="190" t="s">
        <v>75</v>
      </c>
      <c r="H614" s="285"/>
      <c r="I614" s="613" t="s">
        <v>76</v>
      </c>
      <c r="J614" s="285"/>
      <c r="K614" s="285"/>
      <c r="L614" s="285"/>
      <c r="M614" s="285"/>
      <c r="N614" s="285"/>
      <c r="O614" s="285"/>
      <c r="P614" s="285"/>
      <c r="Q614" s="285"/>
      <c r="R614" s="285"/>
      <c r="S614" s="285"/>
      <c r="T614" s="285"/>
      <c r="U614" s="285"/>
      <c r="V614" s="285"/>
      <c r="W614" s="285"/>
      <c r="X614" s="285"/>
      <c r="Y614" s="285"/>
      <c r="Z614" s="285"/>
      <c r="AA614" s="285"/>
      <c r="AB614" s="285"/>
      <c r="AC614" s="285"/>
      <c r="AD614" s="285"/>
      <c r="AE614" s="285"/>
      <c r="AF614" s="285"/>
    </row>
    <row r="615" spans="1:32">
      <c r="A615" s="491"/>
      <c r="B615" s="280"/>
      <c r="C615" s="285"/>
      <c r="D615" s="285"/>
      <c r="E615" s="285"/>
      <c r="F615" s="285"/>
      <c r="G615" s="190" t="s">
        <v>77</v>
      </c>
      <c r="H615" s="481"/>
      <c r="I615" s="614">
        <v>0</v>
      </c>
      <c r="J615" s="614">
        <v>0</v>
      </c>
      <c r="K615" s="614">
        <v>0</v>
      </c>
      <c r="L615" s="614">
        <v>0</v>
      </c>
      <c r="M615" s="614">
        <v>0</v>
      </c>
      <c r="N615" s="614">
        <v>0</v>
      </c>
      <c r="O615" s="614">
        <v>0</v>
      </c>
      <c r="P615" s="614">
        <v>0</v>
      </c>
      <c r="Q615" s="614">
        <v>0</v>
      </c>
      <c r="R615" s="614">
        <v>0</v>
      </c>
      <c r="S615" s="614">
        <v>0</v>
      </c>
      <c r="T615" s="614">
        <v>0</v>
      </c>
      <c r="U615" s="614">
        <v>0</v>
      </c>
      <c r="V615" s="614">
        <v>0</v>
      </c>
      <c r="W615" s="614">
        <v>0</v>
      </c>
      <c r="X615" s="614">
        <v>0</v>
      </c>
      <c r="Y615" s="614">
        <v>0</v>
      </c>
      <c r="Z615" s="614">
        <v>0</v>
      </c>
      <c r="AA615" s="614">
        <v>0</v>
      </c>
      <c r="AB615" s="614">
        <v>0</v>
      </c>
      <c r="AC615" s="614">
        <v>0</v>
      </c>
      <c r="AD615" s="614">
        <v>0</v>
      </c>
      <c r="AE615" s="614">
        <v>0</v>
      </c>
      <c r="AF615" s="614">
        <v>0</v>
      </c>
    </row>
    <row r="616" spans="1:32">
      <c r="A616" s="491"/>
      <c r="B616" s="280"/>
      <c r="C616" s="285"/>
      <c r="D616" s="285"/>
      <c r="E616" s="285"/>
      <c r="F616" s="285"/>
      <c r="G616" s="190" t="s">
        <v>80</v>
      </c>
      <c r="H616" s="486"/>
      <c r="I616" s="486">
        <f>IF(I613="YES",((1+I615/2)^2-1)*(I458+I461)/2*-1,0)*C472</f>
        <v>0</v>
      </c>
      <c r="J616" s="486">
        <f t="shared" ref="J616:AF616" si="383">IF(J613="YES",((1+J615/2)^2-1)*(J458+J461)/2*-1,0)</f>
        <v>0</v>
      </c>
      <c r="K616" s="486">
        <f t="shared" si="383"/>
        <v>0</v>
      </c>
      <c r="L616" s="486">
        <f t="shared" si="383"/>
        <v>0</v>
      </c>
      <c r="M616" s="486">
        <f t="shared" si="383"/>
        <v>0</v>
      </c>
      <c r="N616" s="486">
        <f t="shared" si="383"/>
        <v>0</v>
      </c>
      <c r="O616" s="486">
        <f t="shared" si="383"/>
        <v>0</v>
      </c>
      <c r="P616" s="486">
        <f t="shared" si="383"/>
        <v>0</v>
      </c>
      <c r="Q616" s="486">
        <f t="shared" si="383"/>
        <v>0</v>
      </c>
      <c r="R616" s="486">
        <f t="shared" si="383"/>
        <v>0</v>
      </c>
      <c r="S616" s="486">
        <f t="shared" si="383"/>
        <v>0</v>
      </c>
      <c r="T616" s="486">
        <f t="shared" si="383"/>
        <v>0</v>
      </c>
      <c r="U616" s="486">
        <f t="shared" si="383"/>
        <v>0</v>
      </c>
      <c r="V616" s="486">
        <f t="shared" si="383"/>
        <v>0</v>
      </c>
      <c r="W616" s="486">
        <f t="shared" si="383"/>
        <v>0</v>
      </c>
      <c r="X616" s="486">
        <f t="shared" si="383"/>
        <v>0</v>
      </c>
      <c r="Y616" s="486">
        <f t="shared" si="383"/>
        <v>0</v>
      </c>
      <c r="Z616" s="486">
        <f t="shared" si="383"/>
        <v>0</v>
      </c>
      <c r="AA616" s="486">
        <f t="shared" si="383"/>
        <v>0</v>
      </c>
      <c r="AB616" s="486">
        <f t="shared" si="383"/>
        <v>0</v>
      </c>
      <c r="AC616" s="486">
        <f t="shared" si="383"/>
        <v>0</v>
      </c>
      <c r="AD616" s="486">
        <f t="shared" si="383"/>
        <v>0</v>
      </c>
      <c r="AE616" s="486">
        <f t="shared" si="383"/>
        <v>0</v>
      </c>
      <c r="AF616" s="486">
        <f t="shared" si="383"/>
        <v>0</v>
      </c>
    </row>
    <row r="617" spans="1:32">
      <c r="A617" s="491"/>
      <c r="B617" s="285"/>
      <c r="C617" s="285"/>
      <c r="D617" s="285"/>
      <c r="E617" s="285"/>
      <c r="F617" s="285"/>
      <c r="G617" s="285"/>
      <c r="H617" s="481"/>
      <c r="I617" s="285"/>
      <c r="J617" s="285"/>
      <c r="K617" s="285"/>
      <c r="L617" s="285"/>
      <c r="M617" s="285"/>
      <c r="N617" s="285"/>
      <c r="O617" s="285"/>
      <c r="P617" s="285"/>
      <c r="Q617" s="285"/>
      <c r="R617" s="285"/>
      <c r="S617" s="285"/>
      <c r="T617" s="285"/>
      <c r="U617" s="285"/>
      <c r="V617" s="285"/>
      <c r="W617" s="285"/>
      <c r="X617" s="285"/>
      <c r="Y617" s="285"/>
      <c r="Z617" s="285"/>
      <c r="AA617" s="285"/>
      <c r="AB617" s="285"/>
      <c r="AC617" s="285"/>
      <c r="AD617" s="285"/>
      <c r="AE617" s="285"/>
      <c r="AF617" s="285"/>
    </row>
    <row r="618" spans="1:32">
      <c r="A618" s="491" t="str">
        <f>B483</f>
        <v>Common Stock</v>
      </c>
      <c r="B618" s="280"/>
      <c r="C618" s="285"/>
      <c r="D618" s="285"/>
      <c r="E618" s="285"/>
      <c r="F618" s="285"/>
      <c r="G618" s="190" t="s">
        <v>81</v>
      </c>
      <c r="H618" s="285"/>
      <c r="I618" s="472">
        <v>0</v>
      </c>
      <c r="J618" s="472">
        <v>0</v>
      </c>
      <c r="K618" s="472">
        <v>0</v>
      </c>
      <c r="L618" s="472">
        <v>0</v>
      </c>
      <c r="M618" s="472">
        <v>0</v>
      </c>
      <c r="N618" s="472">
        <v>0</v>
      </c>
      <c r="O618" s="472">
        <v>0</v>
      </c>
      <c r="P618" s="472">
        <v>0</v>
      </c>
      <c r="Q618" s="472">
        <v>0</v>
      </c>
      <c r="R618" s="472">
        <v>0</v>
      </c>
      <c r="S618" s="472">
        <v>0</v>
      </c>
      <c r="T618" s="472">
        <v>0</v>
      </c>
      <c r="U618" s="472">
        <v>0</v>
      </c>
      <c r="V618" s="472">
        <v>0</v>
      </c>
      <c r="W618" s="472">
        <v>0</v>
      </c>
      <c r="X618" s="472">
        <v>0</v>
      </c>
      <c r="Y618" s="472">
        <v>0</v>
      </c>
      <c r="Z618" s="472">
        <v>0</v>
      </c>
      <c r="AA618" s="472">
        <v>0</v>
      </c>
      <c r="AB618" s="472">
        <v>0</v>
      </c>
      <c r="AC618" s="472">
        <v>0</v>
      </c>
      <c r="AD618" s="472">
        <v>0</v>
      </c>
      <c r="AE618" s="472">
        <v>0</v>
      </c>
      <c r="AF618" s="472">
        <v>0</v>
      </c>
    </row>
    <row r="619" spans="1:32" ht="10.8" thickBot="1">
      <c r="A619" s="491"/>
      <c r="B619" s="280"/>
      <c r="C619" s="285"/>
      <c r="D619" s="285"/>
      <c r="E619" s="285"/>
      <c r="F619" s="285"/>
      <c r="G619" s="190" t="s">
        <v>82</v>
      </c>
      <c r="H619" s="285"/>
      <c r="I619" s="472">
        <v>0</v>
      </c>
      <c r="J619" s="472">
        <v>0</v>
      </c>
      <c r="K619" s="472">
        <v>0</v>
      </c>
      <c r="L619" s="472">
        <v>0</v>
      </c>
      <c r="M619" s="472">
        <v>0</v>
      </c>
      <c r="N619" s="472">
        <v>0</v>
      </c>
      <c r="O619" s="472">
        <v>0</v>
      </c>
      <c r="P619" s="472">
        <v>0</v>
      </c>
      <c r="Q619" s="472">
        <v>0</v>
      </c>
      <c r="R619" s="472">
        <v>0</v>
      </c>
      <c r="S619" s="472">
        <v>0</v>
      </c>
      <c r="T619" s="472">
        <v>0</v>
      </c>
      <c r="U619" s="472">
        <v>0</v>
      </c>
      <c r="V619" s="472">
        <v>0</v>
      </c>
      <c r="W619" s="472">
        <v>0</v>
      </c>
      <c r="X619" s="472">
        <v>0</v>
      </c>
      <c r="Y619" s="472">
        <v>0</v>
      </c>
      <c r="Z619" s="472">
        <v>0</v>
      </c>
      <c r="AA619" s="472">
        <v>0</v>
      </c>
      <c r="AB619" s="472">
        <v>0</v>
      </c>
      <c r="AC619" s="472">
        <v>0</v>
      </c>
      <c r="AD619" s="472">
        <v>0</v>
      </c>
      <c r="AE619" s="472">
        <v>0</v>
      </c>
      <c r="AF619" s="472">
        <v>0</v>
      </c>
    </row>
    <row r="620" spans="1:32" ht="11.4" thickTop="1" thickBot="1">
      <c r="A620" s="533"/>
      <c r="B620" s="457"/>
      <c r="C620" s="457"/>
      <c r="D620" s="457"/>
      <c r="E620" s="616"/>
      <c r="F620" s="457"/>
      <c r="G620" s="457"/>
      <c r="H620" s="616"/>
      <c r="I620" s="457"/>
      <c r="J620" s="616">
        <f>YEAR(J621)</f>
        <v>2000</v>
      </c>
      <c r="K620" s="616">
        <f t="shared" ref="K620:AF620" si="384">YEAR(K621)</f>
        <v>2001</v>
      </c>
      <c r="L620" s="616">
        <f t="shared" si="384"/>
        <v>2002</v>
      </c>
      <c r="M620" s="616">
        <f t="shared" si="384"/>
        <v>2003</v>
      </c>
      <c r="N620" s="616">
        <f t="shared" si="384"/>
        <v>2004</v>
      </c>
      <c r="O620" s="616">
        <f t="shared" si="384"/>
        <v>2005</v>
      </c>
      <c r="P620" s="616">
        <f t="shared" si="384"/>
        <v>2006</v>
      </c>
      <c r="Q620" s="616">
        <f t="shared" si="384"/>
        <v>2007</v>
      </c>
      <c r="R620" s="616">
        <f t="shared" si="384"/>
        <v>2008</v>
      </c>
      <c r="S620" s="616">
        <f t="shared" si="384"/>
        <v>2009</v>
      </c>
      <c r="T620" s="616">
        <f t="shared" si="384"/>
        <v>2010</v>
      </c>
      <c r="U620" s="616">
        <f t="shared" si="384"/>
        <v>2011</v>
      </c>
      <c r="V620" s="616">
        <f t="shared" si="384"/>
        <v>2012</v>
      </c>
      <c r="W620" s="616">
        <f t="shared" si="384"/>
        <v>2013</v>
      </c>
      <c r="X620" s="616">
        <f t="shared" si="384"/>
        <v>2014</v>
      </c>
      <c r="Y620" s="616">
        <f t="shared" si="384"/>
        <v>2015</v>
      </c>
      <c r="Z620" s="616">
        <f t="shared" si="384"/>
        <v>2016</v>
      </c>
      <c r="AA620" s="616">
        <f t="shared" si="384"/>
        <v>2017</v>
      </c>
      <c r="AB620" s="616">
        <f t="shared" si="384"/>
        <v>2018</v>
      </c>
      <c r="AC620" s="616">
        <f t="shared" si="384"/>
        <v>2019</v>
      </c>
      <c r="AD620" s="616">
        <f t="shared" si="384"/>
        <v>2020</v>
      </c>
      <c r="AE620" s="616">
        <f t="shared" si="384"/>
        <v>2021</v>
      </c>
      <c r="AF620" s="616">
        <f t="shared" si="384"/>
        <v>2022</v>
      </c>
    </row>
    <row r="621" spans="1:32" ht="10.8" thickTop="1">
      <c r="A621" s="385" t="s">
        <v>83</v>
      </c>
      <c r="B621" s="285"/>
      <c r="C621" s="285"/>
      <c r="D621" s="481"/>
      <c r="E621" s="617">
        <f>E$638</f>
        <v>35430</v>
      </c>
      <c r="F621" s="617">
        <f>F$638</f>
        <v>35795</v>
      </c>
      <c r="G621" s="617">
        <f>G$638</f>
        <v>36160</v>
      </c>
      <c r="H621" s="618">
        <f>H$638</f>
        <v>36373</v>
      </c>
      <c r="I621" s="619">
        <f>I$638</f>
        <v>36525</v>
      </c>
      <c r="J621" s="620">
        <f t="shared" ref="J621:AF621" si="385">J$638</f>
        <v>36891</v>
      </c>
      <c r="K621" s="620">
        <f t="shared" si="385"/>
        <v>37256</v>
      </c>
      <c r="L621" s="620">
        <f t="shared" si="385"/>
        <v>37621</v>
      </c>
      <c r="M621" s="620">
        <f t="shared" si="385"/>
        <v>37986</v>
      </c>
      <c r="N621" s="620">
        <f t="shared" si="385"/>
        <v>38352</v>
      </c>
      <c r="O621" s="620">
        <f t="shared" si="385"/>
        <v>38717</v>
      </c>
      <c r="P621" s="620">
        <f t="shared" si="385"/>
        <v>39082</v>
      </c>
      <c r="Q621" s="620">
        <f t="shared" si="385"/>
        <v>39447</v>
      </c>
      <c r="R621" s="620">
        <f t="shared" si="385"/>
        <v>39813</v>
      </c>
      <c r="S621" s="620">
        <f t="shared" si="385"/>
        <v>40178</v>
      </c>
      <c r="T621" s="620">
        <f t="shared" si="385"/>
        <v>40543</v>
      </c>
      <c r="U621" s="620">
        <f t="shared" si="385"/>
        <v>40908</v>
      </c>
      <c r="V621" s="620">
        <f t="shared" si="385"/>
        <v>41274</v>
      </c>
      <c r="W621" s="620">
        <f t="shared" si="385"/>
        <v>41639</v>
      </c>
      <c r="X621" s="620">
        <f t="shared" si="385"/>
        <v>42004</v>
      </c>
      <c r="Y621" s="620">
        <f t="shared" si="385"/>
        <v>42369</v>
      </c>
      <c r="Z621" s="620">
        <f t="shared" si="385"/>
        <v>42735</v>
      </c>
      <c r="AA621" s="620">
        <f t="shared" si="385"/>
        <v>43100</v>
      </c>
      <c r="AB621" s="620">
        <f t="shared" si="385"/>
        <v>43465</v>
      </c>
      <c r="AC621" s="620">
        <f t="shared" si="385"/>
        <v>43830</v>
      </c>
      <c r="AD621" s="620">
        <f t="shared" si="385"/>
        <v>44196</v>
      </c>
      <c r="AE621" s="620">
        <f t="shared" si="385"/>
        <v>44561</v>
      </c>
      <c r="AF621" s="620">
        <f t="shared" si="385"/>
        <v>44926</v>
      </c>
    </row>
    <row r="622" spans="1:32" ht="10.8" thickBot="1">
      <c r="A622" s="453" t="s">
        <v>84</v>
      </c>
      <c r="B622" s="285"/>
      <c r="C622" s="285"/>
      <c r="D622" s="285"/>
      <c r="E622" s="621" t="s">
        <v>901</v>
      </c>
      <c r="F622" s="621" t="s">
        <v>901</v>
      </c>
      <c r="G622" s="621" t="s">
        <v>901</v>
      </c>
      <c r="H622" s="622" t="s">
        <v>901</v>
      </c>
      <c r="I622" s="623" t="s">
        <v>19</v>
      </c>
      <c r="J622" s="624" t="s">
        <v>19</v>
      </c>
      <c r="K622" s="624" t="s">
        <v>19</v>
      </c>
      <c r="L622" s="624" t="s">
        <v>19</v>
      </c>
      <c r="M622" s="624" t="s">
        <v>19</v>
      </c>
      <c r="N622" s="624" t="s">
        <v>19</v>
      </c>
      <c r="O622" s="624" t="s">
        <v>19</v>
      </c>
      <c r="P622" s="624" t="s">
        <v>19</v>
      </c>
      <c r="Q622" s="624" t="s">
        <v>19</v>
      </c>
      <c r="R622" s="624" t="s">
        <v>19</v>
      </c>
      <c r="S622" s="624" t="s">
        <v>19</v>
      </c>
      <c r="T622" s="624" t="s">
        <v>19</v>
      </c>
      <c r="U622" s="624" t="s">
        <v>19</v>
      </c>
      <c r="V622" s="624" t="s">
        <v>19</v>
      </c>
      <c r="W622" s="624" t="s">
        <v>19</v>
      </c>
      <c r="X622" s="624" t="s">
        <v>19</v>
      </c>
      <c r="Y622" s="624" t="s">
        <v>19</v>
      </c>
      <c r="Z622" s="624" t="s">
        <v>19</v>
      </c>
      <c r="AA622" s="624" t="s">
        <v>19</v>
      </c>
      <c r="AB622" s="624" t="s">
        <v>19</v>
      </c>
      <c r="AC622" s="624" t="s">
        <v>19</v>
      </c>
      <c r="AD622" s="624" t="s">
        <v>19</v>
      </c>
      <c r="AE622" s="624" t="s">
        <v>19</v>
      </c>
      <c r="AF622" s="624" t="s">
        <v>19</v>
      </c>
    </row>
    <row r="623" spans="1:32" ht="10.8" thickTop="1">
      <c r="A623" s="453"/>
      <c r="B623" s="285"/>
      <c r="C623" s="285"/>
      <c r="D623" s="285"/>
      <c r="E623" s="625"/>
      <c r="F623" s="625"/>
      <c r="G623" s="625"/>
      <c r="H623" s="626"/>
      <c r="I623" s="626"/>
      <c r="J623" s="626"/>
      <c r="K623" s="626"/>
      <c r="L623" s="626"/>
      <c r="M623" s="626"/>
      <c r="N623" s="626"/>
      <c r="O623" s="626"/>
      <c r="P623" s="626"/>
      <c r="Q623" s="626"/>
      <c r="R623" s="626"/>
      <c r="S623" s="626"/>
      <c r="T623" s="626"/>
      <c r="U623" s="626"/>
      <c r="V623" s="626"/>
      <c r="W623" s="626"/>
      <c r="X623" s="626"/>
      <c r="Y623" s="626"/>
      <c r="Z623" s="626"/>
      <c r="AA623" s="626"/>
      <c r="AB623" s="626"/>
      <c r="AC623" s="626"/>
      <c r="AD623" s="626"/>
      <c r="AE623" s="626"/>
      <c r="AF623" s="626"/>
    </row>
    <row r="624" spans="1:32">
      <c r="A624" s="484" t="s">
        <v>85</v>
      </c>
      <c r="B624" s="285"/>
      <c r="C624" s="285"/>
      <c r="D624" s="285"/>
      <c r="E624" s="472">
        <v>0</v>
      </c>
      <c r="F624" s="472">
        <v>0</v>
      </c>
      <c r="G624" s="472">
        <v>0</v>
      </c>
      <c r="H624" s="472">
        <v>0</v>
      </c>
      <c r="I624" s="285"/>
      <c r="J624" s="285"/>
      <c r="K624" s="285"/>
      <c r="L624" s="285"/>
      <c r="M624" s="285"/>
      <c r="N624" s="285"/>
      <c r="O624" s="285"/>
      <c r="P624" s="285"/>
      <c r="Q624" s="285"/>
      <c r="R624" s="285"/>
      <c r="S624" s="285"/>
      <c r="T624" s="285"/>
      <c r="U624" s="285"/>
      <c r="V624" s="285"/>
      <c r="W624" s="285"/>
      <c r="X624" s="285"/>
      <c r="Y624" s="285"/>
      <c r="Z624" s="285"/>
      <c r="AA624" s="285"/>
      <c r="AB624" s="285"/>
      <c r="AC624" s="285"/>
      <c r="AD624" s="285"/>
      <c r="AE624" s="285"/>
      <c r="AF624" s="285"/>
    </row>
    <row r="625" spans="1:32">
      <c r="A625" s="285"/>
      <c r="B625" s="285"/>
      <c r="C625" s="285"/>
      <c r="D625" s="285"/>
      <c r="E625" s="285"/>
      <c r="F625" s="285"/>
      <c r="G625" s="285"/>
      <c r="H625" s="285"/>
      <c r="I625" s="285"/>
      <c r="J625" s="285"/>
      <c r="K625" s="285"/>
      <c r="L625" s="285"/>
      <c r="M625" s="285"/>
      <c r="N625" s="285"/>
      <c r="O625" s="285"/>
      <c r="P625" s="285"/>
      <c r="Q625" s="285"/>
      <c r="R625" s="285"/>
      <c r="S625" s="285"/>
      <c r="T625" s="285"/>
      <c r="U625" s="285"/>
      <c r="V625" s="285"/>
      <c r="W625" s="285"/>
      <c r="X625" s="285"/>
      <c r="Y625" s="285"/>
      <c r="Z625" s="285"/>
      <c r="AA625" s="285"/>
      <c r="AB625" s="285"/>
      <c r="AC625" s="285"/>
      <c r="AD625" s="285"/>
      <c r="AE625" s="285"/>
      <c r="AF625" s="285"/>
    </row>
    <row r="626" spans="1:32">
      <c r="A626" s="484" t="s">
        <v>1050</v>
      </c>
      <c r="B626" s="285"/>
      <c r="C626" s="285"/>
      <c r="D626" s="285"/>
      <c r="E626" s="627"/>
      <c r="F626" s="285"/>
      <c r="G626" s="285"/>
      <c r="H626" s="285"/>
      <c r="I626" s="614">
        <v>0.1</v>
      </c>
      <c r="J626" s="614">
        <f>I626</f>
        <v>0.1</v>
      </c>
      <c r="K626" s="614">
        <f t="shared" ref="K626:AF626" si="386">J626</f>
        <v>0.1</v>
      </c>
      <c r="L626" s="614">
        <f t="shared" si="386"/>
        <v>0.1</v>
      </c>
      <c r="M626" s="614">
        <f t="shared" si="386"/>
        <v>0.1</v>
      </c>
      <c r="N626" s="614">
        <f t="shared" si="386"/>
        <v>0.1</v>
      </c>
      <c r="O626" s="614">
        <f t="shared" si="386"/>
        <v>0.1</v>
      </c>
      <c r="P626" s="614">
        <f t="shared" si="386"/>
        <v>0.1</v>
      </c>
      <c r="Q626" s="614">
        <f t="shared" si="386"/>
        <v>0.1</v>
      </c>
      <c r="R626" s="614">
        <f t="shared" si="386"/>
        <v>0.1</v>
      </c>
      <c r="S626" s="614">
        <f t="shared" si="386"/>
        <v>0.1</v>
      </c>
      <c r="T626" s="614">
        <f t="shared" si="386"/>
        <v>0.1</v>
      </c>
      <c r="U626" s="614">
        <f t="shared" si="386"/>
        <v>0.1</v>
      </c>
      <c r="V626" s="614">
        <f t="shared" si="386"/>
        <v>0.1</v>
      </c>
      <c r="W626" s="614">
        <f t="shared" si="386"/>
        <v>0.1</v>
      </c>
      <c r="X626" s="614">
        <f t="shared" si="386"/>
        <v>0.1</v>
      </c>
      <c r="Y626" s="614">
        <f t="shared" si="386"/>
        <v>0.1</v>
      </c>
      <c r="Z626" s="614">
        <f t="shared" si="386"/>
        <v>0.1</v>
      </c>
      <c r="AA626" s="614">
        <f t="shared" si="386"/>
        <v>0.1</v>
      </c>
      <c r="AB626" s="614">
        <f t="shared" si="386"/>
        <v>0.1</v>
      </c>
      <c r="AC626" s="614">
        <f t="shared" si="386"/>
        <v>0.1</v>
      </c>
      <c r="AD626" s="614">
        <f t="shared" si="386"/>
        <v>0.1</v>
      </c>
      <c r="AE626" s="614">
        <f t="shared" si="386"/>
        <v>0.1</v>
      </c>
      <c r="AF626" s="614">
        <f t="shared" si="386"/>
        <v>0.1</v>
      </c>
    </row>
    <row r="627" spans="1:32">
      <c r="A627" s="484" t="str">
        <f>B481</f>
        <v>Purchase Term Loan</v>
      </c>
      <c r="B627" s="285"/>
      <c r="C627" s="285"/>
      <c r="D627" s="614"/>
      <c r="E627" s="485"/>
      <c r="F627" s="485"/>
      <c r="G627" s="485"/>
      <c r="H627" s="485"/>
      <c r="I627" s="615">
        <f>Summary!$E$107</f>
        <v>7.7499999999999999E-2</v>
      </c>
      <c r="J627" s="615">
        <f>Summary!$E$107</f>
        <v>7.7499999999999999E-2</v>
      </c>
      <c r="K627" s="615">
        <f ca="1">IF(Summary!$E$102=1,Summary!$E$107,HLOOKUP(K620,#REF!,#REF!))</f>
        <v>7.7499999999999999E-2</v>
      </c>
      <c r="L627" s="615">
        <f ca="1">IF(Summary!$E$102=1,Summary!$E$108,HLOOKUP(L620,#REF!,#REF!))</f>
        <v>7.8750000000000001E-2</v>
      </c>
      <c r="M627" s="615">
        <f ca="1">IF(Summary!$E$102=1,Summary!$E$108,HLOOKUP(M620,#REF!,#REF!))</f>
        <v>7.8750000000000001E-2</v>
      </c>
      <c r="N627" s="615">
        <f ca="1">IF(Summary!$E$102=1,Summary!$E$108,HLOOKUP(N620,#REF!,#REF!))</f>
        <v>7.8750000000000001E-2</v>
      </c>
      <c r="O627" s="615">
        <f ca="1">IF(Summary!$E$102=1,Summary!$E$109,HLOOKUP(O620,#REF!,#REF!))</f>
        <v>8.1250000000000003E-2</v>
      </c>
      <c r="P627" s="615">
        <f ca="1">IF(Summary!$E$102=1,Summary!$E$109,HLOOKUP(P620,#REF!,#REF!))</f>
        <v>8.1250000000000003E-2</v>
      </c>
      <c r="Q627" s="615">
        <f ca="1">IF(Summary!$E$102=1,Summary!$E$109,HLOOKUP(Q620,#REF!,#REF!))</f>
        <v>8.1250000000000003E-2</v>
      </c>
      <c r="R627" s="615">
        <f ca="1">IF(Summary!$E$102=1,Summary!$E$110,HLOOKUP(R620,#REF!,#REF!))</f>
        <v>8.2500000000000004E-2</v>
      </c>
      <c r="S627" s="615">
        <f ca="1">IF(Summary!$E$102=1,Summary!$E$110,HLOOKUP(S620,#REF!,#REF!))</f>
        <v>8.2500000000000004E-2</v>
      </c>
      <c r="T627" s="615">
        <f ca="1">IF(Summary!$E$102=1,Summary!$E$110,HLOOKUP(T620,#REF!,#REF!))</f>
        <v>8.2500000000000004E-2</v>
      </c>
      <c r="U627" s="615">
        <f ca="1">IF(Summary!$E$102=1,Summary!$E$110,HLOOKUP(U620,#REF!,#REF!))</f>
        <v>8.2500000000000004E-2</v>
      </c>
      <c r="V627" s="615">
        <f ca="1">IF(Summary!$E$102=1,Summary!$E$111,HLOOKUP(V620,#REF!,#REF!))</f>
        <v>8.3750000000000005E-2</v>
      </c>
      <c r="W627" s="615">
        <f ca="1">IF(Summary!$E$102=1,Summary!$E$111,HLOOKUP(W620,#REF!,#REF!))</f>
        <v>8.3750000000000005E-2</v>
      </c>
      <c r="X627" s="615">
        <f ca="1">IF(Summary!$E$102=1,Summary!$E$111,HLOOKUP(X620,#REF!,#REF!))</f>
        <v>8.3750000000000005E-2</v>
      </c>
      <c r="Y627" s="615">
        <f ca="1">IF(Summary!$E$102=1,Summary!$E$111,HLOOKUP(Y620,#REF!,#REF!))</f>
        <v>8.3750000000000005E-2</v>
      </c>
      <c r="Z627" s="615">
        <f ca="1">IF(Summary!$E$102=1,Summary!$E$111,HLOOKUP(Z620,#REF!,#REF!))</f>
        <v>8.3750000000000005E-2</v>
      </c>
      <c r="AA627" s="615">
        <f ca="1">IF(Summary!$E$102=1,Summary!$E$111,HLOOKUP(AA620,#REF!,#REF!))</f>
        <v>8.3750000000000005E-2</v>
      </c>
      <c r="AB627" s="615">
        <f ca="1">IF(Summary!$E$102=1,Summary!$E$111,HLOOKUP(AB620,#REF!,#REF!))</f>
        <v>8.3750000000000005E-2</v>
      </c>
      <c r="AC627" s="615">
        <f ca="1">IF(Summary!$E$102=1,Summary!$E$111,HLOOKUP(AC620,#REF!,#REF!))</f>
        <v>8.3750000000000005E-2</v>
      </c>
      <c r="AD627" s="615">
        <f ca="1">IF(Summary!$E$102=1,Summary!$E$111,HLOOKUP(AD620,#REF!,#REF!))</f>
        <v>8.3750000000000005E-2</v>
      </c>
      <c r="AE627" s="615">
        <f ca="1">IF(Summary!$E$102=1,Summary!$E$111,HLOOKUP(AE620,#REF!,#REF!))</f>
        <v>8.3750000000000005E-2</v>
      </c>
      <c r="AF627" s="615">
        <f ca="1">IF(Summary!$E$102=1,Summary!$E$111,HLOOKUP(AF620,#REF!,#REF!))</f>
        <v>8.3750000000000005E-2</v>
      </c>
    </row>
    <row r="628" spans="1:32">
      <c r="A628" s="484" t="str">
        <f>B482</f>
        <v>Other Term Loan</v>
      </c>
      <c r="B628" s="285"/>
      <c r="C628" s="285"/>
      <c r="D628" s="614"/>
      <c r="E628" s="485"/>
      <c r="F628" s="485"/>
      <c r="G628" s="485"/>
      <c r="H628" s="485"/>
      <c r="I628" s="615">
        <v>0</v>
      </c>
      <c r="J628" s="615">
        <v>0</v>
      </c>
      <c r="K628" s="615">
        <v>0</v>
      </c>
      <c r="L628" s="615">
        <v>0</v>
      </c>
      <c r="M628" s="615">
        <v>0</v>
      </c>
      <c r="N628" s="615">
        <v>0</v>
      </c>
      <c r="O628" s="615">
        <v>0</v>
      </c>
      <c r="P628" s="615">
        <v>0</v>
      </c>
      <c r="Q628" s="615">
        <v>0</v>
      </c>
      <c r="R628" s="615">
        <v>0</v>
      </c>
      <c r="S628" s="615">
        <v>0</v>
      </c>
      <c r="T628" s="615">
        <v>0</v>
      </c>
      <c r="U628" s="615">
        <v>0</v>
      </c>
      <c r="V628" s="615">
        <v>0</v>
      </c>
      <c r="W628" s="615">
        <v>0</v>
      </c>
      <c r="X628" s="615">
        <v>0</v>
      </c>
      <c r="Y628" s="615">
        <v>0</v>
      </c>
      <c r="Z628" s="615">
        <v>0</v>
      </c>
      <c r="AA628" s="615">
        <v>0</v>
      </c>
      <c r="AB628" s="615">
        <v>0</v>
      </c>
      <c r="AC628" s="615">
        <v>0</v>
      </c>
      <c r="AD628" s="615">
        <v>0</v>
      </c>
      <c r="AE628" s="615">
        <v>0</v>
      </c>
      <c r="AF628" s="615">
        <v>0</v>
      </c>
    </row>
    <row r="629" spans="1:32">
      <c r="A629" s="484" t="s">
        <v>86</v>
      </c>
      <c r="B629" s="285"/>
      <c r="C629" s="285"/>
      <c r="D629" s="285"/>
      <c r="E629" s="485"/>
      <c r="F629" s="485"/>
      <c r="G629" s="485"/>
      <c r="H629" s="485"/>
      <c r="I629" s="614">
        <v>0</v>
      </c>
      <c r="J629" s="614">
        <f t="shared" ref="J629:AF629" si="387">I629</f>
        <v>0</v>
      </c>
      <c r="K629" s="614">
        <f t="shared" si="387"/>
        <v>0</v>
      </c>
      <c r="L629" s="614">
        <f t="shared" si="387"/>
        <v>0</v>
      </c>
      <c r="M629" s="614">
        <f t="shared" si="387"/>
        <v>0</v>
      </c>
      <c r="N629" s="614">
        <f t="shared" si="387"/>
        <v>0</v>
      </c>
      <c r="O629" s="614">
        <f t="shared" si="387"/>
        <v>0</v>
      </c>
      <c r="P629" s="614">
        <f t="shared" si="387"/>
        <v>0</v>
      </c>
      <c r="Q629" s="614">
        <f t="shared" si="387"/>
        <v>0</v>
      </c>
      <c r="R629" s="614">
        <f t="shared" si="387"/>
        <v>0</v>
      </c>
      <c r="S629" s="614">
        <f t="shared" si="387"/>
        <v>0</v>
      </c>
      <c r="T629" s="614">
        <f t="shared" si="387"/>
        <v>0</v>
      </c>
      <c r="U629" s="614">
        <f t="shared" si="387"/>
        <v>0</v>
      </c>
      <c r="V629" s="614">
        <f t="shared" si="387"/>
        <v>0</v>
      </c>
      <c r="W629" s="614">
        <f t="shared" si="387"/>
        <v>0</v>
      </c>
      <c r="X629" s="614">
        <f t="shared" si="387"/>
        <v>0</v>
      </c>
      <c r="Y629" s="614">
        <f t="shared" si="387"/>
        <v>0</v>
      </c>
      <c r="Z629" s="614">
        <f t="shared" si="387"/>
        <v>0</v>
      </c>
      <c r="AA629" s="614">
        <f t="shared" si="387"/>
        <v>0</v>
      </c>
      <c r="AB629" s="614">
        <f t="shared" si="387"/>
        <v>0</v>
      </c>
      <c r="AC629" s="614">
        <f t="shared" si="387"/>
        <v>0</v>
      </c>
      <c r="AD629" s="614">
        <f t="shared" si="387"/>
        <v>0</v>
      </c>
      <c r="AE629" s="614">
        <f t="shared" si="387"/>
        <v>0</v>
      </c>
      <c r="AF629" s="614">
        <f t="shared" si="387"/>
        <v>0</v>
      </c>
    </row>
    <row r="630" spans="1:32">
      <c r="A630" s="484"/>
      <c r="B630" s="285"/>
      <c r="C630" s="285"/>
      <c r="D630" s="285"/>
      <c r="E630" s="285"/>
      <c r="F630" s="285"/>
      <c r="G630" s="285"/>
      <c r="H630" s="285"/>
      <c r="I630" s="285"/>
      <c r="J630" s="285"/>
      <c r="K630" s="285"/>
      <c r="L630" s="285"/>
      <c r="M630" s="285"/>
      <c r="N630" s="285"/>
      <c r="O630" s="285"/>
      <c r="P630" s="285"/>
      <c r="Q630" s="285"/>
      <c r="R630" s="285"/>
      <c r="S630" s="285"/>
      <c r="T630" s="285"/>
      <c r="U630" s="285"/>
      <c r="V630" s="285"/>
      <c r="W630" s="285"/>
      <c r="X630" s="285"/>
      <c r="Y630" s="285"/>
      <c r="Z630" s="285"/>
      <c r="AA630" s="285"/>
      <c r="AB630" s="285"/>
      <c r="AC630" s="285"/>
      <c r="AD630" s="285"/>
      <c r="AE630" s="285"/>
      <c r="AF630" s="285"/>
    </row>
    <row r="631" spans="1:32">
      <c r="A631" s="628" t="s">
        <v>1047</v>
      </c>
      <c r="B631" s="285"/>
      <c r="C631" s="285"/>
      <c r="D631" s="285"/>
      <c r="E631" s="285"/>
      <c r="F631" s="285"/>
      <c r="G631" s="285"/>
      <c r="H631" s="285"/>
      <c r="I631" s="285"/>
      <c r="J631" s="285"/>
      <c r="K631" s="285"/>
      <c r="L631" s="285"/>
      <c r="M631" s="285"/>
      <c r="N631" s="285"/>
      <c r="O631" s="285"/>
      <c r="P631" s="285"/>
      <c r="Q631" s="285"/>
      <c r="R631" s="285"/>
      <c r="S631" s="285"/>
      <c r="T631" s="285"/>
      <c r="U631" s="285"/>
      <c r="V631" s="285"/>
      <c r="W631" s="285"/>
      <c r="X631" s="285"/>
      <c r="Y631" s="285"/>
      <c r="Z631" s="285"/>
      <c r="AA631" s="285"/>
      <c r="AB631" s="285"/>
      <c r="AC631" s="285"/>
      <c r="AD631" s="285"/>
      <c r="AE631" s="285"/>
      <c r="AF631" s="285"/>
    </row>
    <row r="632" spans="1:32">
      <c r="A632" s="484" t="s">
        <v>87</v>
      </c>
      <c r="B632" s="285"/>
      <c r="C632" s="285"/>
      <c r="D632" s="285"/>
      <c r="E632" s="629" t="str">
        <f>Summary!E75</f>
        <v>yes</v>
      </c>
      <c r="F632" s="285"/>
      <c r="G632" s="285"/>
      <c r="H632" s="285"/>
      <c r="I632" s="529">
        <f>+Summary!$E$76</f>
        <v>0.05</v>
      </c>
      <c r="J632" s="529">
        <f>+Summary!$E$76</f>
        <v>0.05</v>
      </c>
      <c r="K632" s="529">
        <f>+Summary!$E$76</f>
        <v>0.05</v>
      </c>
      <c r="L632" s="529">
        <f>+Summary!$E$76</f>
        <v>0.05</v>
      </c>
      <c r="M632" s="529">
        <f>+Summary!$E$76</f>
        <v>0.05</v>
      </c>
      <c r="N632" s="529">
        <f>+Summary!$E$76</f>
        <v>0.05</v>
      </c>
      <c r="O632" s="529">
        <f>+Summary!$E$76</f>
        <v>0.05</v>
      </c>
      <c r="P632" s="529">
        <f>+Summary!$E$76</f>
        <v>0.05</v>
      </c>
      <c r="Q632" s="529">
        <f>+Summary!$E$76</f>
        <v>0.05</v>
      </c>
      <c r="R632" s="529">
        <f>+Summary!$E$76</f>
        <v>0.05</v>
      </c>
      <c r="S632" s="529">
        <f>+Summary!$E$76</f>
        <v>0.05</v>
      </c>
      <c r="T632" s="529">
        <f>+Summary!$E$76</f>
        <v>0.05</v>
      </c>
      <c r="U632" s="529">
        <f>+Summary!$E$76</f>
        <v>0.05</v>
      </c>
      <c r="V632" s="529">
        <f>+Summary!$E$76</f>
        <v>0.05</v>
      </c>
      <c r="W632" s="529">
        <f>+Summary!$E$76</f>
        <v>0.05</v>
      </c>
      <c r="X632" s="529">
        <f>+Summary!$E$76</f>
        <v>0.05</v>
      </c>
      <c r="Y632" s="529">
        <f>+Summary!$E$76</f>
        <v>0.05</v>
      </c>
      <c r="Z632" s="529">
        <f>+Summary!$E$76</f>
        <v>0.05</v>
      </c>
      <c r="AA632" s="529">
        <f>+Summary!$E$76</f>
        <v>0.05</v>
      </c>
      <c r="AB632" s="529">
        <f>+Summary!$E$76</f>
        <v>0.05</v>
      </c>
      <c r="AC632" s="529">
        <f>+Summary!$E$76</f>
        <v>0.05</v>
      </c>
      <c r="AD632" s="529">
        <f>+Summary!$E$76</f>
        <v>0.05</v>
      </c>
      <c r="AE632" s="529">
        <f>+Summary!$E$76</f>
        <v>0.05</v>
      </c>
      <c r="AF632" s="529">
        <f>+Summary!$E$76</f>
        <v>0.05</v>
      </c>
    </row>
    <row r="633" spans="1:32">
      <c r="A633" s="484" t="s">
        <v>88</v>
      </c>
      <c r="B633" s="285"/>
      <c r="C633" s="285"/>
      <c r="D633" s="614"/>
      <c r="E633" s="485">
        <v>0</v>
      </c>
      <c r="F633" s="485">
        <v>0</v>
      </c>
      <c r="G633" s="485">
        <v>0</v>
      </c>
      <c r="H633" s="485">
        <v>0</v>
      </c>
      <c r="I633" s="614">
        <f>Summary!E76</f>
        <v>0.05</v>
      </c>
      <c r="J633" s="614">
        <f t="shared" ref="J633:AF633" si="388">I633</f>
        <v>0.05</v>
      </c>
      <c r="K633" s="614">
        <f t="shared" si="388"/>
        <v>0.05</v>
      </c>
      <c r="L633" s="614">
        <f t="shared" si="388"/>
        <v>0.05</v>
      </c>
      <c r="M633" s="614">
        <f t="shared" si="388"/>
        <v>0.05</v>
      </c>
      <c r="N633" s="614">
        <f t="shared" si="388"/>
        <v>0.05</v>
      </c>
      <c r="O633" s="614">
        <f t="shared" si="388"/>
        <v>0.05</v>
      </c>
      <c r="P633" s="614">
        <f t="shared" si="388"/>
        <v>0.05</v>
      </c>
      <c r="Q633" s="614">
        <f t="shared" si="388"/>
        <v>0.05</v>
      </c>
      <c r="R633" s="614">
        <f t="shared" si="388"/>
        <v>0.05</v>
      </c>
      <c r="S633" s="614">
        <f t="shared" si="388"/>
        <v>0.05</v>
      </c>
      <c r="T633" s="614">
        <f t="shared" si="388"/>
        <v>0.05</v>
      </c>
      <c r="U633" s="614">
        <f t="shared" si="388"/>
        <v>0.05</v>
      </c>
      <c r="V633" s="614">
        <f t="shared" si="388"/>
        <v>0.05</v>
      </c>
      <c r="W633" s="614">
        <f t="shared" si="388"/>
        <v>0.05</v>
      </c>
      <c r="X633" s="614">
        <f t="shared" si="388"/>
        <v>0.05</v>
      </c>
      <c r="Y633" s="614">
        <f t="shared" si="388"/>
        <v>0.05</v>
      </c>
      <c r="Z633" s="614">
        <f t="shared" si="388"/>
        <v>0.05</v>
      </c>
      <c r="AA633" s="614">
        <f t="shared" si="388"/>
        <v>0.05</v>
      </c>
      <c r="AB633" s="614">
        <f t="shared" si="388"/>
        <v>0.05</v>
      </c>
      <c r="AC633" s="614">
        <f t="shared" si="388"/>
        <v>0.05</v>
      </c>
      <c r="AD633" s="614">
        <f t="shared" si="388"/>
        <v>0.05</v>
      </c>
      <c r="AE633" s="614">
        <f t="shared" si="388"/>
        <v>0.05</v>
      </c>
      <c r="AF633" s="614">
        <f t="shared" si="388"/>
        <v>0.05</v>
      </c>
    </row>
    <row r="634" spans="1:32">
      <c r="A634" s="484"/>
      <c r="B634" s="285"/>
      <c r="C634" s="285"/>
      <c r="D634" s="285"/>
      <c r="E634" s="486"/>
      <c r="F634" s="486"/>
      <c r="G634" s="486"/>
      <c r="H634" s="486"/>
      <c r="I634" s="285"/>
      <c r="J634" s="285"/>
      <c r="K634" s="285"/>
      <c r="L634" s="285"/>
      <c r="M634" s="285"/>
      <c r="N634" s="285"/>
      <c r="O634" s="285"/>
      <c r="P634" s="285"/>
      <c r="Q634" s="285"/>
      <c r="R634" s="285"/>
      <c r="S634" s="285"/>
      <c r="T634" s="285"/>
      <c r="U634" s="285"/>
      <c r="V634" s="285"/>
      <c r="W634" s="285"/>
      <c r="X634" s="285"/>
      <c r="Y634" s="285"/>
      <c r="Z634" s="285"/>
      <c r="AA634" s="285"/>
      <c r="AB634" s="285"/>
      <c r="AC634" s="285"/>
      <c r="AD634" s="285"/>
      <c r="AE634" s="285"/>
      <c r="AF634" s="285"/>
    </row>
    <row r="635" spans="1:32" ht="10.8" thickBot="1">
      <c r="A635" s="484"/>
      <c r="B635" s="285"/>
      <c r="C635" s="285"/>
      <c r="D635" s="285"/>
      <c r="E635" s="486"/>
      <c r="F635" s="486"/>
      <c r="G635" s="486"/>
      <c r="H635" s="486"/>
      <c r="I635" s="285"/>
      <c r="J635" s="285"/>
      <c r="K635" s="285"/>
      <c r="L635" s="285"/>
      <c r="M635" s="285"/>
      <c r="N635" s="285"/>
      <c r="O635" s="285"/>
      <c r="P635" s="285"/>
      <c r="Q635" s="285"/>
      <c r="R635" s="285"/>
      <c r="S635" s="285"/>
      <c r="T635" s="285"/>
      <c r="U635" s="285"/>
      <c r="V635" s="285"/>
      <c r="W635" s="285"/>
      <c r="X635" s="285"/>
      <c r="Y635" s="285"/>
      <c r="Z635" s="285"/>
      <c r="AA635" s="285"/>
      <c r="AB635" s="285"/>
      <c r="AC635" s="285"/>
      <c r="AD635" s="285"/>
      <c r="AE635" s="285"/>
      <c r="AF635" s="285"/>
    </row>
    <row r="636" spans="1:32" ht="11.4" thickTop="1" thickBot="1">
      <c r="A636" s="533"/>
      <c r="B636" s="457"/>
      <c r="C636" s="457"/>
      <c r="D636" s="457"/>
      <c r="E636" s="616"/>
      <c r="F636" s="616"/>
      <c r="G636" s="616"/>
      <c r="H636" s="616"/>
      <c r="I636" s="457"/>
      <c r="J636" s="457"/>
      <c r="K636" s="457"/>
      <c r="L636" s="457"/>
      <c r="M636" s="457"/>
      <c r="N636" s="457"/>
      <c r="O636" s="457"/>
      <c r="P636" s="457"/>
      <c r="Q636" s="457"/>
      <c r="R636" s="457"/>
      <c r="S636" s="457"/>
      <c r="T636" s="457"/>
      <c r="U636" s="457"/>
      <c r="V636" s="457"/>
      <c r="W636" s="457"/>
      <c r="X636" s="457"/>
      <c r="Y636" s="457"/>
      <c r="Z636" s="457"/>
      <c r="AA636" s="457"/>
      <c r="AB636" s="457"/>
      <c r="AC636" s="457"/>
      <c r="AD636" s="457"/>
      <c r="AE636" s="457"/>
      <c r="AF636" s="457"/>
    </row>
    <row r="637" spans="1:32" ht="11.4" thickTop="1" thickBot="1">
      <c r="A637" s="453" t="s">
        <v>89</v>
      </c>
      <c r="B637" s="285"/>
      <c r="C637" s="285"/>
      <c r="D637" s="285"/>
      <c r="E637" s="385"/>
      <c r="F637" s="285"/>
      <c r="G637" s="285"/>
      <c r="H637" s="630" t="str">
        <f>TEXT(C470,"0")&amp;" M"</f>
        <v>8 M</v>
      </c>
      <c r="I637" s="631" t="str">
        <f>TEXT(C473,"0")&amp;" M"</f>
        <v>4 M</v>
      </c>
      <c r="J637" s="285"/>
      <c r="K637" s="285"/>
      <c r="L637" s="285"/>
      <c r="M637" s="285"/>
      <c r="N637" s="285"/>
      <c r="O637" s="285"/>
      <c r="P637" s="285"/>
      <c r="Q637" s="285"/>
      <c r="R637" s="285"/>
      <c r="S637" s="285"/>
      <c r="T637" s="285"/>
      <c r="U637" s="285"/>
      <c r="V637" s="285"/>
      <c r="W637" s="285"/>
      <c r="X637" s="285"/>
      <c r="Y637" s="285"/>
      <c r="Z637" s="285"/>
      <c r="AA637" s="285"/>
      <c r="AB637" s="285"/>
      <c r="AC637" s="285"/>
      <c r="AD637" s="285"/>
      <c r="AE637" s="285"/>
      <c r="AF637" s="285"/>
    </row>
    <row r="638" spans="1:32" ht="11.4" thickTop="1" thickBot="1">
      <c r="A638" s="190" t="s">
        <v>90</v>
      </c>
      <c r="B638" s="632">
        <f>E475</f>
        <v>36525</v>
      </c>
      <c r="C638" s="280"/>
      <c r="D638" s="285"/>
      <c r="E638" s="571">
        <f>DATE(YEAR(F638)-1,12,31)</f>
        <v>35430</v>
      </c>
      <c r="F638" s="571">
        <f>DATE(YEAR(G638)-1,12,31)</f>
        <v>35795</v>
      </c>
      <c r="G638" s="571">
        <f>DATE(YEAR(H638)-1,12,31)</f>
        <v>36160</v>
      </c>
      <c r="H638" s="590">
        <f>C467</f>
        <v>36373</v>
      </c>
      <c r="I638" s="633">
        <f>E475</f>
        <v>36525</v>
      </c>
      <c r="J638" s="634">
        <f>DATE(YEAR(I638)+1,12,31)</f>
        <v>36891</v>
      </c>
      <c r="K638" s="634">
        <f t="shared" ref="K638:AF638" si="389">DATE(YEAR(J638)+1,12,31)</f>
        <v>37256</v>
      </c>
      <c r="L638" s="634">
        <f t="shared" si="389"/>
        <v>37621</v>
      </c>
      <c r="M638" s="634">
        <f t="shared" si="389"/>
        <v>37986</v>
      </c>
      <c r="N638" s="634">
        <f t="shared" si="389"/>
        <v>38352</v>
      </c>
      <c r="O638" s="634">
        <f t="shared" si="389"/>
        <v>38717</v>
      </c>
      <c r="P638" s="634">
        <f t="shared" si="389"/>
        <v>39082</v>
      </c>
      <c r="Q638" s="634">
        <f t="shared" si="389"/>
        <v>39447</v>
      </c>
      <c r="R638" s="634">
        <f t="shared" si="389"/>
        <v>39813</v>
      </c>
      <c r="S638" s="634">
        <f t="shared" si="389"/>
        <v>40178</v>
      </c>
      <c r="T638" s="634">
        <f t="shared" si="389"/>
        <v>40543</v>
      </c>
      <c r="U638" s="634">
        <f t="shared" si="389"/>
        <v>40908</v>
      </c>
      <c r="V638" s="634">
        <f t="shared" si="389"/>
        <v>41274</v>
      </c>
      <c r="W638" s="634">
        <f t="shared" si="389"/>
        <v>41639</v>
      </c>
      <c r="X638" s="634">
        <f t="shared" si="389"/>
        <v>42004</v>
      </c>
      <c r="Y638" s="634">
        <f t="shared" si="389"/>
        <v>42369</v>
      </c>
      <c r="Z638" s="634">
        <f t="shared" si="389"/>
        <v>42735</v>
      </c>
      <c r="AA638" s="634">
        <f t="shared" si="389"/>
        <v>43100</v>
      </c>
      <c r="AB638" s="634">
        <f t="shared" si="389"/>
        <v>43465</v>
      </c>
      <c r="AC638" s="634">
        <f t="shared" si="389"/>
        <v>43830</v>
      </c>
      <c r="AD638" s="634">
        <f t="shared" si="389"/>
        <v>44196</v>
      </c>
      <c r="AE638" s="634">
        <f t="shared" si="389"/>
        <v>44561</v>
      </c>
      <c r="AF638" s="634">
        <f t="shared" si="389"/>
        <v>44926</v>
      </c>
    </row>
    <row r="639" spans="1:32" ht="10.8" thickTop="1">
      <c r="A639" s="385" t="s">
        <v>28</v>
      </c>
      <c r="B639" s="285"/>
      <c r="C639" s="285"/>
      <c r="D639" s="285"/>
      <c r="E639" s="285"/>
      <c r="F639" s="285"/>
      <c r="G639" s="485"/>
      <c r="H639" s="285"/>
      <c r="I639" s="285"/>
      <c r="J639" s="285"/>
      <c r="K639" s="285"/>
      <c r="L639" s="285"/>
      <c r="M639" s="285"/>
      <c r="N639" s="285"/>
      <c r="O639" s="285"/>
      <c r="P639" s="285"/>
      <c r="Q639" s="285"/>
      <c r="R639" s="285"/>
      <c r="S639" s="285"/>
      <c r="T639" s="285"/>
      <c r="U639" s="285"/>
      <c r="V639" s="285"/>
      <c r="W639" s="285"/>
      <c r="X639" s="285"/>
      <c r="Y639" s="285"/>
      <c r="Z639" s="285"/>
      <c r="AA639" s="285"/>
      <c r="AB639" s="285"/>
      <c r="AC639" s="285"/>
      <c r="AD639" s="285"/>
      <c r="AE639" s="285"/>
      <c r="AF639" s="285"/>
    </row>
    <row r="640" spans="1:32">
      <c r="A640" s="484" t="s">
        <v>91</v>
      </c>
      <c r="B640" s="285"/>
      <c r="C640" s="285"/>
      <c r="D640" s="485"/>
      <c r="E640" s="485"/>
      <c r="F640" s="485"/>
      <c r="G640" s="485"/>
      <c r="H640" s="485"/>
      <c r="I640" s="486">
        <f t="shared" ref="I640:AF640" ca="1" si="390">I509</f>
        <v>51.629632000000001</v>
      </c>
      <c r="J640" s="486">
        <f t="shared" ca="1" si="390"/>
        <v>51.629632000000001</v>
      </c>
      <c r="K640" s="486">
        <f t="shared" ca="1" si="390"/>
        <v>51.629632000000001</v>
      </c>
      <c r="L640" s="486">
        <f t="shared" ca="1" si="390"/>
        <v>51.629632000000001</v>
      </c>
      <c r="M640" s="486">
        <f t="shared" ca="1" si="390"/>
        <v>51.629632000000001</v>
      </c>
      <c r="N640" s="486">
        <f t="shared" ca="1" si="390"/>
        <v>51.629632000000001</v>
      </c>
      <c r="O640" s="486">
        <f t="shared" ca="1" si="390"/>
        <v>51.629632000000001</v>
      </c>
      <c r="P640" s="486">
        <f t="shared" ca="1" si="390"/>
        <v>51.629632000000001</v>
      </c>
      <c r="Q640" s="486">
        <f t="shared" ca="1" si="390"/>
        <v>51.629632000000001</v>
      </c>
      <c r="R640" s="486">
        <f t="shared" ca="1" si="390"/>
        <v>51.629632000000001</v>
      </c>
      <c r="S640" s="486">
        <f t="shared" ca="1" si="390"/>
        <v>51.629632000000001</v>
      </c>
      <c r="T640" s="486">
        <f t="shared" ca="1" si="390"/>
        <v>51.629632000000001</v>
      </c>
      <c r="U640" s="486">
        <f t="shared" ca="1" si="390"/>
        <v>51.629632000000001</v>
      </c>
      <c r="V640" s="486">
        <f t="shared" ca="1" si="390"/>
        <v>51.629632000000001</v>
      </c>
      <c r="W640" s="486">
        <f t="shared" ca="1" si="390"/>
        <v>51.629632000000001</v>
      </c>
      <c r="X640" s="486">
        <f t="shared" si="390"/>
        <v>0</v>
      </c>
      <c r="Y640" s="486">
        <f t="shared" si="390"/>
        <v>0</v>
      </c>
      <c r="Z640" s="486">
        <f t="shared" si="390"/>
        <v>0</v>
      </c>
      <c r="AA640" s="486">
        <f t="shared" si="390"/>
        <v>0</v>
      </c>
      <c r="AB640" s="486">
        <f t="shared" si="390"/>
        <v>0</v>
      </c>
      <c r="AC640" s="486">
        <f t="shared" si="390"/>
        <v>0</v>
      </c>
      <c r="AD640" s="486">
        <f t="shared" si="390"/>
        <v>0</v>
      </c>
      <c r="AE640" s="486">
        <f t="shared" si="390"/>
        <v>0</v>
      </c>
      <c r="AF640" s="486">
        <f t="shared" si="390"/>
        <v>0</v>
      </c>
    </row>
    <row r="641" spans="1:32">
      <c r="A641" s="467" t="s">
        <v>207</v>
      </c>
      <c r="B641" s="285"/>
      <c r="C641" s="285"/>
      <c r="D641" s="612"/>
      <c r="E641" s="542">
        <f t="shared" ref="E641:AF641" si="391">E780</f>
        <v>0</v>
      </c>
      <c r="F641" s="542">
        <f t="shared" si="391"/>
        <v>0</v>
      </c>
      <c r="G641" s="542">
        <f t="shared" si="391"/>
        <v>0</v>
      </c>
      <c r="H641" s="542">
        <f t="shared" si="391"/>
        <v>0</v>
      </c>
      <c r="I641" s="542">
        <f t="shared" si="391"/>
        <v>0</v>
      </c>
      <c r="J641" s="542">
        <f t="shared" si="391"/>
        <v>0</v>
      </c>
      <c r="K641" s="542">
        <f t="shared" si="391"/>
        <v>0</v>
      </c>
      <c r="L641" s="542">
        <f t="shared" si="391"/>
        <v>0</v>
      </c>
      <c r="M641" s="542">
        <f t="shared" si="391"/>
        <v>0</v>
      </c>
      <c r="N641" s="542">
        <f t="shared" si="391"/>
        <v>0</v>
      </c>
      <c r="O641" s="542">
        <f t="shared" si="391"/>
        <v>0</v>
      </c>
      <c r="P641" s="542">
        <f t="shared" si="391"/>
        <v>0</v>
      </c>
      <c r="Q641" s="542">
        <f t="shared" si="391"/>
        <v>0</v>
      </c>
      <c r="R641" s="542">
        <f t="shared" si="391"/>
        <v>0</v>
      </c>
      <c r="S641" s="542">
        <f t="shared" si="391"/>
        <v>0</v>
      </c>
      <c r="T641" s="542">
        <f t="shared" si="391"/>
        <v>0</v>
      </c>
      <c r="U641" s="542">
        <f t="shared" si="391"/>
        <v>0</v>
      </c>
      <c r="V641" s="542">
        <f t="shared" si="391"/>
        <v>0</v>
      </c>
      <c r="W641" s="542">
        <f t="shared" si="391"/>
        <v>0</v>
      </c>
      <c r="X641" s="542">
        <f t="shared" si="391"/>
        <v>0</v>
      </c>
      <c r="Y641" s="542">
        <f t="shared" si="391"/>
        <v>0</v>
      </c>
      <c r="Z641" s="542">
        <f t="shared" si="391"/>
        <v>0</v>
      </c>
      <c r="AA641" s="542">
        <f t="shared" si="391"/>
        <v>0</v>
      </c>
      <c r="AB641" s="542">
        <f t="shared" si="391"/>
        <v>0</v>
      </c>
      <c r="AC641" s="542">
        <f t="shared" si="391"/>
        <v>0</v>
      </c>
      <c r="AD641" s="542">
        <f t="shared" si="391"/>
        <v>0</v>
      </c>
      <c r="AE641" s="542">
        <f t="shared" si="391"/>
        <v>0</v>
      </c>
      <c r="AF641" s="542">
        <f t="shared" si="391"/>
        <v>0</v>
      </c>
    </row>
    <row r="642" spans="1:32" ht="10.8" thickBot="1">
      <c r="A642" s="484" t="s">
        <v>92</v>
      </c>
      <c r="B642" s="285"/>
      <c r="C642" s="285"/>
      <c r="D642" s="485"/>
      <c r="E642" s="635">
        <f t="shared" ref="E642:AF642" si="392">SUM(E640:E641)</f>
        <v>0</v>
      </c>
      <c r="F642" s="635">
        <f t="shared" si="392"/>
        <v>0</v>
      </c>
      <c r="G642" s="635">
        <f t="shared" si="392"/>
        <v>0</v>
      </c>
      <c r="H642" s="635">
        <f t="shared" si="392"/>
        <v>0</v>
      </c>
      <c r="I642" s="635">
        <f t="shared" ca="1" si="392"/>
        <v>51.629632000000001</v>
      </c>
      <c r="J642" s="635">
        <f t="shared" ca="1" si="392"/>
        <v>51.629632000000001</v>
      </c>
      <c r="K642" s="635">
        <f t="shared" ca="1" si="392"/>
        <v>51.629632000000001</v>
      </c>
      <c r="L642" s="635">
        <f t="shared" ca="1" si="392"/>
        <v>51.629632000000001</v>
      </c>
      <c r="M642" s="635">
        <f t="shared" ca="1" si="392"/>
        <v>51.629632000000001</v>
      </c>
      <c r="N642" s="635">
        <f t="shared" ca="1" si="392"/>
        <v>51.629632000000001</v>
      </c>
      <c r="O642" s="635">
        <f t="shared" ca="1" si="392"/>
        <v>51.629632000000001</v>
      </c>
      <c r="P642" s="635">
        <f t="shared" ca="1" si="392"/>
        <v>51.629632000000001</v>
      </c>
      <c r="Q642" s="635">
        <f t="shared" ca="1" si="392"/>
        <v>51.629632000000001</v>
      </c>
      <c r="R642" s="635">
        <f t="shared" ca="1" si="392"/>
        <v>51.629632000000001</v>
      </c>
      <c r="S642" s="635">
        <f t="shared" ca="1" si="392"/>
        <v>51.629632000000001</v>
      </c>
      <c r="T642" s="635">
        <f t="shared" ca="1" si="392"/>
        <v>51.629632000000001</v>
      </c>
      <c r="U642" s="635">
        <f t="shared" ca="1" si="392"/>
        <v>51.629632000000001</v>
      </c>
      <c r="V642" s="635">
        <f t="shared" ca="1" si="392"/>
        <v>51.629632000000001</v>
      </c>
      <c r="W642" s="635">
        <f t="shared" ca="1" si="392"/>
        <v>51.629632000000001</v>
      </c>
      <c r="X642" s="635">
        <f t="shared" si="392"/>
        <v>0</v>
      </c>
      <c r="Y642" s="635">
        <f t="shared" si="392"/>
        <v>0</v>
      </c>
      <c r="Z642" s="635">
        <f t="shared" si="392"/>
        <v>0</v>
      </c>
      <c r="AA642" s="635">
        <f t="shared" si="392"/>
        <v>0</v>
      </c>
      <c r="AB642" s="635">
        <f t="shared" si="392"/>
        <v>0</v>
      </c>
      <c r="AC642" s="635">
        <f t="shared" si="392"/>
        <v>0</v>
      </c>
      <c r="AD642" s="635">
        <f t="shared" si="392"/>
        <v>0</v>
      </c>
      <c r="AE642" s="635">
        <f t="shared" si="392"/>
        <v>0</v>
      </c>
      <c r="AF642" s="635">
        <f t="shared" si="392"/>
        <v>0</v>
      </c>
    </row>
    <row r="643" spans="1:32" ht="10.8" thickTop="1">
      <c r="A643" s="484"/>
      <c r="B643" s="285"/>
      <c r="C643" s="285"/>
      <c r="D643" s="485"/>
      <c r="E643" s="485"/>
      <c r="F643" s="485"/>
      <c r="G643" s="485"/>
      <c r="H643" s="485"/>
      <c r="I643" s="486"/>
      <c r="J643" s="486"/>
      <c r="K643" s="486"/>
      <c r="L643" s="486"/>
      <c r="M643" s="486"/>
      <c r="N643" s="486"/>
      <c r="O643" s="486"/>
      <c r="P643" s="486"/>
      <c r="Q643" s="486"/>
      <c r="R643" s="486"/>
      <c r="S643" s="486"/>
      <c r="T643" s="486"/>
      <c r="U643" s="486"/>
      <c r="V643" s="486"/>
      <c r="W643" s="486"/>
      <c r="X643" s="486"/>
      <c r="Y643" s="486"/>
      <c r="Z643" s="486"/>
      <c r="AA643" s="486"/>
      <c r="AB643" s="486"/>
      <c r="AC643" s="486"/>
      <c r="AD643" s="486"/>
      <c r="AE643" s="486"/>
      <c r="AF643" s="486"/>
    </row>
    <row r="644" spans="1:32">
      <c r="A644" s="385" t="s">
        <v>1046</v>
      </c>
      <c r="B644" s="285"/>
      <c r="C644" s="285"/>
      <c r="D644" s="285"/>
      <c r="E644" s="285"/>
      <c r="F644" s="285"/>
      <c r="G644" s="285"/>
      <c r="H644" s="285"/>
      <c r="I644" s="485"/>
      <c r="J644" s="485"/>
      <c r="K644" s="485"/>
      <c r="L644" s="485"/>
      <c r="M644" s="485"/>
      <c r="N644" s="485"/>
      <c r="O644" s="485"/>
      <c r="P644" s="485"/>
      <c r="Q644" s="485"/>
      <c r="R644" s="485"/>
      <c r="S644" s="485"/>
      <c r="T644" s="485"/>
      <c r="U644" s="485"/>
      <c r="V644" s="485"/>
      <c r="W644" s="485"/>
      <c r="X644" s="485"/>
      <c r="Y644" s="485"/>
      <c r="Z644" s="485"/>
      <c r="AA644" s="485"/>
      <c r="AB644" s="485"/>
      <c r="AC644" s="485"/>
      <c r="AD644" s="485"/>
      <c r="AE644" s="485"/>
      <c r="AF644" s="485"/>
    </row>
    <row r="645" spans="1:32">
      <c r="A645" s="467" t="s">
        <v>93</v>
      </c>
      <c r="B645" s="484"/>
      <c r="C645" s="285"/>
      <c r="D645" s="285"/>
      <c r="E645" s="472">
        <v>0</v>
      </c>
      <c r="F645" s="472">
        <v>0</v>
      </c>
      <c r="G645" s="472">
        <v>0</v>
      </c>
      <c r="H645" s="472">
        <v>0</v>
      </c>
      <c r="I645" s="472">
        <v>0</v>
      </c>
      <c r="J645" s="472">
        <v>0</v>
      </c>
      <c r="K645" s="472">
        <v>0</v>
      </c>
      <c r="L645" s="472">
        <v>0</v>
      </c>
      <c r="M645" s="472">
        <v>0</v>
      </c>
      <c r="N645" s="472">
        <v>0</v>
      </c>
      <c r="O645" s="472">
        <v>0</v>
      </c>
      <c r="P645" s="472">
        <v>0</v>
      </c>
      <c r="Q645" s="472">
        <v>0</v>
      </c>
      <c r="R645" s="472">
        <v>0</v>
      </c>
      <c r="S645" s="472">
        <v>0</v>
      </c>
      <c r="T645" s="472">
        <v>0</v>
      </c>
      <c r="U645" s="472">
        <v>0</v>
      </c>
      <c r="V645" s="472">
        <v>0</v>
      </c>
      <c r="W645" s="472">
        <v>0</v>
      </c>
      <c r="X645" s="472">
        <v>0</v>
      </c>
      <c r="Y645" s="472">
        <v>0</v>
      </c>
      <c r="Z645" s="472">
        <v>0</v>
      </c>
      <c r="AA645" s="472">
        <v>0</v>
      </c>
      <c r="AB645" s="472">
        <v>0</v>
      </c>
      <c r="AC645" s="472">
        <v>0</v>
      </c>
      <c r="AD645" s="472">
        <v>0</v>
      </c>
      <c r="AE645" s="472">
        <v>0</v>
      </c>
      <c r="AF645" s="472">
        <v>0</v>
      </c>
    </row>
    <row r="646" spans="1:32" ht="10.8" thickBot="1">
      <c r="A646" s="484"/>
      <c r="B646" s="285"/>
      <c r="C646" s="285"/>
      <c r="D646" s="285"/>
      <c r="E646" s="486"/>
      <c r="F646" s="486"/>
      <c r="G646" s="486"/>
      <c r="H646" s="486"/>
      <c r="I646" s="285"/>
      <c r="J646" s="285"/>
      <c r="K646" s="285"/>
      <c r="L646" s="285"/>
      <c r="M646" s="285"/>
      <c r="N646" s="285"/>
      <c r="O646" s="285"/>
      <c r="P646" s="285"/>
      <c r="Q646" s="285"/>
      <c r="R646" s="285"/>
      <c r="S646" s="285"/>
      <c r="T646" s="285"/>
      <c r="U646" s="285"/>
      <c r="V646" s="285"/>
      <c r="W646" s="285"/>
      <c r="X646" s="285"/>
      <c r="Y646" s="285"/>
      <c r="Z646" s="285"/>
      <c r="AA646" s="285"/>
      <c r="AB646" s="285"/>
      <c r="AC646" s="285"/>
      <c r="AD646" s="285"/>
      <c r="AE646" s="285"/>
      <c r="AF646" s="285"/>
    </row>
    <row r="647" spans="1:32" ht="11.4" thickTop="1" thickBot="1">
      <c r="A647" s="457"/>
      <c r="B647" s="457"/>
      <c r="C647" s="457"/>
      <c r="D647" s="457"/>
      <c r="E647" s="457"/>
      <c r="F647" s="457"/>
      <c r="G647" s="457"/>
      <c r="H647" s="457"/>
      <c r="I647" s="457"/>
      <c r="J647" s="457"/>
      <c r="K647" s="457"/>
      <c r="L647" s="457"/>
      <c r="M647" s="457"/>
      <c r="N647" s="457"/>
      <c r="O647" s="457"/>
      <c r="P647" s="457"/>
      <c r="Q647" s="457"/>
      <c r="R647" s="457"/>
      <c r="S647" s="457"/>
      <c r="T647" s="457"/>
      <c r="U647" s="457"/>
      <c r="V647" s="457"/>
      <c r="W647" s="457"/>
      <c r="X647" s="457"/>
      <c r="Y647" s="457"/>
      <c r="Z647" s="457"/>
      <c r="AA647" s="457"/>
      <c r="AB647" s="457"/>
      <c r="AC647" s="457"/>
      <c r="AD647" s="457"/>
      <c r="AE647" s="457"/>
      <c r="AF647" s="457"/>
    </row>
    <row r="648" spans="1:32" ht="11.4" thickTop="1" thickBot="1">
      <c r="A648" s="636" t="s">
        <v>95</v>
      </c>
      <c r="B648" s="285"/>
      <c r="C648" s="285"/>
      <c r="D648" s="285"/>
      <c r="E648" s="571">
        <f>E$638</f>
        <v>35430</v>
      </c>
      <c r="F648" s="571">
        <f>F$638</f>
        <v>35795</v>
      </c>
      <c r="G648" s="571">
        <f>G$638</f>
        <v>36160</v>
      </c>
      <c r="H648" s="590">
        <f>H$638</f>
        <v>36373</v>
      </c>
      <c r="I648" s="527">
        <f>I$638</f>
        <v>36525</v>
      </c>
      <c r="J648" s="528">
        <f t="shared" ref="J648:AF648" si="393">J$638</f>
        <v>36891</v>
      </c>
      <c r="K648" s="528">
        <f t="shared" si="393"/>
        <v>37256</v>
      </c>
      <c r="L648" s="528">
        <f t="shared" si="393"/>
        <v>37621</v>
      </c>
      <c r="M648" s="528">
        <f t="shared" si="393"/>
        <v>37986</v>
      </c>
      <c r="N648" s="528">
        <f t="shared" si="393"/>
        <v>38352</v>
      </c>
      <c r="O648" s="528">
        <f t="shared" si="393"/>
        <v>38717</v>
      </c>
      <c r="P648" s="528">
        <f t="shared" si="393"/>
        <v>39082</v>
      </c>
      <c r="Q648" s="528">
        <f t="shared" si="393"/>
        <v>39447</v>
      </c>
      <c r="R648" s="528">
        <f t="shared" si="393"/>
        <v>39813</v>
      </c>
      <c r="S648" s="528">
        <f t="shared" si="393"/>
        <v>40178</v>
      </c>
      <c r="T648" s="528">
        <f t="shared" si="393"/>
        <v>40543</v>
      </c>
      <c r="U648" s="528">
        <f t="shared" si="393"/>
        <v>40908</v>
      </c>
      <c r="V648" s="528">
        <f t="shared" si="393"/>
        <v>41274</v>
      </c>
      <c r="W648" s="528">
        <f t="shared" si="393"/>
        <v>41639</v>
      </c>
      <c r="X648" s="528">
        <f t="shared" si="393"/>
        <v>42004</v>
      </c>
      <c r="Y648" s="528">
        <f t="shared" si="393"/>
        <v>42369</v>
      </c>
      <c r="Z648" s="528">
        <f t="shared" si="393"/>
        <v>42735</v>
      </c>
      <c r="AA648" s="528">
        <f t="shared" si="393"/>
        <v>43100</v>
      </c>
      <c r="AB648" s="528">
        <f t="shared" si="393"/>
        <v>43465</v>
      </c>
      <c r="AC648" s="528">
        <f t="shared" si="393"/>
        <v>43830</v>
      </c>
      <c r="AD648" s="528">
        <f t="shared" si="393"/>
        <v>44196</v>
      </c>
      <c r="AE648" s="528">
        <f t="shared" si="393"/>
        <v>44561</v>
      </c>
      <c r="AF648" s="637">
        <f t="shared" si="393"/>
        <v>44926</v>
      </c>
    </row>
    <row r="649" spans="1:32" ht="10.8" thickTop="1">
      <c r="A649" s="484" t="s">
        <v>96</v>
      </c>
      <c r="B649" s="285"/>
      <c r="C649" s="285"/>
      <c r="D649" s="285"/>
      <c r="E649" s="285"/>
      <c r="F649" s="285"/>
      <c r="G649" s="285"/>
      <c r="H649" s="285"/>
      <c r="I649" s="472">
        <f>Summary!$J$74</f>
        <v>0</v>
      </c>
      <c r="J649" s="1325">
        <f>IF(AND(YEAR(J598)=YEAR(Summary!$O$111),Summary!$O$109=1),+Summary!$J$77,0)</f>
        <v>0</v>
      </c>
      <c r="K649" s="472">
        <v>0</v>
      </c>
      <c r="L649" s="472">
        <v>0</v>
      </c>
      <c r="M649" s="472">
        <v>0</v>
      </c>
      <c r="N649" s="472">
        <v>0</v>
      </c>
      <c r="O649" s="472">
        <v>0</v>
      </c>
      <c r="P649" s="472">
        <v>0</v>
      </c>
      <c r="Q649" s="472">
        <v>0</v>
      </c>
      <c r="R649" s="472">
        <v>0</v>
      </c>
      <c r="S649" s="472">
        <v>0</v>
      </c>
      <c r="T649" s="472">
        <v>0</v>
      </c>
      <c r="U649" s="472">
        <v>0</v>
      </c>
      <c r="V649" s="472">
        <v>0</v>
      </c>
      <c r="W649" s="472">
        <v>0</v>
      </c>
      <c r="X649" s="472">
        <v>0</v>
      </c>
      <c r="Y649" s="472">
        <v>0</v>
      </c>
      <c r="Z649" s="472">
        <v>0</v>
      </c>
      <c r="AA649" s="472">
        <v>0</v>
      </c>
      <c r="AB649" s="472">
        <v>0</v>
      </c>
      <c r="AC649" s="472">
        <v>0</v>
      </c>
      <c r="AD649" s="472">
        <v>0</v>
      </c>
      <c r="AE649" s="472">
        <v>0</v>
      </c>
      <c r="AF649" s="472">
        <v>0</v>
      </c>
    </row>
    <row r="650" spans="1:32">
      <c r="A650" s="484"/>
      <c r="B650" s="285"/>
      <c r="C650" s="285"/>
      <c r="D650" s="285"/>
      <c r="E650" s="285"/>
      <c r="F650" s="285"/>
      <c r="G650" s="285"/>
      <c r="H650" s="285"/>
      <c r="I650" s="472"/>
      <c r="J650" s="1326"/>
      <c r="K650" s="472"/>
      <c r="L650" s="472"/>
      <c r="M650" s="472"/>
      <c r="N650" s="472"/>
      <c r="O650" s="472"/>
      <c r="P650" s="472"/>
      <c r="Q650" s="472"/>
      <c r="R650" s="472"/>
      <c r="S650" s="472"/>
      <c r="T650" s="472"/>
      <c r="U650" s="472"/>
      <c r="V650" s="472"/>
      <c r="W650" s="472"/>
      <c r="X650" s="472"/>
      <c r="Y650" s="472"/>
      <c r="Z650" s="472"/>
      <c r="AA650" s="472"/>
      <c r="AB650" s="472"/>
      <c r="AC650" s="472"/>
      <c r="AD650" s="472"/>
      <c r="AE650" s="472"/>
      <c r="AF650" s="472"/>
    </row>
    <row r="651" spans="1:32">
      <c r="A651" s="467" t="s">
        <v>97</v>
      </c>
      <c r="B651" s="285"/>
      <c r="C651" s="285"/>
      <c r="D651" s="285"/>
      <c r="E651" s="285"/>
      <c r="F651" s="285"/>
      <c r="G651" s="285"/>
      <c r="H651" s="285"/>
      <c r="I651" s="472">
        <f>I649</f>
        <v>0</v>
      </c>
      <c r="J651" s="1325">
        <f>IF(J649=0,0,J649)</f>
        <v>0</v>
      </c>
      <c r="K651" s="472">
        <v>0</v>
      </c>
      <c r="L651" s="472">
        <v>0</v>
      </c>
      <c r="M651" s="472">
        <v>0</v>
      </c>
      <c r="N651" s="472">
        <v>0</v>
      </c>
      <c r="O651" s="472">
        <v>0</v>
      </c>
      <c r="P651" s="472">
        <v>0</v>
      </c>
      <c r="Q651" s="472">
        <v>0</v>
      </c>
      <c r="R651" s="472">
        <v>0</v>
      </c>
      <c r="S651" s="472">
        <v>0</v>
      </c>
      <c r="T651" s="472">
        <v>0</v>
      </c>
      <c r="U651" s="472">
        <v>0</v>
      </c>
      <c r="V651" s="472">
        <v>0</v>
      </c>
      <c r="W651" s="472">
        <v>0</v>
      </c>
      <c r="X651" s="472">
        <v>0</v>
      </c>
      <c r="Y651" s="472">
        <v>0</v>
      </c>
      <c r="Z651" s="472">
        <v>0</v>
      </c>
      <c r="AA651" s="472">
        <v>0</v>
      </c>
      <c r="AB651" s="472">
        <v>0</v>
      </c>
      <c r="AC651" s="472">
        <v>0</v>
      </c>
      <c r="AD651" s="472">
        <v>0</v>
      </c>
      <c r="AE651" s="472">
        <v>0</v>
      </c>
      <c r="AF651" s="472">
        <v>0</v>
      </c>
    </row>
    <row r="652" spans="1:32">
      <c r="A652" s="467" t="s">
        <v>98</v>
      </c>
      <c r="B652" s="285"/>
      <c r="C652" s="285"/>
      <c r="D652" s="285"/>
      <c r="E652" s="285"/>
      <c r="F652" s="285"/>
      <c r="G652" s="285"/>
      <c r="H652" s="285"/>
      <c r="I652" s="472">
        <v>0</v>
      </c>
      <c r="J652" s="1326">
        <f>IF(J649=0,0,J649-D46)</f>
        <v>0</v>
      </c>
      <c r="K652" s="472">
        <v>0</v>
      </c>
      <c r="L652" s="472">
        <v>0</v>
      </c>
      <c r="M652" s="472">
        <v>0</v>
      </c>
      <c r="N652" s="472">
        <v>0</v>
      </c>
      <c r="O652" s="472">
        <v>0</v>
      </c>
      <c r="P652" s="472">
        <v>0</v>
      </c>
      <c r="Q652" s="472">
        <v>0</v>
      </c>
      <c r="R652" s="472">
        <v>0</v>
      </c>
      <c r="S652" s="472">
        <v>0</v>
      </c>
      <c r="T652" s="472">
        <v>0</v>
      </c>
      <c r="U652" s="472">
        <v>0</v>
      </c>
      <c r="V652" s="472">
        <v>0</v>
      </c>
      <c r="W652" s="472">
        <v>0</v>
      </c>
      <c r="X652" s="472">
        <v>0</v>
      </c>
      <c r="Y652" s="472">
        <v>0</v>
      </c>
      <c r="Z652" s="472">
        <v>0</v>
      </c>
      <c r="AA652" s="472">
        <v>0</v>
      </c>
      <c r="AB652" s="472">
        <v>0</v>
      </c>
      <c r="AC652" s="472">
        <v>0</v>
      </c>
      <c r="AD652" s="472">
        <v>0</v>
      </c>
      <c r="AE652" s="472">
        <v>0</v>
      </c>
      <c r="AF652" s="472">
        <v>0</v>
      </c>
    </row>
    <row r="653" spans="1:32">
      <c r="A653" s="484" t="s">
        <v>99</v>
      </c>
      <c r="B653" s="285"/>
      <c r="C653" s="285"/>
      <c r="D653" s="285"/>
      <c r="E653" s="285"/>
      <c r="F653" s="285"/>
      <c r="G653" s="285"/>
      <c r="H653" s="285"/>
      <c r="I653" s="498">
        <f t="shared" ref="I653:AF653" si="394">I651-I652</f>
        <v>0</v>
      </c>
      <c r="J653" s="1327">
        <f>J651-J652</f>
        <v>0</v>
      </c>
      <c r="K653" s="498">
        <f t="shared" si="394"/>
        <v>0</v>
      </c>
      <c r="L653" s="498">
        <f t="shared" si="394"/>
        <v>0</v>
      </c>
      <c r="M653" s="498">
        <f t="shared" si="394"/>
        <v>0</v>
      </c>
      <c r="N653" s="498">
        <f t="shared" si="394"/>
        <v>0</v>
      </c>
      <c r="O653" s="498">
        <f t="shared" si="394"/>
        <v>0</v>
      </c>
      <c r="P653" s="498">
        <f t="shared" si="394"/>
        <v>0</v>
      </c>
      <c r="Q653" s="498">
        <f t="shared" si="394"/>
        <v>0</v>
      </c>
      <c r="R653" s="498">
        <f t="shared" si="394"/>
        <v>0</v>
      </c>
      <c r="S653" s="498">
        <f t="shared" si="394"/>
        <v>0</v>
      </c>
      <c r="T653" s="498">
        <f t="shared" si="394"/>
        <v>0</v>
      </c>
      <c r="U653" s="498">
        <f t="shared" si="394"/>
        <v>0</v>
      </c>
      <c r="V653" s="498">
        <f t="shared" si="394"/>
        <v>0</v>
      </c>
      <c r="W653" s="498">
        <f t="shared" si="394"/>
        <v>0</v>
      </c>
      <c r="X653" s="498">
        <f t="shared" si="394"/>
        <v>0</v>
      </c>
      <c r="Y653" s="498">
        <f t="shared" si="394"/>
        <v>0</v>
      </c>
      <c r="Z653" s="498">
        <f t="shared" si="394"/>
        <v>0</v>
      </c>
      <c r="AA653" s="498">
        <f t="shared" si="394"/>
        <v>0</v>
      </c>
      <c r="AB653" s="498">
        <f t="shared" si="394"/>
        <v>0</v>
      </c>
      <c r="AC653" s="498">
        <f t="shared" si="394"/>
        <v>0</v>
      </c>
      <c r="AD653" s="498">
        <f t="shared" si="394"/>
        <v>0</v>
      </c>
      <c r="AE653" s="498">
        <f t="shared" si="394"/>
        <v>0</v>
      </c>
      <c r="AF653" s="498">
        <f t="shared" si="394"/>
        <v>0</v>
      </c>
    </row>
    <row r="654" spans="1:32">
      <c r="A654" s="491" t="s">
        <v>100</v>
      </c>
      <c r="B654" s="285"/>
      <c r="C654" s="285"/>
      <c r="D654" s="285"/>
      <c r="E654" s="607">
        <v>0</v>
      </c>
      <c r="F654" s="607">
        <v>0</v>
      </c>
      <c r="G654" s="607">
        <v>0</v>
      </c>
      <c r="H654" s="607">
        <v>0</v>
      </c>
      <c r="I654" s="498">
        <f t="shared" ref="I654:AF654" si="395">I649-I653</f>
        <v>0</v>
      </c>
      <c r="J654" s="1328">
        <f>J649-J653</f>
        <v>0</v>
      </c>
      <c r="K654" s="498">
        <f t="shared" si="395"/>
        <v>0</v>
      </c>
      <c r="L654" s="498">
        <f t="shared" si="395"/>
        <v>0</v>
      </c>
      <c r="M654" s="498">
        <f t="shared" si="395"/>
        <v>0</v>
      </c>
      <c r="N654" s="498">
        <f t="shared" si="395"/>
        <v>0</v>
      </c>
      <c r="O654" s="498">
        <f t="shared" si="395"/>
        <v>0</v>
      </c>
      <c r="P654" s="498">
        <f t="shared" si="395"/>
        <v>0</v>
      </c>
      <c r="Q654" s="498">
        <f t="shared" si="395"/>
        <v>0</v>
      </c>
      <c r="R654" s="498">
        <f t="shared" si="395"/>
        <v>0</v>
      </c>
      <c r="S654" s="498">
        <f t="shared" si="395"/>
        <v>0</v>
      </c>
      <c r="T654" s="498">
        <f t="shared" si="395"/>
        <v>0</v>
      </c>
      <c r="U654" s="498">
        <f t="shared" si="395"/>
        <v>0</v>
      </c>
      <c r="V654" s="498">
        <f t="shared" si="395"/>
        <v>0</v>
      </c>
      <c r="W654" s="498">
        <f t="shared" si="395"/>
        <v>0</v>
      </c>
      <c r="X654" s="498">
        <f t="shared" si="395"/>
        <v>0</v>
      </c>
      <c r="Y654" s="498">
        <f t="shared" si="395"/>
        <v>0</v>
      </c>
      <c r="Z654" s="498">
        <f t="shared" si="395"/>
        <v>0</v>
      </c>
      <c r="AA654" s="498">
        <f t="shared" si="395"/>
        <v>0</v>
      </c>
      <c r="AB654" s="498">
        <f t="shared" si="395"/>
        <v>0</v>
      </c>
      <c r="AC654" s="498">
        <f t="shared" si="395"/>
        <v>0</v>
      </c>
      <c r="AD654" s="498">
        <f t="shared" si="395"/>
        <v>0</v>
      </c>
      <c r="AE654" s="498">
        <f t="shared" si="395"/>
        <v>0</v>
      </c>
      <c r="AF654" s="498">
        <f t="shared" si="395"/>
        <v>0</v>
      </c>
    </row>
    <row r="655" spans="1:32">
      <c r="A655" s="467" t="s">
        <v>101</v>
      </c>
      <c r="B655" s="285"/>
      <c r="C655" s="285"/>
      <c r="D655" s="285"/>
      <c r="E655" s="285"/>
      <c r="F655" s="285"/>
      <c r="G655" s="285"/>
      <c r="H655" s="285"/>
      <c r="I655" s="472">
        <v>0</v>
      </c>
      <c r="J655" s="1326">
        <v>0</v>
      </c>
      <c r="K655" s="472">
        <v>0</v>
      </c>
      <c r="L655" s="472">
        <v>0</v>
      </c>
      <c r="M655" s="472">
        <v>0</v>
      </c>
      <c r="N655" s="472">
        <v>0</v>
      </c>
      <c r="O655" s="472">
        <v>0</v>
      </c>
      <c r="P655" s="472">
        <v>0</v>
      </c>
      <c r="Q655" s="472">
        <v>0</v>
      </c>
      <c r="R655" s="472">
        <v>0</v>
      </c>
      <c r="S655" s="472">
        <v>0</v>
      </c>
      <c r="T655" s="472">
        <v>0</v>
      </c>
      <c r="U655" s="472">
        <v>0</v>
      </c>
      <c r="V655" s="472">
        <v>0</v>
      </c>
      <c r="W655" s="472">
        <v>0</v>
      </c>
      <c r="X655" s="472">
        <v>0</v>
      </c>
      <c r="Y655" s="472">
        <v>0</v>
      </c>
      <c r="Z655" s="472">
        <v>0</v>
      </c>
      <c r="AA655" s="472">
        <v>0</v>
      </c>
      <c r="AB655" s="472">
        <v>0</v>
      </c>
      <c r="AC655" s="472">
        <v>0</v>
      </c>
      <c r="AD655" s="472">
        <v>0</v>
      </c>
      <c r="AE655" s="472">
        <v>0</v>
      </c>
      <c r="AF655" s="472">
        <v>0</v>
      </c>
    </row>
    <row r="656" spans="1:32">
      <c r="A656" s="484"/>
      <c r="B656" s="285"/>
      <c r="C656" s="285"/>
      <c r="D656" s="285"/>
      <c r="E656" s="285"/>
      <c r="F656" s="285"/>
      <c r="G656" s="285"/>
      <c r="H656" s="285"/>
      <c r="I656" s="285"/>
      <c r="J656" s="1329"/>
      <c r="K656" s="285"/>
      <c r="L656" s="285"/>
      <c r="M656" s="285"/>
      <c r="N656" s="285"/>
      <c r="O656" s="285"/>
      <c r="P656" s="285"/>
      <c r="Q656" s="285"/>
      <c r="R656" s="285"/>
      <c r="S656" s="285"/>
      <c r="T656" s="285"/>
      <c r="U656" s="285"/>
      <c r="V656" s="285"/>
      <c r="W656" s="285"/>
      <c r="X656" s="285"/>
      <c r="Y656" s="285"/>
      <c r="Z656" s="285"/>
      <c r="AA656" s="285"/>
      <c r="AB656" s="285"/>
      <c r="AC656" s="285"/>
      <c r="AD656" s="285"/>
      <c r="AE656" s="285"/>
      <c r="AF656" s="285"/>
    </row>
    <row r="657" spans="1:32">
      <c r="A657" s="484" t="s">
        <v>102</v>
      </c>
      <c r="B657" s="285"/>
      <c r="C657" s="285"/>
      <c r="D657" s="285"/>
      <c r="E657" s="285"/>
      <c r="F657" s="285"/>
      <c r="G657" s="285"/>
      <c r="H657" s="285"/>
      <c r="I657" s="472">
        <f>I653</f>
        <v>0</v>
      </c>
      <c r="J657" s="1325">
        <f>+J651</f>
        <v>0</v>
      </c>
      <c r="K657" s="472">
        <v>0</v>
      </c>
      <c r="L657" s="472">
        <v>0</v>
      </c>
      <c r="M657" s="472">
        <v>0</v>
      </c>
      <c r="N657" s="472">
        <v>0</v>
      </c>
      <c r="O657" s="472">
        <v>0</v>
      </c>
      <c r="P657" s="472">
        <v>0</v>
      </c>
      <c r="Q657" s="472">
        <v>0</v>
      </c>
      <c r="R657" s="472">
        <v>0</v>
      </c>
      <c r="S657" s="472">
        <v>0</v>
      </c>
      <c r="T657" s="472">
        <v>0</v>
      </c>
      <c r="U657" s="472">
        <v>0</v>
      </c>
      <c r="V657" s="472">
        <v>0</v>
      </c>
      <c r="W657" s="472">
        <v>0</v>
      </c>
      <c r="X657" s="472">
        <v>0</v>
      </c>
      <c r="Y657" s="472">
        <v>0</v>
      </c>
      <c r="Z657" s="472">
        <v>0</v>
      </c>
      <c r="AA657" s="472">
        <v>0</v>
      </c>
      <c r="AB657" s="472">
        <v>0</v>
      </c>
      <c r="AC657" s="472">
        <v>0</v>
      </c>
      <c r="AD657" s="472">
        <v>0</v>
      </c>
      <c r="AE657" s="472">
        <v>0</v>
      </c>
      <c r="AF657" s="472">
        <v>0</v>
      </c>
    </row>
    <row r="658" spans="1:32">
      <c r="A658" s="491" t="s">
        <v>103</v>
      </c>
      <c r="B658" s="285"/>
      <c r="C658" s="285"/>
      <c r="D658" s="285"/>
      <c r="E658" s="285"/>
      <c r="F658" s="285"/>
      <c r="G658" s="285"/>
      <c r="H658" s="285"/>
      <c r="I658" s="285">
        <f t="shared" ref="I658:AF658" si="396">I649-I657</f>
        <v>0</v>
      </c>
      <c r="J658" s="285">
        <v>0</v>
      </c>
      <c r="K658" s="285">
        <f t="shared" si="396"/>
        <v>0</v>
      </c>
      <c r="L658" s="285">
        <f t="shared" si="396"/>
        <v>0</v>
      </c>
      <c r="M658" s="285">
        <f t="shared" si="396"/>
        <v>0</v>
      </c>
      <c r="N658" s="285">
        <f t="shared" si="396"/>
        <v>0</v>
      </c>
      <c r="O658" s="285">
        <f t="shared" si="396"/>
        <v>0</v>
      </c>
      <c r="P658" s="285">
        <f t="shared" si="396"/>
        <v>0</v>
      </c>
      <c r="Q658" s="285">
        <f t="shared" si="396"/>
        <v>0</v>
      </c>
      <c r="R658" s="285">
        <f t="shared" si="396"/>
        <v>0</v>
      </c>
      <c r="S658" s="285">
        <f t="shared" si="396"/>
        <v>0</v>
      </c>
      <c r="T658" s="285">
        <f t="shared" si="396"/>
        <v>0</v>
      </c>
      <c r="U658" s="285">
        <f t="shared" si="396"/>
        <v>0</v>
      </c>
      <c r="V658" s="285">
        <f t="shared" si="396"/>
        <v>0</v>
      </c>
      <c r="W658" s="285">
        <f t="shared" si="396"/>
        <v>0</v>
      </c>
      <c r="X658" s="285">
        <f t="shared" si="396"/>
        <v>0</v>
      </c>
      <c r="Y658" s="285">
        <f t="shared" si="396"/>
        <v>0</v>
      </c>
      <c r="Z658" s="285">
        <f t="shared" si="396"/>
        <v>0</v>
      </c>
      <c r="AA658" s="285">
        <f t="shared" si="396"/>
        <v>0</v>
      </c>
      <c r="AB658" s="285">
        <f t="shared" si="396"/>
        <v>0</v>
      </c>
      <c r="AC658" s="285">
        <f t="shared" si="396"/>
        <v>0</v>
      </c>
      <c r="AD658" s="285">
        <f t="shared" si="396"/>
        <v>0</v>
      </c>
      <c r="AE658" s="285">
        <f t="shared" si="396"/>
        <v>0</v>
      </c>
      <c r="AF658" s="285">
        <f t="shared" si="396"/>
        <v>0</v>
      </c>
    </row>
    <row r="659" spans="1:32">
      <c r="A659" s="467" t="s">
        <v>109</v>
      </c>
      <c r="B659" s="285"/>
      <c r="C659" s="285"/>
      <c r="D659" s="285"/>
      <c r="E659" s="285"/>
      <c r="F659" s="285"/>
      <c r="G659" s="285"/>
      <c r="H659" s="285"/>
      <c r="I659" s="472">
        <v>0</v>
      </c>
      <c r="J659" s="472">
        <v>0</v>
      </c>
      <c r="K659" s="472">
        <v>0</v>
      </c>
      <c r="L659" s="472">
        <v>0</v>
      </c>
      <c r="M659" s="472">
        <v>0</v>
      </c>
      <c r="N659" s="472">
        <v>0</v>
      </c>
      <c r="O659" s="472">
        <v>0</v>
      </c>
      <c r="P659" s="472">
        <v>0</v>
      </c>
      <c r="Q659" s="472">
        <v>0</v>
      </c>
      <c r="R659" s="472">
        <v>0</v>
      </c>
      <c r="S659" s="472">
        <v>0</v>
      </c>
      <c r="T659" s="472">
        <v>0</v>
      </c>
      <c r="U659" s="472">
        <v>0</v>
      </c>
      <c r="V659" s="472">
        <v>0</v>
      </c>
      <c r="W659" s="472">
        <v>0</v>
      </c>
      <c r="X659" s="472">
        <v>0</v>
      </c>
      <c r="Y659" s="472">
        <v>0</v>
      </c>
      <c r="Z659" s="472">
        <v>0</v>
      </c>
      <c r="AA659" s="472">
        <v>0</v>
      </c>
      <c r="AB659" s="472">
        <v>0</v>
      </c>
      <c r="AC659" s="472">
        <v>0</v>
      </c>
      <c r="AD659" s="472">
        <v>0</v>
      </c>
      <c r="AE659" s="472">
        <v>0</v>
      </c>
      <c r="AF659" s="472">
        <v>0</v>
      </c>
    </row>
    <row r="660" spans="1:32">
      <c r="A660" s="484"/>
      <c r="B660" s="285"/>
      <c r="C660" s="285"/>
      <c r="D660" s="285"/>
      <c r="E660" s="285"/>
      <c r="F660" s="285"/>
      <c r="G660" s="285"/>
      <c r="H660" s="285"/>
      <c r="I660" s="285"/>
      <c r="J660" s="285"/>
      <c r="K660" s="285"/>
      <c r="L660" s="285"/>
      <c r="M660" s="285"/>
      <c r="N660" s="285"/>
      <c r="O660" s="285"/>
      <c r="P660" s="285"/>
      <c r="Q660" s="285"/>
      <c r="R660" s="285"/>
      <c r="S660" s="285"/>
      <c r="T660" s="285"/>
      <c r="U660" s="285"/>
      <c r="V660" s="285"/>
      <c r="W660" s="285"/>
      <c r="X660" s="285"/>
      <c r="Y660" s="285"/>
      <c r="Z660" s="285"/>
      <c r="AA660" s="285"/>
      <c r="AB660" s="285"/>
      <c r="AC660" s="285"/>
      <c r="AD660" s="285"/>
      <c r="AE660" s="285"/>
      <c r="AF660" s="285"/>
    </row>
    <row r="661" spans="1:32">
      <c r="A661" s="484" t="s">
        <v>110</v>
      </c>
      <c r="B661" s="285"/>
      <c r="C661" s="285"/>
      <c r="D661" s="285"/>
      <c r="E661" s="285"/>
      <c r="F661" s="285"/>
      <c r="G661" s="285"/>
      <c r="H661" s="285"/>
      <c r="I661" s="285"/>
      <c r="J661" s="285"/>
      <c r="K661" s="285"/>
      <c r="L661" s="285"/>
      <c r="M661" s="285"/>
      <c r="N661" s="285"/>
      <c r="O661" s="285"/>
      <c r="P661" s="285"/>
      <c r="Q661" s="285"/>
      <c r="R661" s="285"/>
      <c r="S661" s="285"/>
      <c r="T661" s="285"/>
      <c r="U661" s="285"/>
      <c r="V661" s="285"/>
      <c r="W661" s="285"/>
      <c r="X661" s="285"/>
      <c r="Y661" s="285"/>
      <c r="Z661" s="285"/>
      <c r="AA661" s="285"/>
      <c r="AB661" s="285"/>
      <c r="AC661" s="285"/>
      <c r="AD661" s="285"/>
      <c r="AE661" s="285"/>
      <c r="AF661" s="285"/>
    </row>
    <row r="662" spans="1:32" ht="10.8" thickBot="1">
      <c r="A662" s="484"/>
      <c r="B662" s="285"/>
      <c r="C662" s="285"/>
      <c r="D662" s="285"/>
      <c r="E662" s="486"/>
      <c r="F662" s="486"/>
      <c r="G662" s="486"/>
      <c r="H662" s="486"/>
      <c r="I662" s="285"/>
      <c r="J662" s="285"/>
      <c r="K662" s="285"/>
      <c r="L662" s="285"/>
      <c r="M662" s="285"/>
      <c r="N662" s="285"/>
      <c r="O662" s="285"/>
      <c r="P662" s="285"/>
      <c r="Q662" s="285"/>
      <c r="R662" s="285"/>
      <c r="S662" s="285"/>
      <c r="T662" s="285"/>
      <c r="U662" s="285"/>
      <c r="V662" s="285"/>
      <c r="W662" s="285"/>
      <c r="X662" s="285"/>
      <c r="Y662" s="285"/>
      <c r="Z662" s="285"/>
      <c r="AA662" s="285"/>
      <c r="AB662" s="285"/>
      <c r="AC662" s="285"/>
      <c r="AD662" s="285"/>
      <c r="AE662" s="285"/>
      <c r="AF662" s="285"/>
    </row>
    <row r="663" spans="1:32" ht="11.4" thickTop="1" thickBot="1">
      <c r="A663" s="457"/>
      <c r="B663" s="457"/>
      <c r="C663" s="457"/>
      <c r="D663" s="457"/>
      <c r="E663" s="457"/>
      <c r="F663" s="457"/>
      <c r="G663" s="457"/>
      <c r="H663" s="457"/>
      <c r="I663" s="457"/>
      <c r="J663" s="457"/>
      <c r="K663" s="457"/>
      <c r="L663" s="457"/>
      <c r="M663" s="457"/>
      <c r="N663" s="457"/>
      <c r="O663" s="457"/>
      <c r="P663" s="457"/>
      <c r="Q663" s="457"/>
      <c r="R663" s="457"/>
      <c r="S663" s="457"/>
      <c r="T663" s="457"/>
      <c r="U663" s="457"/>
      <c r="V663" s="457"/>
      <c r="W663" s="457"/>
      <c r="X663" s="457"/>
      <c r="Y663" s="457"/>
      <c r="Z663" s="457"/>
      <c r="AA663" s="457"/>
      <c r="AB663" s="457"/>
      <c r="AC663" s="457"/>
      <c r="AD663" s="457"/>
      <c r="AE663" s="457"/>
      <c r="AF663" s="457"/>
    </row>
    <row r="664" spans="1:32" ht="10.8" thickTop="1">
      <c r="A664" s="453" t="s">
        <v>111</v>
      </c>
      <c r="B664" s="285"/>
      <c r="C664" s="285"/>
      <c r="D664" s="285"/>
      <c r="E664" s="617">
        <f>E$638</f>
        <v>35430</v>
      </c>
      <c r="F664" s="617">
        <f>F$638</f>
        <v>35795</v>
      </c>
      <c r="G664" s="617">
        <f>G$638</f>
        <v>36160</v>
      </c>
      <c r="H664" s="618">
        <f>H$638</f>
        <v>36373</v>
      </c>
      <c r="I664" s="619">
        <f>I$638</f>
        <v>36525</v>
      </c>
      <c r="J664" s="620">
        <f t="shared" ref="J664:AF664" si="397">J$638</f>
        <v>36891</v>
      </c>
      <c r="K664" s="620">
        <f t="shared" si="397"/>
        <v>37256</v>
      </c>
      <c r="L664" s="620">
        <f t="shared" si="397"/>
        <v>37621</v>
      </c>
      <c r="M664" s="620">
        <f t="shared" si="397"/>
        <v>37986</v>
      </c>
      <c r="N664" s="620">
        <f t="shared" si="397"/>
        <v>38352</v>
      </c>
      <c r="O664" s="620">
        <f t="shared" si="397"/>
        <v>38717</v>
      </c>
      <c r="P664" s="620">
        <f t="shared" si="397"/>
        <v>39082</v>
      </c>
      <c r="Q664" s="620">
        <f t="shared" si="397"/>
        <v>39447</v>
      </c>
      <c r="R664" s="620">
        <f t="shared" si="397"/>
        <v>39813</v>
      </c>
      <c r="S664" s="620">
        <f t="shared" si="397"/>
        <v>40178</v>
      </c>
      <c r="T664" s="620">
        <f t="shared" si="397"/>
        <v>40543</v>
      </c>
      <c r="U664" s="620">
        <f t="shared" si="397"/>
        <v>40908</v>
      </c>
      <c r="V664" s="620">
        <f t="shared" si="397"/>
        <v>41274</v>
      </c>
      <c r="W664" s="620">
        <f t="shared" si="397"/>
        <v>41639</v>
      </c>
      <c r="X664" s="620">
        <f t="shared" si="397"/>
        <v>42004</v>
      </c>
      <c r="Y664" s="620">
        <f t="shared" si="397"/>
        <v>42369</v>
      </c>
      <c r="Z664" s="620">
        <f t="shared" si="397"/>
        <v>42735</v>
      </c>
      <c r="AA664" s="620">
        <f t="shared" si="397"/>
        <v>43100</v>
      </c>
      <c r="AB664" s="620">
        <f t="shared" si="397"/>
        <v>43465</v>
      </c>
      <c r="AC664" s="620">
        <f t="shared" si="397"/>
        <v>43830</v>
      </c>
      <c r="AD664" s="620">
        <f t="shared" si="397"/>
        <v>44196</v>
      </c>
      <c r="AE664" s="620">
        <f t="shared" si="397"/>
        <v>44561</v>
      </c>
      <c r="AF664" s="620">
        <f t="shared" si="397"/>
        <v>44926</v>
      </c>
    </row>
    <row r="665" spans="1:32" ht="10.8" thickBot="1">
      <c r="A665" s="285"/>
      <c r="B665" s="285"/>
      <c r="C665" s="285"/>
      <c r="D665" s="285"/>
      <c r="E665" s="621" t="s">
        <v>112</v>
      </c>
      <c r="F665" s="621" t="s">
        <v>112</v>
      </c>
      <c r="G665" s="621" t="s">
        <v>112</v>
      </c>
      <c r="H665" s="622" t="s">
        <v>112</v>
      </c>
      <c r="I665" s="623" t="s">
        <v>113</v>
      </c>
      <c r="J665" s="624" t="s">
        <v>113</v>
      </c>
      <c r="K665" s="624" t="s">
        <v>113</v>
      </c>
      <c r="L665" s="624" t="s">
        <v>113</v>
      </c>
      <c r="M665" s="624" t="s">
        <v>113</v>
      </c>
      <c r="N665" s="624" t="s">
        <v>113</v>
      </c>
      <c r="O665" s="624" t="s">
        <v>113</v>
      </c>
      <c r="P665" s="624" t="s">
        <v>113</v>
      </c>
      <c r="Q665" s="624" t="s">
        <v>113</v>
      </c>
      <c r="R665" s="624" t="s">
        <v>113</v>
      </c>
      <c r="S665" s="624" t="s">
        <v>113</v>
      </c>
      <c r="T665" s="624" t="s">
        <v>113</v>
      </c>
      <c r="U665" s="624" t="s">
        <v>113</v>
      </c>
      <c r="V665" s="624" t="s">
        <v>113</v>
      </c>
      <c r="W665" s="624" t="s">
        <v>113</v>
      </c>
      <c r="X665" s="624" t="s">
        <v>113</v>
      </c>
      <c r="Y665" s="624" t="s">
        <v>113</v>
      </c>
      <c r="Z665" s="624" t="s">
        <v>113</v>
      </c>
      <c r="AA665" s="624" t="s">
        <v>113</v>
      </c>
      <c r="AB665" s="624" t="s">
        <v>113</v>
      </c>
      <c r="AC665" s="624" t="s">
        <v>113</v>
      </c>
      <c r="AD665" s="624" t="s">
        <v>113</v>
      </c>
      <c r="AE665" s="624" t="s">
        <v>113</v>
      </c>
      <c r="AF665" s="624" t="s">
        <v>113</v>
      </c>
    </row>
    <row r="666" spans="1:32" ht="10.8" thickTop="1">
      <c r="A666" s="484" t="s">
        <v>114</v>
      </c>
      <c r="B666" s="285"/>
      <c r="C666" s="285"/>
      <c r="D666" s="285"/>
      <c r="E666" s="485">
        <v>0</v>
      </c>
      <c r="F666" s="485">
        <v>0</v>
      </c>
      <c r="G666" s="485">
        <v>0</v>
      </c>
      <c r="H666" s="485">
        <v>0</v>
      </c>
      <c r="I666" s="285"/>
      <c r="J666" s="285"/>
      <c r="K666" s="285"/>
      <c r="L666" s="285"/>
      <c r="M666" s="285"/>
      <c r="N666" s="285"/>
      <c r="O666" s="285"/>
      <c r="P666" s="285"/>
      <c r="Q666" s="285"/>
      <c r="R666" s="285"/>
      <c r="S666" s="285"/>
      <c r="T666" s="285"/>
      <c r="U666" s="285"/>
      <c r="V666" s="285"/>
      <c r="W666" s="285"/>
      <c r="X666" s="285"/>
      <c r="Y666" s="285"/>
      <c r="Z666" s="285"/>
      <c r="AA666" s="285"/>
      <c r="AB666" s="285"/>
      <c r="AC666" s="285"/>
      <c r="AD666" s="285"/>
      <c r="AE666" s="285"/>
      <c r="AF666" s="285"/>
    </row>
    <row r="667" spans="1:32">
      <c r="A667" s="484" t="s">
        <v>115</v>
      </c>
      <c r="B667" s="285"/>
      <c r="C667" s="285"/>
      <c r="D667" s="285"/>
      <c r="E667" s="285"/>
      <c r="F667" s="285"/>
      <c r="G667" s="285"/>
      <c r="H667" s="285"/>
      <c r="I667" s="638">
        <f>Summary!E32</f>
        <v>0</v>
      </c>
      <c r="J667" s="638">
        <f>I667</f>
        <v>0</v>
      </c>
      <c r="K667" s="638">
        <f t="shared" ref="K667:AF667" si="398">J667</f>
        <v>0</v>
      </c>
      <c r="L667" s="638">
        <f t="shared" si="398"/>
        <v>0</v>
      </c>
      <c r="M667" s="638">
        <f t="shared" si="398"/>
        <v>0</v>
      </c>
      <c r="N667" s="638">
        <f t="shared" si="398"/>
        <v>0</v>
      </c>
      <c r="O667" s="638">
        <f t="shared" si="398"/>
        <v>0</v>
      </c>
      <c r="P667" s="638">
        <f t="shared" si="398"/>
        <v>0</v>
      </c>
      <c r="Q667" s="638">
        <f t="shared" si="398"/>
        <v>0</v>
      </c>
      <c r="R667" s="638">
        <f t="shared" si="398"/>
        <v>0</v>
      </c>
      <c r="S667" s="638">
        <f t="shared" si="398"/>
        <v>0</v>
      </c>
      <c r="T667" s="638">
        <f t="shared" si="398"/>
        <v>0</v>
      </c>
      <c r="U667" s="638">
        <f t="shared" si="398"/>
        <v>0</v>
      </c>
      <c r="V667" s="638">
        <f t="shared" si="398"/>
        <v>0</v>
      </c>
      <c r="W667" s="638">
        <f t="shared" si="398"/>
        <v>0</v>
      </c>
      <c r="X667" s="638">
        <f t="shared" si="398"/>
        <v>0</v>
      </c>
      <c r="Y667" s="638">
        <f t="shared" si="398"/>
        <v>0</v>
      </c>
      <c r="Z667" s="638">
        <f t="shared" si="398"/>
        <v>0</v>
      </c>
      <c r="AA667" s="638">
        <f t="shared" si="398"/>
        <v>0</v>
      </c>
      <c r="AB667" s="638">
        <f t="shared" si="398"/>
        <v>0</v>
      </c>
      <c r="AC667" s="638">
        <f t="shared" si="398"/>
        <v>0</v>
      </c>
      <c r="AD667" s="638">
        <f t="shared" si="398"/>
        <v>0</v>
      </c>
      <c r="AE667" s="638">
        <f t="shared" si="398"/>
        <v>0</v>
      </c>
      <c r="AF667" s="638">
        <f t="shared" si="398"/>
        <v>0</v>
      </c>
    </row>
    <row r="668" spans="1:32">
      <c r="A668" s="484" t="s">
        <v>116</v>
      </c>
      <c r="B668" s="285"/>
      <c r="C668" s="285"/>
      <c r="D668" s="285"/>
      <c r="E668" s="285"/>
      <c r="F668" s="285"/>
      <c r="G668" s="285"/>
      <c r="H668" s="285"/>
      <c r="I668" s="614">
        <f>Summary!E33</f>
        <v>0</v>
      </c>
      <c r="J668" s="614">
        <f t="shared" ref="J668:AF668" si="399">I668</f>
        <v>0</v>
      </c>
      <c r="K668" s="614">
        <f t="shared" si="399"/>
        <v>0</v>
      </c>
      <c r="L668" s="614">
        <f t="shared" si="399"/>
        <v>0</v>
      </c>
      <c r="M668" s="614">
        <f t="shared" si="399"/>
        <v>0</v>
      </c>
      <c r="N668" s="614">
        <f t="shared" si="399"/>
        <v>0</v>
      </c>
      <c r="O668" s="614">
        <f t="shared" si="399"/>
        <v>0</v>
      </c>
      <c r="P668" s="614">
        <f t="shared" si="399"/>
        <v>0</v>
      </c>
      <c r="Q668" s="614">
        <f t="shared" si="399"/>
        <v>0</v>
      </c>
      <c r="R668" s="614">
        <f t="shared" si="399"/>
        <v>0</v>
      </c>
      <c r="S668" s="614">
        <f t="shared" si="399"/>
        <v>0</v>
      </c>
      <c r="T668" s="614">
        <f t="shared" si="399"/>
        <v>0</v>
      </c>
      <c r="U668" s="614">
        <f t="shared" si="399"/>
        <v>0</v>
      </c>
      <c r="V668" s="614">
        <f t="shared" si="399"/>
        <v>0</v>
      </c>
      <c r="W668" s="614">
        <f t="shared" si="399"/>
        <v>0</v>
      </c>
      <c r="X668" s="614">
        <f t="shared" si="399"/>
        <v>0</v>
      </c>
      <c r="Y668" s="614">
        <f t="shared" si="399"/>
        <v>0</v>
      </c>
      <c r="Z668" s="614">
        <f t="shared" si="399"/>
        <v>0</v>
      </c>
      <c r="AA668" s="614">
        <f t="shared" si="399"/>
        <v>0</v>
      </c>
      <c r="AB668" s="614">
        <f t="shared" si="399"/>
        <v>0</v>
      </c>
      <c r="AC668" s="614">
        <f t="shared" si="399"/>
        <v>0</v>
      </c>
      <c r="AD668" s="614">
        <f t="shared" si="399"/>
        <v>0</v>
      </c>
      <c r="AE668" s="614">
        <f t="shared" si="399"/>
        <v>0</v>
      </c>
      <c r="AF668" s="614">
        <f t="shared" si="399"/>
        <v>0</v>
      </c>
    </row>
    <row r="669" spans="1:32">
      <c r="A669" s="639" t="s">
        <v>117</v>
      </c>
      <c r="B669" s="479"/>
      <c r="C669" s="479"/>
      <c r="D669" s="479"/>
      <c r="E669" s="479"/>
      <c r="F669" s="479"/>
      <c r="G669" s="479"/>
      <c r="H669" s="479"/>
      <c r="I669" s="614">
        <v>0</v>
      </c>
      <c r="J669" s="614">
        <v>0</v>
      </c>
      <c r="K669" s="614">
        <v>0</v>
      </c>
      <c r="L669" s="614">
        <v>0</v>
      </c>
      <c r="M669" s="614">
        <v>0</v>
      </c>
      <c r="N669" s="614">
        <v>0</v>
      </c>
      <c r="O669" s="614">
        <v>0</v>
      </c>
      <c r="P669" s="614">
        <v>0</v>
      </c>
      <c r="Q669" s="614">
        <v>0</v>
      </c>
      <c r="R669" s="614">
        <v>0</v>
      </c>
      <c r="S669" s="614">
        <v>0</v>
      </c>
      <c r="T669" s="614">
        <v>0</v>
      </c>
      <c r="U669" s="614">
        <v>0</v>
      </c>
      <c r="V669" s="614">
        <v>0</v>
      </c>
      <c r="W669" s="614">
        <v>0</v>
      </c>
      <c r="X669" s="614">
        <v>0</v>
      </c>
      <c r="Y669" s="614">
        <v>0</v>
      </c>
      <c r="Z669" s="614">
        <v>0</v>
      </c>
      <c r="AA669" s="614">
        <v>0</v>
      </c>
      <c r="AB669" s="614">
        <v>0</v>
      </c>
      <c r="AC669" s="614">
        <v>0</v>
      </c>
      <c r="AD669" s="614">
        <v>0</v>
      </c>
      <c r="AE669" s="614">
        <v>0</v>
      </c>
      <c r="AF669" s="614">
        <v>0</v>
      </c>
    </row>
    <row r="670" spans="1:32">
      <c r="A670" s="484"/>
      <c r="B670" s="285"/>
      <c r="C670" s="285"/>
      <c r="D670" s="285"/>
      <c r="E670" s="285"/>
      <c r="F670" s="285"/>
      <c r="G670" s="285"/>
      <c r="H670" s="285"/>
      <c r="I670" s="614"/>
      <c r="J670" s="614"/>
      <c r="K670" s="614"/>
      <c r="L670" s="614"/>
      <c r="M670" s="614"/>
      <c r="N670" s="614"/>
      <c r="O670" s="614"/>
      <c r="P670" s="614"/>
      <c r="Q670" s="614"/>
      <c r="R670" s="614"/>
      <c r="S670" s="614"/>
      <c r="T670" s="614"/>
      <c r="U670" s="614"/>
      <c r="V670" s="614"/>
      <c r="W670" s="614"/>
      <c r="X670" s="614"/>
      <c r="Y670" s="614"/>
      <c r="Z670" s="614"/>
      <c r="AA670" s="614"/>
      <c r="AB670" s="614"/>
      <c r="AC670" s="614"/>
      <c r="AD670" s="614"/>
      <c r="AE670" s="614"/>
      <c r="AF670" s="614"/>
    </row>
    <row r="671" spans="1:32" ht="10.8" thickBot="1">
      <c r="A671" s="640"/>
      <c r="B671" s="641"/>
      <c r="C671" s="642"/>
      <c r="D671" s="641"/>
      <c r="E671" s="641"/>
      <c r="F671" s="641"/>
      <c r="G671" s="642"/>
      <c r="H671" s="643"/>
      <c r="I671" s="644"/>
      <c r="J671" s="641"/>
      <c r="K671" s="641"/>
      <c r="L671" s="645"/>
      <c r="M671" s="645"/>
      <c r="N671" s="645"/>
      <c r="O671" s="645"/>
      <c r="P671" s="645"/>
      <c r="Q671" s="645"/>
      <c r="R671" s="645"/>
      <c r="S671" s="645"/>
      <c r="T671" s="645"/>
      <c r="U671" s="645"/>
      <c r="V671" s="645"/>
      <c r="W671" s="645"/>
      <c r="X671" s="645"/>
      <c r="Y671" s="645"/>
      <c r="Z671" s="645"/>
      <c r="AA671" s="645"/>
      <c r="AB671" s="645"/>
      <c r="AC671" s="645"/>
      <c r="AD671" s="645"/>
      <c r="AE671" s="645"/>
      <c r="AF671" s="645"/>
    </row>
    <row r="672" spans="1:32" ht="11.4" thickTop="1" thickBot="1">
      <c r="A672" s="484"/>
      <c r="B672" s="285"/>
      <c r="C672" s="285"/>
      <c r="D672" s="285"/>
      <c r="E672" s="285"/>
      <c r="F672" s="285"/>
      <c r="G672" s="285"/>
      <c r="H672" s="285"/>
      <c r="I672" s="285"/>
      <c r="J672" s="285"/>
      <c r="K672" s="285"/>
      <c r="L672" s="285"/>
      <c r="M672" s="285"/>
      <c r="N672" s="285"/>
      <c r="O672" s="285"/>
      <c r="P672" s="285"/>
      <c r="Q672" s="285"/>
      <c r="R672" s="285"/>
      <c r="S672" s="285"/>
      <c r="T672" s="285"/>
      <c r="U672" s="285"/>
      <c r="V672" s="285"/>
      <c r="W672" s="285"/>
      <c r="X672" s="285"/>
      <c r="Y672" s="285"/>
      <c r="Z672" s="285"/>
      <c r="AA672" s="285"/>
      <c r="AB672" s="285"/>
      <c r="AC672" s="285"/>
      <c r="AD672" s="285"/>
      <c r="AE672" s="285"/>
      <c r="AF672" s="285"/>
    </row>
    <row r="673" spans="1:32" ht="16.8" thickTop="1" thickBot="1">
      <c r="A673" s="1687" t="s">
        <v>118</v>
      </c>
      <c r="B673" s="285"/>
      <c r="C673" s="285"/>
      <c r="D673" s="486"/>
      <c r="E673" s="481"/>
      <c r="F673" s="481"/>
      <c r="G673" s="481"/>
      <c r="H673" s="310">
        <f>H$638</f>
        <v>36373</v>
      </c>
      <c r="I673" s="527">
        <f>I$638</f>
        <v>36525</v>
      </c>
      <c r="J673" s="528">
        <f t="shared" ref="J673:AF673" si="400">J$638</f>
        <v>36891</v>
      </c>
      <c r="K673" s="528">
        <f t="shared" si="400"/>
        <v>37256</v>
      </c>
      <c r="L673" s="528">
        <f t="shared" si="400"/>
        <v>37621</v>
      </c>
      <c r="M673" s="528">
        <f t="shared" si="400"/>
        <v>37986</v>
      </c>
      <c r="N673" s="528">
        <f t="shared" si="400"/>
        <v>38352</v>
      </c>
      <c r="O673" s="528">
        <f t="shared" si="400"/>
        <v>38717</v>
      </c>
      <c r="P673" s="528">
        <f t="shared" si="400"/>
        <v>39082</v>
      </c>
      <c r="Q673" s="528">
        <f t="shared" si="400"/>
        <v>39447</v>
      </c>
      <c r="R673" s="528">
        <f t="shared" si="400"/>
        <v>39813</v>
      </c>
      <c r="S673" s="528">
        <f t="shared" si="400"/>
        <v>40178</v>
      </c>
      <c r="T673" s="528">
        <f t="shared" si="400"/>
        <v>40543</v>
      </c>
      <c r="U673" s="528">
        <f t="shared" si="400"/>
        <v>40908</v>
      </c>
      <c r="V673" s="528">
        <f t="shared" si="400"/>
        <v>41274</v>
      </c>
      <c r="W673" s="528">
        <f t="shared" si="400"/>
        <v>41639</v>
      </c>
      <c r="X673" s="528">
        <f t="shared" si="400"/>
        <v>42004</v>
      </c>
      <c r="Y673" s="528">
        <f t="shared" si="400"/>
        <v>42369</v>
      </c>
      <c r="Z673" s="528">
        <f t="shared" si="400"/>
        <v>42735</v>
      </c>
      <c r="AA673" s="528">
        <f t="shared" si="400"/>
        <v>43100</v>
      </c>
      <c r="AB673" s="528">
        <f t="shared" si="400"/>
        <v>43465</v>
      </c>
      <c r="AC673" s="528">
        <f t="shared" si="400"/>
        <v>43830</v>
      </c>
      <c r="AD673" s="528">
        <f t="shared" si="400"/>
        <v>44196</v>
      </c>
      <c r="AE673" s="528">
        <f t="shared" si="400"/>
        <v>44561</v>
      </c>
      <c r="AF673" s="528">
        <f t="shared" si="400"/>
        <v>44926</v>
      </c>
    </row>
    <row r="674" spans="1:32" ht="10.8" thickTop="1">
      <c r="A674" s="646" t="s">
        <v>119</v>
      </c>
      <c r="B674" s="285"/>
      <c r="C674" s="285"/>
      <c r="D674" s="486"/>
      <c r="E674" s="486"/>
      <c r="F674" s="486"/>
      <c r="G674" s="486"/>
      <c r="H674" s="486"/>
      <c r="I674" s="282"/>
      <c r="J674" s="647"/>
      <c r="K674" s="486"/>
      <c r="L674" s="486"/>
      <c r="M674" s="486"/>
      <c r="N674" s="486"/>
      <c r="O674" s="486"/>
      <c r="P674" s="486"/>
      <c r="Q674" s="486"/>
      <c r="R674" s="486"/>
      <c r="S674" s="486"/>
      <c r="T674" s="486"/>
      <c r="U674" s="486"/>
      <c r="V674" s="486"/>
      <c r="W674" s="486"/>
      <c r="X674" s="486"/>
      <c r="Y674" s="486"/>
      <c r="Z674" s="486"/>
      <c r="AA674" s="486"/>
      <c r="AB674" s="486"/>
      <c r="AC674" s="486"/>
      <c r="AD674" s="486"/>
      <c r="AE674" s="486"/>
      <c r="AF674" s="486"/>
    </row>
    <row r="675" spans="1:32">
      <c r="A675" s="648" t="s">
        <v>120</v>
      </c>
      <c r="B675" s="285"/>
      <c r="C675" s="486"/>
      <c r="D675" s="486"/>
      <c r="E675" s="486"/>
      <c r="F675" s="486"/>
      <c r="G675" s="486"/>
      <c r="H675" s="649">
        <f t="shared" ref="H675:AF675" si="401">H345</f>
        <v>0</v>
      </c>
      <c r="I675" s="649">
        <f t="shared" ca="1" si="401"/>
        <v>-1847.145062111111</v>
      </c>
      <c r="J675" s="650">
        <f t="shared" ca="1" si="401"/>
        <v>-4312.2767769105049</v>
      </c>
      <c r="K675" s="651">
        <f t="shared" ca="1" si="401"/>
        <v>-316.71956926962775</v>
      </c>
      <c r="L675" s="651">
        <f t="shared" ca="1" si="401"/>
        <v>-995.36918679336031</v>
      </c>
      <c r="M675" s="651">
        <f t="shared" ca="1" si="401"/>
        <v>-1164.1157927775839</v>
      </c>
      <c r="N675" s="651">
        <f t="shared" ca="1" si="401"/>
        <v>-1164.9872309780721</v>
      </c>
      <c r="O675" s="651">
        <f t="shared" ca="1" si="401"/>
        <v>-847.34619822882041</v>
      </c>
      <c r="P675" s="651">
        <f t="shared" ca="1" si="401"/>
        <v>-198.64262594737602</v>
      </c>
      <c r="Q675" s="651">
        <f t="shared" ca="1" si="401"/>
        <v>371.91610079447901</v>
      </c>
      <c r="R675" s="651">
        <f t="shared" ca="1" si="401"/>
        <v>1012.075847178919</v>
      </c>
      <c r="S675" s="651">
        <f t="shared" ca="1" si="401"/>
        <v>1652.7115406487014</v>
      </c>
      <c r="T675" s="651">
        <f t="shared" ca="1" si="401"/>
        <v>1474.0256366208105</v>
      </c>
      <c r="U675" s="651">
        <f t="shared" ca="1" si="401"/>
        <v>1902.6168226000248</v>
      </c>
      <c r="V675" s="651">
        <f t="shared" ca="1" si="401"/>
        <v>2897.6416587863378</v>
      </c>
      <c r="W675" s="651">
        <f t="shared" ca="1" si="401"/>
        <v>3485.511704881269</v>
      </c>
      <c r="X675" s="651">
        <f t="shared" ca="1" si="401"/>
        <v>6392.6062095253019</v>
      </c>
      <c r="Y675" s="651">
        <f t="shared" ca="1" si="401"/>
        <v>9767.9638349503002</v>
      </c>
      <c r="Z675" s="651">
        <f t="shared" ca="1" si="401"/>
        <v>9976.9648052854245</v>
      </c>
      <c r="AA675" s="651">
        <f t="shared" ca="1" si="401"/>
        <v>10339.26111331724</v>
      </c>
      <c r="AB675" s="651">
        <f t="shared" ca="1" si="401"/>
        <v>10510.219400623448</v>
      </c>
      <c r="AC675" s="651">
        <f t="shared" ca="1" si="401"/>
        <v>10899.744526705299</v>
      </c>
      <c r="AD675" s="651">
        <f t="shared" ca="1" si="401"/>
        <v>11202.151698559399</v>
      </c>
      <c r="AE675" s="651">
        <f t="shared" ca="1" si="401"/>
        <v>11396.25529761174</v>
      </c>
      <c r="AF675" s="651">
        <f t="shared" ca="1" si="401"/>
        <v>10085.042959049748</v>
      </c>
    </row>
    <row r="676" spans="1:32">
      <c r="A676" s="648" t="s">
        <v>121</v>
      </c>
      <c r="B676" s="648" t="s">
        <v>122</v>
      </c>
      <c r="C676" s="486"/>
      <c r="D676" s="486"/>
      <c r="E676" s="486"/>
      <c r="F676" s="486"/>
      <c r="G676" s="486"/>
      <c r="H676" s="649">
        <f t="shared" ref="H676:AF676" si="402">H778+H655</f>
        <v>0</v>
      </c>
      <c r="I676" s="649">
        <f t="shared" ca="1" si="402"/>
        <v>2186.515431111111</v>
      </c>
      <c r="J676" s="650">
        <f t="shared" ca="1" si="402"/>
        <v>5247.6370346666663</v>
      </c>
      <c r="K676" s="649">
        <f t="shared" ca="1" si="402"/>
        <v>5247.6370346666663</v>
      </c>
      <c r="L676" s="649">
        <f t="shared" ca="1" si="402"/>
        <v>5247.6370346666663</v>
      </c>
      <c r="M676" s="649">
        <f t="shared" ca="1" si="402"/>
        <v>5317.0070667280097</v>
      </c>
      <c r="N676" s="649">
        <f t="shared" ca="1" si="402"/>
        <v>5414.125111613891</v>
      </c>
      <c r="O676" s="649">
        <f t="shared" ca="1" si="402"/>
        <v>5414.125111613891</v>
      </c>
      <c r="P676" s="649">
        <f t="shared" ca="1" si="402"/>
        <v>5414.125111613891</v>
      </c>
      <c r="Q676" s="649">
        <f t="shared" ca="1" si="402"/>
        <v>5414.125111613891</v>
      </c>
      <c r="R676" s="649">
        <f t="shared" ca="1" si="402"/>
        <v>5414.125111613891</v>
      </c>
      <c r="S676" s="649">
        <f t="shared" ca="1" si="402"/>
        <v>5414.125111613891</v>
      </c>
      <c r="T676" s="649">
        <f t="shared" ca="1" si="402"/>
        <v>5414.125111613891</v>
      </c>
      <c r="U676" s="649">
        <f t="shared" ca="1" si="402"/>
        <v>5442.1850438222173</v>
      </c>
      <c r="V676" s="649">
        <f t="shared" ca="1" si="402"/>
        <v>5481.4689489138736</v>
      </c>
      <c r="W676" s="649">
        <f t="shared" ca="1" si="402"/>
        <v>5481.4689489138736</v>
      </c>
      <c r="X676" s="649">
        <f t="shared" ca="1" si="402"/>
        <v>3294.9535178027631</v>
      </c>
      <c r="Y676" s="649">
        <f t="shared" ca="1" si="402"/>
        <v>570.48595261647438</v>
      </c>
      <c r="Z676" s="649">
        <f t="shared" ca="1" si="402"/>
        <v>1041.8016063334476</v>
      </c>
      <c r="AA676" s="649">
        <f t="shared" ca="1" si="402"/>
        <v>1041.8016063334476</v>
      </c>
      <c r="AB676" s="649">
        <f t="shared" ca="1" si="402"/>
        <v>1041.8016063334476</v>
      </c>
      <c r="AC676" s="649">
        <f t="shared" ca="1" si="402"/>
        <v>944.37164206377781</v>
      </c>
      <c r="AD676" s="649">
        <f t="shared" ca="1" si="402"/>
        <v>807.96969208624</v>
      </c>
      <c r="AE676" s="649">
        <f t="shared" ca="1" si="402"/>
        <v>807.96969208624</v>
      </c>
      <c r="AF676" s="649">
        <f t="shared" ca="1" si="402"/>
        <v>807.96969208624</v>
      </c>
    </row>
    <row r="677" spans="1:32">
      <c r="A677" s="471"/>
      <c r="B677" s="652" t="s">
        <v>124</v>
      </c>
      <c r="C677" s="285"/>
      <c r="D677" s="285"/>
      <c r="E677" s="285"/>
      <c r="F677" s="285"/>
      <c r="G677" s="285"/>
      <c r="H677" s="653">
        <f t="shared" ref="H677:AF677" si="403">-H343</f>
        <v>0</v>
      </c>
      <c r="I677" s="653">
        <f t="shared" si="403"/>
        <v>0</v>
      </c>
      <c r="J677" s="654">
        <f t="shared" si="403"/>
        <v>0</v>
      </c>
      <c r="K677" s="653">
        <f t="shared" si="403"/>
        <v>0</v>
      </c>
      <c r="L677" s="653">
        <f t="shared" si="403"/>
        <v>0</v>
      </c>
      <c r="M677" s="653">
        <f t="shared" si="403"/>
        <v>0</v>
      </c>
      <c r="N677" s="653">
        <f t="shared" si="403"/>
        <v>0</v>
      </c>
      <c r="O677" s="653">
        <f t="shared" si="403"/>
        <v>0</v>
      </c>
      <c r="P677" s="653">
        <f t="shared" si="403"/>
        <v>0</v>
      </c>
      <c r="Q677" s="653">
        <f t="shared" si="403"/>
        <v>0</v>
      </c>
      <c r="R677" s="653">
        <f t="shared" si="403"/>
        <v>0</v>
      </c>
      <c r="S677" s="653">
        <f t="shared" si="403"/>
        <v>0</v>
      </c>
      <c r="T677" s="653">
        <f t="shared" si="403"/>
        <v>0</v>
      </c>
      <c r="U677" s="653">
        <f t="shared" si="403"/>
        <v>0</v>
      </c>
      <c r="V677" s="653">
        <f t="shared" si="403"/>
        <v>0</v>
      </c>
      <c r="W677" s="653">
        <f t="shared" si="403"/>
        <v>0</v>
      </c>
      <c r="X677" s="653">
        <f t="shared" si="403"/>
        <v>0</v>
      </c>
      <c r="Y677" s="653">
        <f t="shared" si="403"/>
        <v>0</v>
      </c>
      <c r="Z677" s="653">
        <f t="shared" si="403"/>
        <v>0</v>
      </c>
      <c r="AA677" s="653">
        <f t="shared" si="403"/>
        <v>0</v>
      </c>
      <c r="AB677" s="653">
        <f t="shared" si="403"/>
        <v>0</v>
      </c>
      <c r="AC677" s="653">
        <f t="shared" si="403"/>
        <v>0</v>
      </c>
      <c r="AD677" s="653">
        <f t="shared" si="403"/>
        <v>0</v>
      </c>
      <c r="AE677" s="653">
        <f t="shared" si="403"/>
        <v>0</v>
      </c>
      <c r="AF677" s="653">
        <f t="shared" si="403"/>
        <v>0</v>
      </c>
    </row>
    <row r="678" spans="1:32">
      <c r="A678" s="648" t="s">
        <v>125</v>
      </c>
      <c r="B678" s="515" t="s">
        <v>126</v>
      </c>
      <c r="C678" s="486"/>
      <c r="D678" s="485"/>
      <c r="E678" s="485"/>
      <c r="F678" s="485"/>
      <c r="G678" s="485"/>
      <c r="H678" s="649">
        <f t="shared" ref="H678:AE678" si="404">-(H779+H659)</f>
        <v>0</v>
      </c>
      <c r="I678" s="649">
        <f t="shared" ca="1" si="404"/>
        <v>-3277.9760106958902</v>
      </c>
      <c r="J678" s="650">
        <f t="shared" ca="1" si="404"/>
        <v>-7541.5013877654783</v>
      </c>
      <c r="K678" s="649">
        <f t="shared" ca="1" si="404"/>
        <v>-6766.8201768195613</v>
      </c>
      <c r="L678" s="649">
        <f t="shared" ca="1" si="404"/>
        <v>-6090.1381591376066</v>
      </c>
      <c r="M678" s="649">
        <f t="shared" ca="1" si="404"/>
        <v>-5585.1223748511538</v>
      </c>
      <c r="N678" s="649">
        <f t="shared" ca="1" si="404"/>
        <v>-5176.668336865544</v>
      </c>
      <c r="O678" s="649">
        <f t="shared" ca="1" si="404"/>
        <v>-4821.6249935902351</v>
      </c>
      <c r="P678" s="649">
        <f t="shared" ca="1" si="404"/>
        <v>-4786.6855883672933</v>
      </c>
      <c r="Q678" s="649">
        <f t="shared" ca="1" si="404"/>
        <v>-5138.6861271903763</v>
      </c>
      <c r="R678" s="649">
        <f t="shared" ca="1" si="404"/>
        <v>-5588.4586266025335</v>
      </c>
      <c r="S678" s="649">
        <f t="shared" ca="1" si="404"/>
        <v>-5423.8143585728994</v>
      </c>
      <c r="T678" s="649">
        <f t="shared" ca="1" si="404"/>
        <v>-5302.836141017342</v>
      </c>
      <c r="U678" s="649">
        <f t="shared" ca="1" si="404"/>
        <v>-5360.2411040994239</v>
      </c>
      <c r="V678" s="649">
        <f t="shared" ca="1" si="404"/>
        <v>-5468.7721443412665</v>
      </c>
      <c r="W678" s="649">
        <f t="shared" ca="1" si="404"/>
        <v>-5393.2330470157503</v>
      </c>
      <c r="X678" s="649">
        <f t="shared" ca="1" si="404"/>
        <v>-3357.6115622753778</v>
      </c>
      <c r="Y678" s="649">
        <f t="shared" ca="1" si="404"/>
        <v>-992.27070400223124</v>
      </c>
      <c r="Z678" s="649">
        <f t="shared" ca="1" si="404"/>
        <v>-1318.5310660129858</v>
      </c>
      <c r="AA678" s="649">
        <f t="shared" ca="1" si="404"/>
        <v>-1105.6147896855421</v>
      </c>
      <c r="AB678" s="649">
        <f t="shared" ca="1" si="404"/>
        <v>-936.05321508338102</v>
      </c>
      <c r="AC678" s="649">
        <f t="shared" ca="1" si="404"/>
        <v>-811.61221761510569</v>
      </c>
      <c r="AD678" s="649">
        <f t="shared" ca="1" si="404"/>
        <v>-697.39612743259897</v>
      </c>
      <c r="AE678" s="649">
        <f t="shared" ca="1" si="404"/>
        <v>-695.51371776308417</v>
      </c>
      <c r="AF678" s="649">
        <f ca="1">-(AF779+AF659)</f>
        <v>-695.51371776308417</v>
      </c>
    </row>
    <row r="679" spans="1:32">
      <c r="A679" s="471"/>
      <c r="B679" s="652" t="s">
        <v>127</v>
      </c>
      <c r="C679" s="285"/>
      <c r="D679" s="285"/>
      <c r="E679" s="285"/>
      <c r="F679" s="285"/>
      <c r="G679" s="285"/>
      <c r="H679" s="653">
        <f t="shared" ref="H679:AF679" si="405">H658</f>
        <v>0</v>
      </c>
      <c r="I679" s="653">
        <f t="shared" si="405"/>
        <v>0</v>
      </c>
      <c r="J679" s="654">
        <f t="shared" si="405"/>
        <v>0</v>
      </c>
      <c r="K679" s="655">
        <f t="shared" si="405"/>
        <v>0</v>
      </c>
      <c r="L679" s="655">
        <f t="shared" si="405"/>
        <v>0</v>
      </c>
      <c r="M679" s="655">
        <f t="shared" si="405"/>
        <v>0</v>
      </c>
      <c r="N679" s="655">
        <f t="shared" si="405"/>
        <v>0</v>
      </c>
      <c r="O679" s="655">
        <f t="shared" si="405"/>
        <v>0</v>
      </c>
      <c r="P679" s="655">
        <f t="shared" si="405"/>
        <v>0</v>
      </c>
      <c r="Q679" s="655">
        <f t="shared" si="405"/>
        <v>0</v>
      </c>
      <c r="R679" s="655">
        <f t="shared" si="405"/>
        <v>0</v>
      </c>
      <c r="S679" s="655">
        <f t="shared" si="405"/>
        <v>0</v>
      </c>
      <c r="T679" s="655">
        <f t="shared" si="405"/>
        <v>0</v>
      </c>
      <c r="U679" s="655">
        <f t="shared" si="405"/>
        <v>0</v>
      </c>
      <c r="V679" s="655">
        <f t="shared" si="405"/>
        <v>0</v>
      </c>
      <c r="W679" s="655">
        <f t="shared" si="405"/>
        <v>0</v>
      </c>
      <c r="X679" s="655">
        <f t="shared" si="405"/>
        <v>0</v>
      </c>
      <c r="Y679" s="655">
        <f t="shared" si="405"/>
        <v>0</v>
      </c>
      <c r="Z679" s="655">
        <f t="shared" si="405"/>
        <v>0</v>
      </c>
      <c r="AA679" s="655">
        <f t="shared" si="405"/>
        <v>0</v>
      </c>
      <c r="AB679" s="655">
        <f t="shared" si="405"/>
        <v>0</v>
      </c>
      <c r="AC679" s="655">
        <f t="shared" si="405"/>
        <v>0</v>
      </c>
      <c r="AD679" s="655">
        <f t="shared" si="405"/>
        <v>0</v>
      </c>
      <c r="AE679" s="655">
        <f t="shared" si="405"/>
        <v>0</v>
      </c>
      <c r="AF679" s="655">
        <f t="shared" si="405"/>
        <v>0</v>
      </c>
    </row>
    <row r="680" spans="1:32">
      <c r="A680" s="648" t="s">
        <v>128</v>
      </c>
      <c r="B680" s="285"/>
      <c r="C680" s="486"/>
      <c r="D680" s="486"/>
      <c r="E680" s="486"/>
      <c r="F680" s="486"/>
      <c r="G680" s="486"/>
      <c r="H680" s="656">
        <f t="shared" ref="H680:AE680" si="406">SUM(H675:H679)</f>
        <v>0</v>
      </c>
      <c r="I680" s="656">
        <f t="shared" ca="1" si="406"/>
        <v>-2938.60564169589</v>
      </c>
      <c r="J680" s="657">
        <f t="shared" ca="1" si="406"/>
        <v>-6606.1411300093168</v>
      </c>
      <c r="K680" s="656">
        <f t="shared" ca="1" si="406"/>
        <v>-1835.9027114225228</v>
      </c>
      <c r="L680" s="656">
        <f t="shared" ca="1" si="406"/>
        <v>-1837.8703112643007</v>
      </c>
      <c r="M680" s="656">
        <f t="shared" ca="1" si="406"/>
        <v>-1432.2311009007281</v>
      </c>
      <c r="N680" s="656">
        <f t="shared" ca="1" si="406"/>
        <v>-927.53045622972513</v>
      </c>
      <c r="O680" s="656">
        <f t="shared" ca="1" si="406"/>
        <v>-254.84608020516407</v>
      </c>
      <c r="P680" s="656">
        <f t="shared" ca="1" si="406"/>
        <v>428.7968972992212</v>
      </c>
      <c r="Q680" s="656">
        <f t="shared" ca="1" si="406"/>
        <v>647.3550852179942</v>
      </c>
      <c r="R680" s="656">
        <f t="shared" ca="1" si="406"/>
        <v>837.7423321902761</v>
      </c>
      <c r="S680" s="656">
        <f t="shared" ca="1" si="406"/>
        <v>1643.0222936896935</v>
      </c>
      <c r="T680" s="656">
        <f t="shared" ca="1" si="406"/>
        <v>1585.3146072173595</v>
      </c>
      <c r="U680" s="656">
        <f t="shared" ca="1" si="406"/>
        <v>1984.5607623228179</v>
      </c>
      <c r="V680" s="656">
        <f t="shared" ca="1" si="406"/>
        <v>2910.3384633589449</v>
      </c>
      <c r="W680" s="656">
        <f t="shared" ca="1" si="406"/>
        <v>3573.7476067793923</v>
      </c>
      <c r="X680" s="656">
        <f t="shared" ca="1" si="406"/>
        <v>6329.9481650526877</v>
      </c>
      <c r="Y680" s="656">
        <f t="shared" ca="1" si="406"/>
        <v>9346.1790835645443</v>
      </c>
      <c r="Z680" s="656">
        <f t="shared" ca="1" si="406"/>
        <v>9700.2353456058863</v>
      </c>
      <c r="AA680" s="656">
        <f t="shared" ca="1" si="406"/>
        <v>10275.447929965145</v>
      </c>
      <c r="AB680" s="656">
        <f t="shared" ca="1" si="406"/>
        <v>10615.967791873514</v>
      </c>
      <c r="AC680" s="656">
        <f t="shared" ca="1" si="406"/>
        <v>11032.503951153971</v>
      </c>
      <c r="AD680" s="656">
        <f t="shared" ca="1" si="406"/>
        <v>11312.72526321304</v>
      </c>
      <c r="AE680" s="656">
        <f t="shared" ca="1" si="406"/>
        <v>11508.711271934897</v>
      </c>
      <c r="AF680" s="656">
        <f ca="1">SUM(AF675:AF679)</f>
        <v>10197.498933372905</v>
      </c>
    </row>
    <row r="681" spans="1:32">
      <c r="A681" s="648"/>
      <c r="B681" s="285"/>
      <c r="C681" s="285"/>
      <c r="D681" s="285"/>
      <c r="E681" s="285"/>
      <c r="F681" s="285"/>
      <c r="G681" s="285"/>
      <c r="H681" s="655"/>
      <c r="I681" s="653"/>
      <c r="J681" s="654"/>
      <c r="K681" s="655"/>
      <c r="L681" s="655"/>
      <c r="M681" s="655"/>
      <c r="N681" s="655"/>
      <c r="O681" s="655"/>
      <c r="P681" s="655"/>
      <c r="Q681" s="655"/>
      <c r="R681" s="655"/>
      <c r="S681" s="655"/>
      <c r="T681" s="655"/>
      <c r="U681" s="655"/>
      <c r="V681" s="655"/>
      <c r="W681" s="655"/>
      <c r="X681" s="655"/>
      <c r="Y681" s="655"/>
      <c r="Z681" s="655"/>
      <c r="AA681" s="655"/>
      <c r="AB681" s="655"/>
      <c r="AC681" s="655"/>
      <c r="AD681" s="655"/>
      <c r="AE681" s="655"/>
      <c r="AF681" s="655"/>
    </row>
    <row r="682" spans="1:32" s="280" customFormat="1">
      <c r="A682" s="479" t="s">
        <v>129</v>
      </c>
      <c r="B682" s="479"/>
      <c r="C682" s="479"/>
      <c r="D682" s="479"/>
      <c r="E682" s="479"/>
      <c r="F682" s="479"/>
      <c r="G682" s="479"/>
      <c r="H682" s="658">
        <f>G659</f>
        <v>0</v>
      </c>
      <c r="I682" s="658">
        <f t="shared" ref="I682:AA682" si="407">H687</f>
        <v>0</v>
      </c>
      <c r="J682" s="659">
        <f t="shared" ca="1" si="407"/>
        <v>2938.60564169589</v>
      </c>
      <c r="K682" s="660">
        <f t="shared" ca="1" si="407"/>
        <v>9544.7467717052059</v>
      </c>
      <c r="L682" s="660">
        <f t="shared" ca="1" si="407"/>
        <v>11380.649483127729</v>
      </c>
      <c r="M682" s="660">
        <f t="shared" ca="1" si="407"/>
        <v>13218.519794392028</v>
      </c>
      <c r="N682" s="660">
        <f t="shared" ca="1" si="407"/>
        <v>14650.750895292756</v>
      </c>
      <c r="O682" s="660">
        <f t="shared" ca="1" si="407"/>
        <v>15578.281351522481</v>
      </c>
      <c r="P682" s="660">
        <f t="shared" ca="1" si="407"/>
        <v>15833.127431727644</v>
      </c>
      <c r="Q682" s="660">
        <f t="shared" ca="1" si="407"/>
        <v>15404.330534428424</v>
      </c>
      <c r="R682" s="660">
        <f t="shared" ca="1" si="407"/>
        <v>14756.975449210429</v>
      </c>
      <c r="S682" s="660">
        <f t="shared" ca="1" si="407"/>
        <v>13919.233117020154</v>
      </c>
      <c r="T682" s="660">
        <f t="shared" ca="1" si="407"/>
        <v>12276.210823330461</v>
      </c>
      <c r="U682" s="660">
        <f t="shared" ca="1" si="407"/>
        <v>10690.896216113102</v>
      </c>
      <c r="V682" s="660">
        <f t="shared" ca="1" si="407"/>
        <v>8706.3354537902851</v>
      </c>
      <c r="W682" s="660">
        <f t="shared" ca="1" si="407"/>
        <v>5795.9969904313402</v>
      </c>
      <c r="X682" s="660">
        <f t="shared" ca="1" si="407"/>
        <v>2222.2493836519479</v>
      </c>
      <c r="Y682" s="660">
        <f t="shared" ca="1" si="407"/>
        <v>0</v>
      </c>
      <c r="Z682" s="660">
        <f t="shared" ca="1" si="407"/>
        <v>0</v>
      </c>
      <c r="AA682" s="660">
        <f t="shared" ca="1" si="407"/>
        <v>0</v>
      </c>
      <c r="AB682" s="660">
        <f ca="1">AA687</f>
        <v>0</v>
      </c>
      <c r="AC682" s="660">
        <f ca="1">AB687</f>
        <v>0</v>
      </c>
      <c r="AD682" s="660">
        <f ca="1">AC687</f>
        <v>0</v>
      </c>
      <c r="AE682" s="660">
        <f ca="1">AD687</f>
        <v>0</v>
      </c>
      <c r="AF682" s="660">
        <f ca="1">AE687</f>
        <v>0</v>
      </c>
    </row>
    <row r="683" spans="1:32" s="280" customFormat="1">
      <c r="A683" s="661" t="s">
        <v>130</v>
      </c>
      <c r="B683" s="479"/>
      <c r="C683" s="479"/>
      <c r="D683" s="479"/>
      <c r="E683" s="479"/>
      <c r="F683" s="479"/>
      <c r="G683" s="479"/>
      <c r="H683" s="662">
        <v>0</v>
      </c>
      <c r="I683" s="662">
        <v>0</v>
      </c>
      <c r="J683" s="663">
        <v>0</v>
      </c>
      <c r="K683" s="664">
        <v>0</v>
      </c>
      <c r="L683" s="664">
        <v>0</v>
      </c>
      <c r="M683" s="664">
        <v>0</v>
      </c>
      <c r="N683" s="664">
        <v>0</v>
      </c>
      <c r="O683" s="664">
        <v>0</v>
      </c>
      <c r="P683" s="664">
        <v>0</v>
      </c>
      <c r="Q683" s="664">
        <v>0</v>
      </c>
      <c r="R683" s="664">
        <v>0</v>
      </c>
      <c r="S683" s="664">
        <v>0</v>
      </c>
      <c r="T683" s="664">
        <v>0</v>
      </c>
      <c r="U683" s="664">
        <v>0</v>
      </c>
      <c r="V683" s="664">
        <v>0</v>
      </c>
      <c r="W683" s="664">
        <v>0</v>
      </c>
      <c r="X683" s="664">
        <v>0</v>
      </c>
      <c r="Y683" s="664">
        <v>0</v>
      </c>
      <c r="Z683" s="664">
        <v>0</v>
      </c>
      <c r="AA683" s="664">
        <v>0</v>
      </c>
      <c r="AB683" s="664">
        <v>0</v>
      </c>
      <c r="AC683" s="664">
        <v>0</v>
      </c>
      <c r="AD683" s="664">
        <v>0</v>
      </c>
      <c r="AE683" s="664">
        <v>0</v>
      </c>
      <c r="AF683" s="664">
        <v>0</v>
      </c>
    </row>
    <row r="684" spans="1:32" s="280" customFormat="1">
      <c r="A684" s="661" t="s">
        <v>131</v>
      </c>
      <c r="B684" s="479"/>
      <c r="C684" s="479"/>
      <c r="D684" s="479"/>
      <c r="E684" s="479"/>
      <c r="F684" s="479"/>
      <c r="G684" s="479"/>
      <c r="H684" s="658">
        <f t="shared" ref="H684:AA684" si="408">IF(H682-H683&lt;0,0,H682-H683)</f>
        <v>0</v>
      </c>
      <c r="I684" s="658">
        <f t="shared" si="408"/>
        <v>0</v>
      </c>
      <c r="J684" s="659">
        <f t="shared" ca="1" si="408"/>
        <v>2938.60564169589</v>
      </c>
      <c r="K684" s="658">
        <f t="shared" ca="1" si="408"/>
        <v>9544.7467717052059</v>
      </c>
      <c r="L684" s="658">
        <f t="shared" ca="1" si="408"/>
        <v>11380.649483127729</v>
      </c>
      <c r="M684" s="658">
        <f t="shared" ca="1" si="408"/>
        <v>13218.519794392028</v>
      </c>
      <c r="N684" s="658">
        <f t="shared" ca="1" si="408"/>
        <v>14650.750895292756</v>
      </c>
      <c r="O684" s="658">
        <f t="shared" ca="1" si="408"/>
        <v>15578.281351522481</v>
      </c>
      <c r="P684" s="658">
        <f t="shared" ca="1" si="408"/>
        <v>15833.127431727644</v>
      </c>
      <c r="Q684" s="658">
        <f t="shared" ca="1" si="408"/>
        <v>15404.330534428424</v>
      </c>
      <c r="R684" s="658">
        <f t="shared" ca="1" si="408"/>
        <v>14756.975449210429</v>
      </c>
      <c r="S684" s="658">
        <f t="shared" ca="1" si="408"/>
        <v>13919.233117020154</v>
      </c>
      <c r="T684" s="658">
        <f t="shared" ca="1" si="408"/>
        <v>12276.210823330461</v>
      </c>
      <c r="U684" s="658">
        <f t="shared" ca="1" si="408"/>
        <v>10690.896216113102</v>
      </c>
      <c r="V684" s="658">
        <f t="shared" ca="1" si="408"/>
        <v>8706.3354537902851</v>
      </c>
      <c r="W684" s="658">
        <f t="shared" ca="1" si="408"/>
        <v>5795.9969904313402</v>
      </c>
      <c r="X684" s="658">
        <f t="shared" ca="1" si="408"/>
        <v>2222.2493836519479</v>
      </c>
      <c r="Y684" s="658">
        <f t="shared" ca="1" si="408"/>
        <v>0</v>
      </c>
      <c r="Z684" s="658">
        <f t="shared" ca="1" si="408"/>
        <v>0</v>
      </c>
      <c r="AA684" s="658">
        <f t="shared" ca="1" si="408"/>
        <v>0</v>
      </c>
      <c r="AB684" s="658">
        <f ca="1">IF(AB682-AB683&lt;0,0,AB682-AB683)</f>
        <v>0</v>
      </c>
      <c r="AC684" s="658">
        <f ca="1">IF(AC682-AC683&lt;0,0,AC682-AC683)</f>
        <v>0</v>
      </c>
      <c r="AD684" s="658">
        <f ca="1">IF(AD682-AD683&lt;0,0,AD682-AD683)</f>
        <v>0</v>
      </c>
      <c r="AE684" s="658">
        <f ca="1">IF(AE682-AE683&lt;0,0,AE682-AE683)</f>
        <v>0</v>
      </c>
      <c r="AF684" s="658">
        <f ca="1">IF(AF682-AF683&lt;0,0,AF682-AF683)</f>
        <v>0</v>
      </c>
    </row>
    <row r="685" spans="1:32" s="280" customFormat="1">
      <c r="A685" s="661" t="s">
        <v>132</v>
      </c>
      <c r="B685" s="479"/>
      <c r="C685" s="479"/>
      <c r="D685" s="479"/>
      <c r="E685" s="479"/>
      <c r="F685" s="479"/>
      <c r="G685" s="479"/>
      <c r="H685" s="658">
        <f>IF(H680&lt;=0,H680,0)</f>
        <v>0</v>
      </c>
      <c r="I685" s="658">
        <f t="shared" ref="I685:AA685" ca="1" si="409">IF(I680&lt;=0,I680,0)</f>
        <v>-2938.60564169589</v>
      </c>
      <c r="J685" s="659">
        <f t="shared" ca="1" si="409"/>
        <v>-6606.1411300093168</v>
      </c>
      <c r="K685" s="658">
        <f t="shared" ca="1" si="409"/>
        <v>-1835.9027114225228</v>
      </c>
      <c r="L685" s="658">
        <f t="shared" ca="1" si="409"/>
        <v>-1837.8703112643007</v>
      </c>
      <c r="M685" s="658">
        <f t="shared" ca="1" si="409"/>
        <v>-1432.2311009007281</v>
      </c>
      <c r="N685" s="658">
        <f t="shared" ca="1" si="409"/>
        <v>-927.53045622972513</v>
      </c>
      <c r="O685" s="658">
        <f t="shared" ca="1" si="409"/>
        <v>-254.84608020516407</v>
      </c>
      <c r="P685" s="658">
        <f t="shared" ca="1" si="409"/>
        <v>0</v>
      </c>
      <c r="Q685" s="658">
        <f t="shared" ca="1" si="409"/>
        <v>0</v>
      </c>
      <c r="R685" s="658">
        <f t="shared" ca="1" si="409"/>
        <v>0</v>
      </c>
      <c r="S685" s="658">
        <f t="shared" ca="1" si="409"/>
        <v>0</v>
      </c>
      <c r="T685" s="658">
        <f t="shared" ca="1" si="409"/>
        <v>0</v>
      </c>
      <c r="U685" s="658">
        <f t="shared" ca="1" si="409"/>
        <v>0</v>
      </c>
      <c r="V685" s="658">
        <f t="shared" ca="1" si="409"/>
        <v>0</v>
      </c>
      <c r="W685" s="658">
        <f t="shared" ca="1" si="409"/>
        <v>0</v>
      </c>
      <c r="X685" s="658">
        <f t="shared" ca="1" si="409"/>
        <v>0</v>
      </c>
      <c r="Y685" s="658">
        <f t="shared" ca="1" si="409"/>
        <v>0</v>
      </c>
      <c r="Z685" s="658">
        <f t="shared" ca="1" si="409"/>
        <v>0</v>
      </c>
      <c r="AA685" s="658">
        <f t="shared" ca="1" si="409"/>
        <v>0</v>
      </c>
      <c r="AB685" s="658">
        <f ca="1">IF(AB680&lt;=0,AB680,0)</f>
        <v>0</v>
      </c>
      <c r="AC685" s="658">
        <f ca="1">IF(AC680&lt;=0,AC680,0)</f>
        <v>0</v>
      </c>
      <c r="AD685" s="658">
        <f ca="1">IF(AD680&lt;=0,AD680,0)</f>
        <v>0</v>
      </c>
      <c r="AE685" s="658">
        <f ca="1">IF(AE680&lt;=0,AE680,0)</f>
        <v>0</v>
      </c>
      <c r="AF685" s="658">
        <f ca="1">IF(AF680&lt;=0,AF680,0)</f>
        <v>0</v>
      </c>
    </row>
    <row r="686" spans="1:32" s="280" customFormat="1">
      <c r="A686" s="661" t="s">
        <v>133</v>
      </c>
      <c r="B686" s="479"/>
      <c r="C686" s="479"/>
      <c r="D686" s="479"/>
      <c r="E686" s="479"/>
      <c r="F686" s="479"/>
      <c r="G686" s="479"/>
      <c r="H686" s="658">
        <f>IF(H680&gt;0,IF(H684&lt;=H680,H684,H680),0)</f>
        <v>0</v>
      </c>
      <c r="I686" s="658">
        <f t="shared" ref="I686:AA686" ca="1" si="410">IF(I680&gt;0,IF(I684&lt;=I680,I684,I680),0)</f>
        <v>0</v>
      </c>
      <c r="J686" s="659">
        <f t="shared" ca="1" si="410"/>
        <v>0</v>
      </c>
      <c r="K686" s="658">
        <f t="shared" ca="1" si="410"/>
        <v>0</v>
      </c>
      <c r="L686" s="658">
        <f t="shared" ca="1" si="410"/>
        <v>0</v>
      </c>
      <c r="M686" s="658">
        <f t="shared" ca="1" si="410"/>
        <v>0</v>
      </c>
      <c r="N686" s="658">
        <f t="shared" ca="1" si="410"/>
        <v>0</v>
      </c>
      <c r="O686" s="658">
        <f t="shared" ca="1" si="410"/>
        <v>0</v>
      </c>
      <c r="P686" s="658">
        <f t="shared" ca="1" si="410"/>
        <v>428.7968972992212</v>
      </c>
      <c r="Q686" s="658">
        <f t="shared" ca="1" si="410"/>
        <v>647.3550852179942</v>
      </c>
      <c r="R686" s="658">
        <f t="shared" ca="1" si="410"/>
        <v>837.7423321902761</v>
      </c>
      <c r="S686" s="658">
        <f t="shared" ca="1" si="410"/>
        <v>1643.0222936896935</v>
      </c>
      <c r="T686" s="658">
        <f t="shared" ca="1" si="410"/>
        <v>1585.3146072173595</v>
      </c>
      <c r="U686" s="658">
        <f t="shared" ca="1" si="410"/>
        <v>1984.5607623228179</v>
      </c>
      <c r="V686" s="658">
        <f t="shared" ca="1" si="410"/>
        <v>2910.3384633589449</v>
      </c>
      <c r="W686" s="658">
        <f t="shared" ca="1" si="410"/>
        <v>3573.7476067793923</v>
      </c>
      <c r="X686" s="658">
        <f t="shared" ca="1" si="410"/>
        <v>2222.2493836519479</v>
      </c>
      <c r="Y686" s="658">
        <f t="shared" ca="1" si="410"/>
        <v>0</v>
      </c>
      <c r="Z686" s="658">
        <f t="shared" ca="1" si="410"/>
        <v>0</v>
      </c>
      <c r="AA686" s="658">
        <f t="shared" ca="1" si="410"/>
        <v>0</v>
      </c>
      <c r="AB686" s="658">
        <f ca="1">IF(AB680&gt;0,IF(AB684&lt;=AB680,AB684,AB680),0)</f>
        <v>0</v>
      </c>
      <c r="AC686" s="658">
        <f ca="1">IF(AC680&gt;0,IF(AC684&lt;=AC680,AC684,AC680),0)</f>
        <v>0</v>
      </c>
      <c r="AD686" s="658">
        <f ca="1">IF(AD680&gt;0,IF(AD684&lt;=AD680,AD684,AD680),0)</f>
        <v>0</v>
      </c>
      <c r="AE686" s="658">
        <f ca="1">IF(AE680&gt;0,IF(AE684&lt;=AE680,AE684,AE680),0)</f>
        <v>0</v>
      </c>
      <c r="AF686" s="658">
        <f ca="1">IF(AF680&gt;0,IF(AF684&lt;=AF680,AF684,AF680),0)</f>
        <v>0</v>
      </c>
    </row>
    <row r="687" spans="1:32" s="280" customFormat="1">
      <c r="A687" s="661" t="s">
        <v>134</v>
      </c>
      <c r="B687" s="479"/>
      <c r="C687" s="479"/>
      <c r="D687" s="479"/>
      <c r="E687" s="479"/>
      <c r="F687" s="479"/>
      <c r="G687" s="479"/>
      <c r="H687" s="665">
        <f t="shared" ref="H687:AA687" si="411">IF(H684-H685-H686&lt;0,0,H684-H685-H686)</f>
        <v>0</v>
      </c>
      <c r="I687" s="665">
        <f t="shared" ca="1" si="411"/>
        <v>2938.60564169589</v>
      </c>
      <c r="J687" s="666">
        <f t="shared" ca="1" si="411"/>
        <v>9544.7467717052059</v>
      </c>
      <c r="K687" s="665">
        <f t="shared" ca="1" si="411"/>
        <v>11380.649483127729</v>
      </c>
      <c r="L687" s="665">
        <f t="shared" ca="1" si="411"/>
        <v>13218.519794392028</v>
      </c>
      <c r="M687" s="665">
        <f t="shared" ca="1" si="411"/>
        <v>14650.750895292756</v>
      </c>
      <c r="N687" s="665">
        <f t="shared" ca="1" si="411"/>
        <v>15578.281351522481</v>
      </c>
      <c r="O687" s="665">
        <f t="shared" ca="1" si="411"/>
        <v>15833.127431727644</v>
      </c>
      <c r="P687" s="665">
        <f t="shared" ca="1" si="411"/>
        <v>15404.330534428424</v>
      </c>
      <c r="Q687" s="665">
        <f t="shared" ca="1" si="411"/>
        <v>14756.975449210429</v>
      </c>
      <c r="R687" s="665">
        <f t="shared" ca="1" si="411"/>
        <v>13919.233117020154</v>
      </c>
      <c r="S687" s="665">
        <f t="shared" ca="1" si="411"/>
        <v>12276.210823330461</v>
      </c>
      <c r="T687" s="665">
        <f t="shared" ca="1" si="411"/>
        <v>10690.896216113102</v>
      </c>
      <c r="U687" s="665">
        <f t="shared" ca="1" si="411"/>
        <v>8706.3354537902851</v>
      </c>
      <c r="V687" s="665">
        <f t="shared" ca="1" si="411"/>
        <v>5795.9969904313402</v>
      </c>
      <c r="W687" s="665">
        <f t="shared" ca="1" si="411"/>
        <v>2222.2493836519479</v>
      </c>
      <c r="X687" s="665">
        <f t="shared" ca="1" si="411"/>
        <v>0</v>
      </c>
      <c r="Y687" s="665">
        <f t="shared" ca="1" si="411"/>
        <v>0</v>
      </c>
      <c r="Z687" s="665">
        <f t="shared" ca="1" si="411"/>
        <v>0</v>
      </c>
      <c r="AA687" s="665">
        <f t="shared" ca="1" si="411"/>
        <v>0</v>
      </c>
      <c r="AB687" s="665">
        <f ca="1">IF(AB684-AB685-AB686&lt;0,0,AB684-AB685-AB686)</f>
        <v>0</v>
      </c>
      <c r="AC687" s="665">
        <f ca="1">IF(AC684-AC685-AC686&lt;0,0,AC684-AC685-AC686)</f>
        <v>0</v>
      </c>
      <c r="AD687" s="665">
        <f ca="1">IF(AD684-AD685-AD686&lt;0,0,AD684-AD685-AD686)</f>
        <v>0</v>
      </c>
      <c r="AE687" s="665">
        <f ca="1">IF(AE684-AE685-AE686&lt;0,0,AE684-AE685-AE686)</f>
        <v>0</v>
      </c>
      <c r="AF687" s="665">
        <f ca="1">IF(AF684-AF685-AF686&lt;0,0,AF684-AF685-AF686)</f>
        <v>0</v>
      </c>
    </row>
    <row r="688" spans="1:32">
      <c r="A688" s="667"/>
      <c r="B688" s="285"/>
      <c r="C688" s="285"/>
      <c r="D688" s="285"/>
      <c r="E688" s="285"/>
      <c r="F688" s="285"/>
      <c r="G688" s="285"/>
      <c r="H688" s="655"/>
      <c r="I688" s="653"/>
      <c r="J688" s="654"/>
      <c r="K688" s="655"/>
      <c r="L688" s="655"/>
      <c r="M688" s="655"/>
      <c r="N688" s="655"/>
      <c r="O688" s="655"/>
      <c r="P688" s="655"/>
      <c r="Q688" s="655"/>
      <c r="R688" s="655"/>
      <c r="S688" s="655"/>
      <c r="T688" s="655"/>
      <c r="U688" s="655"/>
      <c r="V688" s="655"/>
      <c r="W688" s="655"/>
      <c r="X688" s="655"/>
      <c r="Y688" s="655"/>
      <c r="Z688" s="655"/>
      <c r="AA688" s="655"/>
      <c r="AB688" s="655"/>
      <c r="AC688" s="655"/>
      <c r="AD688" s="655"/>
      <c r="AE688" s="655"/>
      <c r="AF688" s="655"/>
    </row>
    <row r="689" spans="1:32">
      <c r="A689" s="648" t="s">
        <v>135</v>
      </c>
      <c r="B689" s="285"/>
      <c r="C689" s="285"/>
      <c r="D689" s="285"/>
      <c r="E689" s="285"/>
      <c r="F689" s="285"/>
      <c r="G689" s="285"/>
      <c r="H689" s="653">
        <f>IF(H680&lt;=0,0,H680-H686)</f>
        <v>0</v>
      </c>
      <c r="I689" s="653">
        <f t="shared" ref="I689:AA689" ca="1" si="412">IF(I680&lt;=0,0,I680-I686)</f>
        <v>0</v>
      </c>
      <c r="J689" s="654">
        <f t="shared" ca="1" si="412"/>
        <v>0</v>
      </c>
      <c r="K689" s="653">
        <f t="shared" ca="1" si="412"/>
        <v>0</v>
      </c>
      <c r="L689" s="653">
        <f t="shared" ca="1" si="412"/>
        <v>0</v>
      </c>
      <c r="M689" s="653">
        <f t="shared" ca="1" si="412"/>
        <v>0</v>
      </c>
      <c r="N689" s="653">
        <f t="shared" ca="1" si="412"/>
        <v>0</v>
      </c>
      <c r="O689" s="653">
        <f t="shared" ca="1" si="412"/>
        <v>0</v>
      </c>
      <c r="P689" s="653">
        <f t="shared" ca="1" si="412"/>
        <v>0</v>
      </c>
      <c r="Q689" s="653">
        <f t="shared" ca="1" si="412"/>
        <v>0</v>
      </c>
      <c r="R689" s="653">
        <f t="shared" ca="1" si="412"/>
        <v>0</v>
      </c>
      <c r="S689" s="653">
        <f t="shared" ca="1" si="412"/>
        <v>0</v>
      </c>
      <c r="T689" s="653">
        <f t="shared" ca="1" si="412"/>
        <v>0</v>
      </c>
      <c r="U689" s="653">
        <f t="shared" ca="1" si="412"/>
        <v>0</v>
      </c>
      <c r="V689" s="653">
        <f t="shared" ca="1" si="412"/>
        <v>0</v>
      </c>
      <c r="W689" s="653">
        <f t="shared" ca="1" si="412"/>
        <v>0</v>
      </c>
      <c r="X689" s="653">
        <f t="shared" ca="1" si="412"/>
        <v>4107.6987814007398</v>
      </c>
      <c r="Y689" s="653">
        <f t="shared" ca="1" si="412"/>
        <v>9346.1790835645443</v>
      </c>
      <c r="Z689" s="653">
        <f t="shared" ca="1" si="412"/>
        <v>9700.2353456058863</v>
      </c>
      <c r="AA689" s="653">
        <f t="shared" ca="1" si="412"/>
        <v>10275.447929965145</v>
      </c>
      <c r="AB689" s="653">
        <f ca="1">IF(AB680&lt;=0,0,AB680-AB686)</f>
        <v>10615.967791873514</v>
      </c>
      <c r="AC689" s="653">
        <f ca="1">IF(AC680&lt;=0,0,AC680-AC686)</f>
        <v>11032.503951153971</v>
      </c>
      <c r="AD689" s="653">
        <f ca="1">IF(AD680&lt;=0,0,AD680-AD686)</f>
        <v>11312.72526321304</v>
      </c>
      <c r="AE689" s="653">
        <f ca="1">IF(AE680&lt;=0,0,AE680-AE686)</f>
        <v>11508.711271934897</v>
      </c>
      <c r="AF689" s="653">
        <f ca="1">IF(AF680&lt;=0,0,AF680-AF686)</f>
        <v>10197.498933372905</v>
      </c>
    </row>
    <row r="690" spans="1:32">
      <c r="A690" s="648"/>
      <c r="B690" s="285"/>
      <c r="C690" s="285"/>
      <c r="D690" s="285"/>
      <c r="E690" s="285"/>
      <c r="F690" s="285"/>
      <c r="G690" s="285"/>
      <c r="H690" s="653"/>
      <c r="I690" s="653"/>
      <c r="J690" s="654"/>
      <c r="K690" s="655"/>
      <c r="L690" s="655"/>
      <c r="M690" s="655"/>
      <c r="N690" s="655"/>
      <c r="O690" s="655"/>
      <c r="P690" s="655"/>
      <c r="Q690" s="655"/>
      <c r="R690" s="655"/>
      <c r="S690" s="655"/>
      <c r="T690" s="655"/>
      <c r="U690" s="655"/>
      <c r="V690" s="655"/>
      <c r="W690" s="655"/>
      <c r="X690" s="655"/>
      <c r="Y690" s="655"/>
      <c r="Z690" s="655"/>
      <c r="AA690" s="655"/>
      <c r="AB690" s="655"/>
      <c r="AC690" s="655"/>
      <c r="AD690" s="655"/>
      <c r="AE690" s="655"/>
      <c r="AF690" s="655"/>
    </row>
    <row r="691" spans="1:32">
      <c r="A691" s="648" t="s">
        <v>136</v>
      </c>
      <c r="B691" s="280"/>
      <c r="C691" s="505">
        <f>I668</f>
        <v>0</v>
      </c>
      <c r="D691" s="285"/>
      <c r="E691" s="285"/>
      <c r="F691" s="285"/>
      <c r="G691" s="285"/>
      <c r="H691" s="649">
        <f t="shared" ref="H691:AA691" si="413">H689*H668</f>
        <v>0</v>
      </c>
      <c r="I691" s="649">
        <f t="shared" ca="1" si="413"/>
        <v>0</v>
      </c>
      <c r="J691" s="650">
        <f t="shared" ca="1" si="413"/>
        <v>0</v>
      </c>
      <c r="K691" s="651">
        <f t="shared" ca="1" si="413"/>
        <v>0</v>
      </c>
      <c r="L691" s="651">
        <f t="shared" ca="1" si="413"/>
        <v>0</v>
      </c>
      <c r="M691" s="651">
        <f t="shared" ca="1" si="413"/>
        <v>0</v>
      </c>
      <c r="N691" s="651">
        <f t="shared" ca="1" si="413"/>
        <v>0</v>
      </c>
      <c r="O691" s="651">
        <f t="shared" ca="1" si="413"/>
        <v>0</v>
      </c>
      <c r="P691" s="651">
        <f t="shared" ca="1" si="413"/>
        <v>0</v>
      </c>
      <c r="Q691" s="651">
        <f t="shared" ca="1" si="413"/>
        <v>0</v>
      </c>
      <c r="R691" s="651">
        <f t="shared" ca="1" si="413"/>
        <v>0</v>
      </c>
      <c r="S691" s="651">
        <f t="shared" ca="1" si="413"/>
        <v>0</v>
      </c>
      <c r="T691" s="651">
        <f t="shared" ca="1" si="413"/>
        <v>0</v>
      </c>
      <c r="U691" s="651">
        <f t="shared" ca="1" si="413"/>
        <v>0</v>
      </c>
      <c r="V691" s="651">
        <f t="shared" ca="1" si="413"/>
        <v>0</v>
      </c>
      <c r="W691" s="651">
        <f t="shared" ca="1" si="413"/>
        <v>0</v>
      </c>
      <c r="X691" s="651">
        <f t="shared" ca="1" si="413"/>
        <v>0</v>
      </c>
      <c r="Y691" s="651">
        <f t="shared" ca="1" si="413"/>
        <v>0</v>
      </c>
      <c r="Z691" s="651">
        <f t="shared" ca="1" si="413"/>
        <v>0</v>
      </c>
      <c r="AA691" s="651">
        <f t="shared" ca="1" si="413"/>
        <v>0</v>
      </c>
      <c r="AB691" s="651">
        <f ca="1">AB689*AB668</f>
        <v>0</v>
      </c>
      <c r="AC691" s="651">
        <f ca="1">AC689*AC668</f>
        <v>0</v>
      </c>
      <c r="AD691" s="651">
        <f ca="1">AD689*AD668</f>
        <v>0</v>
      </c>
      <c r="AE691" s="651">
        <f ca="1">AE689*AE668</f>
        <v>0</v>
      </c>
      <c r="AF691" s="651">
        <f ca="1">AF689*AF668</f>
        <v>0</v>
      </c>
    </row>
    <row r="692" spans="1:32">
      <c r="A692" s="648" t="s">
        <v>137</v>
      </c>
      <c r="B692" s="280"/>
      <c r="C692" s="505">
        <f>I667</f>
        <v>0</v>
      </c>
      <c r="D692" s="285"/>
      <c r="E692" s="285"/>
      <c r="F692" s="285"/>
      <c r="G692" s="285"/>
      <c r="H692" s="653">
        <f t="shared" ref="H692:AA692" si="414">(H689-H691)*H667</f>
        <v>0</v>
      </c>
      <c r="I692" s="653">
        <f t="shared" ca="1" si="414"/>
        <v>0</v>
      </c>
      <c r="J692" s="654">
        <f t="shared" ca="1" si="414"/>
        <v>0</v>
      </c>
      <c r="K692" s="655">
        <f t="shared" ca="1" si="414"/>
        <v>0</v>
      </c>
      <c r="L692" s="655">
        <f t="shared" ca="1" si="414"/>
        <v>0</v>
      </c>
      <c r="M692" s="655">
        <f t="shared" ca="1" si="414"/>
        <v>0</v>
      </c>
      <c r="N692" s="655">
        <f t="shared" ca="1" si="414"/>
        <v>0</v>
      </c>
      <c r="O692" s="655">
        <f t="shared" ca="1" si="414"/>
        <v>0</v>
      </c>
      <c r="P692" s="655">
        <f t="shared" ca="1" si="414"/>
        <v>0</v>
      </c>
      <c r="Q692" s="655">
        <f t="shared" ca="1" si="414"/>
        <v>0</v>
      </c>
      <c r="R692" s="655">
        <f t="shared" ca="1" si="414"/>
        <v>0</v>
      </c>
      <c r="S692" s="655">
        <f t="shared" ca="1" si="414"/>
        <v>0</v>
      </c>
      <c r="T692" s="655">
        <f t="shared" ca="1" si="414"/>
        <v>0</v>
      </c>
      <c r="U692" s="655">
        <f t="shared" ca="1" si="414"/>
        <v>0</v>
      </c>
      <c r="V692" s="655">
        <f t="shared" ca="1" si="414"/>
        <v>0</v>
      </c>
      <c r="W692" s="655">
        <f t="shared" ca="1" si="414"/>
        <v>0</v>
      </c>
      <c r="X692" s="655">
        <f t="shared" ca="1" si="414"/>
        <v>0</v>
      </c>
      <c r="Y692" s="655">
        <f t="shared" ca="1" si="414"/>
        <v>0</v>
      </c>
      <c r="Z692" s="655">
        <f t="shared" ca="1" si="414"/>
        <v>0</v>
      </c>
      <c r="AA692" s="655">
        <f t="shared" ca="1" si="414"/>
        <v>0</v>
      </c>
      <c r="AB692" s="655">
        <f ca="1">(AB689-AB691)*AB667</f>
        <v>0</v>
      </c>
      <c r="AC692" s="655">
        <f ca="1">(AC689-AC691)*AC667</f>
        <v>0</v>
      </c>
      <c r="AD692" s="655">
        <f ca="1">(AD689-AD691)*AD667</f>
        <v>0</v>
      </c>
      <c r="AE692" s="655">
        <f ca="1">(AE689-AE691)*AE667</f>
        <v>0</v>
      </c>
      <c r="AF692" s="655">
        <f ca="1">(AF689-AF691)*AF667</f>
        <v>0</v>
      </c>
    </row>
    <row r="693" spans="1:32" ht="10.8" thickBot="1">
      <c r="A693" s="648" t="s">
        <v>138</v>
      </c>
      <c r="B693" s="285"/>
      <c r="C693" s="486"/>
      <c r="D693" s="486"/>
      <c r="E693" s="486"/>
      <c r="F693" s="486"/>
      <c r="G693" s="486"/>
      <c r="H693" s="668">
        <f t="shared" ref="H693:AA693" si="415">H691+H692</f>
        <v>0</v>
      </c>
      <c r="I693" s="668">
        <f t="shared" ca="1" si="415"/>
        <v>0</v>
      </c>
      <c r="J693" s="669">
        <f t="shared" ca="1" si="415"/>
        <v>0</v>
      </c>
      <c r="K693" s="668">
        <f t="shared" ca="1" si="415"/>
        <v>0</v>
      </c>
      <c r="L693" s="668">
        <f t="shared" ca="1" si="415"/>
        <v>0</v>
      </c>
      <c r="M693" s="668">
        <f t="shared" ca="1" si="415"/>
        <v>0</v>
      </c>
      <c r="N693" s="668">
        <f t="shared" ca="1" si="415"/>
        <v>0</v>
      </c>
      <c r="O693" s="668">
        <f t="shared" ca="1" si="415"/>
        <v>0</v>
      </c>
      <c r="P693" s="668">
        <f t="shared" ca="1" si="415"/>
        <v>0</v>
      </c>
      <c r="Q693" s="668">
        <f t="shared" ca="1" si="415"/>
        <v>0</v>
      </c>
      <c r="R693" s="668">
        <f t="shared" ca="1" si="415"/>
        <v>0</v>
      </c>
      <c r="S693" s="668">
        <f t="shared" ca="1" si="415"/>
        <v>0</v>
      </c>
      <c r="T693" s="668">
        <f t="shared" ca="1" si="415"/>
        <v>0</v>
      </c>
      <c r="U693" s="668">
        <f t="shared" ca="1" si="415"/>
        <v>0</v>
      </c>
      <c r="V693" s="668">
        <f t="shared" ca="1" si="415"/>
        <v>0</v>
      </c>
      <c r="W693" s="668">
        <f t="shared" ca="1" si="415"/>
        <v>0</v>
      </c>
      <c r="X693" s="668">
        <f t="shared" ca="1" si="415"/>
        <v>0</v>
      </c>
      <c r="Y693" s="668">
        <f t="shared" ca="1" si="415"/>
        <v>0</v>
      </c>
      <c r="Z693" s="668">
        <f t="shared" ca="1" si="415"/>
        <v>0</v>
      </c>
      <c r="AA693" s="668">
        <f t="shared" ca="1" si="415"/>
        <v>0</v>
      </c>
      <c r="AB693" s="668">
        <f ca="1">AB691+AB692</f>
        <v>0</v>
      </c>
      <c r="AC693" s="668">
        <f ca="1">AC691+AC692</f>
        <v>0</v>
      </c>
      <c r="AD693" s="668">
        <f ca="1">AD691+AD692</f>
        <v>0</v>
      </c>
      <c r="AE693" s="668">
        <f ca="1">AE691+AE692</f>
        <v>0</v>
      </c>
      <c r="AF693" s="668">
        <f ca="1">AF691+AF692</f>
        <v>0</v>
      </c>
    </row>
    <row r="694" spans="1:32" ht="10.8" thickTop="1">
      <c r="A694" s="648"/>
      <c r="B694" s="285"/>
      <c r="C694" s="285"/>
      <c r="D694" s="285"/>
      <c r="E694" s="285"/>
      <c r="F694" s="285"/>
      <c r="G694" s="285"/>
      <c r="H694" s="655"/>
      <c r="I694" s="655"/>
      <c r="J694" s="654"/>
      <c r="K694" s="655"/>
      <c r="L694" s="655"/>
      <c r="M694" s="655"/>
      <c r="N694" s="655"/>
      <c r="O694" s="655"/>
      <c r="P694" s="655"/>
      <c r="Q694" s="655"/>
      <c r="R694" s="655"/>
      <c r="S694" s="655"/>
      <c r="T694" s="655"/>
      <c r="U694" s="655"/>
      <c r="V694" s="655"/>
      <c r="W694" s="655"/>
      <c r="X694" s="655"/>
      <c r="Y694" s="655"/>
      <c r="Z694" s="655"/>
      <c r="AA694" s="655"/>
      <c r="AB694" s="655"/>
      <c r="AC694" s="655"/>
      <c r="AD694" s="655"/>
      <c r="AE694" s="655"/>
      <c r="AF694" s="655"/>
    </row>
    <row r="695" spans="1:32">
      <c r="A695" s="646" t="s">
        <v>139</v>
      </c>
      <c r="B695" s="285"/>
      <c r="C695" s="486"/>
      <c r="D695" s="486"/>
      <c r="E695" s="486"/>
      <c r="F695" s="486"/>
      <c r="G695" s="486"/>
      <c r="H695" s="670"/>
      <c r="I695" s="670"/>
      <c r="J695" s="671"/>
      <c r="K695" s="651"/>
      <c r="L695" s="651"/>
      <c r="M695" s="651"/>
      <c r="N695" s="651"/>
      <c r="O695" s="651"/>
      <c r="P695" s="651"/>
      <c r="Q695" s="651"/>
      <c r="R695" s="651"/>
      <c r="S695" s="651"/>
      <c r="T695" s="655"/>
      <c r="U695" s="655"/>
      <c r="V695" s="655"/>
      <c r="W695" s="655"/>
      <c r="X695" s="655"/>
      <c r="Y695" s="655"/>
      <c r="Z695" s="655"/>
      <c r="AA695" s="655"/>
      <c r="AB695" s="655"/>
      <c r="AC695" s="655"/>
      <c r="AD695" s="655"/>
      <c r="AE695" s="655"/>
      <c r="AF695" s="655"/>
    </row>
    <row r="696" spans="1:32">
      <c r="A696" s="648" t="str">
        <f>A675</f>
        <v>Income before Taxes</v>
      </c>
      <c r="B696" s="285"/>
      <c r="C696" s="486"/>
      <c r="D696" s="486"/>
      <c r="E696" s="486"/>
      <c r="F696" s="486"/>
      <c r="G696" s="486"/>
      <c r="H696" s="649">
        <f>H345</f>
        <v>0</v>
      </c>
      <c r="I696" s="649">
        <f ca="1">I345</f>
        <v>-1847.145062111111</v>
      </c>
      <c r="J696" s="671">
        <f t="shared" ref="J696:AA696" ca="1" si="416">J345</f>
        <v>-4312.2767769105049</v>
      </c>
      <c r="K696" s="649">
        <f t="shared" ca="1" si="416"/>
        <v>-316.71956926962775</v>
      </c>
      <c r="L696" s="649">
        <f t="shared" ca="1" si="416"/>
        <v>-995.36918679336031</v>
      </c>
      <c r="M696" s="649">
        <f t="shared" ca="1" si="416"/>
        <v>-1164.1157927775839</v>
      </c>
      <c r="N696" s="649">
        <f t="shared" ca="1" si="416"/>
        <v>-1164.9872309780721</v>
      </c>
      <c r="O696" s="649">
        <f t="shared" ca="1" si="416"/>
        <v>-847.34619822882041</v>
      </c>
      <c r="P696" s="649">
        <f t="shared" ca="1" si="416"/>
        <v>-198.64262594737602</v>
      </c>
      <c r="Q696" s="649">
        <f t="shared" ca="1" si="416"/>
        <v>371.91610079447901</v>
      </c>
      <c r="R696" s="649">
        <f t="shared" ca="1" si="416"/>
        <v>1012.075847178919</v>
      </c>
      <c r="S696" s="649">
        <f t="shared" ca="1" si="416"/>
        <v>1652.7115406487014</v>
      </c>
      <c r="T696" s="649">
        <f t="shared" ca="1" si="416"/>
        <v>1474.0256366208105</v>
      </c>
      <c r="U696" s="649">
        <f t="shared" ca="1" si="416"/>
        <v>1902.6168226000248</v>
      </c>
      <c r="V696" s="649">
        <f t="shared" ca="1" si="416"/>
        <v>2897.6416587863378</v>
      </c>
      <c r="W696" s="649">
        <f t="shared" ca="1" si="416"/>
        <v>3485.511704881269</v>
      </c>
      <c r="X696" s="649">
        <f t="shared" ca="1" si="416"/>
        <v>6392.6062095253019</v>
      </c>
      <c r="Y696" s="649">
        <f t="shared" ca="1" si="416"/>
        <v>9767.9638349503002</v>
      </c>
      <c r="Z696" s="649">
        <f t="shared" ca="1" si="416"/>
        <v>9976.9648052854245</v>
      </c>
      <c r="AA696" s="649">
        <f t="shared" ca="1" si="416"/>
        <v>10339.26111331724</v>
      </c>
      <c r="AB696" s="649">
        <f ca="1">AB345</f>
        <v>10510.219400623448</v>
      </c>
      <c r="AC696" s="649">
        <f ca="1">AC345</f>
        <v>10899.744526705299</v>
      </c>
      <c r="AD696" s="649">
        <f ca="1">AD345</f>
        <v>11202.151698559399</v>
      </c>
      <c r="AE696" s="649">
        <f ca="1">AE345</f>
        <v>11396.25529761174</v>
      </c>
      <c r="AF696" s="649">
        <f ca="1">AF345</f>
        <v>10085.042959049748</v>
      </c>
    </row>
    <row r="697" spans="1:32">
      <c r="A697" s="648" t="s">
        <v>140</v>
      </c>
      <c r="B697" s="285"/>
      <c r="C697" s="486"/>
      <c r="D697" s="486"/>
      <c r="E697" s="486"/>
      <c r="F697" s="486"/>
      <c r="G697" s="486"/>
      <c r="H697" s="649">
        <f t="shared" ref="H697:AA697" si="417">H696</f>
        <v>0</v>
      </c>
      <c r="I697" s="649">
        <f t="shared" ca="1" si="417"/>
        <v>-1847.145062111111</v>
      </c>
      <c r="J697" s="650">
        <f t="shared" ca="1" si="417"/>
        <v>-4312.2767769105049</v>
      </c>
      <c r="K697" s="649">
        <f t="shared" ca="1" si="417"/>
        <v>-316.71956926962775</v>
      </c>
      <c r="L697" s="649">
        <f t="shared" ca="1" si="417"/>
        <v>-995.36918679336031</v>
      </c>
      <c r="M697" s="649">
        <f t="shared" ca="1" si="417"/>
        <v>-1164.1157927775839</v>
      </c>
      <c r="N697" s="649">
        <f t="shared" ca="1" si="417"/>
        <v>-1164.9872309780721</v>
      </c>
      <c r="O697" s="649">
        <f t="shared" ca="1" si="417"/>
        <v>-847.34619822882041</v>
      </c>
      <c r="P697" s="649">
        <f t="shared" ca="1" si="417"/>
        <v>-198.64262594737602</v>
      </c>
      <c r="Q697" s="649">
        <f t="shared" ca="1" si="417"/>
        <v>371.91610079447901</v>
      </c>
      <c r="R697" s="649">
        <f t="shared" ca="1" si="417"/>
        <v>1012.075847178919</v>
      </c>
      <c r="S697" s="649">
        <f t="shared" ca="1" si="417"/>
        <v>1652.7115406487014</v>
      </c>
      <c r="T697" s="649">
        <f t="shared" ca="1" si="417"/>
        <v>1474.0256366208105</v>
      </c>
      <c r="U697" s="649">
        <f t="shared" ca="1" si="417"/>
        <v>1902.6168226000248</v>
      </c>
      <c r="V697" s="649">
        <f t="shared" ca="1" si="417"/>
        <v>2897.6416587863378</v>
      </c>
      <c r="W697" s="649">
        <f t="shared" ca="1" si="417"/>
        <v>3485.511704881269</v>
      </c>
      <c r="X697" s="649">
        <f t="shared" ca="1" si="417"/>
        <v>6392.6062095253019</v>
      </c>
      <c r="Y697" s="649">
        <f t="shared" ca="1" si="417"/>
        <v>9767.9638349503002</v>
      </c>
      <c r="Z697" s="649">
        <f t="shared" ca="1" si="417"/>
        <v>9976.9648052854245</v>
      </c>
      <c r="AA697" s="649">
        <f t="shared" ca="1" si="417"/>
        <v>10339.26111331724</v>
      </c>
      <c r="AB697" s="649">
        <f ca="1">AB696</f>
        <v>10510.219400623448</v>
      </c>
      <c r="AC697" s="649">
        <f ca="1">AC696</f>
        <v>10899.744526705299</v>
      </c>
      <c r="AD697" s="649">
        <f ca="1">AD696</f>
        <v>11202.151698559399</v>
      </c>
      <c r="AE697" s="649">
        <f ca="1">AE696</f>
        <v>11396.25529761174</v>
      </c>
      <c r="AF697" s="649">
        <f ca="1">AF696</f>
        <v>10085.042959049748</v>
      </c>
    </row>
    <row r="698" spans="1:32">
      <c r="A698" s="648"/>
      <c r="B698" s="285"/>
      <c r="C698" s="486"/>
      <c r="D698" s="486"/>
      <c r="E698" s="486"/>
      <c r="F698" s="486"/>
      <c r="G698" s="486"/>
      <c r="H698" s="651"/>
      <c r="I698" s="649"/>
      <c r="J698" s="650"/>
      <c r="K698" s="651"/>
      <c r="L698" s="651"/>
      <c r="M698" s="651"/>
      <c r="N698" s="651"/>
      <c r="O698" s="651"/>
      <c r="P698" s="651"/>
      <c r="Q698" s="651"/>
      <c r="R698" s="651"/>
      <c r="S698" s="651"/>
      <c r="T698" s="651"/>
      <c r="U698" s="651"/>
      <c r="V698" s="651"/>
      <c r="W698" s="651"/>
      <c r="X698" s="651"/>
      <c r="Y698" s="651"/>
      <c r="Z698" s="651"/>
      <c r="AA698" s="651"/>
      <c r="AB698" s="651"/>
      <c r="AC698" s="651"/>
      <c r="AD698" s="651"/>
      <c r="AE698" s="651"/>
      <c r="AF698" s="651"/>
    </row>
    <row r="699" spans="1:32" s="280" customFormat="1">
      <c r="A699" s="479" t="s">
        <v>129</v>
      </c>
      <c r="B699" s="479"/>
      <c r="C699" s="479"/>
      <c r="D699" s="479"/>
      <c r="E699" s="479"/>
      <c r="F699" s="479"/>
      <c r="G699" s="479"/>
      <c r="H699" s="658">
        <f>G675</f>
        <v>0</v>
      </c>
      <c r="I699" s="658">
        <f t="shared" ref="I699:AA699" si="418">H704</f>
        <v>0</v>
      </c>
      <c r="J699" s="659">
        <f t="shared" ca="1" si="418"/>
        <v>1847.145062111111</v>
      </c>
      <c r="K699" s="660">
        <f t="shared" ca="1" si="418"/>
        <v>6159.4218390216156</v>
      </c>
      <c r="L699" s="660">
        <f t="shared" ca="1" si="418"/>
        <v>6476.1414082912434</v>
      </c>
      <c r="M699" s="660">
        <f t="shared" ca="1" si="418"/>
        <v>7471.5105950846037</v>
      </c>
      <c r="N699" s="660">
        <f t="shared" ca="1" si="418"/>
        <v>8635.6263878621867</v>
      </c>
      <c r="O699" s="660">
        <f t="shared" ca="1" si="418"/>
        <v>9800.6136188402597</v>
      </c>
      <c r="P699" s="660">
        <f t="shared" ca="1" si="418"/>
        <v>10647.959817069081</v>
      </c>
      <c r="Q699" s="660">
        <f t="shared" ca="1" si="418"/>
        <v>10846.602443016456</v>
      </c>
      <c r="R699" s="660">
        <f t="shared" ca="1" si="418"/>
        <v>10474.686342221978</v>
      </c>
      <c r="S699" s="660">
        <f t="shared" ca="1" si="418"/>
        <v>9462.6104950430581</v>
      </c>
      <c r="T699" s="660">
        <f t="shared" ca="1" si="418"/>
        <v>7809.8989543943571</v>
      </c>
      <c r="U699" s="660">
        <f t="shared" ca="1" si="418"/>
        <v>6335.8733177735467</v>
      </c>
      <c r="V699" s="660">
        <f t="shared" ca="1" si="418"/>
        <v>4433.2564951735221</v>
      </c>
      <c r="W699" s="660">
        <f t="shared" ca="1" si="418"/>
        <v>1535.6148363871844</v>
      </c>
      <c r="X699" s="660">
        <f t="shared" ca="1" si="418"/>
        <v>0</v>
      </c>
      <c r="Y699" s="660">
        <f t="shared" ca="1" si="418"/>
        <v>0</v>
      </c>
      <c r="Z699" s="660">
        <f t="shared" ca="1" si="418"/>
        <v>0</v>
      </c>
      <c r="AA699" s="660">
        <f t="shared" ca="1" si="418"/>
        <v>0</v>
      </c>
      <c r="AB699" s="660">
        <f ca="1">AA704</f>
        <v>0</v>
      </c>
      <c r="AC699" s="660">
        <f ca="1">AB704</f>
        <v>0</v>
      </c>
      <c r="AD699" s="660">
        <f ca="1">AC704</f>
        <v>0</v>
      </c>
      <c r="AE699" s="660">
        <f ca="1">AD704</f>
        <v>0</v>
      </c>
      <c r="AF699" s="660">
        <f ca="1">AE704</f>
        <v>0</v>
      </c>
    </row>
    <row r="700" spans="1:32" s="280" customFormat="1">
      <c r="A700" s="661" t="s">
        <v>130</v>
      </c>
      <c r="B700" s="479"/>
      <c r="C700" s="479"/>
      <c r="D700" s="479"/>
      <c r="E700" s="479"/>
      <c r="F700" s="479"/>
      <c r="G700" s="479"/>
      <c r="H700" s="662">
        <v>0</v>
      </c>
      <c r="I700" s="662">
        <v>0</v>
      </c>
      <c r="J700" s="663">
        <v>0</v>
      </c>
      <c r="K700" s="664">
        <v>0</v>
      </c>
      <c r="L700" s="664">
        <v>0</v>
      </c>
      <c r="M700" s="664">
        <v>0</v>
      </c>
      <c r="N700" s="664">
        <v>0</v>
      </c>
      <c r="O700" s="664">
        <v>0</v>
      </c>
      <c r="P700" s="664">
        <v>0</v>
      </c>
      <c r="Q700" s="664">
        <v>0</v>
      </c>
      <c r="R700" s="664">
        <v>0</v>
      </c>
      <c r="S700" s="664">
        <v>0</v>
      </c>
      <c r="T700" s="664">
        <v>0</v>
      </c>
      <c r="U700" s="664">
        <v>0</v>
      </c>
      <c r="V700" s="664">
        <v>0</v>
      </c>
      <c r="W700" s="664">
        <v>0</v>
      </c>
      <c r="X700" s="664">
        <v>0</v>
      </c>
      <c r="Y700" s="664">
        <v>0</v>
      </c>
      <c r="Z700" s="664">
        <v>0</v>
      </c>
      <c r="AA700" s="664">
        <v>0</v>
      </c>
      <c r="AB700" s="664">
        <v>0</v>
      </c>
      <c r="AC700" s="664">
        <v>0</v>
      </c>
      <c r="AD700" s="664">
        <v>0</v>
      </c>
      <c r="AE700" s="664">
        <v>0</v>
      </c>
      <c r="AF700" s="664">
        <v>0</v>
      </c>
    </row>
    <row r="701" spans="1:32" s="280" customFormat="1">
      <c r="A701" s="661" t="s">
        <v>131</v>
      </c>
      <c r="B701" s="479"/>
      <c r="C701" s="479"/>
      <c r="D701" s="479"/>
      <c r="E701" s="479"/>
      <c r="F701" s="479"/>
      <c r="G701" s="479"/>
      <c r="H701" s="658">
        <f t="shared" ref="H701:AA701" si="419">IF(H699-H700&lt;0,0,H699-H700)</f>
        <v>0</v>
      </c>
      <c r="I701" s="658">
        <f t="shared" si="419"/>
        <v>0</v>
      </c>
      <c r="J701" s="659">
        <f t="shared" ca="1" si="419"/>
        <v>1847.145062111111</v>
      </c>
      <c r="K701" s="658">
        <f t="shared" ca="1" si="419"/>
        <v>6159.4218390216156</v>
      </c>
      <c r="L701" s="658">
        <f t="shared" ca="1" si="419"/>
        <v>6476.1414082912434</v>
      </c>
      <c r="M701" s="658">
        <f t="shared" ca="1" si="419"/>
        <v>7471.5105950846037</v>
      </c>
      <c r="N701" s="658">
        <f t="shared" ca="1" si="419"/>
        <v>8635.6263878621867</v>
      </c>
      <c r="O701" s="658">
        <f t="shared" ca="1" si="419"/>
        <v>9800.6136188402597</v>
      </c>
      <c r="P701" s="658">
        <f t="shared" ca="1" si="419"/>
        <v>10647.959817069081</v>
      </c>
      <c r="Q701" s="658">
        <f t="shared" ca="1" si="419"/>
        <v>10846.602443016456</v>
      </c>
      <c r="R701" s="658">
        <f t="shared" ca="1" si="419"/>
        <v>10474.686342221978</v>
      </c>
      <c r="S701" s="658">
        <f t="shared" ca="1" si="419"/>
        <v>9462.6104950430581</v>
      </c>
      <c r="T701" s="658">
        <f t="shared" ca="1" si="419"/>
        <v>7809.8989543943571</v>
      </c>
      <c r="U701" s="658">
        <f t="shared" ca="1" si="419"/>
        <v>6335.8733177735467</v>
      </c>
      <c r="V701" s="658">
        <f t="shared" ca="1" si="419"/>
        <v>4433.2564951735221</v>
      </c>
      <c r="W701" s="658">
        <f t="shared" ca="1" si="419"/>
        <v>1535.6148363871844</v>
      </c>
      <c r="X701" s="658">
        <f t="shared" ca="1" si="419"/>
        <v>0</v>
      </c>
      <c r="Y701" s="658">
        <f t="shared" ca="1" si="419"/>
        <v>0</v>
      </c>
      <c r="Z701" s="658">
        <f t="shared" ca="1" si="419"/>
        <v>0</v>
      </c>
      <c r="AA701" s="658">
        <f t="shared" ca="1" si="419"/>
        <v>0</v>
      </c>
      <c r="AB701" s="658">
        <f ca="1">IF(AB699-AB700&lt;0,0,AB699-AB700)</f>
        <v>0</v>
      </c>
      <c r="AC701" s="658">
        <f ca="1">IF(AC699-AC700&lt;0,0,AC699-AC700)</f>
        <v>0</v>
      </c>
      <c r="AD701" s="658">
        <f ca="1">IF(AD699-AD700&lt;0,0,AD699-AD700)</f>
        <v>0</v>
      </c>
      <c r="AE701" s="658">
        <f ca="1">IF(AE699-AE700&lt;0,0,AE699-AE700)</f>
        <v>0</v>
      </c>
      <c r="AF701" s="658">
        <f ca="1">IF(AF699-AF700&lt;0,0,AF699-AF700)</f>
        <v>0</v>
      </c>
    </row>
    <row r="702" spans="1:32" s="280" customFormat="1">
      <c r="A702" s="661" t="s">
        <v>132</v>
      </c>
      <c r="B702" s="479"/>
      <c r="C702" s="479"/>
      <c r="D702" s="479"/>
      <c r="E702" s="479"/>
      <c r="F702" s="479"/>
      <c r="G702" s="479"/>
      <c r="H702" s="658">
        <f>IF(H697&lt;=0,H697,0)</f>
        <v>0</v>
      </c>
      <c r="I702" s="658">
        <f t="shared" ref="I702:AA702" ca="1" si="420">IF(I697&lt;=0,I697,0)</f>
        <v>-1847.145062111111</v>
      </c>
      <c r="J702" s="659">
        <f t="shared" ca="1" si="420"/>
        <v>-4312.2767769105049</v>
      </c>
      <c r="K702" s="658">
        <f t="shared" ca="1" si="420"/>
        <v>-316.71956926962775</v>
      </c>
      <c r="L702" s="658">
        <f t="shared" ca="1" si="420"/>
        <v>-995.36918679336031</v>
      </c>
      <c r="M702" s="658">
        <f t="shared" ca="1" si="420"/>
        <v>-1164.1157927775839</v>
      </c>
      <c r="N702" s="658">
        <f t="shared" ca="1" si="420"/>
        <v>-1164.9872309780721</v>
      </c>
      <c r="O702" s="658">
        <f t="shared" ca="1" si="420"/>
        <v>-847.34619822882041</v>
      </c>
      <c r="P702" s="658">
        <f t="shared" ca="1" si="420"/>
        <v>-198.64262594737602</v>
      </c>
      <c r="Q702" s="658">
        <f t="shared" ca="1" si="420"/>
        <v>0</v>
      </c>
      <c r="R702" s="658">
        <f t="shared" ca="1" si="420"/>
        <v>0</v>
      </c>
      <c r="S702" s="658">
        <f t="shared" ca="1" si="420"/>
        <v>0</v>
      </c>
      <c r="T702" s="658">
        <f t="shared" ca="1" si="420"/>
        <v>0</v>
      </c>
      <c r="U702" s="658">
        <f t="shared" ca="1" si="420"/>
        <v>0</v>
      </c>
      <c r="V702" s="658">
        <f t="shared" ca="1" si="420"/>
        <v>0</v>
      </c>
      <c r="W702" s="658">
        <f t="shared" ca="1" si="420"/>
        <v>0</v>
      </c>
      <c r="X702" s="658">
        <f t="shared" ca="1" si="420"/>
        <v>0</v>
      </c>
      <c r="Y702" s="658">
        <f t="shared" ca="1" si="420"/>
        <v>0</v>
      </c>
      <c r="Z702" s="658">
        <f t="shared" ca="1" si="420"/>
        <v>0</v>
      </c>
      <c r="AA702" s="658">
        <f t="shared" ca="1" si="420"/>
        <v>0</v>
      </c>
      <c r="AB702" s="658">
        <f ca="1">IF(AB697&lt;=0,AB697,0)</f>
        <v>0</v>
      </c>
      <c r="AC702" s="658">
        <f ca="1">IF(AC697&lt;=0,AC697,0)</f>
        <v>0</v>
      </c>
      <c r="AD702" s="658">
        <f ca="1">IF(AD697&lt;=0,AD697,0)</f>
        <v>0</v>
      </c>
      <c r="AE702" s="658">
        <f ca="1">IF(AE697&lt;=0,AE697,0)</f>
        <v>0</v>
      </c>
      <c r="AF702" s="658">
        <f ca="1">IF(AF697&lt;=0,AF697,0)</f>
        <v>0</v>
      </c>
    </row>
    <row r="703" spans="1:32" s="280" customFormat="1">
      <c r="A703" s="661" t="s">
        <v>133</v>
      </c>
      <c r="B703" s="479"/>
      <c r="C703" s="479"/>
      <c r="D703" s="479"/>
      <c r="E703" s="479"/>
      <c r="F703" s="479"/>
      <c r="G703" s="479"/>
      <c r="H703" s="658">
        <f>IF(H697&gt;0,IF(H701&lt;=H697,H701,H697),0)</f>
        <v>0</v>
      </c>
      <c r="I703" s="658">
        <f t="shared" ref="I703:AA703" ca="1" si="421">IF(I697&gt;0,IF(I701&lt;=I697,I701,I697),0)</f>
        <v>0</v>
      </c>
      <c r="J703" s="659">
        <f t="shared" ca="1" si="421"/>
        <v>0</v>
      </c>
      <c r="K703" s="658">
        <f t="shared" ca="1" si="421"/>
        <v>0</v>
      </c>
      <c r="L703" s="658">
        <f t="shared" ca="1" si="421"/>
        <v>0</v>
      </c>
      <c r="M703" s="658">
        <f t="shared" ca="1" si="421"/>
        <v>0</v>
      </c>
      <c r="N703" s="658">
        <f t="shared" ca="1" si="421"/>
        <v>0</v>
      </c>
      <c r="O703" s="658">
        <f t="shared" ca="1" si="421"/>
        <v>0</v>
      </c>
      <c r="P703" s="658">
        <f t="shared" ca="1" si="421"/>
        <v>0</v>
      </c>
      <c r="Q703" s="658">
        <f t="shared" ca="1" si="421"/>
        <v>371.91610079447901</v>
      </c>
      <c r="R703" s="658">
        <f t="shared" ca="1" si="421"/>
        <v>1012.075847178919</v>
      </c>
      <c r="S703" s="658">
        <f t="shared" ca="1" si="421"/>
        <v>1652.7115406487014</v>
      </c>
      <c r="T703" s="658">
        <f t="shared" ca="1" si="421"/>
        <v>1474.0256366208105</v>
      </c>
      <c r="U703" s="658">
        <f t="shared" ca="1" si="421"/>
        <v>1902.6168226000248</v>
      </c>
      <c r="V703" s="658">
        <f t="shared" ca="1" si="421"/>
        <v>2897.6416587863378</v>
      </c>
      <c r="W703" s="658">
        <f t="shared" ca="1" si="421"/>
        <v>1535.6148363871844</v>
      </c>
      <c r="X703" s="658">
        <f t="shared" ca="1" si="421"/>
        <v>0</v>
      </c>
      <c r="Y703" s="658">
        <f t="shared" ca="1" si="421"/>
        <v>0</v>
      </c>
      <c r="Z703" s="658">
        <f t="shared" ca="1" si="421"/>
        <v>0</v>
      </c>
      <c r="AA703" s="658">
        <f t="shared" ca="1" si="421"/>
        <v>0</v>
      </c>
      <c r="AB703" s="658">
        <f ca="1">IF(AB697&gt;0,IF(AB701&lt;=AB697,AB701,AB697),0)</f>
        <v>0</v>
      </c>
      <c r="AC703" s="658">
        <f ca="1">IF(AC697&gt;0,IF(AC701&lt;=AC697,AC701,AC697),0)</f>
        <v>0</v>
      </c>
      <c r="AD703" s="658">
        <f ca="1">IF(AD697&gt;0,IF(AD701&lt;=AD697,AD701,AD697),0)</f>
        <v>0</v>
      </c>
      <c r="AE703" s="658">
        <f ca="1">IF(AE697&gt;0,IF(AE701&lt;=AE697,AE701,AE697),0)</f>
        <v>0</v>
      </c>
      <c r="AF703" s="658">
        <f ca="1">IF(AF697&gt;0,IF(AF701&lt;=AF697,AF701,AF697),0)</f>
        <v>0</v>
      </c>
    </row>
    <row r="704" spans="1:32" s="280" customFormat="1">
      <c r="A704" s="661" t="s">
        <v>134</v>
      </c>
      <c r="B704" s="479"/>
      <c r="C704" s="479"/>
      <c r="D704" s="479"/>
      <c r="E704" s="479"/>
      <c r="F704" s="479"/>
      <c r="G704" s="479"/>
      <c r="H704" s="665">
        <f t="shared" ref="H704:AA704" si="422">IF(H701-H702-H703&lt;0,0,H701-H702-H703)</f>
        <v>0</v>
      </c>
      <c r="I704" s="665">
        <f t="shared" ca="1" si="422"/>
        <v>1847.145062111111</v>
      </c>
      <c r="J704" s="666">
        <f t="shared" ca="1" si="422"/>
        <v>6159.4218390216156</v>
      </c>
      <c r="K704" s="665">
        <f t="shared" ca="1" si="422"/>
        <v>6476.1414082912434</v>
      </c>
      <c r="L704" s="665">
        <f t="shared" ca="1" si="422"/>
        <v>7471.5105950846037</v>
      </c>
      <c r="M704" s="665">
        <f t="shared" ca="1" si="422"/>
        <v>8635.6263878621867</v>
      </c>
      <c r="N704" s="665">
        <f t="shared" ca="1" si="422"/>
        <v>9800.6136188402597</v>
      </c>
      <c r="O704" s="665">
        <f t="shared" ca="1" si="422"/>
        <v>10647.959817069081</v>
      </c>
      <c r="P704" s="665">
        <f t="shared" ca="1" si="422"/>
        <v>10846.602443016456</v>
      </c>
      <c r="Q704" s="665">
        <f t="shared" ca="1" si="422"/>
        <v>10474.686342221978</v>
      </c>
      <c r="R704" s="665">
        <f t="shared" ca="1" si="422"/>
        <v>9462.6104950430581</v>
      </c>
      <c r="S704" s="665">
        <f t="shared" ca="1" si="422"/>
        <v>7809.8989543943571</v>
      </c>
      <c r="T704" s="665">
        <f t="shared" ca="1" si="422"/>
        <v>6335.8733177735467</v>
      </c>
      <c r="U704" s="665">
        <f t="shared" ca="1" si="422"/>
        <v>4433.2564951735221</v>
      </c>
      <c r="V704" s="665">
        <f t="shared" ca="1" si="422"/>
        <v>1535.6148363871844</v>
      </c>
      <c r="W704" s="665">
        <f t="shared" ca="1" si="422"/>
        <v>0</v>
      </c>
      <c r="X704" s="665">
        <f t="shared" ca="1" si="422"/>
        <v>0</v>
      </c>
      <c r="Y704" s="665">
        <f t="shared" ca="1" si="422"/>
        <v>0</v>
      </c>
      <c r="Z704" s="665">
        <f t="shared" ca="1" si="422"/>
        <v>0</v>
      </c>
      <c r="AA704" s="665">
        <f t="shared" ca="1" si="422"/>
        <v>0</v>
      </c>
      <c r="AB704" s="665">
        <f ca="1">IF(AB701-AB702-AB703&lt;0,0,AB701-AB702-AB703)</f>
        <v>0</v>
      </c>
      <c r="AC704" s="665">
        <f ca="1">IF(AC701-AC702-AC703&lt;0,0,AC701-AC702-AC703)</f>
        <v>0</v>
      </c>
      <c r="AD704" s="665">
        <f ca="1">IF(AD701-AD702-AD703&lt;0,0,AD701-AD702-AD703)</f>
        <v>0</v>
      </c>
      <c r="AE704" s="665">
        <f ca="1">IF(AE701-AE702-AE703&lt;0,0,AE701-AE702-AE703)</f>
        <v>0</v>
      </c>
      <c r="AF704" s="665">
        <f ca="1">IF(AF701-AF702-AF703&lt;0,0,AF701-AF702-AF703)</f>
        <v>0</v>
      </c>
    </row>
    <row r="705" spans="1:32">
      <c r="A705" s="667"/>
      <c r="B705" s="285"/>
      <c r="C705" s="285"/>
      <c r="D705" s="285"/>
      <c r="E705" s="285"/>
      <c r="F705" s="285"/>
      <c r="G705" s="285"/>
      <c r="H705" s="653"/>
      <c r="I705" s="653"/>
      <c r="J705" s="654"/>
      <c r="K705" s="653"/>
      <c r="L705" s="653"/>
      <c r="M705" s="653"/>
      <c r="N705" s="653"/>
      <c r="O705" s="653"/>
      <c r="P705" s="653"/>
      <c r="Q705" s="653"/>
      <c r="R705" s="653"/>
      <c r="S705" s="653"/>
      <c r="T705" s="653"/>
      <c r="U705" s="653"/>
      <c r="V705" s="653"/>
      <c r="W705" s="653"/>
      <c r="X705" s="653"/>
      <c r="Y705" s="653"/>
      <c r="Z705" s="653"/>
      <c r="AA705" s="653"/>
      <c r="AB705" s="653"/>
      <c r="AC705" s="653"/>
      <c r="AD705" s="653"/>
      <c r="AE705" s="653"/>
      <c r="AF705" s="653"/>
    </row>
    <row r="706" spans="1:32">
      <c r="A706" s="648" t="s">
        <v>141</v>
      </c>
      <c r="B706" s="285"/>
      <c r="C706" s="285"/>
      <c r="D706" s="285"/>
      <c r="E706" s="285"/>
      <c r="F706" s="285"/>
      <c r="G706" s="285"/>
      <c r="H706" s="653">
        <f>IF(H697&lt;=0,0,H697-H703)</f>
        <v>0</v>
      </c>
      <c r="I706" s="653">
        <f t="shared" ref="I706:AA706" ca="1" si="423">IF(I697&lt;=0,0,I697-I703)</f>
        <v>0</v>
      </c>
      <c r="J706" s="654">
        <f t="shared" ca="1" si="423"/>
        <v>0</v>
      </c>
      <c r="K706" s="653">
        <f t="shared" ca="1" si="423"/>
        <v>0</v>
      </c>
      <c r="L706" s="653">
        <f t="shared" ca="1" si="423"/>
        <v>0</v>
      </c>
      <c r="M706" s="653">
        <f t="shared" ca="1" si="423"/>
        <v>0</v>
      </c>
      <c r="N706" s="653">
        <f t="shared" ca="1" si="423"/>
        <v>0</v>
      </c>
      <c r="O706" s="653">
        <f t="shared" ca="1" si="423"/>
        <v>0</v>
      </c>
      <c r="P706" s="653">
        <f t="shared" ca="1" si="423"/>
        <v>0</v>
      </c>
      <c r="Q706" s="653">
        <f t="shared" ca="1" si="423"/>
        <v>0</v>
      </c>
      <c r="R706" s="653">
        <f t="shared" ca="1" si="423"/>
        <v>0</v>
      </c>
      <c r="S706" s="653">
        <f t="shared" ca="1" si="423"/>
        <v>0</v>
      </c>
      <c r="T706" s="653">
        <f t="shared" ca="1" si="423"/>
        <v>0</v>
      </c>
      <c r="U706" s="653">
        <f t="shared" ca="1" si="423"/>
        <v>0</v>
      </c>
      <c r="V706" s="653">
        <f t="shared" ca="1" si="423"/>
        <v>0</v>
      </c>
      <c r="W706" s="653">
        <f t="shared" ca="1" si="423"/>
        <v>1949.8968684940846</v>
      </c>
      <c r="X706" s="653">
        <f t="shared" ca="1" si="423"/>
        <v>6392.6062095253019</v>
      </c>
      <c r="Y706" s="653">
        <f t="shared" ca="1" si="423"/>
        <v>9767.9638349503002</v>
      </c>
      <c r="Z706" s="653">
        <f t="shared" ca="1" si="423"/>
        <v>9976.9648052854245</v>
      </c>
      <c r="AA706" s="653">
        <f t="shared" ca="1" si="423"/>
        <v>10339.26111331724</v>
      </c>
      <c r="AB706" s="653">
        <f ca="1">IF(AB697&lt;=0,0,AB697-AB703)</f>
        <v>10510.219400623448</v>
      </c>
      <c r="AC706" s="653">
        <f ca="1">IF(AC697&lt;=0,0,AC697-AC703)</f>
        <v>10899.744526705299</v>
      </c>
      <c r="AD706" s="653">
        <f ca="1">IF(AD697&lt;=0,0,AD697-AD703)</f>
        <v>11202.151698559399</v>
      </c>
      <c r="AE706" s="653">
        <f ca="1">IF(AE697&lt;=0,0,AE697-AE703)</f>
        <v>11396.25529761174</v>
      </c>
      <c r="AF706" s="653">
        <f ca="1">IF(AF697&lt;=0,0,AF697-AF703)</f>
        <v>10085.042959049748</v>
      </c>
    </row>
    <row r="707" spans="1:32">
      <c r="A707" s="648"/>
      <c r="B707" s="285"/>
      <c r="C707" s="285"/>
      <c r="D707" s="285"/>
      <c r="E707" s="285"/>
      <c r="F707" s="285"/>
      <c r="G707" s="285"/>
      <c r="H707" s="653"/>
      <c r="I707" s="653"/>
      <c r="J707" s="654"/>
      <c r="K707" s="655"/>
      <c r="L707" s="655"/>
      <c r="M707" s="655"/>
      <c r="N707" s="655"/>
      <c r="O707" s="655"/>
      <c r="P707" s="655"/>
      <c r="Q707" s="655"/>
      <c r="R707" s="655"/>
      <c r="S707" s="655"/>
      <c r="T707" s="655"/>
      <c r="U707" s="655"/>
      <c r="V707" s="655"/>
      <c r="W707" s="655"/>
      <c r="X707" s="655"/>
      <c r="Y707" s="655"/>
      <c r="Z707" s="655"/>
      <c r="AA707" s="655"/>
      <c r="AB707" s="655"/>
      <c r="AC707" s="655"/>
      <c r="AD707" s="655"/>
      <c r="AE707" s="655"/>
      <c r="AF707" s="655"/>
    </row>
    <row r="708" spans="1:32">
      <c r="A708" s="648" t="s">
        <v>136</v>
      </c>
      <c r="B708" s="280"/>
      <c r="C708" s="505">
        <f>I668</f>
        <v>0</v>
      </c>
      <c r="D708" s="285"/>
      <c r="E708" s="285"/>
      <c r="F708" s="285"/>
      <c r="G708" s="285"/>
      <c r="H708" s="649">
        <f t="shared" ref="H708:AA708" si="424">H706*H668</f>
        <v>0</v>
      </c>
      <c r="I708" s="649">
        <f t="shared" ca="1" si="424"/>
        <v>0</v>
      </c>
      <c r="J708" s="650">
        <f t="shared" ca="1" si="424"/>
        <v>0</v>
      </c>
      <c r="K708" s="651">
        <f t="shared" ca="1" si="424"/>
        <v>0</v>
      </c>
      <c r="L708" s="651">
        <f t="shared" ca="1" si="424"/>
        <v>0</v>
      </c>
      <c r="M708" s="651">
        <f t="shared" ca="1" si="424"/>
        <v>0</v>
      </c>
      <c r="N708" s="651">
        <f t="shared" ca="1" si="424"/>
        <v>0</v>
      </c>
      <c r="O708" s="651">
        <f t="shared" ca="1" si="424"/>
        <v>0</v>
      </c>
      <c r="P708" s="651">
        <f t="shared" ca="1" si="424"/>
        <v>0</v>
      </c>
      <c r="Q708" s="651">
        <f t="shared" ca="1" si="424"/>
        <v>0</v>
      </c>
      <c r="R708" s="651">
        <f t="shared" ca="1" si="424"/>
        <v>0</v>
      </c>
      <c r="S708" s="651">
        <f t="shared" ca="1" si="424"/>
        <v>0</v>
      </c>
      <c r="T708" s="651">
        <f t="shared" ca="1" si="424"/>
        <v>0</v>
      </c>
      <c r="U708" s="651">
        <f t="shared" ca="1" si="424"/>
        <v>0</v>
      </c>
      <c r="V708" s="651">
        <f t="shared" ca="1" si="424"/>
        <v>0</v>
      </c>
      <c r="W708" s="651">
        <f t="shared" ca="1" si="424"/>
        <v>0</v>
      </c>
      <c r="X708" s="651">
        <f t="shared" ca="1" si="424"/>
        <v>0</v>
      </c>
      <c r="Y708" s="651">
        <f t="shared" ca="1" si="424"/>
        <v>0</v>
      </c>
      <c r="Z708" s="651">
        <f t="shared" ca="1" si="424"/>
        <v>0</v>
      </c>
      <c r="AA708" s="651">
        <f t="shared" ca="1" si="424"/>
        <v>0</v>
      </c>
      <c r="AB708" s="651">
        <f ca="1">AB706*AB668</f>
        <v>0</v>
      </c>
      <c r="AC708" s="651">
        <f ca="1">AC706*AC668</f>
        <v>0</v>
      </c>
      <c r="AD708" s="651">
        <f ca="1">AD706*AD668</f>
        <v>0</v>
      </c>
      <c r="AE708" s="651">
        <f ca="1">AE706*AE668</f>
        <v>0</v>
      </c>
      <c r="AF708" s="651">
        <f ca="1">AF706*AF668</f>
        <v>0</v>
      </c>
    </row>
    <row r="709" spans="1:32">
      <c r="A709" s="648" t="s">
        <v>137</v>
      </c>
      <c r="B709" s="280"/>
      <c r="C709" s="505">
        <f>I667</f>
        <v>0</v>
      </c>
      <c r="D709" s="285"/>
      <c r="E709" s="285"/>
      <c r="F709" s="285"/>
      <c r="G709" s="285"/>
      <c r="H709" s="653">
        <f t="shared" ref="H709:AA709" si="425">(H706-H708)*H667</f>
        <v>0</v>
      </c>
      <c r="I709" s="672">
        <f t="shared" ca="1" si="425"/>
        <v>0</v>
      </c>
      <c r="J709" s="655">
        <f t="shared" ca="1" si="425"/>
        <v>0</v>
      </c>
      <c r="K709" s="655">
        <f t="shared" ca="1" si="425"/>
        <v>0</v>
      </c>
      <c r="L709" s="655">
        <f t="shared" ca="1" si="425"/>
        <v>0</v>
      </c>
      <c r="M709" s="655">
        <f t="shared" ca="1" si="425"/>
        <v>0</v>
      </c>
      <c r="N709" s="655">
        <f t="shared" ca="1" si="425"/>
        <v>0</v>
      </c>
      <c r="O709" s="655">
        <f t="shared" ca="1" si="425"/>
        <v>0</v>
      </c>
      <c r="P709" s="655">
        <f t="shared" ca="1" si="425"/>
        <v>0</v>
      </c>
      <c r="Q709" s="655">
        <f t="shared" ca="1" si="425"/>
        <v>0</v>
      </c>
      <c r="R709" s="655">
        <f t="shared" ca="1" si="425"/>
        <v>0</v>
      </c>
      <c r="S709" s="655">
        <f t="shared" ca="1" si="425"/>
        <v>0</v>
      </c>
      <c r="T709" s="655">
        <f t="shared" ca="1" si="425"/>
        <v>0</v>
      </c>
      <c r="U709" s="655">
        <f t="shared" ca="1" si="425"/>
        <v>0</v>
      </c>
      <c r="V709" s="655">
        <f t="shared" ca="1" si="425"/>
        <v>0</v>
      </c>
      <c r="W709" s="655">
        <f t="shared" ca="1" si="425"/>
        <v>0</v>
      </c>
      <c r="X709" s="655">
        <f t="shared" ca="1" si="425"/>
        <v>0</v>
      </c>
      <c r="Y709" s="655">
        <f t="shared" ca="1" si="425"/>
        <v>0</v>
      </c>
      <c r="Z709" s="655">
        <f t="shared" ca="1" si="425"/>
        <v>0</v>
      </c>
      <c r="AA709" s="655">
        <f t="shared" ca="1" si="425"/>
        <v>0</v>
      </c>
      <c r="AB709" s="655">
        <f ca="1">(AB706-AB708)*AB667</f>
        <v>0</v>
      </c>
      <c r="AC709" s="655">
        <f ca="1">(AC706-AC708)*AC667</f>
        <v>0</v>
      </c>
      <c r="AD709" s="655">
        <f ca="1">(AD706-AD708)*AD667</f>
        <v>0</v>
      </c>
      <c r="AE709" s="655">
        <f ca="1">(AE706-AE708)*AE667</f>
        <v>0</v>
      </c>
      <c r="AF709" s="655">
        <f ca="1">(AF706-AF708)*AF667</f>
        <v>0</v>
      </c>
    </row>
    <row r="710" spans="1:32" ht="10.8" thickBot="1">
      <c r="A710" s="648" t="s">
        <v>142</v>
      </c>
      <c r="B710" s="285"/>
      <c r="C710" s="285"/>
      <c r="D710" s="285"/>
      <c r="E710" s="285"/>
      <c r="F710" s="285"/>
      <c r="G710" s="285"/>
      <c r="H710" s="668">
        <f t="shared" ref="H710:AA710" si="426">H708+H709</f>
        <v>0</v>
      </c>
      <c r="I710" s="673">
        <f t="shared" ca="1" si="426"/>
        <v>0</v>
      </c>
      <c r="J710" s="668">
        <f t="shared" ca="1" si="426"/>
        <v>0</v>
      </c>
      <c r="K710" s="668">
        <f t="shared" ca="1" si="426"/>
        <v>0</v>
      </c>
      <c r="L710" s="668">
        <f t="shared" ca="1" si="426"/>
        <v>0</v>
      </c>
      <c r="M710" s="668">
        <f t="shared" ca="1" si="426"/>
        <v>0</v>
      </c>
      <c r="N710" s="668">
        <f t="shared" ca="1" si="426"/>
        <v>0</v>
      </c>
      <c r="O710" s="668">
        <f t="shared" ca="1" si="426"/>
        <v>0</v>
      </c>
      <c r="P710" s="668">
        <f t="shared" ca="1" si="426"/>
        <v>0</v>
      </c>
      <c r="Q710" s="668">
        <f t="shared" ca="1" si="426"/>
        <v>0</v>
      </c>
      <c r="R710" s="668">
        <f t="shared" ca="1" si="426"/>
        <v>0</v>
      </c>
      <c r="S710" s="668">
        <f t="shared" ca="1" si="426"/>
        <v>0</v>
      </c>
      <c r="T710" s="668">
        <f t="shared" ca="1" si="426"/>
        <v>0</v>
      </c>
      <c r="U710" s="668">
        <f t="shared" ca="1" si="426"/>
        <v>0</v>
      </c>
      <c r="V710" s="668">
        <f t="shared" ca="1" si="426"/>
        <v>0</v>
      </c>
      <c r="W710" s="668">
        <f t="shared" ca="1" si="426"/>
        <v>0</v>
      </c>
      <c r="X710" s="668">
        <f t="shared" ca="1" si="426"/>
        <v>0</v>
      </c>
      <c r="Y710" s="668">
        <f t="shared" ca="1" si="426"/>
        <v>0</v>
      </c>
      <c r="Z710" s="668">
        <f t="shared" ca="1" si="426"/>
        <v>0</v>
      </c>
      <c r="AA710" s="668">
        <f t="shared" ca="1" si="426"/>
        <v>0</v>
      </c>
      <c r="AB710" s="668">
        <f ca="1">AB708+AB709</f>
        <v>0</v>
      </c>
      <c r="AC710" s="668">
        <f ca="1">AC708+AC709</f>
        <v>0</v>
      </c>
      <c r="AD710" s="668">
        <f ca="1">AD708+AD709</f>
        <v>0</v>
      </c>
      <c r="AE710" s="668">
        <f ca="1">AE708+AE709</f>
        <v>0</v>
      </c>
      <c r="AF710" s="668">
        <f ca="1">AF708+AF709</f>
        <v>0</v>
      </c>
    </row>
    <row r="711" spans="1:32" ht="10.8" thickTop="1">
      <c r="A711" s="648"/>
      <c r="B711" s="285"/>
      <c r="C711" s="285"/>
      <c r="D711" s="285"/>
      <c r="E711" s="285"/>
      <c r="F711" s="285"/>
      <c r="G711" s="285"/>
      <c r="H711" s="655"/>
      <c r="I711" s="655"/>
      <c r="J711" s="655"/>
      <c r="K711" s="655"/>
      <c r="L711" s="655"/>
      <c r="M711" s="655"/>
      <c r="N711" s="655"/>
      <c r="O711" s="655"/>
      <c r="P711" s="655"/>
      <c r="Q711" s="655"/>
      <c r="R711" s="655"/>
      <c r="S711" s="655"/>
      <c r="T711" s="655"/>
      <c r="U711" s="655"/>
      <c r="V711" s="655"/>
      <c r="W711" s="655"/>
      <c r="X711" s="655"/>
      <c r="Y711" s="655"/>
      <c r="Z711" s="655"/>
      <c r="AA711" s="655"/>
      <c r="AB711" s="655"/>
      <c r="AC711" s="655"/>
      <c r="AD711" s="655"/>
      <c r="AE711" s="655"/>
      <c r="AF711" s="655"/>
    </row>
    <row r="712" spans="1:32">
      <c r="A712" s="648"/>
      <c r="B712" s="285"/>
      <c r="C712" s="285"/>
      <c r="D712" s="285"/>
      <c r="E712" s="285"/>
      <c r="F712" s="285"/>
      <c r="G712" s="285"/>
      <c r="H712" s="670"/>
      <c r="I712" s="672"/>
      <c r="J712" s="655"/>
      <c r="K712" s="655"/>
      <c r="L712" s="655"/>
      <c r="M712" s="655"/>
      <c r="N712" s="655"/>
      <c r="O712" s="655"/>
      <c r="P712" s="655"/>
      <c r="Q712" s="655"/>
      <c r="R712" s="655"/>
      <c r="S712" s="655"/>
      <c r="T712" s="655"/>
      <c r="U712" s="655"/>
      <c r="V712" s="655"/>
      <c r="W712" s="655"/>
      <c r="X712" s="655"/>
      <c r="Y712" s="655"/>
      <c r="Z712" s="655"/>
      <c r="AA712" s="655"/>
      <c r="AB712" s="655"/>
      <c r="AC712" s="655"/>
      <c r="AD712" s="655"/>
      <c r="AE712" s="655"/>
      <c r="AF712" s="655"/>
    </row>
    <row r="713" spans="1:32">
      <c r="A713" s="1268" t="s">
        <v>143</v>
      </c>
      <c r="B713" s="1269"/>
      <c r="C713" s="1269"/>
      <c r="D713" s="285"/>
      <c r="E713" s="285"/>
      <c r="F713" s="285"/>
      <c r="G713" s="285"/>
      <c r="H713" s="653">
        <f t="shared" ref="H713:AA713" si="427">+H693</f>
        <v>0</v>
      </c>
      <c r="I713" s="653">
        <f t="shared" ca="1" si="427"/>
        <v>0</v>
      </c>
      <c r="J713" s="654">
        <f t="shared" ca="1" si="427"/>
        <v>0</v>
      </c>
      <c r="K713" s="653">
        <f t="shared" ca="1" si="427"/>
        <v>0</v>
      </c>
      <c r="L713" s="653">
        <f t="shared" ca="1" si="427"/>
        <v>0</v>
      </c>
      <c r="M713" s="653">
        <f t="shared" ca="1" si="427"/>
        <v>0</v>
      </c>
      <c r="N713" s="653">
        <f t="shared" ca="1" si="427"/>
        <v>0</v>
      </c>
      <c r="O713" s="653">
        <f t="shared" ca="1" si="427"/>
        <v>0</v>
      </c>
      <c r="P713" s="653">
        <f t="shared" ca="1" si="427"/>
        <v>0</v>
      </c>
      <c r="Q713" s="653">
        <f t="shared" ca="1" si="427"/>
        <v>0</v>
      </c>
      <c r="R713" s="653">
        <f t="shared" ca="1" si="427"/>
        <v>0</v>
      </c>
      <c r="S713" s="653">
        <f t="shared" ca="1" si="427"/>
        <v>0</v>
      </c>
      <c r="T713" s="1267">
        <f t="shared" ca="1" si="427"/>
        <v>0</v>
      </c>
      <c r="U713" s="1267">
        <f t="shared" ca="1" si="427"/>
        <v>0</v>
      </c>
      <c r="V713" s="1267">
        <f t="shared" ca="1" si="427"/>
        <v>0</v>
      </c>
      <c r="W713" s="1267">
        <f t="shared" ca="1" si="427"/>
        <v>0</v>
      </c>
      <c r="X713" s="1267">
        <f t="shared" ca="1" si="427"/>
        <v>0</v>
      </c>
      <c r="Y713" s="1267">
        <f t="shared" ca="1" si="427"/>
        <v>0</v>
      </c>
      <c r="Z713" s="1267">
        <f t="shared" ca="1" si="427"/>
        <v>0</v>
      </c>
      <c r="AA713" s="1267">
        <f t="shared" ca="1" si="427"/>
        <v>0</v>
      </c>
      <c r="AB713" s="1267">
        <f ca="1">+AB693</f>
        <v>0</v>
      </c>
      <c r="AC713" s="1267">
        <f ca="1">+AC693</f>
        <v>0</v>
      </c>
      <c r="AD713" s="1267">
        <f ca="1">+AD693</f>
        <v>0</v>
      </c>
      <c r="AE713" s="1267">
        <f ca="1">+AE693</f>
        <v>0</v>
      </c>
      <c r="AF713" s="1267">
        <f ca="1">+AF693</f>
        <v>0</v>
      </c>
    </row>
    <row r="714" spans="1:32">
      <c r="A714" s="648" t="s">
        <v>142</v>
      </c>
      <c r="B714" s="285"/>
      <c r="C714" s="285"/>
      <c r="D714" s="285"/>
      <c r="E714" s="285"/>
      <c r="F714" s="285"/>
      <c r="G714" s="285"/>
      <c r="H714" s="653">
        <f t="shared" ref="H714:AA714" si="428">H710</f>
        <v>0</v>
      </c>
      <c r="I714" s="672">
        <f t="shared" ca="1" si="428"/>
        <v>0</v>
      </c>
      <c r="J714" s="655">
        <f t="shared" ca="1" si="428"/>
        <v>0</v>
      </c>
      <c r="K714" s="655">
        <f t="shared" ca="1" si="428"/>
        <v>0</v>
      </c>
      <c r="L714" s="655">
        <f t="shared" ca="1" si="428"/>
        <v>0</v>
      </c>
      <c r="M714" s="655">
        <f t="shared" ca="1" si="428"/>
        <v>0</v>
      </c>
      <c r="N714" s="655">
        <f t="shared" ca="1" si="428"/>
        <v>0</v>
      </c>
      <c r="O714" s="655">
        <f t="shared" ca="1" si="428"/>
        <v>0</v>
      </c>
      <c r="P714" s="655">
        <f t="shared" ca="1" si="428"/>
        <v>0</v>
      </c>
      <c r="Q714" s="655">
        <f t="shared" ca="1" si="428"/>
        <v>0</v>
      </c>
      <c r="R714" s="655">
        <f t="shared" ca="1" si="428"/>
        <v>0</v>
      </c>
      <c r="S714" s="655">
        <f t="shared" ca="1" si="428"/>
        <v>0</v>
      </c>
      <c r="T714" s="655">
        <f t="shared" ca="1" si="428"/>
        <v>0</v>
      </c>
      <c r="U714" s="655">
        <f t="shared" ca="1" si="428"/>
        <v>0</v>
      </c>
      <c r="V714" s="655">
        <f t="shared" ca="1" si="428"/>
        <v>0</v>
      </c>
      <c r="W714" s="655">
        <f t="shared" ca="1" si="428"/>
        <v>0</v>
      </c>
      <c r="X714" s="655">
        <f t="shared" ca="1" si="428"/>
        <v>0</v>
      </c>
      <c r="Y714" s="655">
        <f t="shared" ca="1" si="428"/>
        <v>0</v>
      </c>
      <c r="Z714" s="655">
        <f t="shared" ca="1" si="428"/>
        <v>0</v>
      </c>
      <c r="AA714" s="655">
        <f t="shared" ca="1" si="428"/>
        <v>0</v>
      </c>
      <c r="AB714" s="655">
        <f ca="1">AB710</f>
        <v>0</v>
      </c>
      <c r="AC714" s="655">
        <f ca="1">AC710</f>
        <v>0</v>
      </c>
      <c r="AD714" s="655">
        <f ca="1">AD710</f>
        <v>0</v>
      </c>
      <c r="AE714" s="655">
        <f ca="1">AE710</f>
        <v>0</v>
      </c>
      <c r="AF714" s="655">
        <f ca="1">AF710</f>
        <v>0</v>
      </c>
    </row>
    <row r="715" spans="1:32" ht="10.8" thickBot="1">
      <c r="A715" s="648" t="s">
        <v>1064</v>
      </c>
      <c r="B715" s="285"/>
      <c r="C715" s="486"/>
      <c r="D715" s="486"/>
      <c r="E715" s="486"/>
      <c r="F715" s="486"/>
      <c r="G715" s="486"/>
      <c r="H715" s="674">
        <f t="shared" ref="H715:AA715" si="429">H714-H713</f>
        <v>0</v>
      </c>
      <c r="I715" s="675">
        <f t="shared" ca="1" si="429"/>
        <v>0</v>
      </c>
      <c r="J715" s="674">
        <f t="shared" ca="1" si="429"/>
        <v>0</v>
      </c>
      <c r="K715" s="674">
        <f t="shared" ca="1" si="429"/>
        <v>0</v>
      </c>
      <c r="L715" s="674">
        <f t="shared" ca="1" si="429"/>
        <v>0</v>
      </c>
      <c r="M715" s="674">
        <f t="shared" ca="1" si="429"/>
        <v>0</v>
      </c>
      <c r="N715" s="674">
        <f t="shared" ca="1" si="429"/>
        <v>0</v>
      </c>
      <c r="O715" s="674">
        <f t="shared" ca="1" si="429"/>
        <v>0</v>
      </c>
      <c r="P715" s="674">
        <f t="shared" ca="1" si="429"/>
        <v>0</v>
      </c>
      <c r="Q715" s="674">
        <f t="shared" ca="1" si="429"/>
        <v>0</v>
      </c>
      <c r="R715" s="674">
        <f t="shared" ca="1" si="429"/>
        <v>0</v>
      </c>
      <c r="S715" s="674">
        <f t="shared" ca="1" si="429"/>
        <v>0</v>
      </c>
      <c r="T715" s="674">
        <f t="shared" ca="1" si="429"/>
        <v>0</v>
      </c>
      <c r="U715" s="674">
        <f t="shared" ca="1" si="429"/>
        <v>0</v>
      </c>
      <c r="V715" s="674">
        <f t="shared" ca="1" si="429"/>
        <v>0</v>
      </c>
      <c r="W715" s="674">
        <f t="shared" ca="1" si="429"/>
        <v>0</v>
      </c>
      <c r="X715" s="674">
        <f t="shared" ca="1" si="429"/>
        <v>0</v>
      </c>
      <c r="Y715" s="674">
        <f t="shared" ca="1" si="429"/>
        <v>0</v>
      </c>
      <c r="Z715" s="674">
        <f t="shared" ca="1" si="429"/>
        <v>0</v>
      </c>
      <c r="AA715" s="674">
        <f t="shared" ca="1" si="429"/>
        <v>0</v>
      </c>
      <c r="AB715" s="674">
        <f ca="1">AB714-AB713</f>
        <v>0</v>
      </c>
      <c r="AC715" s="674">
        <f ca="1">AC714-AC713</f>
        <v>0</v>
      </c>
      <c r="AD715" s="674">
        <f ca="1">AD714-AD713</f>
        <v>0</v>
      </c>
      <c r="AE715" s="674">
        <f ca="1">AE714-AE713</f>
        <v>0</v>
      </c>
      <c r="AF715" s="674">
        <f ca="1">AF714-AF713</f>
        <v>0</v>
      </c>
    </row>
    <row r="716" spans="1:32" ht="10.8" thickTop="1">
      <c r="A716" s="648"/>
      <c r="B716" s="285"/>
      <c r="C716" s="486"/>
      <c r="D716" s="486"/>
      <c r="E716" s="486"/>
      <c r="F716" s="486"/>
      <c r="G716" s="486"/>
      <c r="H716" s="280"/>
      <c r="I716" s="492"/>
      <c r="J716" s="492"/>
      <c r="K716" s="492"/>
      <c r="L716" s="492"/>
      <c r="M716" s="492"/>
      <c r="N716" s="492"/>
      <c r="O716" s="492"/>
      <c r="P716" s="492"/>
      <c r="Q716" s="492"/>
      <c r="R716" s="492"/>
      <c r="S716" s="492"/>
      <c r="T716" s="492"/>
      <c r="U716" s="492"/>
      <c r="V716" s="492"/>
      <c r="W716" s="492"/>
      <c r="X716" s="492"/>
      <c r="Y716" s="492"/>
      <c r="Z716" s="492"/>
      <c r="AA716" s="492"/>
      <c r="AB716" s="492"/>
      <c r="AC716" s="492"/>
      <c r="AD716" s="492"/>
      <c r="AE716" s="492"/>
      <c r="AF716" s="492"/>
    </row>
    <row r="717" spans="1:32" ht="10.8" thickBot="1">
      <c r="A717" s="676"/>
      <c r="B717" s="676"/>
      <c r="C717" s="676"/>
      <c r="D717" s="676"/>
      <c r="E717" s="676"/>
      <c r="F717" s="676"/>
      <c r="G717" s="676"/>
      <c r="H717" s="676"/>
      <c r="I717" s="676"/>
      <c r="J717" s="676"/>
      <c r="K717" s="676"/>
      <c r="L717" s="676"/>
      <c r="M717" s="676"/>
      <c r="N717" s="676"/>
      <c r="O717" s="676"/>
      <c r="P717" s="676"/>
      <c r="Q717" s="676"/>
      <c r="R717" s="676"/>
      <c r="S717" s="676"/>
      <c r="T717" s="641"/>
      <c r="U717" s="641"/>
      <c r="V717" s="641"/>
      <c r="W717" s="641"/>
      <c r="X717" s="641"/>
      <c r="Y717" s="641"/>
      <c r="Z717" s="641"/>
      <c r="AA717" s="641"/>
      <c r="AB717" s="641"/>
      <c r="AC717" s="641"/>
      <c r="AD717" s="641"/>
      <c r="AE717" s="641"/>
      <c r="AF717" s="641"/>
    </row>
    <row r="718" spans="1:32" ht="16.8" thickTop="1" thickBot="1">
      <c r="A718" s="1686" t="s">
        <v>144</v>
      </c>
      <c r="B718" s="285"/>
      <c r="C718" s="285"/>
      <c r="D718" s="285"/>
      <c r="E718" s="285"/>
      <c r="F718" s="285"/>
      <c r="G718" s="285"/>
      <c r="H718" s="677">
        <f>+Summary!E22</f>
        <v>36373</v>
      </c>
      <c r="I718" s="678">
        <f>I$638</f>
        <v>36525</v>
      </c>
      <c r="J718" s="528">
        <f t="shared" ref="J718:AF718" si="430">J$638</f>
        <v>36891</v>
      </c>
      <c r="K718" s="528">
        <f t="shared" si="430"/>
        <v>37256</v>
      </c>
      <c r="L718" s="528">
        <f t="shared" si="430"/>
        <v>37621</v>
      </c>
      <c r="M718" s="528">
        <f t="shared" si="430"/>
        <v>37986</v>
      </c>
      <c r="N718" s="528">
        <f t="shared" si="430"/>
        <v>38352</v>
      </c>
      <c r="O718" s="528">
        <f t="shared" si="430"/>
        <v>38717</v>
      </c>
      <c r="P718" s="528">
        <f t="shared" si="430"/>
        <v>39082</v>
      </c>
      <c r="Q718" s="528">
        <f t="shared" si="430"/>
        <v>39447</v>
      </c>
      <c r="R718" s="528">
        <f t="shared" si="430"/>
        <v>39813</v>
      </c>
      <c r="S718" s="528">
        <f t="shared" si="430"/>
        <v>40178</v>
      </c>
      <c r="T718" s="528">
        <f t="shared" si="430"/>
        <v>40543</v>
      </c>
      <c r="U718" s="528">
        <f t="shared" si="430"/>
        <v>40908</v>
      </c>
      <c r="V718" s="528">
        <f t="shared" si="430"/>
        <v>41274</v>
      </c>
      <c r="W718" s="528">
        <f t="shared" si="430"/>
        <v>41639</v>
      </c>
      <c r="X718" s="528">
        <f t="shared" si="430"/>
        <v>42004</v>
      </c>
      <c r="Y718" s="528">
        <f t="shared" si="430"/>
        <v>42369</v>
      </c>
      <c r="Z718" s="528">
        <f t="shared" si="430"/>
        <v>42735</v>
      </c>
      <c r="AA718" s="528">
        <f t="shared" si="430"/>
        <v>43100</v>
      </c>
      <c r="AB718" s="528">
        <f t="shared" si="430"/>
        <v>43465</v>
      </c>
      <c r="AC718" s="528">
        <f t="shared" si="430"/>
        <v>43830</v>
      </c>
      <c r="AD718" s="528">
        <f t="shared" si="430"/>
        <v>44196</v>
      </c>
      <c r="AE718" s="528">
        <f t="shared" si="430"/>
        <v>44561</v>
      </c>
      <c r="AF718" s="528">
        <f t="shared" si="430"/>
        <v>44926</v>
      </c>
    </row>
    <row r="719" spans="1:32" ht="10.8" thickTop="1">
      <c r="A719" s="491" t="s">
        <v>145</v>
      </c>
      <c r="B719" s="285"/>
      <c r="C719" s="285"/>
      <c r="D719" s="285"/>
      <c r="E719" s="285"/>
      <c r="F719" s="285"/>
      <c r="G719" s="285"/>
      <c r="H719" s="481"/>
      <c r="I719" s="679"/>
      <c r="J719" s="280"/>
      <c r="K719" s="280"/>
      <c r="L719" s="280"/>
      <c r="M719" s="280"/>
      <c r="N719" s="280"/>
      <c r="O719" s="280"/>
      <c r="P719" s="280"/>
      <c r="Q719" s="280"/>
      <c r="R719" s="280"/>
      <c r="S719" s="280"/>
      <c r="T719" s="280"/>
      <c r="U719" s="280"/>
      <c r="V719" s="280"/>
      <c r="W719" s="280"/>
      <c r="X719" s="280"/>
      <c r="Y719" s="280"/>
      <c r="Z719" s="280"/>
      <c r="AA719" s="280"/>
      <c r="AB719" s="280"/>
      <c r="AC719" s="280"/>
      <c r="AD719" s="280"/>
      <c r="AE719" s="280"/>
      <c r="AF719" s="280"/>
    </row>
    <row r="720" spans="1:32">
      <c r="A720" s="491" t="s">
        <v>146</v>
      </c>
      <c r="B720" s="285"/>
      <c r="C720" s="285"/>
      <c r="D720" s="285"/>
      <c r="E720" s="285"/>
      <c r="F720" s="285"/>
      <c r="G720" s="285"/>
      <c r="H720" s="651">
        <f ca="1">-H483</f>
        <v>-24000</v>
      </c>
      <c r="I720" s="680">
        <v>0</v>
      </c>
      <c r="J720" s="681">
        <v>0</v>
      </c>
      <c r="K720" s="681">
        <v>0</v>
      </c>
      <c r="L720" s="681">
        <v>0</v>
      </c>
      <c r="M720" s="681">
        <v>0</v>
      </c>
      <c r="N720" s="681">
        <v>0</v>
      </c>
      <c r="O720" s="681">
        <v>0</v>
      </c>
      <c r="P720" s="681">
        <v>0</v>
      </c>
      <c r="Q720" s="681">
        <v>0</v>
      </c>
      <c r="R720" s="681">
        <v>0</v>
      </c>
      <c r="S720" s="681">
        <v>0</v>
      </c>
      <c r="T720" s="681">
        <v>0</v>
      </c>
      <c r="U720" s="681">
        <v>0</v>
      </c>
      <c r="V720" s="681">
        <v>0</v>
      </c>
      <c r="W720" s="681">
        <v>0</v>
      </c>
      <c r="X720" s="681">
        <v>0</v>
      </c>
      <c r="Y720" s="681">
        <v>0</v>
      </c>
      <c r="Z720" s="681">
        <v>0</v>
      </c>
      <c r="AA720" s="681">
        <v>0</v>
      </c>
      <c r="AB720" s="681">
        <v>0</v>
      </c>
      <c r="AC720" s="681">
        <v>0</v>
      </c>
      <c r="AD720" s="681">
        <v>0</v>
      </c>
      <c r="AE720" s="681">
        <v>0</v>
      </c>
      <c r="AF720" s="681">
        <v>0</v>
      </c>
    </row>
    <row r="721" spans="1:32">
      <c r="A721" s="491"/>
      <c r="B721" s="285"/>
      <c r="C721" s="285"/>
      <c r="D721" s="285"/>
      <c r="E721" s="285"/>
      <c r="F721" s="285"/>
      <c r="G721" s="285"/>
      <c r="H721" s="651"/>
      <c r="I721" s="650"/>
      <c r="J721" s="649"/>
      <c r="K721" s="649"/>
      <c r="L721" s="649"/>
      <c r="M721" s="649"/>
      <c r="N721" s="649"/>
      <c r="O721" s="649"/>
      <c r="P721" s="649"/>
      <c r="Q721" s="649"/>
      <c r="R721" s="649"/>
      <c r="S721" s="649"/>
      <c r="T721" s="649"/>
      <c r="U721" s="649"/>
      <c r="V721" s="649"/>
      <c r="W721" s="649"/>
      <c r="X721" s="649"/>
      <c r="Y721" s="649"/>
      <c r="Z721" s="649"/>
      <c r="AA721" s="649"/>
      <c r="AB721" s="649"/>
      <c r="AC721" s="649"/>
      <c r="AD721" s="649"/>
      <c r="AE721" s="649"/>
      <c r="AF721" s="649"/>
    </row>
    <row r="722" spans="1:32">
      <c r="A722" s="491" t="s">
        <v>1057</v>
      </c>
      <c r="B722" s="285"/>
      <c r="C722" s="285"/>
      <c r="D722" s="285"/>
      <c r="E722" s="285"/>
      <c r="F722" s="285"/>
      <c r="G722" s="285">
        <v>-1847.145062111111</v>
      </c>
      <c r="H722" s="285"/>
      <c r="I722" s="525">
        <f ca="1">I$348</f>
        <v>-1847.145062111111</v>
      </c>
      <c r="J722" s="282">
        <f ca="1">J$348</f>
        <v>-4312.2767769105049</v>
      </c>
      <c r="K722" s="282">
        <f t="shared" ref="K722:AF722" ca="1" si="431">K$348</f>
        <v>-316.71956926962775</v>
      </c>
      <c r="L722" s="282">
        <f t="shared" ca="1" si="431"/>
        <v>-995.36918679336031</v>
      </c>
      <c r="M722" s="282">
        <f t="shared" ca="1" si="431"/>
        <v>-1164.1157927775839</v>
      </c>
      <c r="N722" s="282">
        <f t="shared" ca="1" si="431"/>
        <v>-1164.9872309780721</v>
      </c>
      <c r="O722" s="282">
        <f t="shared" ca="1" si="431"/>
        <v>-847.34619822882041</v>
      </c>
      <c r="P722" s="282">
        <f t="shared" ca="1" si="431"/>
        <v>-198.64262594737602</v>
      </c>
      <c r="Q722" s="282">
        <f t="shared" ca="1" si="431"/>
        <v>371.91610079447901</v>
      </c>
      <c r="R722" s="282">
        <f t="shared" ca="1" si="431"/>
        <v>1012.075847178919</v>
      </c>
      <c r="S722" s="282">
        <f t="shared" ca="1" si="431"/>
        <v>1652.7115406487014</v>
      </c>
      <c r="T722" s="282">
        <f t="shared" ca="1" si="431"/>
        <v>1474.0256366208105</v>
      </c>
      <c r="U722" s="282">
        <f t="shared" ca="1" si="431"/>
        <v>1902.6168226000248</v>
      </c>
      <c r="V722" s="282">
        <f t="shared" ca="1" si="431"/>
        <v>2897.6416587863378</v>
      </c>
      <c r="W722" s="282">
        <f t="shared" ca="1" si="431"/>
        <v>3485.511704881269</v>
      </c>
      <c r="X722" s="282">
        <f t="shared" ca="1" si="431"/>
        <v>6392.6062095253019</v>
      </c>
      <c r="Y722" s="282">
        <f t="shared" ca="1" si="431"/>
        <v>9767.9638349503002</v>
      </c>
      <c r="Z722" s="282">
        <f t="shared" ca="1" si="431"/>
        <v>9976.9648052854245</v>
      </c>
      <c r="AA722" s="282">
        <f t="shared" ca="1" si="431"/>
        <v>10339.26111331724</v>
      </c>
      <c r="AB722" s="282">
        <f t="shared" ca="1" si="431"/>
        <v>10510.219400623448</v>
      </c>
      <c r="AC722" s="282">
        <f t="shared" ca="1" si="431"/>
        <v>10899.744526705299</v>
      </c>
      <c r="AD722" s="282">
        <f t="shared" ca="1" si="431"/>
        <v>11202.151698559399</v>
      </c>
      <c r="AE722" s="282">
        <f t="shared" ca="1" si="431"/>
        <v>11396.25529761174</v>
      </c>
      <c r="AF722" s="282">
        <f t="shared" ca="1" si="431"/>
        <v>10085.042959049748</v>
      </c>
    </row>
    <row r="723" spans="1:32">
      <c r="A723" s="484"/>
      <c r="B723" s="285"/>
      <c r="C723" s="285"/>
      <c r="D723" s="285"/>
      <c r="E723" s="285"/>
      <c r="F723" s="285"/>
      <c r="G723" s="285"/>
      <c r="H723" s="285"/>
      <c r="I723" s="525"/>
      <c r="J723" s="282"/>
      <c r="K723" s="282"/>
      <c r="L723" s="282"/>
      <c r="M723" s="282"/>
      <c r="N723" s="282"/>
      <c r="O723" s="282"/>
      <c r="P723" s="282"/>
      <c r="Q723" s="282"/>
      <c r="R723" s="282"/>
      <c r="S723" s="282"/>
      <c r="T723" s="282"/>
      <c r="U723" s="282"/>
      <c r="V723" s="282"/>
      <c r="W723" s="282"/>
      <c r="X723" s="282"/>
      <c r="Y723" s="282"/>
      <c r="Z723" s="282"/>
      <c r="AA723" s="282"/>
      <c r="AB723" s="282"/>
      <c r="AC723" s="282"/>
      <c r="AD723" s="282"/>
      <c r="AE723" s="282"/>
      <c r="AF723" s="282"/>
    </row>
    <row r="724" spans="1:32">
      <c r="A724" s="484" t="s">
        <v>147</v>
      </c>
      <c r="B724" s="484" t="s">
        <v>153</v>
      </c>
      <c r="C724" s="285"/>
      <c r="D724" s="285"/>
      <c r="E724" s="285"/>
      <c r="F724" s="285"/>
      <c r="G724" s="285">
        <v>2238.1450631111111</v>
      </c>
      <c r="H724" s="285"/>
      <c r="I724" s="525">
        <f ca="1">I$324+I$325+I$323</f>
        <v>2238.1450631111111</v>
      </c>
      <c r="J724" s="282">
        <f ca="1">J$324+J$325+J$323</f>
        <v>5299.2666666666664</v>
      </c>
      <c r="K724" s="282">
        <f t="shared" ref="K724:AF724" ca="1" si="432">K$324+K$325+K$323</f>
        <v>5299.2666666666664</v>
      </c>
      <c r="L724" s="282">
        <f t="shared" ca="1" si="432"/>
        <v>5299.2666666666664</v>
      </c>
      <c r="M724" s="282">
        <f t="shared" ca="1" si="432"/>
        <v>5368.6366987280098</v>
      </c>
      <c r="N724" s="282">
        <f t="shared" ca="1" si="432"/>
        <v>5465.7547436138912</v>
      </c>
      <c r="O724" s="282">
        <f t="shared" ca="1" si="432"/>
        <v>5465.7547436138912</v>
      </c>
      <c r="P724" s="282">
        <f t="shared" ca="1" si="432"/>
        <v>5465.7547436138912</v>
      </c>
      <c r="Q724" s="282">
        <f t="shared" ca="1" si="432"/>
        <v>5465.7547436138912</v>
      </c>
      <c r="R724" s="282">
        <f t="shared" ca="1" si="432"/>
        <v>5465.7547436138912</v>
      </c>
      <c r="S724" s="282">
        <f t="shared" ca="1" si="432"/>
        <v>5465.7547436138912</v>
      </c>
      <c r="T724" s="282">
        <f t="shared" ca="1" si="432"/>
        <v>5465.7547436138912</v>
      </c>
      <c r="U724" s="282">
        <f t="shared" ca="1" si="432"/>
        <v>5493.8146758222174</v>
      </c>
      <c r="V724" s="282">
        <f t="shared" ca="1" si="432"/>
        <v>5533.0985809138738</v>
      </c>
      <c r="W724" s="282">
        <f t="shared" ca="1" si="432"/>
        <v>5533.0985809138738</v>
      </c>
      <c r="X724" s="282">
        <f t="shared" ca="1" si="432"/>
        <v>3294.9535178027631</v>
      </c>
      <c r="Y724" s="282">
        <f t="shared" ca="1" si="432"/>
        <v>570.48595261647438</v>
      </c>
      <c r="Z724" s="282">
        <f t="shared" ca="1" si="432"/>
        <v>1041.8016063334476</v>
      </c>
      <c r="AA724" s="282">
        <f t="shared" ca="1" si="432"/>
        <v>1041.8016063334476</v>
      </c>
      <c r="AB724" s="282">
        <f t="shared" ca="1" si="432"/>
        <v>1041.8016063334476</v>
      </c>
      <c r="AC724" s="282">
        <f t="shared" ca="1" si="432"/>
        <v>944.37164206377781</v>
      </c>
      <c r="AD724" s="282">
        <f t="shared" ca="1" si="432"/>
        <v>807.96969208624</v>
      </c>
      <c r="AE724" s="282">
        <f t="shared" ca="1" si="432"/>
        <v>807.96969208624</v>
      </c>
      <c r="AF724" s="282">
        <f t="shared" ca="1" si="432"/>
        <v>807.96969208624</v>
      </c>
    </row>
    <row r="725" spans="1:32">
      <c r="A725" s="280"/>
      <c r="B725" s="484" t="s">
        <v>1064</v>
      </c>
      <c r="C725" s="285"/>
      <c r="D725" s="285"/>
      <c r="E725" s="285"/>
      <c r="F725" s="285"/>
      <c r="G725" s="285">
        <v>0</v>
      </c>
      <c r="H725" s="285"/>
      <c r="I725" s="525">
        <f ca="1">+I$363</f>
        <v>0</v>
      </c>
      <c r="J725" s="282">
        <f ca="1">+J$363</f>
        <v>0</v>
      </c>
      <c r="K725" s="282">
        <f t="shared" ref="K725:AF725" ca="1" si="433">+K$363</f>
        <v>0</v>
      </c>
      <c r="L725" s="282">
        <f t="shared" ca="1" si="433"/>
        <v>0</v>
      </c>
      <c r="M725" s="282">
        <f t="shared" ca="1" si="433"/>
        <v>0</v>
      </c>
      <c r="N725" s="282">
        <f t="shared" ca="1" si="433"/>
        <v>0</v>
      </c>
      <c r="O725" s="282">
        <f t="shared" ca="1" si="433"/>
        <v>0</v>
      </c>
      <c r="P725" s="282">
        <f t="shared" ca="1" si="433"/>
        <v>0</v>
      </c>
      <c r="Q725" s="282">
        <f t="shared" ca="1" si="433"/>
        <v>0</v>
      </c>
      <c r="R725" s="282">
        <f t="shared" ca="1" si="433"/>
        <v>0</v>
      </c>
      <c r="S725" s="282">
        <f t="shared" ca="1" si="433"/>
        <v>0</v>
      </c>
      <c r="T725" s="282">
        <f t="shared" ca="1" si="433"/>
        <v>0</v>
      </c>
      <c r="U725" s="282">
        <f t="shared" ca="1" si="433"/>
        <v>0</v>
      </c>
      <c r="V725" s="282">
        <f t="shared" ca="1" si="433"/>
        <v>0</v>
      </c>
      <c r="W725" s="282">
        <f t="shared" ca="1" si="433"/>
        <v>0</v>
      </c>
      <c r="X725" s="282">
        <f t="shared" ca="1" si="433"/>
        <v>0</v>
      </c>
      <c r="Y725" s="282">
        <f t="shared" ca="1" si="433"/>
        <v>0</v>
      </c>
      <c r="Z725" s="282">
        <f t="shared" ca="1" si="433"/>
        <v>0</v>
      </c>
      <c r="AA725" s="282">
        <f t="shared" ca="1" si="433"/>
        <v>0</v>
      </c>
      <c r="AB725" s="282">
        <f t="shared" ca="1" si="433"/>
        <v>0</v>
      </c>
      <c r="AC725" s="282">
        <f t="shared" ca="1" si="433"/>
        <v>0</v>
      </c>
      <c r="AD725" s="282">
        <f t="shared" ca="1" si="433"/>
        <v>0</v>
      </c>
      <c r="AE725" s="282">
        <f t="shared" ca="1" si="433"/>
        <v>0</v>
      </c>
      <c r="AF725" s="282">
        <f t="shared" ca="1" si="433"/>
        <v>0</v>
      </c>
    </row>
    <row r="726" spans="1:32">
      <c r="A726" s="484" t="s">
        <v>154</v>
      </c>
      <c r="B726" s="484" t="s">
        <v>221</v>
      </c>
      <c r="C726" s="285"/>
      <c r="D726" s="285"/>
      <c r="E726" s="285"/>
      <c r="F726" s="285"/>
      <c r="G726" s="285">
        <v>0</v>
      </c>
      <c r="H726" s="285"/>
      <c r="I726" s="525">
        <f ca="1">I$579-(I569-H569)</f>
        <v>-799</v>
      </c>
      <c r="J726" s="282">
        <f t="shared" ref="J726:AF726" ca="1" si="434">J$579-(J569-I569)</f>
        <v>295.06793861447443</v>
      </c>
      <c r="K726" s="282">
        <f t="shared" si="434"/>
        <v>80.784185779505265</v>
      </c>
      <c r="L726" s="282">
        <f t="shared" si="434"/>
        <v>-41.322639370265733</v>
      </c>
      <c r="M726" s="282">
        <f t="shared" si="434"/>
        <v>-22.978541907983299</v>
      </c>
      <c r="N726" s="282">
        <f t="shared" si="434"/>
        <v>-8.275750695946499</v>
      </c>
      <c r="O726" s="282">
        <f t="shared" si="434"/>
        <v>1.0400874805698095</v>
      </c>
      <c r="P726" s="282">
        <f t="shared" si="434"/>
        <v>20.261573946947465</v>
      </c>
      <c r="Q726" s="282">
        <f t="shared" si="434"/>
        <v>16.15458682235294</v>
      </c>
      <c r="R726" s="282">
        <f t="shared" si="434"/>
        <v>18.20648957399726</v>
      </c>
      <c r="S726" s="282">
        <f t="shared" si="434"/>
        <v>8.645548651793888</v>
      </c>
      <c r="T726" s="282">
        <f t="shared" si="434"/>
        <v>15.789907107056479</v>
      </c>
      <c r="U726" s="282">
        <f t="shared" si="434"/>
        <v>10.228801944553197</v>
      </c>
      <c r="V726" s="282">
        <f t="shared" si="434"/>
        <v>15.638572653816027</v>
      </c>
      <c r="W726" s="282">
        <f t="shared" si="434"/>
        <v>11.952409386242152</v>
      </c>
      <c r="X726" s="282">
        <f t="shared" si="434"/>
        <v>14.292355512835002</v>
      </c>
      <c r="Y726" s="282">
        <f t="shared" si="434"/>
        <v>16.626949514575017</v>
      </c>
      <c r="Z726" s="282">
        <f t="shared" si="434"/>
        <v>16.757876979263301</v>
      </c>
      <c r="AA726" s="282">
        <f t="shared" si="434"/>
        <v>13.087460856191683</v>
      </c>
      <c r="AB726" s="282">
        <f t="shared" si="434"/>
        <v>12.767522453425272</v>
      </c>
      <c r="AC726" s="282">
        <f t="shared" si="434"/>
        <v>19.511810731401965</v>
      </c>
      <c r="AD726" s="282">
        <f t="shared" si="434"/>
        <v>16.399775760696684</v>
      </c>
      <c r="AE726" s="282">
        <f t="shared" si="434"/>
        <v>14.94984557208636</v>
      </c>
      <c r="AF726" s="282">
        <f t="shared" si="434"/>
        <v>-98.506107794444006</v>
      </c>
    </row>
    <row r="727" spans="1:32" s="348" customFormat="1">
      <c r="A727" s="484"/>
      <c r="B727" s="287"/>
      <c r="C727" s="285"/>
      <c r="D727" s="285"/>
      <c r="E727" s="285"/>
      <c r="F727" s="285"/>
      <c r="G727" s="285"/>
      <c r="H727" s="285"/>
      <c r="I727" s="525"/>
    </row>
    <row r="728" spans="1:32" s="348" customFormat="1">
      <c r="A728" s="484"/>
      <c r="B728" s="484" t="s">
        <v>156</v>
      </c>
      <c r="C728" s="285"/>
      <c r="D728" s="285"/>
      <c r="E728" s="285"/>
      <c r="F728" s="285"/>
      <c r="G728" s="285">
        <v>391.00000100000011</v>
      </c>
      <c r="H728" s="285"/>
      <c r="I728" s="682">
        <f ca="1">+I722+I724+I725-I726</f>
        <v>1190.0000010000001</v>
      </c>
      <c r="J728" s="683">
        <f ca="1">+J722+J724+J725-J726</f>
        <v>691.92195114168715</v>
      </c>
      <c r="K728" s="683">
        <f t="shared" ref="K728:AF728" ca="1" si="435">+K722+K724+K725-K726</f>
        <v>4901.7629116175331</v>
      </c>
      <c r="L728" s="683">
        <f t="shared" ca="1" si="435"/>
        <v>4345.2201192435714</v>
      </c>
      <c r="M728" s="683">
        <f t="shared" ca="1" si="435"/>
        <v>4227.4994478584094</v>
      </c>
      <c r="N728" s="683">
        <f t="shared" ca="1" si="435"/>
        <v>4309.043263331765</v>
      </c>
      <c r="O728" s="683">
        <f t="shared" ca="1" si="435"/>
        <v>4617.3684579045012</v>
      </c>
      <c r="P728" s="683">
        <f t="shared" ca="1" si="435"/>
        <v>5246.8505437195672</v>
      </c>
      <c r="Q728" s="683">
        <f t="shared" ca="1" si="435"/>
        <v>5821.5162575860177</v>
      </c>
      <c r="R728" s="683">
        <f t="shared" ca="1" si="435"/>
        <v>6459.6241012188129</v>
      </c>
      <c r="S728" s="683">
        <f t="shared" ca="1" si="435"/>
        <v>7109.8207356107996</v>
      </c>
      <c r="T728" s="683">
        <f t="shared" ca="1" si="435"/>
        <v>6923.9904731276456</v>
      </c>
      <c r="U728" s="683">
        <f t="shared" ca="1" si="435"/>
        <v>7386.2026964776887</v>
      </c>
      <c r="V728" s="683">
        <f t="shared" ca="1" si="435"/>
        <v>8415.101667046396</v>
      </c>
      <c r="W728" s="683">
        <f t="shared" ca="1" si="435"/>
        <v>9006.6578764089008</v>
      </c>
      <c r="X728" s="683">
        <f t="shared" ca="1" si="435"/>
        <v>9673.2673718152309</v>
      </c>
      <c r="Y728" s="683">
        <f t="shared" ca="1" si="435"/>
        <v>10321.8228380522</v>
      </c>
      <c r="Z728" s="683">
        <f t="shared" ca="1" si="435"/>
        <v>11002.008534639608</v>
      </c>
      <c r="AA728" s="683">
        <f t="shared" ca="1" si="435"/>
        <v>11367.975258794495</v>
      </c>
      <c r="AB728" s="683">
        <f t="shared" ca="1" si="435"/>
        <v>11539.25348450347</v>
      </c>
      <c r="AC728" s="683">
        <f t="shared" ca="1" si="435"/>
        <v>11824.604358037675</v>
      </c>
      <c r="AD728" s="683">
        <f t="shared" ca="1" si="435"/>
        <v>11993.721614884944</v>
      </c>
      <c r="AE728" s="683">
        <f t="shared" ca="1" si="435"/>
        <v>12189.275144125895</v>
      </c>
      <c r="AF728" s="683">
        <f t="shared" ca="1" si="435"/>
        <v>10991.518758930433</v>
      </c>
    </row>
    <row r="729" spans="1:32" s="348" customFormat="1">
      <c r="A729" s="484"/>
      <c r="B729" s="484"/>
      <c r="C729" s="285"/>
      <c r="D729" s="285"/>
      <c r="E729" s="285"/>
      <c r="F729" s="285"/>
      <c r="G729" s="285"/>
      <c r="H729" s="285"/>
      <c r="I729" s="525"/>
      <c r="J729" s="282"/>
      <c r="K729" s="282"/>
      <c r="L729" s="282"/>
      <c r="M729" s="282"/>
      <c r="N729" s="282"/>
      <c r="O729" s="282"/>
      <c r="P729" s="282"/>
      <c r="Q729" s="282"/>
      <c r="R729" s="282"/>
      <c r="S729" s="282"/>
      <c r="T729" s="282"/>
      <c r="U729" s="282"/>
      <c r="V729" s="282"/>
      <c r="W729" s="282"/>
      <c r="X729" s="282"/>
      <c r="Y729" s="282"/>
      <c r="Z729" s="282"/>
      <c r="AA729" s="282"/>
      <c r="AB729" s="282"/>
      <c r="AC729" s="282"/>
      <c r="AD729" s="282"/>
      <c r="AE729" s="282"/>
      <c r="AF729" s="282"/>
    </row>
    <row r="730" spans="1:32">
      <c r="A730" s="484"/>
      <c r="B730" s="484" t="s">
        <v>157</v>
      </c>
      <c r="C730" s="285"/>
      <c r="D730" s="285"/>
      <c r="E730" s="285"/>
      <c r="F730" s="285"/>
      <c r="G730" s="285">
        <v>0</v>
      </c>
      <c r="H730" s="285"/>
      <c r="I730" s="525">
        <f>-I$369</f>
        <v>0</v>
      </c>
      <c r="J730" s="282">
        <f>-J$369</f>
        <v>0</v>
      </c>
      <c r="K730" s="282">
        <f t="shared" ref="K730:AF730" si="436">-K$369</f>
        <v>0</v>
      </c>
      <c r="L730" s="282">
        <f t="shared" si="436"/>
        <v>0</v>
      </c>
      <c r="M730" s="282">
        <f t="shared" si="436"/>
        <v>-1331.9046155778003</v>
      </c>
      <c r="N730" s="282">
        <f t="shared" si="436"/>
        <v>0</v>
      </c>
      <c r="O730" s="282">
        <f t="shared" si="436"/>
        <v>0</v>
      </c>
      <c r="P730" s="282">
        <f t="shared" si="436"/>
        <v>0</v>
      </c>
      <c r="Q730" s="282">
        <f t="shared" si="436"/>
        <v>-4611.7398197956873</v>
      </c>
      <c r="R730" s="282">
        <f t="shared" si="436"/>
        <v>0</v>
      </c>
      <c r="S730" s="282">
        <f t="shared" si="436"/>
        <v>0</v>
      </c>
      <c r="T730" s="282">
        <f t="shared" si="436"/>
        <v>0</v>
      </c>
      <c r="U730" s="282">
        <f t="shared" si="436"/>
        <v>-1870.6553139776611</v>
      </c>
      <c r="V730" s="282">
        <f t="shared" si="436"/>
        <v>0</v>
      </c>
      <c r="W730" s="282">
        <f t="shared" si="436"/>
        <v>0</v>
      </c>
      <c r="X730" s="282">
        <f t="shared" si="436"/>
        <v>0</v>
      </c>
      <c r="Y730" s="282">
        <f t="shared" si="436"/>
        <v>-6463.75753668992</v>
      </c>
      <c r="Z730" s="282">
        <f t="shared" si="436"/>
        <v>0</v>
      </c>
      <c r="AA730" s="282">
        <f t="shared" si="436"/>
        <v>0</v>
      </c>
      <c r="AB730" s="282">
        <f t="shared" si="436"/>
        <v>0</v>
      </c>
      <c r="AC730" s="282">
        <f t="shared" si="436"/>
        <v>0</v>
      </c>
      <c r="AD730" s="282">
        <f t="shared" si="436"/>
        <v>0</v>
      </c>
      <c r="AE730" s="282">
        <f t="shared" si="436"/>
        <v>0</v>
      </c>
      <c r="AF730" s="282">
        <f t="shared" si="436"/>
        <v>0</v>
      </c>
    </row>
    <row r="731" spans="1:32">
      <c r="A731" s="484"/>
      <c r="B731" s="484" t="s">
        <v>158</v>
      </c>
      <c r="C731" s="285"/>
      <c r="D731" s="285"/>
      <c r="E731" s="285"/>
      <c r="F731" s="285"/>
      <c r="G731" s="285">
        <v>-391.000001</v>
      </c>
      <c r="H731" s="285"/>
      <c r="I731" s="525">
        <f ca="1">-I$373-I$374+I$394</f>
        <v>-391.000001</v>
      </c>
      <c r="J731" s="282">
        <f ca="1">-J$373-J$374+J$394</f>
        <v>-1601.9999830000002</v>
      </c>
      <c r="K731" s="282">
        <f t="shared" ref="K731:AE731" ca="1" si="437">-K$373-K$374+K$394</f>
        <v>-2148.0000500000001</v>
      </c>
      <c r="L731" s="282">
        <f t="shared" ca="1" si="437"/>
        <v>-2500.9999025000002</v>
      </c>
      <c r="M731" s="282">
        <f t="shared" ca="1" si="437"/>
        <v>-2102.0000100000002</v>
      </c>
      <c r="N731" s="282">
        <f t="shared" ca="1" si="437"/>
        <v>-3172.9999980000002</v>
      </c>
      <c r="O731" s="282">
        <f t="shared" ca="1" si="437"/>
        <v>-3259.000004</v>
      </c>
      <c r="P731" s="282">
        <f t="shared" ca="1" si="437"/>
        <v>-2143.0000259999997</v>
      </c>
      <c r="Q731" s="282">
        <f t="shared" ca="1" si="437"/>
        <v>-2834.9999914999999</v>
      </c>
      <c r="R731" s="282">
        <f t="shared" ca="1" si="437"/>
        <v>-4242.9999925000011</v>
      </c>
      <c r="S731" s="282">
        <f t="shared" ca="1" si="437"/>
        <v>-4340.9999770000004</v>
      </c>
      <c r="T731" s="282">
        <f t="shared" ca="1" si="437"/>
        <v>-3399.9999349999998</v>
      </c>
      <c r="U731" s="282">
        <f t="shared" ca="1" si="437"/>
        <v>-3140.000043</v>
      </c>
      <c r="V731" s="282">
        <f t="shared" ca="1" si="437"/>
        <v>-4238.9999619999999</v>
      </c>
      <c r="W731" s="282">
        <f t="shared" ca="1" si="437"/>
        <v>-4286.0000520000012</v>
      </c>
      <c r="X731" s="282">
        <f t="shared" ca="1" si="437"/>
        <v>-3758.9999744999996</v>
      </c>
      <c r="Y731" s="282">
        <f t="shared" ca="1" si="437"/>
        <v>-4520.9999934999996</v>
      </c>
      <c r="Z731" s="282">
        <f t="shared" ca="1" si="437"/>
        <v>-4417.0001044999954</v>
      </c>
      <c r="AA731" s="282">
        <f t="shared" ca="1" si="437"/>
        <v>1.6370904631912708E-11</v>
      </c>
      <c r="AB731" s="282">
        <f t="shared" ca="1" si="437"/>
        <v>0</v>
      </c>
      <c r="AC731" s="282">
        <f t="shared" ca="1" si="437"/>
        <v>1.6370904631912708E-11</v>
      </c>
      <c r="AD731" s="282">
        <f t="shared" ca="1" si="437"/>
        <v>0</v>
      </c>
      <c r="AE731" s="282">
        <f t="shared" ca="1" si="437"/>
        <v>1.6370904631912708E-11</v>
      </c>
      <c r="AF731" s="282">
        <f ca="1">-AF$373-AF$374+AF$394</f>
        <v>0</v>
      </c>
    </row>
    <row r="732" spans="1:32">
      <c r="A732" s="484"/>
      <c r="B732" s="484" t="s">
        <v>159</v>
      </c>
      <c r="C732" s="285"/>
      <c r="D732" s="285"/>
      <c r="E732" s="285"/>
      <c r="F732" s="285"/>
      <c r="G732" s="285">
        <v>0</v>
      </c>
      <c r="H732" s="285"/>
      <c r="I732" s="525">
        <f>+I$381+I$382</f>
        <v>0</v>
      </c>
      <c r="J732" s="282">
        <f>+J$381+J$382</f>
        <v>0</v>
      </c>
      <c r="K732" s="282">
        <f t="shared" ref="K732:AF732" si="438">+K$381+K$382</f>
        <v>0</v>
      </c>
      <c r="L732" s="282">
        <f t="shared" si="438"/>
        <v>0</v>
      </c>
      <c r="M732" s="282">
        <f t="shared" si="438"/>
        <v>0</v>
      </c>
      <c r="N732" s="282">
        <f t="shared" si="438"/>
        <v>0</v>
      </c>
      <c r="O732" s="282">
        <f t="shared" si="438"/>
        <v>0</v>
      </c>
      <c r="P732" s="282">
        <f t="shared" si="438"/>
        <v>0</v>
      </c>
      <c r="Q732" s="282">
        <f t="shared" si="438"/>
        <v>0</v>
      </c>
      <c r="R732" s="282">
        <f t="shared" si="438"/>
        <v>0</v>
      </c>
      <c r="S732" s="282">
        <f t="shared" si="438"/>
        <v>0</v>
      </c>
      <c r="T732" s="282">
        <f t="shared" si="438"/>
        <v>0</v>
      </c>
      <c r="U732" s="282">
        <f t="shared" si="438"/>
        <v>0</v>
      </c>
      <c r="V732" s="282">
        <f t="shared" si="438"/>
        <v>0</v>
      </c>
      <c r="W732" s="282">
        <f t="shared" si="438"/>
        <v>0</v>
      </c>
      <c r="X732" s="282">
        <f t="shared" si="438"/>
        <v>0</v>
      </c>
      <c r="Y732" s="282">
        <f t="shared" si="438"/>
        <v>0</v>
      </c>
      <c r="Z732" s="282">
        <f t="shared" si="438"/>
        <v>0</v>
      </c>
      <c r="AA732" s="282">
        <f t="shared" si="438"/>
        <v>0</v>
      </c>
      <c r="AB732" s="282">
        <f t="shared" si="438"/>
        <v>0</v>
      </c>
      <c r="AC732" s="282">
        <f t="shared" si="438"/>
        <v>0</v>
      </c>
      <c r="AD732" s="282">
        <f t="shared" si="438"/>
        <v>0</v>
      </c>
      <c r="AE732" s="282">
        <f t="shared" si="438"/>
        <v>0</v>
      </c>
      <c r="AF732" s="282">
        <f t="shared" si="438"/>
        <v>0</v>
      </c>
    </row>
    <row r="733" spans="1:32">
      <c r="A733" s="484"/>
      <c r="B733" s="484" t="str">
        <f>+A370</f>
        <v>Transaction Fees</v>
      </c>
      <c r="C733" s="285"/>
      <c r="D733" s="285"/>
      <c r="E733" s="285"/>
      <c r="F733" s="285"/>
      <c r="G733" s="285">
        <v>0</v>
      </c>
      <c r="H733" s="282"/>
      <c r="I733" s="525">
        <f t="shared" ref="I733:AF733" ca="1" si="439">-I370</f>
        <v>0</v>
      </c>
      <c r="J733" s="282">
        <f t="shared" ca="1" si="439"/>
        <v>0</v>
      </c>
      <c r="K733" s="282">
        <f t="shared" ca="1" si="439"/>
        <v>0</v>
      </c>
      <c r="L733" s="282">
        <f t="shared" ca="1" si="439"/>
        <v>0</v>
      </c>
      <c r="M733" s="282">
        <f t="shared" ca="1" si="439"/>
        <v>0</v>
      </c>
      <c r="N733" s="282">
        <f t="shared" ca="1" si="439"/>
        <v>0</v>
      </c>
      <c r="O733" s="282">
        <f t="shared" ca="1" si="439"/>
        <v>0</v>
      </c>
      <c r="P733" s="282">
        <f t="shared" ca="1" si="439"/>
        <v>0</v>
      </c>
      <c r="Q733" s="282">
        <f t="shared" ca="1" si="439"/>
        <v>0</v>
      </c>
      <c r="R733" s="282">
        <f t="shared" ca="1" si="439"/>
        <v>0</v>
      </c>
      <c r="S733" s="282">
        <f t="shared" ca="1" si="439"/>
        <v>0</v>
      </c>
      <c r="T733" s="282">
        <f t="shared" ca="1" si="439"/>
        <v>0</v>
      </c>
      <c r="U733" s="282">
        <f t="shared" ca="1" si="439"/>
        <v>0</v>
      </c>
      <c r="V733" s="282">
        <f t="shared" ca="1" si="439"/>
        <v>0</v>
      </c>
      <c r="W733" s="282">
        <f t="shared" ca="1" si="439"/>
        <v>0</v>
      </c>
      <c r="X733" s="282">
        <f t="shared" ca="1" si="439"/>
        <v>0</v>
      </c>
      <c r="Y733" s="282">
        <f t="shared" ca="1" si="439"/>
        <v>0</v>
      </c>
      <c r="Z733" s="282">
        <f t="shared" ca="1" si="439"/>
        <v>0</v>
      </c>
      <c r="AA733" s="282">
        <f t="shared" ca="1" si="439"/>
        <v>0</v>
      </c>
      <c r="AB733" s="282">
        <f t="shared" ca="1" si="439"/>
        <v>0</v>
      </c>
      <c r="AC733" s="282">
        <f t="shared" ca="1" si="439"/>
        <v>0</v>
      </c>
      <c r="AD733" s="282">
        <f t="shared" ca="1" si="439"/>
        <v>0</v>
      </c>
      <c r="AE733" s="282">
        <f t="shared" ca="1" si="439"/>
        <v>0</v>
      </c>
      <c r="AF733" s="282">
        <f t="shared" ca="1" si="439"/>
        <v>0</v>
      </c>
    </row>
    <row r="734" spans="1:32">
      <c r="A734" s="484"/>
      <c r="B734" s="484" t="s">
        <v>678</v>
      </c>
      <c r="C734" s="285"/>
      <c r="D734" s="285"/>
      <c r="E734" s="285"/>
      <c r="F734" s="285"/>
      <c r="G734" s="285">
        <v>0</v>
      </c>
      <c r="H734" s="282"/>
      <c r="I734" s="525">
        <f>+I653</f>
        <v>0</v>
      </c>
      <c r="J734" s="282">
        <f t="shared" ref="J734:AF734" si="440">+J653</f>
        <v>0</v>
      </c>
      <c r="K734" s="282">
        <f t="shared" si="440"/>
        <v>0</v>
      </c>
      <c r="L734" s="282">
        <f t="shared" si="440"/>
        <v>0</v>
      </c>
      <c r="M734" s="282">
        <f t="shared" si="440"/>
        <v>0</v>
      </c>
      <c r="N734" s="282">
        <f t="shared" si="440"/>
        <v>0</v>
      </c>
      <c r="O734" s="282">
        <f t="shared" si="440"/>
        <v>0</v>
      </c>
      <c r="P734" s="282">
        <f t="shared" si="440"/>
        <v>0</v>
      </c>
      <c r="Q734" s="282">
        <f t="shared" si="440"/>
        <v>0</v>
      </c>
      <c r="R734" s="282">
        <f t="shared" si="440"/>
        <v>0</v>
      </c>
      <c r="S734" s="282">
        <f t="shared" si="440"/>
        <v>0</v>
      </c>
      <c r="T734" s="282">
        <f t="shared" si="440"/>
        <v>0</v>
      </c>
      <c r="U734" s="282">
        <f t="shared" si="440"/>
        <v>0</v>
      </c>
      <c r="V734" s="282">
        <f t="shared" si="440"/>
        <v>0</v>
      </c>
      <c r="W734" s="282">
        <f t="shared" si="440"/>
        <v>0</v>
      </c>
      <c r="X734" s="282">
        <f t="shared" si="440"/>
        <v>0</v>
      </c>
      <c r="Y734" s="282">
        <f t="shared" si="440"/>
        <v>0</v>
      </c>
      <c r="Z734" s="282">
        <f t="shared" si="440"/>
        <v>0</v>
      </c>
      <c r="AA734" s="282">
        <f t="shared" si="440"/>
        <v>0</v>
      </c>
      <c r="AB734" s="282">
        <f t="shared" si="440"/>
        <v>0</v>
      </c>
      <c r="AC734" s="282">
        <f t="shared" si="440"/>
        <v>0</v>
      </c>
      <c r="AD734" s="282">
        <f t="shared" si="440"/>
        <v>0</v>
      </c>
      <c r="AE734" s="282">
        <f t="shared" si="440"/>
        <v>0</v>
      </c>
      <c r="AF734" s="282">
        <f t="shared" si="440"/>
        <v>0</v>
      </c>
    </row>
    <row r="735" spans="1:32">
      <c r="A735" s="484"/>
      <c r="B735" s="484" t="s">
        <v>155</v>
      </c>
      <c r="C735" s="285"/>
      <c r="D735" s="285"/>
      <c r="E735" s="285"/>
      <c r="F735" s="285"/>
      <c r="G735" s="285">
        <v>0</v>
      </c>
      <c r="H735" s="282"/>
      <c r="I735" s="1259">
        <f>-I$372</f>
        <v>0</v>
      </c>
      <c r="J735" s="554">
        <f t="shared" ref="J735:AF735" si="441">-J$372</f>
        <v>0</v>
      </c>
      <c r="K735" s="554">
        <f t="shared" si="441"/>
        <v>0</v>
      </c>
      <c r="L735" s="554">
        <f t="shared" si="441"/>
        <v>-332.97615389445008</v>
      </c>
      <c r="M735" s="554">
        <f t="shared" si="441"/>
        <v>332.97615389445008</v>
      </c>
      <c r="N735" s="554">
        <f t="shared" si="441"/>
        <v>0</v>
      </c>
      <c r="O735" s="554">
        <f t="shared" si="441"/>
        <v>-576.46747747446091</v>
      </c>
      <c r="P735" s="554">
        <f t="shared" si="441"/>
        <v>-2305.8699098978436</v>
      </c>
      <c r="Q735" s="554">
        <f t="shared" si="441"/>
        <v>2882.3373873723044</v>
      </c>
      <c r="R735" s="554">
        <f t="shared" si="441"/>
        <v>0</v>
      </c>
      <c r="S735" s="554">
        <f t="shared" si="441"/>
        <v>0</v>
      </c>
      <c r="T735" s="554">
        <f t="shared" si="441"/>
        <v>-467.66382849441527</v>
      </c>
      <c r="U735" s="554">
        <f t="shared" si="441"/>
        <v>467.66382849441527</v>
      </c>
      <c r="V735" s="554">
        <f t="shared" si="441"/>
        <v>0</v>
      </c>
      <c r="W735" s="554">
        <f t="shared" si="441"/>
        <v>-807.96969208624</v>
      </c>
      <c r="X735" s="554">
        <f t="shared" si="441"/>
        <v>-3231.87876834496</v>
      </c>
      <c r="Y735" s="554">
        <f t="shared" si="441"/>
        <v>4039.8484604311998</v>
      </c>
      <c r="Z735" s="554">
        <f t="shared" si="441"/>
        <v>0</v>
      </c>
      <c r="AA735" s="554">
        <f t="shared" si="441"/>
        <v>0</v>
      </c>
      <c r="AB735" s="554">
        <f t="shared" si="441"/>
        <v>0</v>
      </c>
      <c r="AC735" s="554">
        <f t="shared" si="441"/>
        <v>0</v>
      </c>
      <c r="AD735" s="554">
        <f t="shared" si="441"/>
        <v>0</v>
      </c>
      <c r="AE735" s="554">
        <f t="shared" si="441"/>
        <v>0</v>
      </c>
      <c r="AF735" s="554">
        <f t="shared" si="441"/>
        <v>0</v>
      </c>
    </row>
    <row r="736" spans="1:32" ht="10.8" thickBot="1">
      <c r="A736" s="684" t="s">
        <v>691</v>
      </c>
      <c r="B736" s="285"/>
      <c r="C736" s="285"/>
      <c r="D736" s="285"/>
      <c r="E736" s="285"/>
      <c r="F736" s="285"/>
      <c r="G736" s="285">
        <v>1.1368683772161603E-13</v>
      </c>
      <c r="H736" s="685">
        <f ca="1">+H720</f>
        <v>-24000</v>
      </c>
      <c r="I736" s="1417">
        <f ca="1">IF(I728+SUM(I730:I735)&lt;0,0,I728+SUM(I730:I735))</f>
        <v>799.00000000000011</v>
      </c>
      <c r="J736" s="1417">
        <f t="shared" ref="J736:AF736" ca="1" si="442">IF(J728+SUM(J730:J735)&lt;0,0,J728+SUM(J730:J735))</f>
        <v>0</v>
      </c>
      <c r="K736" s="1417">
        <f t="shared" ca="1" si="442"/>
        <v>2753.762861617533</v>
      </c>
      <c r="L736" s="1417">
        <f t="shared" ca="1" si="442"/>
        <v>1511.2440628491213</v>
      </c>
      <c r="M736" s="1417">
        <f t="shared" ca="1" si="442"/>
        <v>1126.5709761750591</v>
      </c>
      <c r="N736" s="1417">
        <f t="shared" ca="1" si="442"/>
        <v>1136.0432653317648</v>
      </c>
      <c r="O736" s="1417">
        <f t="shared" ca="1" si="442"/>
        <v>781.90097643004037</v>
      </c>
      <c r="P736" s="1417">
        <f t="shared" ca="1" si="442"/>
        <v>797.98060782172433</v>
      </c>
      <c r="Q736" s="1417">
        <f t="shared" ca="1" si="442"/>
        <v>1257.1138336626354</v>
      </c>
      <c r="R736" s="1417">
        <f t="shared" ca="1" si="442"/>
        <v>2216.6241087188118</v>
      </c>
      <c r="S736" s="1417">
        <f t="shared" ca="1" si="442"/>
        <v>2768.8207586107992</v>
      </c>
      <c r="T736" s="1417">
        <f t="shared" ca="1" si="442"/>
        <v>3056.3267096332306</v>
      </c>
      <c r="U736" s="1417">
        <f t="shared" ca="1" si="442"/>
        <v>2843.2111679944437</v>
      </c>
      <c r="V736" s="1417">
        <f t="shared" ca="1" si="442"/>
        <v>4176.1017050463961</v>
      </c>
      <c r="W736" s="1417">
        <f t="shared" ca="1" si="442"/>
        <v>3912.6881323226598</v>
      </c>
      <c r="X736" s="1417">
        <f t="shared" ca="1" si="442"/>
        <v>2682.3886289702714</v>
      </c>
      <c r="Y736" s="1417">
        <f t="shared" ca="1" si="442"/>
        <v>3376.9137682934797</v>
      </c>
      <c r="Z736" s="1417">
        <f t="shared" ca="1" si="442"/>
        <v>6585.0084301396128</v>
      </c>
      <c r="AA736" s="1417">
        <f t="shared" ca="1" si="442"/>
        <v>11367.975258794511</v>
      </c>
      <c r="AB736" s="1417">
        <f t="shared" ca="1" si="442"/>
        <v>11539.25348450347</v>
      </c>
      <c r="AC736" s="1417">
        <f t="shared" ca="1" si="442"/>
        <v>11824.604358037692</v>
      </c>
      <c r="AD736" s="1417">
        <f t="shared" ca="1" si="442"/>
        <v>11993.721614884944</v>
      </c>
      <c r="AE736" s="1417">
        <f t="shared" ca="1" si="442"/>
        <v>12189.275144125912</v>
      </c>
      <c r="AF736" s="1417">
        <f t="shared" ca="1" si="442"/>
        <v>10991.518758930433</v>
      </c>
    </row>
    <row r="737" spans="1:32" ht="10.8" thickTop="1">
      <c r="A737" s="684" t="s">
        <v>787</v>
      </c>
      <c r="B737" s="1251"/>
      <c r="C737" s="285"/>
      <c r="D737" s="1252"/>
      <c r="E737" s="285"/>
      <c r="F737" s="285"/>
      <c r="G737" s="285"/>
      <c r="H737" s="1253"/>
      <c r="I737" s="732"/>
      <c r="J737" s="732"/>
      <c r="K737" s="732"/>
      <c r="L737" s="732"/>
      <c r="M737" s="732"/>
      <c r="N737" s="732"/>
      <c r="O737" s="732"/>
      <c r="P737" s="732"/>
      <c r="Q737" s="732"/>
      <c r="R737" s="732"/>
      <c r="S737" s="732"/>
      <c r="T737" s="732"/>
      <c r="U737" s="732"/>
      <c r="V737" s="732"/>
      <c r="W737" s="732"/>
      <c r="X737" s="732"/>
      <c r="Y737" s="732"/>
      <c r="Z737" s="732"/>
      <c r="AA737" s="732"/>
      <c r="AB737" s="732"/>
      <c r="AC737" s="732"/>
      <c r="AD737" s="732"/>
      <c r="AE737" s="732"/>
      <c r="AF737" s="732"/>
    </row>
    <row r="738" spans="1:32">
      <c r="A738" s="684"/>
      <c r="B738" s="1260"/>
      <c r="C738" s="285"/>
      <c r="D738" s="1252"/>
      <c r="E738" s="1252"/>
      <c r="F738" s="285"/>
      <c r="G738" s="285"/>
      <c r="H738" s="1254"/>
      <c r="I738" s="732"/>
      <c r="J738" s="732"/>
      <c r="K738" s="732"/>
      <c r="L738" s="732"/>
      <c r="M738" s="732"/>
      <c r="N738" s="732"/>
      <c r="O738" s="732"/>
      <c r="P738" s="732"/>
      <c r="Q738" s="732"/>
      <c r="R738" s="732"/>
      <c r="S738" s="732"/>
      <c r="T738" s="732"/>
      <c r="U738" s="732"/>
      <c r="V738" s="732"/>
      <c r="W738" s="732"/>
      <c r="X738" s="732"/>
      <c r="Y738" s="732"/>
      <c r="Z738" s="732"/>
      <c r="AA738" s="732"/>
      <c r="AB738" s="732"/>
      <c r="AC738" s="732"/>
      <c r="AD738" s="732"/>
      <c r="AE738" s="732"/>
      <c r="AF738" s="732"/>
    </row>
    <row r="739" spans="1:32">
      <c r="A739" s="684"/>
      <c r="B739" s="1260"/>
      <c r="C739" s="285"/>
      <c r="D739" s="1252"/>
      <c r="E739" s="1255"/>
      <c r="F739" s="285"/>
      <c r="G739" s="285"/>
      <c r="H739" s="1254"/>
      <c r="I739" s="732"/>
      <c r="J739" s="732"/>
      <c r="K739" s="732"/>
      <c r="L739" s="732"/>
      <c r="M739" s="732"/>
      <c r="N739" s="732"/>
      <c r="O739" s="732"/>
      <c r="P739" s="732"/>
      <c r="Q739" s="732"/>
      <c r="R739" s="732"/>
      <c r="S739" s="732"/>
      <c r="T739" s="732"/>
      <c r="U739" s="732"/>
      <c r="V739" s="732"/>
      <c r="W739" s="732"/>
      <c r="X739" s="732"/>
      <c r="Y739" s="732"/>
      <c r="Z739" s="732"/>
      <c r="AA739" s="732"/>
      <c r="AB739" s="732"/>
      <c r="AC739" s="732"/>
      <c r="AD739" s="732"/>
      <c r="AE739" s="732"/>
      <c r="AF739" s="732"/>
    </row>
    <row r="740" spans="1:32">
      <c r="A740" s="684" t="s">
        <v>787</v>
      </c>
      <c r="B740" s="1251"/>
      <c r="C740" s="285"/>
      <c r="D740" s="1255"/>
      <c r="E740" s="285"/>
      <c r="F740" s="285"/>
      <c r="G740" s="285"/>
      <c r="H740" s="1254"/>
      <c r="I740" s="732"/>
      <c r="J740" s="732"/>
      <c r="K740" s="732"/>
      <c r="L740" s="732"/>
      <c r="M740" s="732"/>
      <c r="N740" s="732"/>
      <c r="O740" s="732"/>
      <c r="P740" s="732"/>
      <c r="Q740" s="732"/>
      <c r="R740" s="732"/>
      <c r="S740" s="732"/>
      <c r="T740" s="732"/>
      <c r="U740" s="732"/>
      <c r="V740" s="732"/>
      <c r="W740" s="732"/>
      <c r="X740" s="732"/>
      <c r="Y740" s="732"/>
      <c r="Z740" s="732"/>
      <c r="AA740" s="732"/>
      <c r="AB740" s="732"/>
      <c r="AC740" s="732"/>
      <c r="AD740" s="732"/>
      <c r="AE740" s="732"/>
      <c r="AF740" s="732"/>
    </row>
    <row r="741" spans="1:32">
      <c r="A741" s="808" t="s">
        <v>897</v>
      </c>
      <c r="B741" s="809">
        <f ca="1">+SUM(I741:S741)</f>
        <v>-910.0780318583129</v>
      </c>
      <c r="C741" s="809"/>
      <c r="D741" s="809"/>
      <c r="E741" s="809"/>
      <c r="F741" s="809"/>
      <c r="G741" s="809">
        <v>0</v>
      </c>
      <c r="H741" s="810"/>
      <c r="I741" s="811">
        <f t="shared" ref="I741:AF741" ca="1" si="443">-I$386-I$383+I$375+I$392+I$393-I736+I394</f>
        <v>0</v>
      </c>
      <c r="J741" s="811">
        <f t="shared" ca="1" si="443"/>
        <v>-910.0780318583129</v>
      </c>
      <c r="K741" s="811">
        <f t="shared" ca="1" si="443"/>
        <v>0</v>
      </c>
      <c r="L741" s="811">
        <f t="shared" ca="1" si="443"/>
        <v>0</v>
      </c>
      <c r="M741" s="811">
        <f t="shared" ca="1" si="443"/>
        <v>0</v>
      </c>
      <c r="N741" s="811">
        <f t="shared" ca="1" si="443"/>
        <v>0</v>
      </c>
      <c r="O741" s="811">
        <f t="shared" ca="1" si="443"/>
        <v>0</v>
      </c>
      <c r="P741" s="811">
        <f t="shared" ca="1" si="443"/>
        <v>0</v>
      </c>
      <c r="Q741" s="811">
        <f t="shared" ca="1" si="443"/>
        <v>0</v>
      </c>
      <c r="R741" s="811">
        <f t="shared" ca="1" si="443"/>
        <v>0</v>
      </c>
      <c r="S741" s="811">
        <f t="shared" ca="1" si="443"/>
        <v>0</v>
      </c>
      <c r="T741" s="811">
        <f t="shared" ca="1" si="443"/>
        <v>0</v>
      </c>
      <c r="U741" s="811">
        <f t="shared" ca="1" si="443"/>
        <v>0</v>
      </c>
      <c r="V741" s="811">
        <f t="shared" ca="1" si="443"/>
        <v>0</v>
      </c>
      <c r="W741" s="811">
        <f t="shared" ca="1" si="443"/>
        <v>0</v>
      </c>
      <c r="X741" s="811">
        <f t="shared" ca="1" si="443"/>
        <v>0</v>
      </c>
      <c r="Y741" s="811">
        <f t="shared" ca="1" si="443"/>
        <v>0</v>
      </c>
      <c r="Z741" s="811">
        <f t="shared" ca="1" si="443"/>
        <v>0</v>
      </c>
      <c r="AA741" s="811">
        <f t="shared" ca="1" si="443"/>
        <v>1.8189894035458565E-12</v>
      </c>
      <c r="AB741" s="811">
        <f t="shared" ca="1" si="443"/>
        <v>0</v>
      </c>
      <c r="AC741" s="811">
        <f t="shared" ca="1" si="443"/>
        <v>3.637978807091713E-12</v>
      </c>
      <c r="AD741" s="811">
        <f t="shared" ca="1" si="443"/>
        <v>5.4569682106375694E-12</v>
      </c>
      <c r="AE741" s="811">
        <f t="shared" ca="1" si="443"/>
        <v>1.2732925824820995E-11</v>
      </c>
      <c r="AF741" s="811">
        <f t="shared" ca="1" si="443"/>
        <v>7.2759576141834259E-12</v>
      </c>
    </row>
    <row r="742" spans="1:32">
      <c r="A742" s="812" t="s">
        <v>897</v>
      </c>
      <c r="B742" s="809">
        <f ca="1">+SUM(I742:S742)</f>
        <v>-16059.139483075804</v>
      </c>
      <c r="C742" s="812"/>
      <c r="D742" s="812"/>
      <c r="E742" s="812"/>
      <c r="F742" s="812"/>
      <c r="G742" s="812">
        <v>-1.1368683772161603E-13</v>
      </c>
      <c r="H742" s="812"/>
      <c r="I742" s="813">
        <f t="shared" ref="I742:AF742" ca="1" si="444">+I824-I383-I736+I394</f>
        <v>-799.00000000000011</v>
      </c>
      <c r="J742" s="813">
        <f t="shared" ca="1" si="444"/>
        <v>-910.07803185831301</v>
      </c>
      <c r="K742" s="813">
        <f t="shared" ca="1" si="444"/>
        <v>-2753.762861617533</v>
      </c>
      <c r="L742" s="813">
        <f t="shared" ca="1" si="444"/>
        <v>-1511.2440628491213</v>
      </c>
      <c r="M742" s="813">
        <f t="shared" ca="1" si="444"/>
        <v>-1126.5709761750591</v>
      </c>
      <c r="N742" s="813">
        <f t="shared" ca="1" si="444"/>
        <v>-1136.0432653317648</v>
      </c>
      <c r="O742" s="813">
        <f t="shared" ca="1" si="444"/>
        <v>-781.90097643004037</v>
      </c>
      <c r="P742" s="813">
        <f t="shared" ca="1" si="444"/>
        <v>-797.98060782172433</v>
      </c>
      <c r="Q742" s="813">
        <f t="shared" ca="1" si="444"/>
        <v>-1257.1138336626354</v>
      </c>
      <c r="R742" s="813">
        <f t="shared" ca="1" si="444"/>
        <v>-2216.6241087188118</v>
      </c>
      <c r="S742" s="813">
        <f t="shared" ca="1" si="444"/>
        <v>-2768.8207586107992</v>
      </c>
      <c r="T742" s="813">
        <f t="shared" ca="1" si="444"/>
        <v>-3056.3267096332306</v>
      </c>
      <c r="U742" s="813">
        <f t="shared" ca="1" si="444"/>
        <v>-2843.2111679944437</v>
      </c>
      <c r="V742" s="813">
        <f t="shared" ca="1" si="444"/>
        <v>-4176.1017050463961</v>
      </c>
      <c r="W742" s="813">
        <f t="shared" ca="1" si="444"/>
        <v>-3912.6881323226598</v>
      </c>
      <c r="X742" s="813">
        <f t="shared" ca="1" si="444"/>
        <v>-2682.3886289702714</v>
      </c>
      <c r="Y742" s="813">
        <f t="shared" ca="1" si="444"/>
        <v>-3376.9137682934797</v>
      </c>
      <c r="Z742" s="813">
        <f t="shared" ca="1" si="444"/>
        <v>-6585.0084301396128</v>
      </c>
      <c r="AA742" s="813">
        <f t="shared" ca="1" si="444"/>
        <v>-11367.97525879451</v>
      </c>
      <c r="AB742" s="813">
        <f t="shared" ca="1" si="444"/>
        <v>-11539.25348450347</v>
      </c>
      <c r="AC742" s="813">
        <f t="shared" ca="1" si="444"/>
        <v>-11824.604358037675</v>
      </c>
      <c r="AD742" s="813">
        <f t="shared" ca="1" si="444"/>
        <v>-11993.721614884944</v>
      </c>
      <c r="AE742" s="813">
        <f t="shared" ca="1" si="444"/>
        <v>-12189.275144125895</v>
      </c>
      <c r="AF742" s="813">
        <f t="shared" ca="1" si="444"/>
        <v>-10991.518758930433</v>
      </c>
    </row>
    <row r="743" spans="1:32">
      <c r="A743" s="812"/>
      <c r="B743" s="809"/>
      <c r="C743" s="812"/>
      <c r="D743" s="812"/>
      <c r="E743" s="812"/>
      <c r="F743" s="812"/>
      <c r="G743" s="812"/>
      <c r="H743" s="812"/>
      <c r="I743" s="813"/>
      <c r="J743" s="813"/>
      <c r="K743" s="813"/>
      <c r="L743" s="813"/>
      <c r="M743" s="813"/>
      <c r="N743" s="813"/>
      <c r="O743" s="813"/>
      <c r="P743" s="813"/>
      <c r="Q743" s="813"/>
      <c r="R743" s="813"/>
      <c r="S743" s="813"/>
      <c r="T743" s="813"/>
      <c r="U743" s="813"/>
      <c r="V743" s="813"/>
      <c r="W743" s="813"/>
      <c r="X743" s="813"/>
      <c r="Y743" s="813"/>
      <c r="Z743" s="813"/>
      <c r="AA743" s="813"/>
      <c r="AB743" s="813"/>
      <c r="AC743" s="813"/>
      <c r="AD743" s="813"/>
      <c r="AE743" s="813"/>
      <c r="AF743" s="813"/>
    </row>
    <row r="744" spans="1:32">
      <c r="A744" s="812"/>
      <c r="B744" s="809"/>
      <c r="C744" s="812"/>
      <c r="D744" s="812"/>
      <c r="E744" s="812"/>
      <c r="F744" s="812"/>
      <c r="G744" s="812"/>
      <c r="H744" s="812"/>
      <c r="I744" s="813"/>
      <c r="J744" s="813"/>
      <c r="K744" s="813"/>
      <c r="L744" s="813"/>
      <c r="M744" s="813"/>
      <c r="N744" s="813"/>
      <c r="O744" s="813"/>
      <c r="P744" s="813"/>
      <c r="Q744" s="813"/>
      <c r="R744" s="813"/>
      <c r="S744" s="813"/>
      <c r="T744" s="813"/>
      <c r="U744" s="813"/>
      <c r="V744" s="813"/>
      <c r="W744" s="813"/>
      <c r="X744" s="813"/>
      <c r="Y744" s="813"/>
      <c r="Z744" s="813"/>
      <c r="AA744" s="813"/>
      <c r="AB744" s="813"/>
      <c r="AC744" s="813"/>
      <c r="AD744" s="813"/>
      <c r="AE744" s="813"/>
      <c r="AF744" s="813"/>
    </row>
    <row r="745" spans="1:32" ht="10.8" thickBot="1">
      <c r="D745" s="348"/>
      <c r="E745" s="348"/>
      <c r="F745" s="348"/>
    </row>
    <row r="746" spans="1:32">
      <c r="A746" s="686" t="s">
        <v>160</v>
      </c>
      <c r="B746" s="687"/>
      <c r="C746" s="687"/>
      <c r="D746" s="687"/>
      <c r="E746" s="688" t="s">
        <v>161</v>
      </c>
      <c r="F746" s="689"/>
      <c r="G746" s="348"/>
      <c r="H746" s="348"/>
      <c r="I746" s="692">
        <f>+I718</f>
        <v>36525</v>
      </c>
      <c r="J746" s="692">
        <f t="shared" ref="J746:AF746" si="445">+J718</f>
        <v>36891</v>
      </c>
      <c r="K746" s="692">
        <f t="shared" si="445"/>
        <v>37256</v>
      </c>
      <c r="L746" s="692">
        <f t="shared" si="445"/>
        <v>37621</v>
      </c>
      <c r="M746" s="692">
        <f t="shared" si="445"/>
        <v>37986</v>
      </c>
      <c r="N746" s="692">
        <f t="shared" si="445"/>
        <v>38352</v>
      </c>
      <c r="O746" s="692">
        <f t="shared" si="445"/>
        <v>38717</v>
      </c>
      <c r="P746" s="692">
        <f t="shared" si="445"/>
        <v>39082</v>
      </c>
      <c r="Q746" s="692">
        <f t="shared" si="445"/>
        <v>39447</v>
      </c>
      <c r="R746" s="692">
        <f t="shared" si="445"/>
        <v>39813</v>
      </c>
      <c r="S746" s="692">
        <f t="shared" si="445"/>
        <v>40178</v>
      </c>
      <c r="T746" s="692">
        <f t="shared" si="445"/>
        <v>40543</v>
      </c>
      <c r="U746" s="692">
        <f t="shared" si="445"/>
        <v>40908</v>
      </c>
      <c r="V746" s="692">
        <f t="shared" si="445"/>
        <v>41274</v>
      </c>
      <c r="W746" s="692">
        <f t="shared" si="445"/>
        <v>41639</v>
      </c>
      <c r="X746" s="692">
        <f t="shared" si="445"/>
        <v>42004</v>
      </c>
      <c r="Y746" s="692">
        <f t="shared" si="445"/>
        <v>42369</v>
      </c>
      <c r="Z746" s="692">
        <f t="shared" si="445"/>
        <v>42735</v>
      </c>
      <c r="AA746" s="692">
        <f t="shared" si="445"/>
        <v>43100</v>
      </c>
      <c r="AB746" s="692">
        <f t="shared" si="445"/>
        <v>43465</v>
      </c>
      <c r="AC746" s="692">
        <f t="shared" si="445"/>
        <v>43830</v>
      </c>
      <c r="AD746" s="692">
        <f t="shared" si="445"/>
        <v>44196</v>
      </c>
      <c r="AE746" s="692">
        <f t="shared" si="445"/>
        <v>44561</v>
      </c>
      <c r="AF746" s="692">
        <f t="shared" si="445"/>
        <v>44926</v>
      </c>
    </row>
    <row r="747" spans="1:32">
      <c r="A747" s="699" t="str">
        <f>+"(Federal Taxes @ " &amp; TEXT(I667,"0.00%")&amp;")"</f>
        <v>(Federal Taxes @ 0.00%)</v>
      </c>
      <c r="B747" s="282"/>
      <c r="C747" s="282"/>
      <c r="D747" s="282"/>
      <c r="E747" s="626" t="s">
        <v>162</v>
      </c>
      <c r="F747" s="691"/>
      <c r="G747" s="881" t="s">
        <v>355</v>
      </c>
      <c r="H747" s="281"/>
      <c r="AD747" s="348"/>
      <c r="AE747" s="348"/>
      <c r="AF747" s="348"/>
    </row>
    <row r="748" spans="1:32">
      <c r="A748" s="693"/>
      <c r="B748" s="282"/>
      <c r="C748" s="282"/>
      <c r="D748" s="282"/>
      <c r="E748" s="282"/>
      <c r="F748" s="691"/>
      <c r="G748" s="694" t="s">
        <v>504</v>
      </c>
      <c r="H748" s="348"/>
      <c r="I748" s="461">
        <f ca="1">+I$345+I$326</f>
        <v>391.00000100000011</v>
      </c>
      <c r="J748" s="461">
        <f ca="1">+J$345+J$326</f>
        <v>986.98988975616157</v>
      </c>
      <c r="K748" s="461">
        <f t="shared" ref="K748:AF748" ca="1" si="446">+K$345+K$326</f>
        <v>4982.5470973970387</v>
      </c>
      <c r="L748" s="461">
        <f t="shared" ca="1" si="446"/>
        <v>4303.8974798733061</v>
      </c>
      <c r="M748" s="461">
        <f t="shared" ca="1" si="446"/>
        <v>4204.5209059504259</v>
      </c>
      <c r="N748" s="461">
        <f t="shared" ca="1" si="446"/>
        <v>4300.767512635819</v>
      </c>
      <c r="O748" s="461">
        <f t="shared" ca="1" si="446"/>
        <v>4618.4085453850712</v>
      </c>
      <c r="P748" s="461">
        <f t="shared" ca="1" si="446"/>
        <v>5267.1121176665147</v>
      </c>
      <c r="Q748" s="461">
        <f t="shared" ca="1" si="446"/>
        <v>5837.6708444083706</v>
      </c>
      <c r="R748" s="461">
        <f t="shared" ca="1" si="446"/>
        <v>6477.8305907928097</v>
      </c>
      <c r="S748" s="461">
        <f t="shared" ca="1" si="446"/>
        <v>7118.466284262593</v>
      </c>
      <c r="T748" s="461">
        <f t="shared" ca="1" si="446"/>
        <v>6939.7803802347016</v>
      </c>
      <c r="U748" s="461">
        <f t="shared" ca="1" si="446"/>
        <v>7396.4314984222419</v>
      </c>
      <c r="V748" s="461">
        <f t="shared" ca="1" si="446"/>
        <v>8430.7402397002115</v>
      </c>
      <c r="W748" s="461">
        <f t="shared" ca="1" si="446"/>
        <v>9018.6102857951428</v>
      </c>
      <c r="X748" s="461">
        <f t="shared" ca="1" si="446"/>
        <v>9687.5597273280655</v>
      </c>
      <c r="Y748" s="461">
        <f t="shared" ca="1" si="446"/>
        <v>10338.449787566775</v>
      </c>
      <c r="Z748" s="461">
        <f t="shared" ca="1" si="446"/>
        <v>11018.766411618872</v>
      </c>
      <c r="AA748" s="461">
        <f t="shared" ca="1" si="446"/>
        <v>11381.062719650687</v>
      </c>
      <c r="AB748" s="461">
        <f t="shared" ca="1" si="446"/>
        <v>11552.021006956895</v>
      </c>
      <c r="AC748" s="461">
        <f t="shared" ca="1" si="446"/>
        <v>11844.116168769076</v>
      </c>
      <c r="AD748" s="461">
        <f t="shared" ca="1" si="446"/>
        <v>12010.12139064564</v>
      </c>
      <c r="AE748" s="461">
        <f t="shared" ca="1" si="446"/>
        <v>12204.224989697981</v>
      </c>
      <c r="AF748" s="461">
        <f t="shared" ca="1" si="446"/>
        <v>10893.012651135989</v>
      </c>
    </row>
    <row r="749" spans="1:32">
      <c r="A749" s="695"/>
      <c r="B749" s="348"/>
      <c r="C749" s="348"/>
      <c r="D749" s="348"/>
      <c r="E749" s="348"/>
      <c r="F749" s="691"/>
      <c r="G749" s="694" t="s">
        <v>163</v>
      </c>
      <c r="H749" s="348"/>
      <c r="I749" s="461">
        <f ca="1">I339</f>
        <v>1454.5329166537497</v>
      </c>
      <c r="J749" s="461">
        <f ca="1">J339</f>
        <v>4331.8739021741658</v>
      </c>
      <c r="K749" s="461">
        <f t="shared" ref="K749:AC749" ca="1" si="447">K339</f>
        <v>4232.0653024883304</v>
      </c>
      <c r="L749" s="461">
        <f t="shared" ca="1" si="447"/>
        <v>4115.8021793473927</v>
      </c>
      <c r="M749" s="461">
        <f t="shared" ca="1" si="447"/>
        <v>3934.5590577927051</v>
      </c>
      <c r="N749" s="461">
        <f t="shared" ca="1" si="447"/>
        <v>3726.8559324777052</v>
      </c>
      <c r="O749" s="461">
        <f t="shared" ca="1" si="447"/>
        <v>3580.9796825327048</v>
      </c>
      <c r="P749" s="461">
        <f t="shared" ca="1" si="447"/>
        <v>3361.5234313139554</v>
      </c>
      <c r="Q749" s="461">
        <f t="shared" ca="1" si="447"/>
        <v>3159.2921806030172</v>
      </c>
      <c r="R749" s="461">
        <f t="shared" ca="1" si="447"/>
        <v>2914.529056300205</v>
      </c>
      <c r="S749" s="461">
        <f t="shared" ca="1" si="447"/>
        <v>2560.4390575583298</v>
      </c>
      <c r="T749" s="461">
        <f t="shared" ca="1" si="447"/>
        <v>2241.1228111883297</v>
      </c>
      <c r="U749" s="461">
        <f t="shared" ca="1" si="447"/>
        <v>1971.34781209583</v>
      </c>
      <c r="V749" s="461">
        <f t="shared" ca="1" si="447"/>
        <v>1690.8421870214549</v>
      </c>
      <c r="W749" s="461">
        <f t="shared" ca="1" si="447"/>
        <v>1333.8578114352047</v>
      </c>
      <c r="X749" s="461">
        <f t="shared" ca="1" si="447"/>
        <v>996.97343532551724</v>
      </c>
      <c r="Y749" s="461">
        <f t="shared" ca="1" si="447"/>
        <v>650.24843666551715</v>
      </c>
      <c r="Z749" s="461">
        <f t="shared" ca="1" si="447"/>
        <v>275.96968256176791</v>
      </c>
      <c r="AA749" s="461">
        <f t="shared" ca="1" si="447"/>
        <v>91.007803185833112</v>
      </c>
      <c r="AB749" s="461">
        <f t="shared" ca="1" si="447"/>
        <v>91.007803185833353</v>
      </c>
      <c r="AC749" s="461">
        <f t="shared" ca="1" si="447"/>
        <v>91.007803185839293</v>
      </c>
      <c r="AD749" s="461">
        <f ca="1">AD339</f>
        <v>91.007803185836096</v>
      </c>
      <c r="AE749" s="461">
        <f ca="1">AE339</f>
        <v>91.007803185850577</v>
      </c>
      <c r="AF749" s="461">
        <f ca="1">AF339</f>
        <v>91.007803185838839</v>
      </c>
    </row>
    <row r="750" spans="1:32">
      <c r="A750" s="693" t="s">
        <v>164</v>
      </c>
      <c r="B750" s="282"/>
      <c r="C750" s="282"/>
      <c r="D750" s="282"/>
      <c r="E750" s="696">
        <f>+Summary!M115</f>
        <v>0.09</v>
      </c>
      <c r="F750" s="691"/>
      <c r="G750" s="694" t="s">
        <v>165</v>
      </c>
      <c r="H750" s="348"/>
      <c r="I750" s="461">
        <f>I373</f>
        <v>391.000001</v>
      </c>
      <c r="J750" s="461">
        <f>J373</f>
        <v>1601.9999830000002</v>
      </c>
      <c r="K750" s="461">
        <f t="shared" ref="K750:AC750" si="448">K373</f>
        <v>2148.0000500000001</v>
      </c>
      <c r="L750" s="461">
        <f t="shared" si="448"/>
        <v>2500.9999025000002</v>
      </c>
      <c r="M750" s="461">
        <f t="shared" si="448"/>
        <v>2102.0000100000002</v>
      </c>
      <c r="N750" s="461">
        <f t="shared" si="448"/>
        <v>3172.9999980000002</v>
      </c>
      <c r="O750" s="461">
        <f t="shared" si="448"/>
        <v>3259.000004</v>
      </c>
      <c r="P750" s="461">
        <f t="shared" si="448"/>
        <v>2143.0000259999997</v>
      </c>
      <c r="Q750" s="461">
        <f t="shared" si="448"/>
        <v>2834.9999914999999</v>
      </c>
      <c r="R750" s="461">
        <f t="shared" si="448"/>
        <v>4242.9999925000011</v>
      </c>
      <c r="S750" s="461">
        <f t="shared" si="448"/>
        <v>4340.9999770000004</v>
      </c>
      <c r="T750" s="461">
        <f t="shared" si="448"/>
        <v>3399.9999349999998</v>
      </c>
      <c r="U750" s="461">
        <f t="shared" si="448"/>
        <v>3140.000043</v>
      </c>
      <c r="V750" s="461">
        <f t="shared" si="448"/>
        <v>4238.9999619999999</v>
      </c>
      <c r="W750" s="461">
        <f t="shared" si="448"/>
        <v>4286.0000520000012</v>
      </c>
      <c r="X750" s="461">
        <f t="shared" si="448"/>
        <v>3758.9999744999996</v>
      </c>
      <c r="Y750" s="461">
        <f t="shared" si="448"/>
        <v>4520.9999934999996</v>
      </c>
      <c r="Z750" s="461">
        <f t="shared" si="448"/>
        <v>4417.0001044999954</v>
      </c>
      <c r="AA750" s="461">
        <f t="shared" si="448"/>
        <v>0</v>
      </c>
      <c r="AB750" s="461">
        <f t="shared" si="448"/>
        <v>0</v>
      </c>
      <c r="AC750" s="461">
        <f t="shared" si="448"/>
        <v>0</v>
      </c>
      <c r="AD750" s="461">
        <f>AD373</f>
        <v>0</v>
      </c>
      <c r="AE750" s="461">
        <f>AE373</f>
        <v>0</v>
      </c>
      <c r="AF750" s="461">
        <f>AF373</f>
        <v>0</v>
      </c>
    </row>
    <row r="751" spans="1:32">
      <c r="A751" s="695"/>
      <c r="B751" s="348"/>
      <c r="C751" s="348"/>
      <c r="D751" s="348"/>
      <c r="E751" s="348"/>
      <c r="F751" s="691"/>
      <c r="G751" s="697" t="s">
        <v>681</v>
      </c>
      <c r="H751" s="348"/>
      <c r="I751" s="1240">
        <f ca="1">IF(ISERROR((I748+I749)/(I749+I750)),"NA",(I748+I749)/(I749+I750))</f>
        <v>1</v>
      </c>
      <c r="J751" s="1240">
        <f ca="1">IF(ISERROR((J748+J749)/(J749+J750)),"NA",(J748+J749)/(J749+J750))</f>
        <v>0.89635605590128131</v>
      </c>
      <c r="K751" s="1240">
        <f t="shared" ref="K751:Z751" ca="1" si="449">IF(ISERROR((K748+K749)/(K749+K750)),"NA",(K748+K749)/(K749+K750))</f>
        <v>1.4442818201370802</v>
      </c>
      <c r="L751" s="1240">
        <f t="shared" ca="1" si="449"/>
        <v>1.2724726469179721</v>
      </c>
      <c r="M751" s="1240">
        <f t="shared" ca="1" si="449"/>
        <v>1.3482979081855024</v>
      </c>
      <c r="N751" s="1240">
        <f t="shared" ca="1" si="449"/>
        <v>1.1634479800736561</v>
      </c>
      <c r="O751" s="1240">
        <f t="shared" ca="1" si="449"/>
        <v>1.1987445290315148</v>
      </c>
      <c r="P751" s="1240">
        <f t="shared" ca="1" si="449"/>
        <v>1.5675535976716484</v>
      </c>
      <c r="Q751" s="1240">
        <f t="shared" ca="1" si="449"/>
        <v>1.5009216712663047</v>
      </c>
      <c r="R751" s="1240">
        <f t="shared" ca="1" si="449"/>
        <v>1.3122349323426674</v>
      </c>
      <c r="S751" s="1240">
        <f t="shared" ca="1" si="449"/>
        <v>1.4024474161627278</v>
      </c>
      <c r="T751" s="1240">
        <f t="shared" ca="1" si="449"/>
        <v>1.6274957317010177</v>
      </c>
      <c r="U751" s="1240">
        <f t="shared" ca="1" si="449"/>
        <v>1.8327414952161265</v>
      </c>
      <c r="V751" s="1240">
        <f t="shared" ca="1" si="449"/>
        <v>1.706889015315852</v>
      </c>
      <c r="W751" s="1240">
        <f t="shared" ca="1" si="449"/>
        <v>1.8421227633864525</v>
      </c>
      <c r="X751" s="1240">
        <f t="shared" ca="1" si="449"/>
        <v>2.2465502310378915</v>
      </c>
      <c r="Y751" s="1240">
        <f t="shared" ca="1" si="449"/>
        <v>2.1249604177072143</v>
      </c>
      <c r="Z751" s="1240">
        <f t="shared" ca="1" si="449"/>
        <v>2.4067353097647364</v>
      </c>
      <c r="AA751" s="1240" t="s">
        <v>787</v>
      </c>
      <c r="AB751" s="698"/>
      <c r="AC751" s="698"/>
      <c r="AD751" s="698"/>
      <c r="AE751" s="698"/>
      <c r="AF751" s="698"/>
    </row>
    <row r="752" spans="1:32">
      <c r="A752" s="699" t="s">
        <v>333</v>
      </c>
      <c r="B752" s="282"/>
      <c r="C752" s="282"/>
      <c r="D752" s="282"/>
      <c r="E752" s="700"/>
      <c r="F752" s="691"/>
      <c r="G752" s="697" t="s">
        <v>166</v>
      </c>
      <c r="H752" s="348"/>
      <c r="I752" s="701">
        <f ca="1">XIRR($H736:I736,$H718:I718,0.15)</f>
        <v>-0.99971708172815843</v>
      </c>
      <c r="J752" s="701">
        <f ca="1">XIRR($H736:J736,$H718:J718,0.15)</f>
        <v>-0.99971708172815843</v>
      </c>
      <c r="K752" s="701">
        <f ca="1">XIRR($H736:K736,$H718:K718,0.15)</f>
        <v>-0.58299967907369132</v>
      </c>
      <c r="L752" s="701">
        <f ca="1">XIRR($H736:L736,$H718:L718,0.15)</f>
        <v>-0.44682946391403666</v>
      </c>
      <c r="M752" s="701">
        <f ca="1">XIRR($H736:M736,$H718:M718,0.15)</f>
        <v>-0.3590684263035655</v>
      </c>
      <c r="N752" s="701">
        <f ca="1">XIRR($H736:N736,$H718:N718,0.15)</f>
        <v>-0.28622316215187305</v>
      </c>
      <c r="O752" s="701">
        <f ca="1">XIRR($H736:O736,$H718:O718,0.15)</f>
        <v>-0.24388829432427878</v>
      </c>
      <c r="P752" s="701">
        <f ca="1">XIRR($H736:P736,$H718:P718,0.15)</f>
        <v>-0.20622884761542079</v>
      </c>
      <c r="Q752" s="701">
        <f ca="1">XIRR($H736:Q736,$H718:Q718,0.15)</f>
        <v>-0.16049219332635395</v>
      </c>
      <c r="R752" s="701">
        <f ca="1">XIRR($H736:R736,$H718:R718,0.15)</f>
        <v>-0.10815898329019547</v>
      </c>
      <c r="S752" s="701">
        <f ca="1">XIRR($H736:S736,$H718:S718,0.15)</f>
        <v>-6.7242009937763206E-2</v>
      </c>
      <c r="T752" s="701">
        <f ca="1">XIRR($H736:T736,$H718:T718,0.15)</f>
        <v>-3.6911205947399134E-2</v>
      </c>
      <c r="U752" s="701">
        <f ca="1">XIRR($H736:U736,$H718:U718,0.15)</f>
        <v>-1.6375683993101117E-2</v>
      </c>
      <c r="V752" s="701">
        <f ca="1">XIRR($H736:V736,$H718:V718,0.15)</f>
        <v>5.7298377156257624E-3</v>
      </c>
      <c r="W752" s="701">
        <f ca="1">XIRR($H736:W736,$H718:W718,0.15)</f>
        <v>2.1005384624004367E-2</v>
      </c>
      <c r="X752" s="701">
        <f ca="1">XIRR($H736:X736,$H718:X718,0.15)</f>
        <v>2.9395119845867155E-2</v>
      </c>
      <c r="Y752" s="701">
        <f ca="1">XIRR($H736:Y736,$H718:Y718,0.15)</f>
        <v>3.8135768473148354E-2</v>
      </c>
      <c r="Z752" s="701">
        <f ca="1">XIRR($H736:Z736,$H718:Z718,0.15)</f>
        <v>5.1298199594020835E-2</v>
      </c>
      <c r="AA752" s="701">
        <f ca="1">XIRR($H736:AA736,$H718:AA718,0.15)</f>
        <v>6.7248214781284343E-2</v>
      </c>
      <c r="AB752" s="701">
        <f ca="1">XIRR($H736:AB736,$H718:AB718,0.15)</f>
        <v>7.8618384897708865E-2</v>
      </c>
      <c r="AC752" s="1266">
        <f ca="1">XIRR($H736:AC736,$H718:AC718,0.15)</f>
        <v>8.7280713021755219E-2</v>
      </c>
      <c r="AD752" s="1266">
        <f ca="1">XIRR($H736:AD736,$H718:AD718,0.15)</f>
        <v>9.4041346013545982E-2</v>
      </c>
      <c r="AE752" s="1266">
        <f ca="1">XIRR($H736:AE736,$H718:AE718,0.15)</f>
        <v>9.9458943307399725E-2</v>
      </c>
      <c r="AF752" s="1266">
        <f ca="1">XIRR($H736:AF736,$H718:AF718,0.15)</f>
        <v>0.10340361446142197</v>
      </c>
    </row>
    <row r="753" spans="1:32">
      <c r="A753" s="928" t="s">
        <v>167</v>
      </c>
      <c r="B753" s="702"/>
      <c r="C753" s="702"/>
      <c r="D753" s="702"/>
      <c r="E753" s="805">
        <v>0</v>
      </c>
      <c r="F753" s="691"/>
      <c r="G753" s="697"/>
      <c r="H753" s="348"/>
      <c r="I753" s="281"/>
      <c r="J753" s="703"/>
      <c r="K753" s="703"/>
      <c r="L753" s="703"/>
      <c r="M753" s="703"/>
      <c r="N753" s="703"/>
      <c r="O753" s="703"/>
      <c r="P753" s="703"/>
      <c r="Q753" s="703"/>
      <c r="R753" s="703"/>
      <c r="S753" s="703"/>
      <c r="T753" s="348"/>
      <c r="U753" s="348"/>
      <c r="V753" s="348"/>
      <c r="W753" s="348"/>
      <c r="X753" s="348"/>
      <c r="Y753" s="348"/>
      <c r="Z753" s="348"/>
      <c r="AA753" s="348"/>
      <c r="AB753" s="348"/>
      <c r="AC753" s="348"/>
      <c r="AD753" s="348"/>
      <c r="AE753" s="348"/>
      <c r="AF753" s="348"/>
    </row>
    <row r="754" spans="1:32">
      <c r="A754" s="704" t="s">
        <v>168</v>
      </c>
      <c r="B754" s="400"/>
      <c r="C754" s="400"/>
      <c r="D754" s="400"/>
      <c r="E754" s="705">
        <f ca="1">+$N$51-SUM($I$100:$AC$100)</f>
        <v>2748.3406744341046</v>
      </c>
      <c r="F754" s="691"/>
      <c r="G754" s="880" t="s">
        <v>351</v>
      </c>
      <c r="H754" s="348"/>
      <c r="I754" s="348"/>
      <c r="J754" s="348"/>
      <c r="K754" s="348"/>
      <c r="L754" s="348"/>
      <c r="M754" s="348"/>
      <c r="N754" s="348"/>
      <c r="O754" s="348"/>
      <c r="P754" s="348"/>
      <c r="Q754" s="348"/>
      <c r="R754" s="348"/>
      <c r="S754" s="348"/>
      <c r="T754" s="348"/>
      <c r="U754" s="348"/>
      <c r="V754" s="348"/>
      <c r="W754" s="348"/>
      <c r="X754" s="348"/>
      <c r="Y754" s="348"/>
      <c r="Z754" s="348"/>
      <c r="AA754" s="348"/>
      <c r="AB754" s="348"/>
      <c r="AC754" s="348"/>
      <c r="AD754" s="348"/>
      <c r="AE754" s="348"/>
      <c r="AF754" s="348"/>
    </row>
    <row r="755" spans="1:32">
      <c r="A755" s="706" t="s">
        <v>169</v>
      </c>
      <c r="B755" s="348"/>
      <c r="C755" s="348"/>
      <c r="D755" s="348"/>
      <c r="E755" s="707">
        <f ca="1">+E753-(MAX((E753-E754)*0.35,0))</f>
        <v>0</v>
      </c>
      <c r="F755" s="691"/>
      <c r="G755" s="697" t="s">
        <v>1119</v>
      </c>
      <c r="H755" s="348"/>
      <c r="I755" s="348"/>
      <c r="J755" s="883">
        <f ca="1">J451</f>
        <v>56108.999998999992</v>
      </c>
      <c r="K755" s="883">
        <f t="shared" ref="K755:X755" ca="1" si="450">K451</f>
        <v>54507.000015999991</v>
      </c>
      <c r="L755" s="883">
        <f t="shared" ca="1" si="450"/>
        <v>52358.999965999988</v>
      </c>
      <c r="M755" s="883">
        <f t="shared" ca="1" si="450"/>
        <v>49858.000063499989</v>
      </c>
      <c r="N755" s="883">
        <f t="shared" ca="1" si="450"/>
        <v>47756.000053499985</v>
      </c>
      <c r="O755" s="883">
        <f t="shared" ca="1" si="450"/>
        <v>44583.000055499986</v>
      </c>
      <c r="P755" s="883">
        <f t="shared" ca="1" si="450"/>
        <v>41324.000051499985</v>
      </c>
      <c r="Q755" s="883">
        <f t="shared" ca="1" si="450"/>
        <v>39181.000025499983</v>
      </c>
      <c r="R755" s="883">
        <f t="shared" ca="1" si="450"/>
        <v>36346.000033999982</v>
      </c>
      <c r="S755" s="883">
        <f t="shared" ca="1" si="450"/>
        <v>32103.000041499981</v>
      </c>
      <c r="T755" s="883">
        <f t="shared" ca="1" si="450"/>
        <v>27762.000064499982</v>
      </c>
      <c r="U755" s="883">
        <f t="shared" ca="1" si="450"/>
        <v>24362.000129499982</v>
      </c>
      <c r="V755" s="883">
        <f t="shared" ca="1" si="450"/>
        <v>21222.000086499982</v>
      </c>
      <c r="W755" s="883">
        <f t="shared" ca="1" si="450"/>
        <v>16983.00012449998</v>
      </c>
      <c r="X755" s="883">
        <f t="shared" ca="1" si="450"/>
        <v>12697.000072499979</v>
      </c>
      <c r="Y755" s="883"/>
      <c r="Z755" s="883"/>
      <c r="AA755" s="883"/>
      <c r="AB755" s="883"/>
      <c r="AC755" s="883"/>
      <c r="AD755" s="348"/>
      <c r="AE755" s="348"/>
      <c r="AF755" s="348"/>
    </row>
    <row r="756" spans="1:32">
      <c r="A756" s="708" t="s">
        <v>334</v>
      </c>
      <c r="B756" s="709"/>
      <c r="C756" s="709"/>
      <c r="D756" s="709"/>
      <c r="E756" s="707">
        <f>+AC$577</f>
        <v>726.23714603480562</v>
      </c>
      <c r="F756" s="691"/>
      <c r="G756" s="697" t="s">
        <v>352</v>
      </c>
      <c r="H756" s="281"/>
      <c r="I756" s="281"/>
      <c r="J756" s="883">
        <f>J452</f>
        <v>0</v>
      </c>
      <c r="K756" s="883">
        <f t="shared" ref="K756:X756" si="451">K452</f>
        <v>0</v>
      </c>
      <c r="L756" s="883">
        <f t="shared" si="451"/>
        <v>0</v>
      </c>
      <c r="M756" s="883">
        <f t="shared" si="451"/>
        <v>0</v>
      </c>
      <c r="N756" s="883">
        <f t="shared" si="451"/>
        <v>0</v>
      </c>
      <c r="O756" s="883">
        <f t="shared" si="451"/>
        <v>0</v>
      </c>
      <c r="P756" s="883">
        <f t="shared" si="451"/>
        <v>0</v>
      </c>
      <c r="Q756" s="883">
        <f t="shared" si="451"/>
        <v>0</v>
      </c>
      <c r="R756" s="883">
        <f t="shared" si="451"/>
        <v>0</v>
      </c>
      <c r="S756" s="883">
        <f t="shared" si="451"/>
        <v>0</v>
      </c>
      <c r="T756" s="883">
        <f t="shared" si="451"/>
        <v>0</v>
      </c>
      <c r="U756" s="883">
        <f t="shared" si="451"/>
        <v>0</v>
      </c>
      <c r="V756" s="883">
        <f t="shared" si="451"/>
        <v>0</v>
      </c>
      <c r="W756" s="883">
        <f t="shared" si="451"/>
        <v>0</v>
      </c>
      <c r="X756" s="883">
        <f t="shared" si="451"/>
        <v>0</v>
      </c>
      <c r="Y756" s="883"/>
      <c r="Z756" s="883"/>
      <c r="AA756" s="883"/>
      <c r="AB756" s="883"/>
      <c r="AC756" s="883"/>
      <c r="AD756" s="348"/>
      <c r="AE756" s="348"/>
      <c r="AF756" s="348"/>
    </row>
    <row r="757" spans="1:32">
      <c r="A757" s="708" t="s">
        <v>258</v>
      </c>
      <c r="B757" s="709"/>
      <c r="C757" s="709"/>
      <c r="D757" s="709"/>
      <c r="E757" s="707">
        <f>+AC$414</f>
        <v>0</v>
      </c>
      <c r="F757" s="691"/>
      <c r="G757" s="878" t="s">
        <v>353</v>
      </c>
      <c r="H757" s="348"/>
      <c r="I757" s="348"/>
      <c r="J757" s="884">
        <f>-J373</f>
        <v>-1601.9999830000002</v>
      </c>
      <c r="K757" s="884">
        <f t="shared" ref="K757:X757" si="452">-K373</f>
        <v>-2148.0000500000001</v>
      </c>
      <c r="L757" s="884">
        <f t="shared" si="452"/>
        <v>-2500.9999025000002</v>
      </c>
      <c r="M757" s="884">
        <f t="shared" si="452"/>
        <v>-2102.0000100000002</v>
      </c>
      <c r="N757" s="884">
        <f t="shared" si="452"/>
        <v>-3172.9999980000002</v>
      </c>
      <c r="O757" s="884">
        <f t="shared" si="452"/>
        <v>-3259.000004</v>
      </c>
      <c r="P757" s="884">
        <f t="shared" si="452"/>
        <v>-2143.0000259999997</v>
      </c>
      <c r="Q757" s="884">
        <f t="shared" si="452"/>
        <v>-2834.9999914999999</v>
      </c>
      <c r="R757" s="884">
        <f t="shared" si="452"/>
        <v>-4242.9999925000011</v>
      </c>
      <c r="S757" s="884">
        <f t="shared" si="452"/>
        <v>-4340.9999770000004</v>
      </c>
      <c r="T757" s="884">
        <f t="shared" si="452"/>
        <v>-3399.9999349999998</v>
      </c>
      <c r="U757" s="884">
        <f t="shared" si="452"/>
        <v>-3140.000043</v>
      </c>
      <c r="V757" s="884">
        <f t="shared" si="452"/>
        <v>-4238.9999619999999</v>
      </c>
      <c r="W757" s="884">
        <f t="shared" si="452"/>
        <v>-4286.0000520000012</v>
      </c>
      <c r="X757" s="884">
        <f t="shared" si="452"/>
        <v>-3758.9999744999996</v>
      </c>
      <c r="Y757" s="884"/>
      <c r="Z757" s="884"/>
      <c r="AA757" s="884"/>
      <c r="AB757" s="884"/>
      <c r="AC757" s="884"/>
      <c r="AD757" s="348"/>
      <c r="AE757" s="348"/>
      <c r="AF757" s="348"/>
    </row>
    <row r="758" spans="1:32">
      <c r="A758" s="708" t="s">
        <v>170</v>
      </c>
      <c r="B758" s="709"/>
      <c r="C758" s="709"/>
      <c r="D758" s="709"/>
      <c r="E758" s="707">
        <f ca="1">-AC$421-AC$422-AC$425</f>
        <v>-910.07803185840567</v>
      </c>
      <c r="F758" s="691"/>
      <c r="G758" s="878" t="s">
        <v>1122</v>
      </c>
      <c r="H758" s="348"/>
      <c r="I758" s="348"/>
      <c r="J758" s="885">
        <f ca="1">SUM(J755:J757)</f>
        <v>54507.000015999991</v>
      </c>
      <c r="K758" s="885">
        <f t="shared" ref="K758:X758" ca="1" si="453">SUM(K755:K757)</f>
        <v>52358.999965999988</v>
      </c>
      <c r="L758" s="885">
        <f t="shared" ca="1" si="453"/>
        <v>49858.000063499989</v>
      </c>
      <c r="M758" s="885">
        <f t="shared" ca="1" si="453"/>
        <v>47756.000053499985</v>
      </c>
      <c r="N758" s="885">
        <f t="shared" ca="1" si="453"/>
        <v>44583.000055499986</v>
      </c>
      <c r="O758" s="885">
        <f t="shared" ca="1" si="453"/>
        <v>41324.000051499985</v>
      </c>
      <c r="P758" s="885">
        <f t="shared" ca="1" si="453"/>
        <v>39181.000025499983</v>
      </c>
      <c r="Q758" s="885">
        <f t="shared" ca="1" si="453"/>
        <v>36346.000033999982</v>
      </c>
      <c r="R758" s="885">
        <f t="shared" ca="1" si="453"/>
        <v>32103.000041499981</v>
      </c>
      <c r="S758" s="885">
        <f t="shared" ca="1" si="453"/>
        <v>27762.000064499982</v>
      </c>
      <c r="T758" s="885">
        <f t="shared" ca="1" si="453"/>
        <v>24362.000129499982</v>
      </c>
      <c r="U758" s="885">
        <f t="shared" ca="1" si="453"/>
        <v>21222.000086499982</v>
      </c>
      <c r="V758" s="885">
        <f t="shared" ca="1" si="453"/>
        <v>16983.00012449998</v>
      </c>
      <c r="W758" s="885">
        <f t="shared" ca="1" si="453"/>
        <v>12697.000072499979</v>
      </c>
      <c r="X758" s="885">
        <f t="shared" ca="1" si="453"/>
        <v>8938.0000979999786</v>
      </c>
      <c r="Y758" s="885"/>
      <c r="Z758" s="885"/>
      <c r="AA758" s="885"/>
      <c r="AB758" s="885"/>
      <c r="AC758" s="885"/>
      <c r="AD758" s="348"/>
      <c r="AE758" s="348"/>
      <c r="AF758" s="348"/>
    </row>
    <row r="759" spans="1:32">
      <c r="A759" s="693"/>
      <c r="B759" s="282"/>
      <c r="C759" s="282"/>
      <c r="D759" s="282"/>
      <c r="E759" s="710"/>
      <c r="F759" s="691"/>
      <c r="G759" s="879" t="s">
        <v>354</v>
      </c>
      <c r="J759" s="882">
        <f>(J746-TDATE)/365.25</f>
        <v>1.4182067077344285</v>
      </c>
      <c r="K759" s="882">
        <f t="shared" ref="K759:X759" si="454">(K746-TDATE)/365.25</f>
        <v>2.4175222450376452</v>
      </c>
      <c r="L759" s="882">
        <f t="shared" si="454"/>
        <v>3.4168377823408624</v>
      </c>
      <c r="M759" s="882">
        <f t="shared" si="454"/>
        <v>4.4161533196440796</v>
      </c>
      <c r="N759" s="882">
        <f t="shared" si="454"/>
        <v>5.4182067077344289</v>
      </c>
      <c r="O759" s="882">
        <f t="shared" si="454"/>
        <v>6.4175222450376452</v>
      </c>
      <c r="P759" s="882">
        <f t="shared" si="454"/>
        <v>7.4168377823408624</v>
      </c>
      <c r="Q759" s="882">
        <f t="shared" si="454"/>
        <v>8.4161533196440796</v>
      </c>
      <c r="R759" s="882">
        <f t="shared" si="454"/>
        <v>9.4182067077344289</v>
      </c>
      <c r="S759" s="882">
        <f t="shared" si="454"/>
        <v>10.417522245037645</v>
      </c>
      <c r="T759" s="882">
        <f t="shared" si="454"/>
        <v>11.416837782340862</v>
      </c>
      <c r="U759" s="882">
        <f t="shared" si="454"/>
        <v>12.41615331964408</v>
      </c>
      <c r="V759" s="882">
        <f t="shared" si="454"/>
        <v>13.418206707734429</v>
      </c>
      <c r="W759" s="882">
        <f t="shared" si="454"/>
        <v>14.417522245037645</v>
      </c>
      <c r="X759" s="882">
        <f t="shared" si="454"/>
        <v>15.416837782340862</v>
      </c>
      <c r="Y759" s="882"/>
      <c r="Z759" s="882"/>
      <c r="AA759" s="882"/>
      <c r="AB759" s="882"/>
      <c r="AC759" s="882"/>
    </row>
    <row r="760" spans="1:32" ht="10.8" thickBot="1">
      <c r="A760" s="711" t="s">
        <v>720</v>
      </c>
      <c r="B760" s="554"/>
      <c r="C760" s="554"/>
      <c r="D760" s="554"/>
      <c r="E760" s="712">
        <f ca="1">+SUM(E755:E758)</f>
        <v>-183.84088582360005</v>
      </c>
      <c r="F760" s="691"/>
      <c r="G760" s="879" t="s">
        <v>356</v>
      </c>
      <c r="J760" s="1241">
        <f>IF(ISERROR(SUMPRODUCT(J757:Y757,J759:Y759)/SUM(J757:Y757)),"NA",SUMPRODUCT(J757:Y757,J759:Y759)/SUM(J757:Y757))</f>
        <v>9.3864213270961976</v>
      </c>
    </row>
    <row r="761" spans="1:32" ht="10.8" thickTop="1">
      <c r="A761" s="690" t="str">
        <f>"VALUATION as of "&amp;TEXT(H718,"m/d/y")</f>
        <v>VALUATION as of 8/1/99</v>
      </c>
      <c r="B761" s="282"/>
      <c r="C761" s="282"/>
      <c r="D761" s="282"/>
      <c r="E761" s="282"/>
      <c r="F761" s="691"/>
    </row>
    <row r="762" spans="1:32">
      <c r="A762" s="693" t="s">
        <v>178</v>
      </c>
      <c r="B762" s="282"/>
      <c r="C762" s="282"/>
      <c r="D762" s="282"/>
      <c r="E762" s="282">
        <f ca="1">XNPV(E750,$H$736:$AF$736,H$718:$AF718)</f>
        <v>4389.6408582957474</v>
      </c>
      <c r="F762" s="691"/>
    </row>
    <row r="763" spans="1:32">
      <c r="A763" s="713" t="s">
        <v>179</v>
      </c>
      <c r="B763" s="282"/>
      <c r="C763" s="282"/>
      <c r="D763" s="282"/>
      <c r="E763" s="282">
        <f ca="1">+E760/(1+E750)^((AC718-TDATE)/365)</f>
        <v>-31.609208714921589</v>
      </c>
      <c r="F763" s="691"/>
    </row>
    <row r="764" spans="1:32">
      <c r="A764" s="693" t="s">
        <v>180</v>
      </c>
      <c r="B764" s="282"/>
      <c r="C764" s="282"/>
      <c r="D764" s="282"/>
      <c r="E764" s="282">
        <f>Q$898</f>
        <v>0</v>
      </c>
      <c r="F764" s="691"/>
    </row>
    <row r="765" spans="1:32">
      <c r="A765" s="708" t="s">
        <v>181</v>
      </c>
      <c r="B765" s="709"/>
      <c r="C765" s="709"/>
      <c r="D765" s="709"/>
      <c r="E765" s="714">
        <f ca="1">SUM(E762:E764)</f>
        <v>4358.0316495808256</v>
      </c>
      <c r="F765" s="691"/>
    </row>
    <row r="766" spans="1:32">
      <c r="A766" s="708" t="s">
        <v>182</v>
      </c>
      <c r="B766" s="282"/>
      <c r="C766" s="282"/>
      <c r="D766" s="282"/>
      <c r="E766" s="927">
        <f ca="1">+AF752</f>
        <v>0.10340361446142197</v>
      </c>
      <c r="F766" s="691"/>
    </row>
    <row r="767" spans="1:32" ht="10.8" thickBot="1">
      <c r="A767" s="930" t="s">
        <v>494</v>
      </c>
      <c r="B767" s="969">
        <f>Summary!M115</f>
        <v>0.09</v>
      </c>
      <c r="C767" s="929"/>
      <c r="D767" s="929"/>
      <c r="E767" s="970">
        <f ca="1">XNPV(B767,$H$736:$AF$736,H$718:$AF718)</f>
        <v>4389.6408582957474</v>
      </c>
      <c r="F767" s="715"/>
      <c r="T767" s="285"/>
      <c r="U767" s="285"/>
      <c r="V767" s="285"/>
      <c r="W767" s="285"/>
      <c r="X767" s="285"/>
      <c r="Y767" s="285"/>
      <c r="Z767" s="285"/>
      <c r="AA767" s="285"/>
      <c r="AB767" s="285"/>
      <c r="AC767" s="285"/>
      <c r="AD767" s="285"/>
      <c r="AE767" s="285"/>
      <c r="AF767" s="285"/>
    </row>
    <row r="768" spans="1:32" ht="10.8" outlineLevel="1" thickBot="1">
      <c r="A768" s="280"/>
      <c r="B768" s="280"/>
      <c r="C768" s="280"/>
      <c r="D768" s="280"/>
      <c r="E768" s="280"/>
      <c r="F768" s="280"/>
      <c r="G768" s="280"/>
      <c r="H768" s="280"/>
      <c r="I768" s="280"/>
      <c r="J768" s="280"/>
      <c r="K768" s="280"/>
      <c r="L768" s="280"/>
      <c r="M768" s="280"/>
      <c r="N768" s="280"/>
      <c r="O768" s="280"/>
      <c r="P768" s="280"/>
      <c r="Q768" s="280"/>
      <c r="R768" s="280"/>
      <c r="S768" s="280"/>
      <c r="T768" s="285"/>
      <c r="U768" s="285"/>
      <c r="V768" s="285"/>
      <c r="W768" s="285"/>
      <c r="X768" s="285"/>
      <c r="Y768" s="285"/>
      <c r="Z768" s="285"/>
      <c r="AA768" s="285"/>
      <c r="AB768" s="285"/>
      <c r="AC768" s="285"/>
      <c r="AD768" s="285"/>
      <c r="AE768" s="285"/>
      <c r="AF768" s="285"/>
    </row>
    <row r="769" spans="1:32" ht="10.8" outlineLevel="1" thickTop="1">
      <c r="A769" s="716"/>
      <c r="B769" s="716"/>
      <c r="C769" s="716"/>
      <c r="D769" s="716"/>
      <c r="E769" s="716"/>
      <c r="F769" s="716"/>
      <c r="G769" s="716"/>
      <c r="H769" s="716"/>
      <c r="I769" s="716"/>
      <c r="J769" s="716"/>
      <c r="K769" s="716"/>
      <c r="L769" s="716"/>
      <c r="M769" s="716"/>
      <c r="N769" s="716"/>
      <c r="O769" s="716"/>
      <c r="P769" s="716"/>
      <c r="Q769" s="716"/>
      <c r="R769" s="716"/>
      <c r="S769" s="716"/>
      <c r="T769" s="717"/>
      <c r="U769" s="717"/>
      <c r="V769" s="717"/>
      <c r="W769" s="717"/>
      <c r="X769" s="717"/>
      <c r="Y769" s="717"/>
      <c r="Z769" s="717"/>
      <c r="AA769" s="717"/>
      <c r="AB769" s="717"/>
      <c r="AC769" s="717"/>
      <c r="AD769" s="717"/>
      <c r="AE769" s="717"/>
      <c r="AF769" s="717"/>
    </row>
    <row r="770" spans="1:32" outlineLevel="1">
      <c r="A770" s="718" t="s">
        <v>183</v>
      </c>
      <c r="B770" s="719"/>
      <c r="C770" s="719"/>
      <c r="D770" s="719"/>
      <c r="E770" s="719"/>
      <c r="F770" s="719"/>
      <c r="G770" s="719"/>
      <c r="H770" s="719"/>
      <c r="I770" s="719"/>
      <c r="J770" s="719"/>
      <c r="K770" s="719"/>
      <c r="L770" s="719"/>
      <c r="M770" s="719"/>
      <c r="N770" s="719"/>
      <c r="O770" s="719"/>
      <c r="P770" s="719"/>
      <c r="Q770" s="719"/>
      <c r="R770" s="719"/>
      <c r="S770" s="719"/>
      <c r="T770" s="720"/>
      <c r="U770" s="720"/>
      <c r="V770" s="720"/>
      <c r="W770" s="720"/>
      <c r="X770" s="720"/>
      <c r="Y770" s="720"/>
      <c r="Z770" s="720"/>
      <c r="AA770" s="720"/>
      <c r="AB770" s="720"/>
      <c r="AC770" s="720"/>
      <c r="AD770" s="720"/>
      <c r="AE770" s="720"/>
      <c r="AF770" s="720"/>
    </row>
    <row r="771" spans="1:32" outlineLevel="1">
      <c r="A771" s="719"/>
      <c r="B771" s="721" t="str">
        <f>+CCFMODEL!B296</f>
        <v>Revenues (excluding deferred PP revenue)</v>
      </c>
      <c r="C771" s="721"/>
      <c r="D771" s="721"/>
      <c r="E771" s="721">
        <f>+CCFMODEL!E296</f>
        <v>0</v>
      </c>
      <c r="F771" s="721">
        <f>+CCFMODEL!F296</f>
        <v>0</v>
      </c>
      <c r="G771" s="721">
        <f>+CCFMODEL!G296</f>
        <v>0</v>
      </c>
      <c r="H771" s="721">
        <f>+CCFMODEL!H296</f>
        <v>0</v>
      </c>
      <c r="I771" s="721">
        <f ca="1">+CCFMODEL!I296</f>
        <v>1845.5329176537498</v>
      </c>
      <c r="J771" s="721">
        <f>+CCFMODEL!J296</f>
        <v>18507.979759428319</v>
      </c>
      <c r="K771" s="721">
        <f>+CCFMODEL!K296</f>
        <v>21456.602540380267</v>
      </c>
      <c r="L771" s="721">
        <f>+CCFMODEL!L296</f>
        <v>19948.326203365563</v>
      </c>
      <c r="M771" s="721">
        <f>+CCFMODEL!M296</f>
        <v>19109.60942372417</v>
      </c>
      <c r="N771" s="721">
        <f>+CCFMODEL!N296</f>
        <v>18807.544523322122</v>
      </c>
      <c r="O771" s="721">
        <f>+CCFMODEL!O296</f>
        <v>18845.507716362925</v>
      </c>
      <c r="P771" s="721">
        <f>+CCFMODEL!P296</f>
        <v>19585.055165426507</v>
      </c>
      <c r="Q771" s="721">
        <f>+CCFMODEL!Q296</f>
        <v>20174.69758444238</v>
      </c>
      <c r="R771" s="721">
        <f>+CCFMODEL!R296</f>
        <v>20839.234453893288</v>
      </c>
      <c r="S771" s="721">
        <f>+CCFMODEL!S296</f>
        <v>21154.796979683761</v>
      </c>
      <c r="T771" s="721">
        <f>+CCFMODEL!T296</f>
        <v>21731.128589091328</v>
      </c>
      <c r="U771" s="721">
        <f>+CCFMODEL!U296</f>
        <v>22104.479860067517</v>
      </c>
      <c r="V771" s="721">
        <f>+CCFMODEL!V296</f>
        <v>22675.287761931802</v>
      </c>
      <c r="W771" s="721">
        <f>+CCFMODEL!W296</f>
        <v>23111.55070452964</v>
      </c>
      <c r="X771" s="721">
        <f>+CCFMODEL!X296</f>
        <v>23633.221680748124</v>
      </c>
      <c r="Y771" s="721">
        <f>+CCFMODEL!Y296</f>
        <v>24240.105338030109</v>
      </c>
      <c r="Z771" s="721">
        <f>+CCFMODEL!Z296</f>
        <v>24851.767847773222</v>
      </c>
      <c r="AA771" s="721">
        <f>+CCFMODEL!AA296</f>
        <v>25329.46016902422</v>
      </c>
      <c r="AB771" s="721">
        <f>+CCFMODEL!AB296</f>
        <v>25795.474738574238</v>
      </c>
      <c r="AC771" s="721">
        <f>+CCFMODEL!AC296</f>
        <v>26507.655830270403</v>
      </c>
      <c r="AD771" s="721">
        <f>+CCFMODEL!AD296</f>
        <v>27106.247645535841</v>
      </c>
      <c r="AE771" s="721">
        <f>+CCFMODEL!AE296</f>
        <v>27651.917008916993</v>
      </c>
      <c r="AF771" s="721">
        <f>+CCFMODEL!AF296</f>
        <v>24056.444074419785</v>
      </c>
    </row>
    <row r="772" spans="1:32" outlineLevel="1">
      <c r="A772" s="719"/>
      <c r="B772" s="721" t="str">
        <f>+CCFMODEL!B297</f>
        <v>Cost of Sales</v>
      </c>
      <c r="C772" s="721"/>
      <c r="D772" s="721"/>
      <c r="E772" s="721">
        <f>+CCFMODEL!E297</f>
        <v>0</v>
      </c>
      <c r="F772" s="721">
        <f>+CCFMODEL!F297</f>
        <v>0</v>
      </c>
      <c r="G772" s="721">
        <f>+CCFMODEL!G297</f>
        <v>0</v>
      </c>
      <c r="H772" s="721">
        <f>+CCFMODEL!H297</f>
        <v>0</v>
      </c>
      <c r="I772" s="721">
        <f>+CCFMODEL!I297</f>
        <v>0</v>
      </c>
      <c r="J772" s="721">
        <f>+CCFMODEL!J297</f>
        <v>12549.163863269741</v>
      </c>
      <c r="K772" s="721">
        <f>+CCFMODEL!K297</f>
        <v>11619.049514083268</v>
      </c>
      <c r="L772" s="721">
        <f>+CCFMODEL!L297</f>
        <v>10923.40279332974</v>
      </c>
      <c r="M772" s="721">
        <f>+CCFMODEL!M297</f>
        <v>10373.449074318298</v>
      </c>
      <c r="N772" s="721">
        <f>+CCFMODEL!N297</f>
        <v>10188.317139522689</v>
      </c>
      <c r="O772" s="721">
        <f>+CCFMODEL!O297</f>
        <v>10075.140698777763</v>
      </c>
      <c r="P772" s="721">
        <f>+CCFMODEL!P297</f>
        <v>10471.179384868577</v>
      </c>
      <c r="Q772" s="721">
        <f>+CCFMODEL!Q297</f>
        <v>10674.445587327784</v>
      </c>
      <c r="R772" s="721">
        <f>+CCFMODEL!R297</f>
        <v>10883.641390453355</v>
      </c>
      <c r="S772" s="721">
        <f>+CCFMODEL!S297</f>
        <v>10928.446747758533</v>
      </c>
      <c r="T772" s="721">
        <f>+CCFMODEL!T297</f>
        <v>12030.175489354242</v>
      </c>
      <c r="U772" s="721">
        <f>+CCFMODEL!U297</f>
        <v>12221.303105076979</v>
      </c>
      <c r="V772" s="721">
        <f>+CCFMODEL!V297</f>
        <v>12042.303208423176</v>
      </c>
      <c r="W772" s="721">
        <f>+CCFMODEL!W297</f>
        <v>12283.322645332315</v>
      </c>
      <c r="X772" s="721">
        <f>+CCFMODEL!X297</f>
        <v>12580.35618140216</v>
      </c>
      <c r="Y772" s="721">
        <f>+CCFMODEL!Y297</f>
        <v>12879.870348588749</v>
      </c>
      <c r="Z772" s="721">
        <f>+CCFMODEL!Z297</f>
        <v>13078.792071193011</v>
      </c>
      <c r="AA772" s="721">
        <f>+CCFMODEL!AA297</f>
        <v>13372.979718036697</v>
      </c>
      <c r="AB772" s="721">
        <f>+CCFMODEL!AB297</f>
        <v>13661.438431678802</v>
      </c>
      <c r="AC772" s="721">
        <f>+CCFMODEL!AC297</f>
        <v>14074.006349345251</v>
      </c>
      <c r="AD772" s="721">
        <f>+CCFMODEL!AD297</f>
        <v>14497.875479329152</v>
      </c>
      <c r="AE772" s="721">
        <f>+CCFMODEL!AE297</f>
        <v>14839.848413842748</v>
      </c>
      <c r="AF772" s="721">
        <f>+CCFMODEL!AF297</f>
        <v>12545.138184382657</v>
      </c>
    </row>
    <row r="773" spans="1:32" outlineLevel="1">
      <c r="A773" s="719"/>
      <c r="B773" s="721" t="str">
        <f>+CCFMODEL!B298</f>
        <v>Cash Expenses</v>
      </c>
      <c r="C773" s="721"/>
      <c r="D773" s="721"/>
      <c r="E773" s="721">
        <f>+CCFMODEL!E298</f>
        <v>0</v>
      </c>
      <c r="F773" s="721">
        <f>+CCFMODEL!F298</f>
        <v>0</v>
      </c>
      <c r="G773" s="721">
        <f>+CCFMODEL!G298</f>
        <v>0</v>
      </c>
      <c r="H773" s="721">
        <f>+CCFMODEL!H298</f>
        <v>0</v>
      </c>
      <c r="I773" s="721">
        <f>+CCFMODEL!I298</f>
        <v>0</v>
      </c>
      <c r="J773" s="721">
        <f>+CCFMODEL!J298</f>
        <v>639.95210422825051</v>
      </c>
      <c r="K773" s="721">
        <f>+CCFMODEL!K298</f>
        <v>622.9406264116293</v>
      </c>
      <c r="L773" s="721">
        <f>+CCFMODEL!L298</f>
        <v>613.54815466248454</v>
      </c>
      <c r="M773" s="721">
        <f>+CCFMODEL!M298</f>
        <v>605.40478951010346</v>
      </c>
      <c r="N773" s="721">
        <f>+CCFMODEL!N298</f>
        <v>591.60393868590836</v>
      </c>
      <c r="O773" s="721">
        <f>+CCFMODEL!O298</f>
        <v>585.39047660424819</v>
      </c>
      <c r="P773" s="721">
        <f>+CCFMODEL!P298</f>
        <v>571.71035319862881</v>
      </c>
      <c r="Q773" s="721">
        <f>+CCFMODEL!Q298</f>
        <v>575.34740678751643</v>
      </c>
      <c r="R773" s="721">
        <f>+CCFMODEL!R298</f>
        <v>563.23341634691894</v>
      </c>
      <c r="S773" s="721">
        <f>+CCFMODEL!S298</f>
        <v>547.44489010430573</v>
      </c>
      <c r="T773" s="721">
        <f>+CCFMODEL!T298</f>
        <v>531.74150402641578</v>
      </c>
      <c r="U773" s="721">
        <f>+CCFMODEL!U298</f>
        <v>527.0890401848269</v>
      </c>
      <c r="V773" s="721">
        <f>+CCFMODEL!V298</f>
        <v>511.40212678696008</v>
      </c>
      <c r="W773" s="721">
        <f>+CCFMODEL!W298</f>
        <v>495.95920426913369</v>
      </c>
      <c r="X773" s="721">
        <f>+CCFMODEL!X298</f>
        <v>489.52779050531768</v>
      </c>
      <c r="Y773" s="721">
        <f>+CCFMODEL!Y298</f>
        <v>472.532976719847</v>
      </c>
      <c r="Z773" s="721">
        <f>+CCFMODEL!Z298</f>
        <v>478.23968239957094</v>
      </c>
      <c r="AA773" s="721">
        <f>+CCFMODEL!AA298</f>
        <v>484.40992815100299</v>
      </c>
      <c r="AB773" s="721">
        <f>+CCFMODEL!AB298</f>
        <v>491.00749675270697</v>
      </c>
      <c r="AC773" s="721">
        <f>+CCFMODEL!AC298</f>
        <v>498.52550897023713</v>
      </c>
      <c r="AD773" s="721">
        <f>+CCFMODEL!AD298</f>
        <v>507.24297237521364</v>
      </c>
      <c r="AE773" s="721">
        <f>+CCFMODEL!AE298</f>
        <v>516.83580219041403</v>
      </c>
      <c r="AF773" s="721">
        <f>+CCFMODEL!AF298</f>
        <v>527.28543571530099</v>
      </c>
    </row>
    <row r="774" spans="1:32" outlineLevel="1">
      <c r="A774" s="722"/>
      <c r="B774" s="721" t="str">
        <f>+CCFMODEL!B299</f>
        <v>Capital Expenditures - Total</v>
      </c>
      <c r="C774" s="721"/>
      <c r="D774" s="721"/>
      <c r="E774" s="721">
        <f>+CCFMODEL!E299</f>
        <v>0</v>
      </c>
      <c r="F774" s="721">
        <f>+CCFMODEL!F299</f>
        <v>0</v>
      </c>
      <c r="G774" s="721">
        <f>+CCFMODEL!G299</f>
        <v>0</v>
      </c>
      <c r="H774" s="721">
        <f ca="1">+CCFMODEL!H299</f>
        <v>78714.555519999994</v>
      </c>
      <c r="I774" s="721">
        <f>+CCFMODEL!I299</f>
        <v>0</v>
      </c>
      <c r="J774" s="721">
        <f>+CCFMODEL!J299</f>
        <v>0</v>
      </c>
      <c r="K774" s="721">
        <f>+CCFMODEL!K299</f>
        <v>0</v>
      </c>
      <c r="L774" s="721">
        <f>+CCFMODEL!L299</f>
        <v>0</v>
      </c>
      <c r="M774" s="721">
        <f>+CCFMODEL!M299</f>
        <v>1331.9046155778003</v>
      </c>
      <c r="N774" s="721">
        <f>+CCFMODEL!N299</f>
        <v>0</v>
      </c>
      <c r="O774" s="721">
        <f>+CCFMODEL!O299</f>
        <v>0</v>
      </c>
      <c r="P774" s="721">
        <f>+CCFMODEL!P299</f>
        <v>0</v>
      </c>
      <c r="Q774" s="721">
        <f>+CCFMODEL!Q299</f>
        <v>4611.7398197956873</v>
      </c>
      <c r="R774" s="721">
        <f>+CCFMODEL!R299</f>
        <v>0</v>
      </c>
      <c r="S774" s="721">
        <f>+CCFMODEL!S299</f>
        <v>0</v>
      </c>
      <c r="T774" s="721">
        <f>+CCFMODEL!T299</f>
        <v>0</v>
      </c>
      <c r="U774" s="721">
        <f>+CCFMODEL!U299</f>
        <v>1870.6553139776611</v>
      </c>
      <c r="V774" s="721">
        <f>+CCFMODEL!V299</f>
        <v>0</v>
      </c>
      <c r="W774" s="721">
        <f>+CCFMODEL!W299</f>
        <v>0</v>
      </c>
      <c r="X774" s="721">
        <f>+CCFMODEL!X299</f>
        <v>0</v>
      </c>
      <c r="Y774" s="721">
        <f>+CCFMODEL!Y299</f>
        <v>6463.75753668992</v>
      </c>
      <c r="Z774" s="721">
        <f>+CCFMODEL!Z299</f>
        <v>0</v>
      </c>
      <c r="AA774" s="721">
        <f>+CCFMODEL!AA299</f>
        <v>0</v>
      </c>
      <c r="AB774" s="721">
        <f>+CCFMODEL!AB299</f>
        <v>0</v>
      </c>
      <c r="AC774" s="721">
        <f>+CCFMODEL!AC299</f>
        <v>0</v>
      </c>
      <c r="AD774" s="721">
        <f>+CCFMODEL!AD299</f>
        <v>0</v>
      </c>
      <c r="AE774" s="721">
        <f>+CCFMODEL!AE299</f>
        <v>0</v>
      </c>
      <c r="AF774" s="721">
        <f>+CCFMODEL!AF299</f>
        <v>0</v>
      </c>
    </row>
    <row r="775" spans="1:32" outlineLevel="1">
      <c r="A775" s="722"/>
      <c r="B775" s="721"/>
      <c r="C775" s="721"/>
      <c r="D775" s="721"/>
      <c r="E775" s="721"/>
      <c r="F775" s="721"/>
      <c r="G775" s="721"/>
      <c r="H775" s="721"/>
      <c r="I775" s="721"/>
      <c r="J775" s="721"/>
      <c r="K775" s="721"/>
      <c r="L775" s="721"/>
      <c r="M775" s="721"/>
      <c r="N775" s="721"/>
      <c r="O775" s="721"/>
      <c r="P775" s="721"/>
      <c r="Q775" s="721"/>
      <c r="R775" s="721"/>
      <c r="S775" s="721"/>
      <c r="T775" s="721"/>
      <c r="U775" s="721"/>
      <c r="V775" s="721"/>
      <c r="W775" s="721"/>
      <c r="X775" s="721"/>
      <c r="Y775" s="721"/>
      <c r="Z775" s="721"/>
      <c r="AA775" s="721"/>
      <c r="AB775" s="721"/>
      <c r="AC775" s="721"/>
      <c r="AD775" s="721"/>
      <c r="AE775" s="721"/>
      <c r="AF775" s="721"/>
    </row>
    <row r="776" spans="1:32" outlineLevel="1">
      <c r="A776" s="722"/>
      <c r="B776" s="721" t="str">
        <f>+CCFMODEL!B301</f>
        <v>Capital Expenditures - Land</v>
      </c>
      <c r="C776" s="721"/>
      <c r="D776" s="721"/>
      <c r="E776" s="721">
        <f>+CCFMODEL!E301</f>
        <v>0</v>
      </c>
      <c r="F776" s="721">
        <f>+CCFMODEL!F301</f>
        <v>0</v>
      </c>
      <c r="G776" s="721">
        <f>+CCFMODEL!G301</f>
        <v>0</v>
      </c>
      <c r="H776" s="721">
        <f>+CCFMODEL!H301</f>
        <v>0</v>
      </c>
      <c r="I776" s="721">
        <f>+CCFMODEL!I301</f>
        <v>0</v>
      </c>
      <c r="J776" s="721">
        <f>+CCFMODEL!J301</f>
        <v>0</v>
      </c>
      <c r="K776" s="721">
        <f>+CCFMODEL!K301</f>
        <v>0</v>
      </c>
      <c r="L776" s="721">
        <f>+CCFMODEL!L301</f>
        <v>0</v>
      </c>
      <c r="M776" s="721">
        <f>+CCFMODEL!M301</f>
        <v>0</v>
      </c>
      <c r="N776" s="721">
        <f>+CCFMODEL!N301</f>
        <v>0</v>
      </c>
      <c r="O776" s="721">
        <f>+CCFMODEL!O301</f>
        <v>0</v>
      </c>
      <c r="P776" s="721">
        <f>+CCFMODEL!P301</f>
        <v>0</v>
      </c>
      <c r="Q776" s="721">
        <f>+CCFMODEL!Q301</f>
        <v>0</v>
      </c>
      <c r="R776" s="721">
        <f>+CCFMODEL!R301</f>
        <v>0</v>
      </c>
      <c r="S776" s="721">
        <f>+CCFMODEL!S301</f>
        <v>0</v>
      </c>
      <c r="T776" s="721">
        <f>+CCFMODEL!T301</f>
        <v>0</v>
      </c>
      <c r="U776" s="721">
        <f>+CCFMODEL!U301</f>
        <v>0</v>
      </c>
      <c r="V776" s="721">
        <f>+CCFMODEL!V301</f>
        <v>0</v>
      </c>
      <c r="W776" s="721">
        <f>+CCFMODEL!W301</f>
        <v>0</v>
      </c>
      <c r="X776" s="721">
        <f>+CCFMODEL!X301</f>
        <v>0</v>
      </c>
      <c r="Y776" s="721">
        <f>+CCFMODEL!Y301</f>
        <v>0</v>
      </c>
      <c r="Z776" s="721">
        <f>+CCFMODEL!Z301</f>
        <v>0</v>
      </c>
      <c r="AA776" s="721">
        <f>+CCFMODEL!AA301</f>
        <v>0</v>
      </c>
      <c r="AB776" s="721">
        <f>+CCFMODEL!AB301</f>
        <v>0</v>
      </c>
      <c r="AC776" s="721">
        <f>+CCFMODEL!AC301</f>
        <v>0</v>
      </c>
      <c r="AD776" s="721">
        <f>+CCFMODEL!AD301</f>
        <v>0</v>
      </c>
      <c r="AE776" s="721">
        <f>+CCFMODEL!AE301</f>
        <v>0</v>
      </c>
      <c r="AF776" s="721">
        <f>+CCFMODEL!AF301</f>
        <v>0</v>
      </c>
    </row>
    <row r="777" spans="1:32" outlineLevel="1">
      <c r="A777" s="719"/>
      <c r="B777" s="721" t="str">
        <f>+CCFMODEL!B302</f>
        <v>Capitalized Costs</v>
      </c>
      <c r="C777" s="721"/>
      <c r="D777" s="721"/>
      <c r="E777" s="721">
        <f>+CCFMODEL!E302</f>
        <v>0</v>
      </c>
      <c r="F777" s="721">
        <f>+CCFMODEL!F302</f>
        <v>0</v>
      </c>
      <c r="G777" s="721">
        <f>+CCFMODEL!G302</f>
        <v>0</v>
      </c>
      <c r="H777" s="721">
        <f>+CCFMODEL!H302</f>
        <v>0</v>
      </c>
      <c r="I777" s="721">
        <f>+CCFMODEL!I302</f>
        <v>0</v>
      </c>
      <c r="J777" s="721">
        <f>+CCFMODEL!J302</f>
        <v>0</v>
      </c>
      <c r="K777" s="721">
        <f>+CCFMODEL!K302</f>
        <v>0</v>
      </c>
      <c r="L777" s="721">
        <f>+CCFMODEL!L302</f>
        <v>0</v>
      </c>
      <c r="M777" s="721">
        <f>+CCFMODEL!M302</f>
        <v>0</v>
      </c>
      <c r="N777" s="721">
        <f>+CCFMODEL!N302</f>
        <v>0</v>
      </c>
      <c r="O777" s="721">
        <f>+CCFMODEL!O302</f>
        <v>0</v>
      </c>
      <c r="P777" s="721">
        <f>+CCFMODEL!P302</f>
        <v>0</v>
      </c>
      <c r="Q777" s="721">
        <f>+CCFMODEL!Q302</f>
        <v>0</v>
      </c>
      <c r="R777" s="721">
        <f>+CCFMODEL!R302</f>
        <v>0</v>
      </c>
      <c r="S777" s="721">
        <f>+CCFMODEL!S302</f>
        <v>0</v>
      </c>
      <c r="T777" s="721">
        <f>+CCFMODEL!T302</f>
        <v>0</v>
      </c>
      <c r="U777" s="721">
        <f>+CCFMODEL!U302</f>
        <v>0</v>
      </c>
      <c r="V777" s="721">
        <f>+CCFMODEL!V302</f>
        <v>0</v>
      </c>
      <c r="W777" s="721">
        <f>+CCFMODEL!W302</f>
        <v>0</v>
      </c>
      <c r="X777" s="721">
        <f>+CCFMODEL!X302</f>
        <v>0</v>
      </c>
      <c r="Y777" s="721">
        <f>+CCFMODEL!Y302</f>
        <v>0</v>
      </c>
      <c r="Z777" s="721">
        <f>+CCFMODEL!Z302</f>
        <v>0</v>
      </c>
      <c r="AA777" s="721">
        <f>+CCFMODEL!AA302</f>
        <v>0</v>
      </c>
      <c r="AB777" s="721">
        <f>+CCFMODEL!AB302</f>
        <v>0</v>
      </c>
      <c r="AC777" s="721">
        <f>+CCFMODEL!AC302</f>
        <v>0</v>
      </c>
      <c r="AD777" s="721">
        <f>+CCFMODEL!AD302</f>
        <v>0</v>
      </c>
      <c r="AE777" s="721">
        <f>+CCFMODEL!AE302</f>
        <v>0</v>
      </c>
      <c r="AF777" s="721">
        <f>+CCFMODEL!AF302</f>
        <v>0</v>
      </c>
    </row>
    <row r="778" spans="1:32" outlineLevel="1">
      <c r="A778" s="719"/>
      <c r="B778" s="721" t="str">
        <f>+CCFMODEL!B303</f>
        <v>Depreciation Expense - Book</v>
      </c>
      <c r="C778" s="721"/>
      <c r="D778" s="721"/>
      <c r="E778" s="721">
        <f>+CCFMODEL!E303</f>
        <v>0</v>
      </c>
      <c r="F778" s="721">
        <f>+CCFMODEL!F303</f>
        <v>0</v>
      </c>
      <c r="G778" s="721">
        <f>+CCFMODEL!G303</f>
        <v>0</v>
      </c>
      <c r="H778" s="721">
        <f>+CCFMODEL!H303</f>
        <v>0</v>
      </c>
      <c r="I778" s="721">
        <f ca="1">+CCFMODEL!I303</f>
        <v>2186.515431111111</v>
      </c>
      <c r="J778" s="721">
        <f ca="1">+CCFMODEL!J303</f>
        <v>5247.6370346666663</v>
      </c>
      <c r="K778" s="721">
        <f ca="1">+CCFMODEL!K303</f>
        <v>5247.6370346666663</v>
      </c>
      <c r="L778" s="721">
        <f ca="1">+CCFMODEL!L303</f>
        <v>5247.6370346666663</v>
      </c>
      <c r="M778" s="721">
        <f ca="1">+CCFMODEL!M303</f>
        <v>5317.0070667280097</v>
      </c>
      <c r="N778" s="721">
        <f ca="1">+CCFMODEL!N303</f>
        <v>5414.125111613891</v>
      </c>
      <c r="O778" s="721">
        <f ca="1">+CCFMODEL!O303</f>
        <v>5414.125111613891</v>
      </c>
      <c r="P778" s="721">
        <f ca="1">+CCFMODEL!P303</f>
        <v>5414.125111613891</v>
      </c>
      <c r="Q778" s="721">
        <f ca="1">+CCFMODEL!Q303</f>
        <v>5414.125111613891</v>
      </c>
      <c r="R778" s="721">
        <f ca="1">+CCFMODEL!R303</f>
        <v>5414.125111613891</v>
      </c>
      <c r="S778" s="721">
        <f ca="1">+CCFMODEL!S303</f>
        <v>5414.125111613891</v>
      </c>
      <c r="T778" s="721">
        <f ca="1">+CCFMODEL!T303</f>
        <v>5414.125111613891</v>
      </c>
      <c r="U778" s="721">
        <f ca="1">+CCFMODEL!U303</f>
        <v>5442.1850438222173</v>
      </c>
      <c r="V778" s="721">
        <f ca="1">+CCFMODEL!V303</f>
        <v>5481.4689489138736</v>
      </c>
      <c r="W778" s="721">
        <f ca="1">+CCFMODEL!W303</f>
        <v>5481.4689489138736</v>
      </c>
      <c r="X778" s="721">
        <f ca="1">+CCFMODEL!X303</f>
        <v>3294.9535178027631</v>
      </c>
      <c r="Y778" s="721">
        <f ca="1">+CCFMODEL!Y303</f>
        <v>570.48595261647438</v>
      </c>
      <c r="Z778" s="721">
        <f ca="1">+CCFMODEL!Z303</f>
        <v>1041.8016063334476</v>
      </c>
      <c r="AA778" s="721">
        <f ca="1">+CCFMODEL!AA303</f>
        <v>1041.8016063334476</v>
      </c>
      <c r="AB778" s="721">
        <f ca="1">+CCFMODEL!AB303</f>
        <v>1041.8016063334476</v>
      </c>
      <c r="AC778" s="721">
        <f ca="1">+CCFMODEL!AC303</f>
        <v>944.37164206377781</v>
      </c>
      <c r="AD778" s="721">
        <f ca="1">+CCFMODEL!AD303</f>
        <v>807.96969208624</v>
      </c>
      <c r="AE778" s="721">
        <f ca="1">+CCFMODEL!AE303</f>
        <v>807.96969208624</v>
      </c>
      <c r="AF778" s="721">
        <f ca="1">+CCFMODEL!AF303</f>
        <v>807.96969208624</v>
      </c>
    </row>
    <row r="779" spans="1:32" outlineLevel="1">
      <c r="A779" s="719"/>
      <c r="B779" s="721" t="str">
        <f>+CCFMODEL!B304</f>
        <v>Depreciation Expense - Tax</v>
      </c>
      <c r="C779" s="721"/>
      <c r="D779" s="721"/>
      <c r="E779" s="721">
        <f>+CCFMODEL!E304</f>
        <v>0</v>
      </c>
      <c r="F779" s="721">
        <f>+CCFMODEL!F304</f>
        <v>0</v>
      </c>
      <c r="G779" s="721">
        <f>+CCFMODEL!G304</f>
        <v>0</v>
      </c>
      <c r="H779" s="721">
        <f>+CCFMODEL!H304</f>
        <v>0</v>
      </c>
      <c r="I779" s="721">
        <f ca="1">+CCFMODEL!I304</f>
        <v>3277.9760106958902</v>
      </c>
      <c r="J779" s="721">
        <f ca="1">+CCFMODEL!J304</f>
        <v>7541.5013877654783</v>
      </c>
      <c r="K779" s="721">
        <f ca="1">+CCFMODEL!K304</f>
        <v>6766.8201768195613</v>
      </c>
      <c r="L779" s="721">
        <f ca="1">+CCFMODEL!L304</f>
        <v>6090.1381591376066</v>
      </c>
      <c r="M779" s="721">
        <f ca="1">+CCFMODEL!M304</f>
        <v>5585.1223748511538</v>
      </c>
      <c r="N779" s="721">
        <f ca="1">+CCFMODEL!N304</f>
        <v>5176.668336865544</v>
      </c>
      <c r="O779" s="721">
        <f ca="1">+CCFMODEL!O304</f>
        <v>4821.6249935902351</v>
      </c>
      <c r="P779" s="721">
        <f ca="1">+CCFMODEL!P304</f>
        <v>4786.6855883672933</v>
      </c>
      <c r="Q779" s="721">
        <f ca="1">+CCFMODEL!Q304</f>
        <v>5138.6861271903763</v>
      </c>
      <c r="R779" s="721">
        <f ca="1">+CCFMODEL!R304</f>
        <v>5588.4586266025335</v>
      </c>
      <c r="S779" s="721">
        <f ca="1">+CCFMODEL!S304</f>
        <v>5423.8143585728994</v>
      </c>
      <c r="T779" s="721">
        <f ca="1">+CCFMODEL!T304</f>
        <v>5302.836141017342</v>
      </c>
      <c r="U779" s="721">
        <f ca="1">+CCFMODEL!U304</f>
        <v>5360.2411040994239</v>
      </c>
      <c r="V779" s="721">
        <f ca="1">+CCFMODEL!V304</f>
        <v>5468.7721443412665</v>
      </c>
      <c r="W779" s="721">
        <f ca="1">+CCFMODEL!W304</f>
        <v>5393.2330470157503</v>
      </c>
      <c r="X779" s="721">
        <f ca="1">+CCFMODEL!X304</f>
        <v>3357.6115622753778</v>
      </c>
      <c r="Y779" s="721">
        <f ca="1">+CCFMODEL!Y304</f>
        <v>992.27070400223124</v>
      </c>
      <c r="Z779" s="721">
        <f ca="1">+CCFMODEL!Z304</f>
        <v>1318.5310660129858</v>
      </c>
      <c r="AA779" s="721">
        <f ca="1">+CCFMODEL!AA304</f>
        <v>1105.6147896855421</v>
      </c>
      <c r="AB779" s="721">
        <f ca="1">+CCFMODEL!AB304</f>
        <v>936.05321508338102</v>
      </c>
      <c r="AC779" s="721">
        <f ca="1">+CCFMODEL!AC304</f>
        <v>811.61221761510569</v>
      </c>
      <c r="AD779" s="721">
        <f ca="1">+CCFMODEL!AD304</f>
        <v>697.39612743259897</v>
      </c>
      <c r="AE779" s="721">
        <f ca="1">+CCFMODEL!AE304</f>
        <v>695.51371776308417</v>
      </c>
      <c r="AF779" s="721">
        <f ca="1">+CCFMODEL!AF304</f>
        <v>695.51371776308417</v>
      </c>
    </row>
    <row r="780" spans="1:32" outlineLevel="1">
      <c r="A780" s="719"/>
      <c r="B780" s="721" t="str">
        <f>+CCFMODEL!B305</f>
        <v>Amortization of Intangibles - Book</v>
      </c>
      <c r="C780" s="721"/>
      <c r="D780" s="721"/>
      <c r="E780" s="721">
        <f>+CCFMODEL!E305</f>
        <v>0</v>
      </c>
      <c r="F780" s="721">
        <f>+CCFMODEL!F305</f>
        <v>0</v>
      </c>
      <c r="G780" s="721">
        <f>+CCFMODEL!G305</f>
        <v>0</v>
      </c>
      <c r="H780" s="721">
        <f>+CCFMODEL!H305</f>
        <v>0</v>
      </c>
      <c r="I780" s="721">
        <f>+CCFMODEL!I305</f>
        <v>0</v>
      </c>
      <c r="J780" s="721">
        <f>+CCFMODEL!J305</f>
        <v>0</v>
      </c>
      <c r="K780" s="721">
        <f>+CCFMODEL!K305</f>
        <v>0</v>
      </c>
      <c r="L780" s="721">
        <f>+CCFMODEL!L305</f>
        <v>0</v>
      </c>
      <c r="M780" s="721">
        <f>+CCFMODEL!M305</f>
        <v>0</v>
      </c>
      <c r="N780" s="721">
        <f>+CCFMODEL!N305</f>
        <v>0</v>
      </c>
      <c r="O780" s="721">
        <f>+CCFMODEL!O305</f>
        <v>0</v>
      </c>
      <c r="P780" s="721">
        <f>+CCFMODEL!P305</f>
        <v>0</v>
      </c>
      <c r="Q780" s="721">
        <f>+CCFMODEL!Q305</f>
        <v>0</v>
      </c>
      <c r="R780" s="721">
        <f>+CCFMODEL!R305</f>
        <v>0</v>
      </c>
      <c r="S780" s="721">
        <f>+CCFMODEL!S305</f>
        <v>0</v>
      </c>
      <c r="T780" s="721">
        <f>+CCFMODEL!T305</f>
        <v>0</v>
      </c>
      <c r="U780" s="721">
        <f>+CCFMODEL!U305</f>
        <v>0</v>
      </c>
      <c r="V780" s="721">
        <f>+CCFMODEL!V305</f>
        <v>0</v>
      </c>
      <c r="W780" s="721">
        <f>+CCFMODEL!W305</f>
        <v>0</v>
      </c>
      <c r="X780" s="721">
        <f>+CCFMODEL!X305</f>
        <v>0</v>
      </c>
      <c r="Y780" s="721">
        <f>+CCFMODEL!Y305</f>
        <v>0</v>
      </c>
      <c r="Z780" s="721">
        <f>+CCFMODEL!Z305</f>
        <v>0</v>
      </c>
      <c r="AA780" s="721">
        <f>+CCFMODEL!AA305</f>
        <v>0</v>
      </c>
      <c r="AB780" s="721">
        <f>+CCFMODEL!AB305</f>
        <v>0</v>
      </c>
      <c r="AC780" s="721">
        <f>+CCFMODEL!AC305</f>
        <v>0</v>
      </c>
      <c r="AD780" s="721">
        <f>+CCFMODEL!AD305</f>
        <v>0</v>
      </c>
      <c r="AE780" s="721">
        <f>+CCFMODEL!AE305</f>
        <v>0</v>
      </c>
      <c r="AF780" s="721">
        <f>+CCFMODEL!AF305</f>
        <v>0</v>
      </c>
    </row>
    <row r="781" spans="1:32" outlineLevel="1">
      <c r="A781" s="719"/>
      <c r="B781" s="721"/>
      <c r="C781" s="721"/>
      <c r="D781" s="721"/>
      <c r="E781" s="721"/>
      <c r="F781" s="721"/>
      <c r="G781" s="721"/>
      <c r="H781" s="721"/>
      <c r="I781" s="721"/>
      <c r="J781" s="721"/>
      <c r="K781" s="721"/>
      <c r="L781" s="721"/>
      <c r="M781" s="721"/>
      <c r="N781" s="721"/>
      <c r="O781" s="721"/>
      <c r="P781" s="721"/>
      <c r="Q781" s="721"/>
      <c r="R781" s="721"/>
      <c r="S781" s="721"/>
      <c r="T781" s="721"/>
      <c r="U781" s="721"/>
      <c r="V781" s="721"/>
      <c r="W781" s="721"/>
      <c r="X781" s="721"/>
      <c r="Y781" s="721"/>
      <c r="Z781" s="721"/>
      <c r="AA781" s="721"/>
      <c r="AB781" s="721"/>
      <c r="AC781" s="721"/>
      <c r="AD781" s="721"/>
      <c r="AE781" s="721"/>
      <c r="AF781" s="721"/>
    </row>
    <row r="782" spans="1:32" ht="10.8" outlineLevel="1" thickBot="1">
      <c r="A782" s="723"/>
      <c r="B782" s="724"/>
      <c r="C782" s="724"/>
      <c r="D782" s="724"/>
      <c r="E782" s="724"/>
      <c r="F782" s="724"/>
      <c r="G782" s="724"/>
      <c r="H782" s="724"/>
      <c r="I782" s="724"/>
      <c r="J782" s="724"/>
      <c r="K782" s="724"/>
      <c r="L782" s="724"/>
      <c r="M782" s="724"/>
      <c r="N782" s="724"/>
      <c r="O782" s="724"/>
      <c r="P782" s="724"/>
      <c r="Q782" s="724"/>
      <c r="R782" s="724"/>
      <c r="S782" s="724"/>
      <c r="T782" s="724"/>
      <c r="U782" s="724"/>
      <c r="V782" s="724"/>
      <c r="W782" s="724"/>
      <c r="X782" s="724"/>
      <c r="Y782" s="724"/>
      <c r="Z782" s="724"/>
      <c r="AA782" s="724"/>
      <c r="AB782" s="724"/>
      <c r="AC782" s="724"/>
      <c r="AD782" s="724"/>
      <c r="AE782" s="724"/>
      <c r="AF782" s="724"/>
    </row>
    <row r="783" spans="1:32" ht="10.8" outlineLevel="1" thickTop="1">
      <c r="A783" s="720"/>
      <c r="B783" s="719"/>
      <c r="C783" s="719"/>
      <c r="D783" s="719"/>
      <c r="E783" s="719"/>
      <c r="F783" s="719"/>
      <c r="G783" s="719"/>
      <c r="H783" s="719"/>
      <c r="I783" s="719"/>
      <c r="J783" s="719"/>
      <c r="K783" s="719"/>
      <c r="L783" s="719"/>
      <c r="M783" s="719"/>
      <c r="N783" s="719"/>
      <c r="O783" s="719"/>
      <c r="P783" s="719"/>
      <c r="Q783" s="719"/>
      <c r="R783" s="719"/>
      <c r="S783" s="719"/>
      <c r="T783" s="719"/>
      <c r="U783" s="719"/>
      <c r="V783" s="719"/>
      <c r="W783" s="719"/>
      <c r="X783" s="719"/>
      <c r="Y783" s="719"/>
      <c r="Z783" s="719"/>
      <c r="AA783" s="719"/>
      <c r="AB783" s="719"/>
      <c r="AC783" s="719"/>
      <c r="AD783" s="719"/>
      <c r="AE783" s="719"/>
      <c r="AF783" s="719"/>
    </row>
    <row r="784" spans="1:32" outlineLevel="1">
      <c r="A784" s="725" t="s">
        <v>184</v>
      </c>
      <c r="B784" s="719"/>
      <c r="C784" s="719"/>
      <c r="D784" s="719"/>
      <c r="E784" s="719"/>
      <c r="F784" s="719"/>
      <c r="G784" s="719"/>
      <c r="H784" s="719"/>
      <c r="I784" s="719"/>
      <c r="J784" s="719"/>
      <c r="K784" s="719"/>
      <c r="L784" s="719"/>
      <c r="M784" s="719"/>
      <c r="N784" s="719"/>
      <c r="O784" s="719"/>
      <c r="P784" s="719"/>
      <c r="Q784" s="719"/>
      <c r="R784" s="719"/>
      <c r="S784" s="719"/>
      <c r="T784" s="719"/>
      <c r="U784" s="719"/>
      <c r="V784" s="719"/>
      <c r="W784" s="719"/>
      <c r="X784" s="719"/>
      <c r="Y784" s="719"/>
      <c r="Z784" s="719"/>
      <c r="AA784" s="719"/>
      <c r="AB784" s="719"/>
      <c r="AC784" s="719"/>
      <c r="AD784" s="719"/>
      <c r="AE784" s="719"/>
      <c r="AF784" s="719"/>
    </row>
    <row r="785" spans="1:32" outlineLevel="1">
      <c r="A785" s="719"/>
      <c r="B785" s="719"/>
      <c r="C785" s="719"/>
      <c r="D785" s="719"/>
      <c r="E785" s="719" t="s">
        <v>185</v>
      </c>
      <c r="F785" s="719"/>
      <c r="G785" s="719"/>
      <c r="H785" s="726">
        <f>+C472</f>
        <v>0.33333333333333331</v>
      </c>
      <c r="I785" s="719"/>
      <c r="J785" s="719"/>
      <c r="K785" s="719"/>
      <c r="L785" s="719"/>
      <c r="M785" s="719"/>
      <c r="N785" s="719"/>
      <c r="O785" s="719"/>
      <c r="P785" s="719"/>
      <c r="Q785" s="719"/>
      <c r="R785" s="719"/>
      <c r="S785" s="719"/>
      <c r="T785" s="719"/>
      <c r="U785" s="719"/>
      <c r="V785" s="719"/>
      <c r="W785" s="719"/>
      <c r="X785" s="719"/>
      <c r="Y785" s="719"/>
      <c r="Z785" s="719"/>
      <c r="AA785" s="719"/>
      <c r="AB785" s="719"/>
      <c r="AC785" s="719"/>
      <c r="AD785" s="719"/>
      <c r="AE785" s="719"/>
      <c r="AF785" s="719"/>
    </row>
    <row r="786" spans="1:32" outlineLevel="1">
      <c r="A786" s="719"/>
      <c r="B786" s="719"/>
      <c r="C786" s="719"/>
      <c r="D786" s="719"/>
      <c r="E786" s="727" t="s">
        <v>186</v>
      </c>
      <c r="F786" s="719"/>
      <c r="G786" s="728"/>
      <c r="H786" s="729">
        <f>IF(F313="Millions",1000000,IF(F313="Thousands",1000,1))</f>
        <v>1000</v>
      </c>
      <c r="I786" s="719"/>
      <c r="J786" s="730"/>
      <c r="K786" s="730"/>
      <c r="L786" s="730"/>
      <c r="M786" s="730"/>
      <c r="N786" s="730"/>
      <c r="O786" s="730"/>
      <c r="P786" s="730"/>
      <c r="Q786" s="730"/>
      <c r="R786" s="730"/>
      <c r="S786" s="730"/>
      <c r="T786" s="730"/>
      <c r="U786" s="730"/>
      <c r="V786" s="730"/>
      <c r="W786" s="730"/>
      <c r="X786" s="730"/>
      <c r="Y786" s="730"/>
      <c r="Z786" s="730"/>
      <c r="AA786" s="730"/>
      <c r="AB786" s="730"/>
      <c r="AC786" s="730"/>
      <c r="AD786" s="730"/>
      <c r="AE786" s="730"/>
      <c r="AF786" s="730"/>
    </row>
    <row r="787" spans="1:32" outlineLevel="1">
      <c r="A787" s="719"/>
      <c r="B787" s="719"/>
      <c r="C787" s="719"/>
      <c r="D787" s="719"/>
      <c r="E787" s="731"/>
      <c r="F787" s="719"/>
      <c r="G787" s="728"/>
      <c r="H787" s="729"/>
      <c r="I787" s="721"/>
      <c r="J787" s="721"/>
      <c r="K787" s="721"/>
      <c r="L787" s="721"/>
      <c r="M787" s="721"/>
      <c r="N787" s="721"/>
      <c r="O787" s="721"/>
      <c r="P787" s="721"/>
      <c r="Q787" s="721"/>
      <c r="R787" s="721"/>
      <c r="S787" s="721"/>
      <c r="T787" s="721"/>
      <c r="U787" s="721"/>
      <c r="V787" s="721"/>
      <c r="W787" s="721"/>
      <c r="X787" s="721"/>
      <c r="Y787" s="721"/>
      <c r="Z787" s="721"/>
      <c r="AA787" s="721"/>
      <c r="AB787" s="721"/>
      <c r="AC787" s="721"/>
      <c r="AD787" s="721"/>
      <c r="AE787" s="721"/>
      <c r="AF787" s="721"/>
    </row>
    <row r="788" spans="1:32" outlineLevel="1">
      <c r="A788" s="719"/>
      <c r="B788" s="719"/>
      <c r="C788" s="719"/>
      <c r="D788" s="719"/>
      <c r="E788" s="731"/>
      <c r="F788" s="719"/>
      <c r="G788" s="728"/>
      <c r="H788" s="729"/>
      <c r="I788" s="721"/>
      <c r="J788" s="721"/>
      <c r="K788" s="721"/>
      <c r="L788" s="721"/>
      <c r="M788" s="721"/>
      <c r="N788" s="721"/>
      <c r="O788" s="721"/>
      <c r="P788" s="721"/>
      <c r="Q788" s="721"/>
      <c r="R788" s="721"/>
      <c r="S788" s="721"/>
      <c r="T788" s="721"/>
      <c r="U788" s="721"/>
      <c r="V788" s="721"/>
      <c r="W788" s="721"/>
      <c r="X788" s="721"/>
      <c r="Y788" s="721"/>
      <c r="Z788" s="721"/>
      <c r="AA788" s="721"/>
      <c r="AB788" s="721"/>
      <c r="AC788" s="721"/>
      <c r="AD788" s="721"/>
      <c r="AE788" s="721"/>
      <c r="AF788" s="721"/>
    </row>
    <row r="789" spans="1:32" outlineLevel="1">
      <c r="A789" s="719"/>
      <c r="B789" s="719"/>
      <c r="C789" s="719"/>
      <c r="D789" s="719"/>
      <c r="E789" s="731"/>
      <c r="F789" s="719"/>
      <c r="G789" s="728"/>
      <c r="H789" s="729"/>
      <c r="I789" s="721"/>
      <c r="J789" s="721"/>
      <c r="K789" s="721"/>
      <c r="L789" s="721"/>
      <c r="M789" s="721"/>
      <c r="N789" s="721"/>
      <c r="O789" s="721"/>
      <c r="P789" s="721"/>
      <c r="Q789" s="721"/>
      <c r="R789" s="721"/>
      <c r="S789" s="721"/>
      <c r="T789" s="721"/>
      <c r="U789" s="721"/>
      <c r="V789" s="721"/>
      <c r="W789" s="721"/>
      <c r="X789" s="721"/>
      <c r="Y789" s="721"/>
      <c r="Z789" s="721"/>
      <c r="AA789" s="721"/>
      <c r="AB789" s="721"/>
      <c r="AC789" s="721"/>
      <c r="AD789" s="721"/>
      <c r="AE789" s="721"/>
      <c r="AF789" s="721"/>
    </row>
    <row r="790" spans="1:32" ht="10.8" outlineLevel="1" thickBot="1">
      <c r="A790" s="723"/>
      <c r="B790" s="723"/>
      <c r="C790" s="723"/>
      <c r="D790" s="723"/>
      <c r="E790" s="723"/>
      <c r="F790" s="723"/>
      <c r="G790" s="723"/>
      <c r="H790" s="723"/>
      <c r="I790" s="723"/>
      <c r="J790" s="723"/>
      <c r="K790" s="723"/>
      <c r="L790" s="723"/>
      <c r="M790" s="723"/>
      <c r="N790" s="723"/>
      <c r="O790" s="723"/>
      <c r="P790" s="723"/>
      <c r="Q790" s="723"/>
      <c r="R790" s="723"/>
      <c r="S790" s="723"/>
      <c r="T790" s="723"/>
      <c r="U790" s="723"/>
      <c r="V790" s="723"/>
      <c r="W790" s="723"/>
      <c r="X790" s="723"/>
      <c r="Y790" s="723"/>
      <c r="Z790" s="723"/>
      <c r="AA790" s="723"/>
      <c r="AB790" s="723"/>
      <c r="AC790" s="723"/>
      <c r="AD790" s="723"/>
      <c r="AE790" s="723"/>
      <c r="AF790" s="723"/>
    </row>
    <row r="791" spans="1:32" ht="10.8" outlineLevel="1" thickTop="1">
      <c r="A791" s="732"/>
      <c r="B791" s="732"/>
      <c r="C791" s="732"/>
      <c r="D791" s="732"/>
      <c r="E791" s="732"/>
      <c r="F791" s="732"/>
      <c r="G791" s="732"/>
      <c r="H791" s="732"/>
      <c r="I791" s="732"/>
      <c r="J791" s="732"/>
      <c r="K791" s="732"/>
      <c r="L791" s="732"/>
      <c r="M791" s="732"/>
      <c r="N791" s="732"/>
      <c r="O791" s="732"/>
      <c r="P791" s="732"/>
      <c r="Q791" s="732"/>
      <c r="R791" s="732"/>
      <c r="S791" s="732"/>
      <c r="T791" s="732"/>
      <c r="U791" s="732"/>
      <c r="V791" s="732"/>
      <c r="W791" s="732"/>
      <c r="X791" s="732"/>
      <c r="Y791" s="732"/>
      <c r="Z791" s="732"/>
      <c r="AA791" s="732"/>
      <c r="AB791" s="732"/>
      <c r="AC791" s="732"/>
      <c r="AD791" s="732"/>
      <c r="AE791" s="732"/>
      <c r="AF791" s="732"/>
    </row>
    <row r="792" spans="1:32" ht="10.8" outlineLevel="1" thickBot="1">
      <c r="A792" s="285"/>
      <c r="B792" s="285"/>
      <c r="C792" s="285"/>
      <c r="D792" s="285"/>
      <c r="E792" s="285"/>
      <c r="F792" s="285"/>
      <c r="G792" s="285"/>
      <c r="H792" s="285"/>
      <c r="I792" s="285"/>
      <c r="J792" s="285"/>
      <c r="K792" s="285"/>
      <c r="L792" s="285"/>
      <c r="M792" s="285"/>
      <c r="N792" s="285"/>
      <c r="O792" s="285"/>
      <c r="P792" s="285"/>
      <c r="Q792" s="285"/>
      <c r="R792" s="285"/>
      <c r="S792" s="285"/>
      <c r="T792" s="285"/>
      <c r="U792" s="285"/>
      <c r="V792" s="285"/>
      <c r="W792" s="285"/>
      <c r="X792" s="285"/>
      <c r="Y792" s="285"/>
      <c r="Z792" s="285"/>
      <c r="AA792" s="285"/>
      <c r="AB792" s="285"/>
      <c r="AC792" s="285"/>
      <c r="AD792" s="285"/>
      <c r="AE792" s="285"/>
      <c r="AF792" s="285"/>
    </row>
    <row r="793" spans="1:32" ht="14.4" thickTop="1" thickBot="1">
      <c r="A793" s="1685" t="s">
        <v>187</v>
      </c>
      <c r="B793" s="285"/>
      <c r="C793" s="285"/>
      <c r="D793" s="285"/>
      <c r="E793" s="571">
        <f>E$638</f>
        <v>35430</v>
      </c>
      <c r="F793" s="571">
        <f>F$638</f>
        <v>35795</v>
      </c>
      <c r="G793" s="571">
        <f>G$638</f>
        <v>36160</v>
      </c>
      <c r="H793" s="590">
        <f>H$638</f>
        <v>36373</v>
      </c>
      <c r="I793" s="527">
        <f>I$638</f>
        <v>36525</v>
      </c>
      <c r="J793" s="528">
        <f t="shared" ref="J793:AF793" si="455">J$638</f>
        <v>36891</v>
      </c>
      <c r="K793" s="528">
        <f t="shared" si="455"/>
        <v>37256</v>
      </c>
      <c r="L793" s="528">
        <f t="shared" si="455"/>
        <v>37621</v>
      </c>
      <c r="M793" s="528">
        <f t="shared" si="455"/>
        <v>37986</v>
      </c>
      <c r="N793" s="528">
        <f t="shared" si="455"/>
        <v>38352</v>
      </c>
      <c r="O793" s="528">
        <f t="shared" si="455"/>
        <v>38717</v>
      </c>
      <c r="P793" s="528">
        <f t="shared" si="455"/>
        <v>39082</v>
      </c>
      <c r="Q793" s="528">
        <f t="shared" si="455"/>
        <v>39447</v>
      </c>
      <c r="R793" s="528">
        <f t="shared" si="455"/>
        <v>39813</v>
      </c>
      <c r="S793" s="528">
        <f t="shared" si="455"/>
        <v>40178</v>
      </c>
      <c r="T793" s="528">
        <f t="shared" si="455"/>
        <v>40543</v>
      </c>
      <c r="U793" s="528">
        <f t="shared" si="455"/>
        <v>40908</v>
      </c>
      <c r="V793" s="528">
        <f t="shared" si="455"/>
        <v>41274</v>
      </c>
      <c r="W793" s="528">
        <f t="shared" si="455"/>
        <v>41639</v>
      </c>
      <c r="X793" s="528">
        <f t="shared" si="455"/>
        <v>42004</v>
      </c>
      <c r="Y793" s="528">
        <f t="shared" si="455"/>
        <v>42369</v>
      </c>
      <c r="Z793" s="528">
        <f t="shared" si="455"/>
        <v>42735</v>
      </c>
      <c r="AA793" s="528">
        <f t="shared" si="455"/>
        <v>43100</v>
      </c>
      <c r="AB793" s="528">
        <f t="shared" si="455"/>
        <v>43465</v>
      </c>
      <c r="AC793" s="528">
        <f t="shared" si="455"/>
        <v>43830</v>
      </c>
      <c r="AD793" s="528">
        <f t="shared" si="455"/>
        <v>44196</v>
      </c>
      <c r="AE793" s="528">
        <f t="shared" si="455"/>
        <v>44561</v>
      </c>
      <c r="AF793" s="528">
        <f t="shared" si="455"/>
        <v>44926</v>
      </c>
    </row>
    <row r="794" spans="1:32" ht="10.8" thickTop="1">
      <c r="A794" s="733" t="s">
        <v>188</v>
      </c>
      <c r="B794" s="285"/>
      <c r="C794" s="285"/>
      <c r="D794" s="285"/>
      <c r="E794" s="285"/>
      <c r="F794" s="285"/>
      <c r="G794" s="285"/>
      <c r="H794" s="285"/>
      <c r="I794" s="285"/>
      <c r="J794" s="525"/>
      <c r="K794" s="285"/>
      <c r="L794" s="285"/>
      <c r="M794" s="285"/>
      <c r="N794" s="285"/>
      <c r="O794" s="285"/>
      <c r="P794" s="285"/>
      <c r="Q794" s="285"/>
      <c r="R794" s="285"/>
      <c r="S794" s="285"/>
      <c r="T794" s="285"/>
      <c r="U794" s="285"/>
      <c r="V794" s="285"/>
      <c r="W794" s="285"/>
      <c r="X794" s="285"/>
      <c r="Y794" s="285"/>
      <c r="Z794" s="285"/>
      <c r="AA794" s="285"/>
      <c r="AB794" s="285"/>
      <c r="AC794" s="285"/>
      <c r="AD794" s="285"/>
      <c r="AE794" s="285"/>
      <c r="AF794" s="285"/>
    </row>
    <row r="795" spans="1:32">
      <c r="A795" s="484"/>
      <c r="B795" s="484" t="s">
        <v>1057</v>
      </c>
      <c r="C795" s="280"/>
      <c r="D795" s="285"/>
      <c r="E795" s="285"/>
      <c r="F795" s="285"/>
      <c r="G795" s="285"/>
      <c r="H795" s="285"/>
      <c r="I795" s="285">
        <f t="shared" ref="I795:AF795" ca="1" si="456">I361</f>
        <v>-1847.145062111111</v>
      </c>
      <c r="J795" s="525">
        <f t="shared" ca="1" si="456"/>
        <v>-4312.2767769105049</v>
      </c>
      <c r="K795" s="285">
        <f t="shared" ca="1" si="456"/>
        <v>-316.71956926962775</v>
      </c>
      <c r="L795" s="285">
        <f t="shared" ca="1" si="456"/>
        <v>-995.36918679336031</v>
      </c>
      <c r="M795" s="285">
        <f t="shared" ca="1" si="456"/>
        <v>-1164.1157927775839</v>
      </c>
      <c r="N795" s="285">
        <f t="shared" ca="1" si="456"/>
        <v>-1164.9872309780721</v>
      </c>
      <c r="O795" s="285">
        <f t="shared" ca="1" si="456"/>
        <v>-847.34619822882041</v>
      </c>
      <c r="P795" s="285">
        <f t="shared" ca="1" si="456"/>
        <v>-198.64262594737602</v>
      </c>
      <c r="Q795" s="285">
        <f t="shared" ca="1" si="456"/>
        <v>371.91610079447901</v>
      </c>
      <c r="R795" s="285">
        <f t="shared" ca="1" si="456"/>
        <v>1012.075847178919</v>
      </c>
      <c r="S795" s="285">
        <f t="shared" ca="1" si="456"/>
        <v>1652.7115406487014</v>
      </c>
      <c r="T795" s="285">
        <f t="shared" ca="1" si="456"/>
        <v>1474.0256366208105</v>
      </c>
      <c r="U795" s="285">
        <f t="shared" ca="1" si="456"/>
        <v>1902.6168226000248</v>
      </c>
      <c r="V795" s="285">
        <f t="shared" ca="1" si="456"/>
        <v>2897.6416587863378</v>
      </c>
      <c r="W795" s="285">
        <f t="shared" ca="1" si="456"/>
        <v>3485.511704881269</v>
      </c>
      <c r="X795" s="285">
        <f t="shared" ca="1" si="456"/>
        <v>6392.6062095253019</v>
      </c>
      <c r="Y795" s="285">
        <f t="shared" ca="1" si="456"/>
        <v>9767.9638349503002</v>
      </c>
      <c r="Z795" s="285">
        <f t="shared" ca="1" si="456"/>
        <v>9976.9648052854245</v>
      </c>
      <c r="AA795" s="285">
        <f t="shared" ca="1" si="456"/>
        <v>10339.26111331724</v>
      </c>
      <c r="AB795" s="285">
        <f t="shared" ca="1" si="456"/>
        <v>10510.219400623448</v>
      </c>
      <c r="AC795" s="285">
        <f t="shared" ca="1" si="456"/>
        <v>10899.744526705299</v>
      </c>
      <c r="AD795" s="285">
        <f t="shared" ca="1" si="456"/>
        <v>11202.151698559399</v>
      </c>
      <c r="AE795" s="285">
        <f t="shared" ca="1" si="456"/>
        <v>11396.25529761174</v>
      </c>
      <c r="AF795" s="285">
        <f t="shared" ca="1" si="456"/>
        <v>10085.042959049748</v>
      </c>
    </row>
    <row r="796" spans="1:32">
      <c r="A796" s="484"/>
      <c r="B796" s="484"/>
      <c r="C796" s="280"/>
      <c r="D796" s="285"/>
      <c r="E796" s="285"/>
      <c r="F796" s="285"/>
      <c r="G796" s="285"/>
      <c r="H796" s="285"/>
      <c r="I796" s="285"/>
      <c r="J796" s="525"/>
      <c r="K796" s="285"/>
      <c r="L796" s="285"/>
      <c r="M796" s="285"/>
      <c r="N796" s="285"/>
      <c r="O796" s="285"/>
      <c r="P796" s="285"/>
      <c r="Q796" s="285"/>
      <c r="R796" s="285"/>
      <c r="S796" s="285"/>
      <c r="T796" s="285"/>
      <c r="U796" s="285"/>
      <c r="V796" s="285"/>
      <c r="W796" s="285"/>
      <c r="X796" s="285"/>
      <c r="Y796" s="285"/>
      <c r="Z796" s="285"/>
      <c r="AA796" s="285"/>
      <c r="AB796" s="285"/>
      <c r="AC796" s="285"/>
      <c r="AD796" s="285"/>
      <c r="AE796" s="285"/>
      <c r="AF796" s="285"/>
    </row>
    <row r="797" spans="1:32">
      <c r="A797" s="491" t="s">
        <v>121</v>
      </c>
      <c r="B797" s="285" t="str">
        <f>A362</f>
        <v>Depreciation &amp; Amortization</v>
      </c>
      <c r="C797" s="280"/>
      <c r="D797" s="285"/>
      <c r="E797" s="285"/>
      <c r="F797" s="285"/>
      <c r="G797" s="285"/>
      <c r="H797" s="285"/>
      <c r="I797" s="285">
        <f t="shared" ref="I797:AF797" ca="1" si="457">I362</f>
        <v>2238.1450631111111</v>
      </c>
      <c r="J797" s="525">
        <f t="shared" ca="1" si="457"/>
        <v>5299.2666666666664</v>
      </c>
      <c r="K797" s="285">
        <f t="shared" ca="1" si="457"/>
        <v>5299.2666666666664</v>
      </c>
      <c r="L797" s="285">
        <f t="shared" ca="1" si="457"/>
        <v>5299.2666666666664</v>
      </c>
      <c r="M797" s="285">
        <f t="shared" ca="1" si="457"/>
        <v>5368.6366987280098</v>
      </c>
      <c r="N797" s="285">
        <f t="shared" ca="1" si="457"/>
        <v>5465.7547436138912</v>
      </c>
      <c r="O797" s="285">
        <f t="shared" ca="1" si="457"/>
        <v>5465.7547436138912</v>
      </c>
      <c r="P797" s="285">
        <f t="shared" ca="1" si="457"/>
        <v>5465.7547436138912</v>
      </c>
      <c r="Q797" s="285">
        <f t="shared" ca="1" si="457"/>
        <v>5465.7547436138912</v>
      </c>
      <c r="R797" s="285">
        <f t="shared" ca="1" si="457"/>
        <v>5465.7547436138912</v>
      </c>
      <c r="S797" s="285">
        <f t="shared" ca="1" si="457"/>
        <v>5465.7547436138912</v>
      </c>
      <c r="T797" s="285">
        <f t="shared" ca="1" si="457"/>
        <v>5465.7547436138912</v>
      </c>
      <c r="U797" s="285">
        <f t="shared" ca="1" si="457"/>
        <v>5493.8146758222174</v>
      </c>
      <c r="V797" s="285">
        <f t="shared" ca="1" si="457"/>
        <v>5533.0985809138738</v>
      </c>
      <c r="W797" s="285">
        <f t="shared" ca="1" si="457"/>
        <v>5533.0985809138738</v>
      </c>
      <c r="X797" s="285">
        <f t="shared" ca="1" si="457"/>
        <v>3294.9535178027631</v>
      </c>
      <c r="Y797" s="285">
        <f t="shared" ca="1" si="457"/>
        <v>570.48595261647438</v>
      </c>
      <c r="Z797" s="285">
        <f t="shared" ca="1" si="457"/>
        <v>1041.8016063334476</v>
      </c>
      <c r="AA797" s="285">
        <f t="shared" ca="1" si="457"/>
        <v>1041.8016063334476</v>
      </c>
      <c r="AB797" s="285">
        <f t="shared" ca="1" si="457"/>
        <v>1041.8016063334476</v>
      </c>
      <c r="AC797" s="285">
        <f t="shared" ca="1" si="457"/>
        <v>944.37164206377781</v>
      </c>
      <c r="AD797" s="285">
        <f t="shared" ca="1" si="457"/>
        <v>807.96969208624</v>
      </c>
      <c r="AE797" s="285">
        <f t="shared" ca="1" si="457"/>
        <v>807.96969208624</v>
      </c>
      <c r="AF797" s="285">
        <f t="shared" ca="1" si="457"/>
        <v>807.96969208624</v>
      </c>
    </row>
    <row r="798" spans="1:32">
      <c r="A798" s="484"/>
      <c r="B798" s="285" t="str">
        <f>A363</f>
        <v>Deferred Income Taxes</v>
      </c>
      <c r="C798" s="280"/>
      <c r="D798" s="285"/>
      <c r="E798" s="285"/>
      <c r="F798" s="285"/>
      <c r="G798" s="285"/>
      <c r="H798" s="285"/>
      <c r="I798" s="285">
        <f t="shared" ref="I798:AF798" ca="1" si="458">I363</f>
        <v>0</v>
      </c>
      <c r="J798" s="525">
        <f t="shared" ca="1" si="458"/>
        <v>0</v>
      </c>
      <c r="K798" s="285">
        <f t="shared" ca="1" si="458"/>
        <v>0</v>
      </c>
      <c r="L798" s="285">
        <f t="shared" ca="1" si="458"/>
        <v>0</v>
      </c>
      <c r="M798" s="285">
        <f t="shared" ca="1" si="458"/>
        <v>0</v>
      </c>
      <c r="N798" s="285">
        <f t="shared" ca="1" si="458"/>
        <v>0</v>
      </c>
      <c r="O798" s="285">
        <f t="shared" ca="1" si="458"/>
        <v>0</v>
      </c>
      <c r="P798" s="285">
        <f t="shared" ca="1" si="458"/>
        <v>0</v>
      </c>
      <c r="Q798" s="285">
        <f t="shared" ca="1" si="458"/>
        <v>0</v>
      </c>
      <c r="R798" s="285">
        <f t="shared" ca="1" si="458"/>
        <v>0</v>
      </c>
      <c r="S798" s="285">
        <f t="shared" ca="1" si="458"/>
        <v>0</v>
      </c>
      <c r="T798" s="285">
        <f t="shared" ca="1" si="458"/>
        <v>0</v>
      </c>
      <c r="U798" s="285">
        <f t="shared" ca="1" si="458"/>
        <v>0</v>
      </c>
      <c r="V798" s="285">
        <f t="shared" ca="1" si="458"/>
        <v>0</v>
      </c>
      <c r="W798" s="285">
        <f t="shared" ca="1" si="458"/>
        <v>0</v>
      </c>
      <c r="X798" s="285">
        <f t="shared" ca="1" si="458"/>
        <v>0</v>
      </c>
      <c r="Y798" s="285">
        <f t="shared" ca="1" si="458"/>
        <v>0</v>
      </c>
      <c r="Z798" s="285">
        <f t="shared" ca="1" si="458"/>
        <v>0</v>
      </c>
      <c r="AA798" s="285">
        <f t="shared" ca="1" si="458"/>
        <v>0</v>
      </c>
      <c r="AB798" s="285">
        <f t="shared" ca="1" si="458"/>
        <v>0</v>
      </c>
      <c r="AC798" s="285">
        <f t="shared" ca="1" si="458"/>
        <v>0</v>
      </c>
      <c r="AD798" s="285">
        <f t="shared" ca="1" si="458"/>
        <v>0</v>
      </c>
      <c r="AE798" s="285">
        <f t="shared" ca="1" si="458"/>
        <v>0</v>
      </c>
      <c r="AF798" s="285">
        <f t="shared" ca="1" si="458"/>
        <v>0</v>
      </c>
    </row>
    <row r="799" spans="1:32">
      <c r="A799" s="484"/>
      <c r="B799" s="285" t="str">
        <f>A364</f>
        <v>Non-Cash Interest and Dividends</v>
      </c>
      <c r="C799" s="280"/>
      <c r="D799" s="285"/>
      <c r="E799" s="285"/>
      <c r="F799" s="285"/>
      <c r="G799" s="285"/>
      <c r="H799" s="285"/>
      <c r="I799" s="285">
        <f t="shared" ref="I799:AF799" si="459">I364</f>
        <v>0</v>
      </c>
      <c r="J799" s="525">
        <f t="shared" si="459"/>
        <v>0</v>
      </c>
      <c r="K799" s="285">
        <f t="shared" si="459"/>
        <v>0</v>
      </c>
      <c r="L799" s="285">
        <f t="shared" si="459"/>
        <v>0</v>
      </c>
      <c r="M799" s="285">
        <f t="shared" si="459"/>
        <v>0</v>
      </c>
      <c r="N799" s="285">
        <f t="shared" si="459"/>
        <v>0</v>
      </c>
      <c r="O799" s="285">
        <f t="shared" si="459"/>
        <v>0</v>
      </c>
      <c r="P799" s="285">
        <f t="shared" si="459"/>
        <v>0</v>
      </c>
      <c r="Q799" s="285">
        <f t="shared" si="459"/>
        <v>0</v>
      </c>
      <c r="R799" s="285">
        <f t="shared" si="459"/>
        <v>0</v>
      </c>
      <c r="S799" s="285">
        <f t="shared" si="459"/>
        <v>0</v>
      </c>
      <c r="T799" s="285">
        <f t="shared" si="459"/>
        <v>0</v>
      </c>
      <c r="U799" s="285">
        <f t="shared" si="459"/>
        <v>0</v>
      </c>
      <c r="V799" s="285">
        <f t="shared" si="459"/>
        <v>0</v>
      </c>
      <c r="W799" s="285">
        <f t="shared" si="459"/>
        <v>0</v>
      </c>
      <c r="X799" s="285">
        <f t="shared" si="459"/>
        <v>0</v>
      </c>
      <c r="Y799" s="285">
        <f t="shared" si="459"/>
        <v>0</v>
      </c>
      <c r="Z799" s="285">
        <f t="shared" si="459"/>
        <v>0</v>
      </c>
      <c r="AA799" s="285">
        <f t="shared" si="459"/>
        <v>0</v>
      </c>
      <c r="AB799" s="285">
        <f t="shared" si="459"/>
        <v>0</v>
      </c>
      <c r="AC799" s="285">
        <f t="shared" si="459"/>
        <v>0</v>
      </c>
      <c r="AD799" s="285">
        <f t="shared" si="459"/>
        <v>0</v>
      </c>
      <c r="AE799" s="285">
        <f t="shared" si="459"/>
        <v>0</v>
      </c>
      <c r="AF799" s="285">
        <f t="shared" si="459"/>
        <v>0</v>
      </c>
    </row>
    <row r="800" spans="1:32">
      <c r="A800" s="484"/>
      <c r="B800" s="484" t="s">
        <v>189</v>
      </c>
      <c r="C800" s="280"/>
      <c r="D800" s="285"/>
      <c r="E800" s="285"/>
      <c r="F800" s="285"/>
      <c r="G800" s="285"/>
      <c r="H800" s="285"/>
      <c r="I800" s="285">
        <f t="shared" ref="I800:AF800" si="460">-I654</f>
        <v>0</v>
      </c>
      <c r="J800" s="525">
        <f t="shared" si="460"/>
        <v>0</v>
      </c>
      <c r="K800" s="285">
        <f t="shared" si="460"/>
        <v>0</v>
      </c>
      <c r="L800" s="285">
        <f t="shared" si="460"/>
        <v>0</v>
      </c>
      <c r="M800" s="285">
        <f t="shared" si="460"/>
        <v>0</v>
      </c>
      <c r="N800" s="285">
        <f t="shared" si="460"/>
        <v>0</v>
      </c>
      <c r="O800" s="285">
        <f t="shared" si="460"/>
        <v>0</v>
      </c>
      <c r="P800" s="285">
        <f t="shared" si="460"/>
        <v>0</v>
      </c>
      <c r="Q800" s="285">
        <f t="shared" si="460"/>
        <v>0</v>
      </c>
      <c r="R800" s="285">
        <f t="shared" si="460"/>
        <v>0</v>
      </c>
      <c r="S800" s="285">
        <f t="shared" si="460"/>
        <v>0</v>
      </c>
      <c r="T800" s="285">
        <f t="shared" si="460"/>
        <v>0</v>
      </c>
      <c r="U800" s="285">
        <f t="shared" si="460"/>
        <v>0</v>
      </c>
      <c r="V800" s="285">
        <f t="shared" si="460"/>
        <v>0</v>
      </c>
      <c r="W800" s="285">
        <f t="shared" si="460"/>
        <v>0</v>
      </c>
      <c r="X800" s="285">
        <f t="shared" si="460"/>
        <v>0</v>
      </c>
      <c r="Y800" s="285">
        <f t="shared" si="460"/>
        <v>0</v>
      </c>
      <c r="Z800" s="285">
        <f t="shared" si="460"/>
        <v>0</v>
      </c>
      <c r="AA800" s="285">
        <f t="shared" si="460"/>
        <v>0</v>
      </c>
      <c r="AB800" s="285">
        <f t="shared" si="460"/>
        <v>0</v>
      </c>
      <c r="AC800" s="285">
        <f t="shared" si="460"/>
        <v>0</v>
      </c>
      <c r="AD800" s="285">
        <f t="shared" si="460"/>
        <v>0</v>
      </c>
      <c r="AE800" s="285">
        <f t="shared" si="460"/>
        <v>0</v>
      </c>
      <c r="AF800" s="285">
        <f t="shared" si="460"/>
        <v>0</v>
      </c>
    </row>
    <row r="801" spans="1:32">
      <c r="A801" s="484"/>
      <c r="B801" s="285"/>
      <c r="C801" s="285"/>
      <c r="D801" s="285"/>
      <c r="E801" s="285"/>
      <c r="F801" s="285"/>
      <c r="G801" s="285"/>
      <c r="H801" s="285"/>
      <c r="I801" s="285"/>
      <c r="J801" s="525"/>
      <c r="K801" s="285"/>
      <c r="L801" s="285"/>
      <c r="M801" s="285"/>
      <c r="N801" s="285"/>
      <c r="O801" s="285"/>
      <c r="P801" s="285"/>
      <c r="Q801" s="285"/>
      <c r="R801" s="285"/>
      <c r="S801" s="285"/>
      <c r="T801" s="285"/>
      <c r="U801" s="285"/>
      <c r="V801" s="285"/>
      <c r="W801" s="285"/>
      <c r="X801" s="285"/>
      <c r="Y801" s="285"/>
      <c r="Z801" s="285"/>
      <c r="AA801" s="285"/>
      <c r="AB801" s="285"/>
      <c r="AC801" s="285"/>
      <c r="AD801" s="285"/>
      <c r="AE801" s="285"/>
      <c r="AF801" s="285"/>
    </row>
    <row r="802" spans="1:32">
      <c r="A802" s="491" t="s">
        <v>190</v>
      </c>
      <c r="B802" s="285" t="str">
        <f t="shared" ref="B802:B807" si="461">A571</f>
        <v>Accounts Receivable</v>
      </c>
      <c r="C802" s="285"/>
      <c r="D802" s="285"/>
      <c r="E802" s="285"/>
      <c r="F802" s="285"/>
      <c r="G802" s="285"/>
      <c r="H802" s="285"/>
      <c r="I802" s="285">
        <f t="shared" ref="I802:AF802" ca="1" si="462">-I571+H571</f>
        <v>-579.62472586513707</v>
      </c>
      <c r="J802" s="525">
        <f t="shared" si="462"/>
        <v>-638.2038158434234</v>
      </c>
      <c r="K802" s="285">
        <f t="shared" si="462"/>
        <v>-242.35255733851614</v>
      </c>
      <c r="L802" s="285">
        <f t="shared" si="462"/>
        <v>123.96791811079743</v>
      </c>
      <c r="M802" s="285">
        <f t="shared" si="462"/>
        <v>68.935625723950125</v>
      </c>
      <c r="N802" s="285">
        <f t="shared" si="462"/>
        <v>24.827252087839497</v>
      </c>
      <c r="O802" s="285">
        <f t="shared" si="462"/>
        <v>-3.1202624417096558</v>
      </c>
      <c r="P802" s="285">
        <f t="shared" si="462"/>
        <v>-60.784721840842394</v>
      </c>
      <c r="Q802" s="285">
        <f t="shared" si="462"/>
        <v>-48.463760467058137</v>
      </c>
      <c r="R802" s="285">
        <f t="shared" si="462"/>
        <v>-54.619468721992462</v>
      </c>
      <c r="S802" s="285">
        <f t="shared" si="462"/>
        <v>-25.936645955381209</v>
      </c>
      <c r="T802" s="285">
        <f t="shared" si="462"/>
        <v>-47.369721321169891</v>
      </c>
      <c r="U802" s="285">
        <f t="shared" si="462"/>
        <v>-30.686405833659364</v>
      </c>
      <c r="V802" s="285">
        <f t="shared" si="462"/>
        <v>-46.915717961448081</v>
      </c>
      <c r="W802" s="285">
        <f t="shared" si="462"/>
        <v>-35.857228158726457</v>
      </c>
      <c r="X802" s="285">
        <f t="shared" si="462"/>
        <v>-42.87706653850546</v>
      </c>
      <c r="Y802" s="285">
        <f t="shared" si="462"/>
        <v>-49.880848543724824</v>
      </c>
      <c r="Z802" s="285">
        <f t="shared" si="462"/>
        <v>-50.273630937790131</v>
      </c>
      <c r="AA802" s="285">
        <f t="shared" si="462"/>
        <v>-39.262382568575049</v>
      </c>
      <c r="AB802" s="285">
        <f t="shared" si="462"/>
        <v>-38.302567360275589</v>
      </c>
      <c r="AC802" s="285">
        <f t="shared" si="462"/>
        <v>-58.535432194205441</v>
      </c>
      <c r="AD802" s="285">
        <f t="shared" si="462"/>
        <v>-49.199327282090508</v>
      </c>
      <c r="AE802" s="285">
        <f t="shared" si="462"/>
        <v>-44.849536716259081</v>
      </c>
      <c r="AF802" s="285">
        <f t="shared" si="462"/>
        <v>295.51832338333202</v>
      </c>
    </row>
    <row r="803" spans="1:32">
      <c r="A803" s="734" t="s">
        <v>191</v>
      </c>
      <c r="B803" s="285" t="str">
        <f t="shared" si="461"/>
        <v>Inventories</v>
      </c>
      <c r="C803" s="285"/>
      <c r="D803" s="285"/>
      <c r="E803" s="285"/>
      <c r="F803" s="285"/>
      <c r="G803" s="285"/>
      <c r="H803" s="285"/>
      <c r="I803" s="285">
        <f t="shared" ref="I803:AF803" si="463">-I572+H572</f>
        <v>-163</v>
      </c>
      <c r="J803" s="525">
        <f t="shared" si="463"/>
        <v>163</v>
      </c>
      <c r="K803" s="285">
        <f t="shared" si="463"/>
        <v>0</v>
      </c>
      <c r="L803" s="285">
        <f t="shared" si="463"/>
        <v>0</v>
      </c>
      <c r="M803" s="285">
        <f t="shared" si="463"/>
        <v>0</v>
      </c>
      <c r="N803" s="285">
        <f t="shared" si="463"/>
        <v>0</v>
      </c>
      <c r="O803" s="285">
        <f t="shared" si="463"/>
        <v>0</v>
      </c>
      <c r="P803" s="285">
        <f t="shared" si="463"/>
        <v>0</v>
      </c>
      <c r="Q803" s="285">
        <f t="shared" si="463"/>
        <v>0</v>
      </c>
      <c r="R803" s="285">
        <f t="shared" si="463"/>
        <v>0</v>
      </c>
      <c r="S803" s="285">
        <f t="shared" si="463"/>
        <v>0</v>
      </c>
      <c r="T803" s="285">
        <f t="shared" si="463"/>
        <v>0</v>
      </c>
      <c r="U803" s="285">
        <f t="shared" si="463"/>
        <v>0</v>
      </c>
      <c r="V803" s="285">
        <f t="shared" si="463"/>
        <v>0</v>
      </c>
      <c r="W803" s="285">
        <f t="shared" si="463"/>
        <v>0</v>
      </c>
      <c r="X803" s="285">
        <f t="shared" si="463"/>
        <v>0</v>
      </c>
      <c r="Y803" s="285">
        <f t="shared" si="463"/>
        <v>0</v>
      </c>
      <c r="Z803" s="285">
        <f t="shared" si="463"/>
        <v>0</v>
      </c>
      <c r="AA803" s="285">
        <f t="shared" si="463"/>
        <v>0</v>
      </c>
      <c r="AB803" s="285">
        <f t="shared" si="463"/>
        <v>0</v>
      </c>
      <c r="AC803" s="285">
        <f t="shared" si="463"/>
        <v>0</v>
      </c>
      <c r="AD803" s="285">
        <f t="shared" si="463"/>
        <v>0</v>
      </c>
      <c r="AE803" s="285">
        <f t="shared" si="463"/>
        <v>0</v>
      </c>
      <c r="AF803" s="285">
        <f t="shared" si="463"/>
        <v>0</v>
      </c>
    </row>
    <row r="804" spans="1:32">
      <c r="A804" s="491" t="s">
        <v>192</v>
      </c>
      <c r="B804" s="285" t="str">
        <f t="shared" si="461"/>
        <v>Other Current Assets</v>
      </c>
      <c r="C804" s="285"/>
      <c r="D804" s="285"/>
      <c r="E804" s="285"/>
      <c r="F804" s="285"/>
      <c r="G804" s="285"/>
      <c r="H804" s="285"/>
      <c r="I804" s="285">
        <f t="shared" ref="I804:AF804" si="464">-I573+H573</f>
        <v>0</v>
      </c>
      <c r="J804" s="525">
        <f t="shared" si="464"/>
        <v>0</v>
      </c>
      <c r="K804" s="285">
        <f t="shared" si="464"/>
        <v>0</v>
      </c>
      <c r="L804" s="285">
        <f t="shared" si="464"/>
        <v>0</v>
      </c>
      <c r="M804" s="285">
        <f t="shared" si="464"/>
        <v>0</v>
      </c>
      <c r="N804" s="285">
        <f t="shared" si="464"/>
        <v>0</v>
      </c>
      <c r="O804" s="285">
        <f t="shared" si="464"/>
        <v>0</v>
      </c>
      <c r="P804" s="285">
        <f t="shared" si="464"/>
        <v>0</v>
      </c>
      <c r="Q804" s="285">
        <f t="shared" si="464"/>
        <v>0</v>
      </c>
      <c r="R804" s="285">
        <f t="shared" si="464"/>
        <v>0</v>
      </c>
      <c r="S804" s="285">
        <f t="shared" si="464"/>
        <v>0</v>
      </c>
      <c r="T804" s="285">
        <f t="shared" si="464"/>
        <v>0</v>
      </c>
      <c r="U804" s="285">
        <f t="shared" si="464"/>
        <v>0</v>
      </c>
      <c r="V804" s="285">
        <f t="shared" si="464"/>
        <v>0</v>
      </c>
      <c r="W804" s="285">
        <f t="shared" si="464"/>
        <v>0</v>
      </c>
      <c r="X804" s="285">
        <f t="shared" si="464"/>
        <v>0</v>
      </c>
      <c r="Y804" s="285">
        <f t="shared" si="464"/>
        <v>0</v>
      </c>
      <c r="Z804" s="285">
        <f t="shared" si="464"/>
        <v>0</v>
      </c>
      <c r="AA804" s="285">
        <f t="shared" si="464"/>
        <v>0</v>
      </c>
      <c r="AB804" s="285">
        <f t="shared" si="464"/>
        <v>0</v>
      </c>
      <c r="AC804" s="285">
        <f t="shared" si="464"/>
        <v>0</v>
      </c>
      <c r="AD804" s="285">
        <f t="shared" si="464"/>
        <v>0</v>
      </c>
      <c r="AE804" s="285">
        <f t="shared" si="464"/>
        <v>0</v>
      </c>
      <c r="AF804" s="285">
        <f t="shared" si="464"/>
        <v>0</v>
      </c>
    </row>
    <row r="805" spans="1:32">
      <c r="A805" s="484"/>
      <c r="B805" s="285" t="str">
        <f t="shared" si="461"/>
        <v>Accounts Payable</v>
      </c>
      <c r="C805" s="285"/>
      <c r="D805" s="285"/>
      <c r="E805" s="285"/>
      <c r="F805" s="285"/>
      <c r="G805" s="285"/>
      <c r="H805" s="285"/>
      <c r="I805" s="285">
        <f t="shared" ref="I805:AF805" ca="1" si="465">I574-H574</f>
        <v>1541.624725865137</v>
      </c>
      <c r="J805" s="525">
        <f t="shared" si="465"/>
        <v>180.13587722894897</v>
      </c>
      <c r="K805" s="285">
        <f t="shared" si="465"/>
        <v>161.56837155901087</v>
      </c>
      <c r="L805" s="285">
        <f t="shared" si="465"/>
        <v>-82.645278740531694</v>
      </c>
      <c r="M805" s="285">
        <f t="shared" si="465"/>
        <v>-45.957083815966826</v>
      </c>
      <c r="N805" s="285">
        <f t="shared" si="465"/>
        <v>-16.551501391892998</v>
      </c>
      <c r="O805" s="285">
        <f t="shared" si="465"/>
        <v>2.0801749611398463</v>
      </c>
      <c r="P805" s="285">
        <f t="shared" si="465"/>
        <v>40.523147893894929</v>
      </c>
      <c r="Q805" s="285">
        <f t="shared" si="465"/>
        <v>32.309173644705197</v>
      </c>
      <c r="R805" s="285">
        <f t="shared" si="465"/>
        <v>36.412979147995202</v>
      </c>
      <c r="S805" s="285">
        <f t="shared" si="465"/>
        <v>17.291097303587321</v>
      </c>
      <c r="T805" s="285">
        <f t="shared" si="465"/>
        <v>31.579814214113412</v>
      </c>
      <c r="U805" s="285">
        <f t="shared" si="465"/>
        <v>20.457603889106167</v>
      </c>
      <c r="V805" s="285">
        <f t="shared" si="465"/>
        <v>31.277145307632054</v>
      </c>
      <c r="W805" s="285">
        <f t="shared" si="465"/>
        <v>23.904818772484305</v>
      </c>
      <c r="X805" s="285">
        <f t="shared" si="465"/>
        <v>28.584711025670458</v>
      </c>
      <c r="Y805" s="285">
        <f t="shared" si="465"/>
        <v>33.253899029149807</v>
      </c>
      <c r="Z805" s="285">
        <f t="shared" si="465"/>
        <v>33.51575395852683</v>
      </c>
      <c r="AA805" s="285">
        <f t="shared" si="465"/>
        <v>26.174921712383366</v>
      </c>
      <c r="AB805" s="285">
        <f t="shared" si="465"/>
        <v>25.535044906850317</v>
      </c>
      <c r="AC805" s="285">
        <f t="shared" si="465"/>
        <v>39.023621462803476</v>
      </c>
      <c r="AD805" s="285">
        <f t="shared" si="465"/>
        <v>32.799551521393823</v>
      </c>
      <c r="AE805" s="285">
        <f t="shared" si="465"/>
        <v>29.899691144172721</v>
      </c>
      <c r="AF805" s="285">
        <f t="shared" si="465"/>
        <v>-197.01221558888801</v>
      </c>
    </row>
    <row r="806" spans="1:32">
      <c r="A806" s="484"/>
      <c r="B806" s="285" t="str">
        <f t="shared" si="461"/>
        <v>Accrued Expenses</v>
      </c>
      <c r="C806" s="285"/>
      <c r="D806" s="285"/>
      <c r="E806" s="285"/>
      <c r="F806" s="285"/>
      <c r="G806" s="285"/>
      <c r="H806" s="285"/>
      <c r="I806" s="285">
        <f t="shared" ref="I806:AF806" si="466">I575-H575</f>
        <v>0</v>
      </c>
      <c r="J806" s="525">
        <f t="shared" si="466"/>
        <v>0</v>
      </c>
      <c r="K806" s="285">
        <f t="shared" si="466"/>
        <v>0</v>
      </c>
      <c r="L806" s="285">
        <f t="shared" si="466"/>
        <v>0</v>
      </c>
      <c r="M806" s="285">
        <f t="shared" si="466"/>
        <v>0</v>
      </c>
      <c r="N806" s="285">
        <f t="shared" si="466"/>
        <v>0</v>
      </c>
      <c r="O806" s="285">
        <f t="shared" si="466"/>
        <v>0</v>
      </c>
      <c r="P806" s="285">
        <f t="shared" si="466"/>
        <v>0</v>
      </c>
      <c r="Q806" s="285">
        <f t="shared" si="466"/>
        <v>0</v>
      </c>
      <c r="R806" s="285">
        <f t="shared" si="466"/>
        <v>0</v>
      </c>
      <c r="S806" s="285">
        <f t="shared" si="466"/>
        <v>0</v>
      </c>
      <c r="T806" s="285">
        <f t="shared" si="466"/>
        <v>0</v>
      </c>
      <c r="U806" s="285">
        <f t="shared" si="466"/>
        <v>0</v>
      </c>
      <c r="V806" s="285">
        <f t="shared" si="466"/>
        <v>0</v>
      </c>
      <c r="W806" s="285">
        <f t="shared" si="466"/>
        <v>0</v>
      </c>
      <c r="X806" s="285">
        <f t="shared" si="466"/>
        <v>0</v>
      </c>
      <c r="Y806" s="285">
        <f t="shared" si="466"/>
        <v>0</v>
      </c>
      <c r="Z806" s="285">
        <f t="shared" si="466"/>
        <v>0</v>
      </c>
      <c r="AA806" s="285">
        <f t="shared" si="466"/>
        <v>0</v>
      </c>
      <c r="AB806" s="285">
        <f t="shared" si="466"/>
        <v>0</v>
      </c>
      <c r="AC806" s="285">
        <f t="shared" si="466"/>
        <v>0</v>
      </c>
      <c r="AD806" s="285">
        <f t="shared" si="466"/>
        <v>0</v>
      </c>
      <c r="AE806" s="285">
        <f t="shared" si="466"/>
        <v>0</v>
      </c>
      <c r="AF806" s="285">
        <f t="shared" si="466"/>
        <v>0</v>
      </c>
    </row>
    <row r="807" spans="1:32">
      <c r="A807" s="484"/>
      <c r="B807" s="285" t="str">
        <f t="shared" si="461"/>
        <v>Other Payables</v>
      </c>
      <c r="C807" s="285"/>
      <c r="D807" s="285"/>
      <c r="E807" s="285"/>
      <c r="F807" s="285"/>
      <c r="G807" s="285"/>
      <c r="H807" s="285"/>
      <c r="I807" s="285">
        <f t="shared" ref="I807:AF807" si="467">I576-H576</f>
        <v>0</v>
      </c>
      <c r="J807" s="525">
        <f t="shared" si="467"/>
        <v>0</v>
      </c>
      <c r="K807" s="285">
        <f t="shared" si="467"/>
        <v>0</v>
      </c>
      <c r="L807" s="285">
        <f t="shared" si="467"/>
        <v>0</v>
      </c>
      <c r="M807" s="285">
        <f t="shared" si="467"/>
        <v>0</v>
      </c>
      <c r="N807" s="285">
        <f t="shared" si="467"/>
        <v>0</v>
      </c>
      <c r="O807" s="285">
        <f t="shared" si="467"/>
        <v>0</v>
      </c>
      <c r="P807" s="285">
        <f t="shared" si="467"/>
        <v>0</v>
      </c>
      <c r="Q807" s="285">
        <f t="shared" si="467"/>
        <v>0</v>
      </c>
      <c r="R807" s="285">
        <f t="shared" si="467"/>
        <v>0</v>
      </c>
      <c r="S807" s="285">
        <f t="shared" si="467"/>
        <v>0</v>
      </c>
      <c r="T807" s="285">
        <f t="shared" si="467"/>
        <v>0</v>
      </c>
      <c r="U807" s="285">
        <f t="shared" si="467"/>
        <v>0</v>
      </c>
      <c r="V807" s="285">
        <f t="shared" si="467"/>
        <v>0</v>
      </c>
      <c r="W807" s="285">
        <f t="shared" si="467"/>
        <v>0</v>
      </c>
      <c r="X807" s="285">
        <f t="shared" si="467"/>
        <v>0</v>
      </c>
      <c r="Y807" s="285">
        <f t="shared" si="467"/>
        <v>0</v>
      </c>
      <c r="Z807" s="285">
        <f t="shared" si="467"/>
        <v>0</v>
      </c>
      <c r="AA807" s="285">
        <f t="shared" si="467"/>
        <v>0</v>
      </c>
      <c r="AB807" s="285">
        <f t="shared" si="467"/>
        <v>0</v>
      </c>
      <c r="AC807" s="285">
        <f t="shared" si="467"/>
        <v>0</v>
      </c>
      <c r="AD807" s="285">
        <f t="shared" si="467"/>
        <v>0</v>
      </c>
      <c r="AE807" s="285">
        <f t="shared" si="467"/>
        <v>0</v>
      </c>
      <c r="AF807" s="285">
        <f t="shared" si="467"/>
        <v>0</v>
      </c>
    </row>
    <row r="808" spans="1:32">
      <c r="A808" s="733" t="str">
        <f>A794</f>
        <v>Cash Flow From Operating Activities:</v>
      </c>
      <c r="B808" s="285"/>
      <c r="C808" s="285"/>
      <c r="D808" s="285"/>
      <c r="E808" s="285"/>
      <c r="F808" s="285"/>
      <c r="G808" s="285"/>
      <c r="H808" s="285"/>
      <c r="I808" s="503">
        <f t="shared" ref="I808:AF808" ca="1" si="468">SUM(I795:I807)</f>
        <v>1190.0000009999999</v>
      </c>
      <c r="J808" s="735">
        <f t="shared" ca="1" si="468"/>
        <v>691.92195114168715</v>
      </c>
      <c r="K808" s="503">
        <f t="shared" ca="1" si="468"/>
        <v>4901.762911617534</v>
      </c>
      <c r="L808" s="503">
        <f t="shared" ca="1" si="468"/>
        <v>4345.2201192435723</v>
      </c>
      <c r="M808" s="503">
        <f t="shared" ca="1" si="468"/>
        <v>4227.4994478584085</v>
      </c>
      <c r="N808" s="503">
        <f t="shared" ca="1" si="468"/>
        <v>4309.043263331766</v>
      </c>
      <c r="O808" s="503">
        <f t="shared" ca="1" si="468"/>
        <v>4617.3684579045021</v>
      </c>
      <c r="P808" s="503">
        <f t="shared" ca="1" si="468"/>
        <v>5246.8505437195672</v>
      </c>
      <c r="Q808" s="503">
        <f t="shared" ca="1" si="468"/>
        <v>5821.5162575860177</v>
      </c>
      <c r="R808" s="503">
        <f t="shared" ca="1" si="468"/>
        <v>6459.6241012188129</v>
      </c>
      <c r="S808" s="503">
        <f t="shared" ca="1" si="468"/>
        <v>7109.8207356107996</v>
      </c>
      <c r="T808" s="503">
        <f t="shared" ca="1" si="468"/>
        <v>6923.9904731276456</v>
      </c>
      <c r="U808" s="503">
        <f t="shared" ca="1" si="468"/>
        <v>7386.2026964776887</v>
      </c>
      <c r="V808" s="503">
        <f t="shared" ca="1" si="468"/>
        <v>8415.1016670463941</v>
      </c>
      <c r="W808" s="503">
        <f t="shared" ca="1" si="468"/>
        <v>9006.6578764089008</v>
      </c>
      <c r="X808" s="503">
        <f t="shared" ca="1" si="468"/>
        <v>9673.2673718152309</v>
      </c>
      <c r="Y808" s="503">
        <f t="shared" ca="1" si="468"/>
        <v>10321.822838052201</v>
      </c>
      <c r="Z808" s="503">
        <f t="shared" ca="1" si="468"/>
        <v>11002.008534639608</v>
      </c>
      <c r="AA808" s="503">
        <f t="shared" ca="1" si="468"/>
        <v>11367.975258794495</v>
      </c>
      <c r="AB808" s="503">
        <f t="shared" ca="1" si="468"/>
        <v>11539.25348450347</v>
      </c>
      <c r="AC808" s="503">
        <f t="shared" ca="1" si="468"/>
        <v>11824.604358037675</v>
      </c>
      <c r="AD808" s="503">
        <f t="shared" ca="1" si="468"/>
        <v>11993.721614884942</v>
      </c>
      <c r="AE808" s="503">
        <f t="shared" ca="1" si="468"/>
        <v>12189.275144125895</v>
      </c>
      <c r="AF808" s="503">
        <f t="shared" ca="1" si="468"/>
        <v>10991.518758930433</v>
      </c>
    </row>
    <row r="809" spans="1:32">
      <c r="A809" s="484"/>
      <c r="B809" s="285"/>
      <c r="C809" s="285"/>
      <c r="D809" s="285"/>
      <c r="E809" s="285"/>
      <c r="F809" s="285"/>
      <c r="G809" s="285"/>
      <c r="H809" s="285"/>
      <c r="I809" s="285"/>
      <c r="J809" s="525"/>
      <c r="K809" s="285"/>
      <c r="L809" s="285"/>
      <c r="M809" s="285"/>
      <c r="N809" s="285"/>
      <c r="O809" s="285"/>
      <c r="P809" s="285"/>
      <c r="Q809" s="285"/>
      <c r="R809" s="285"/>
      <c r="S809" s="285"/>
      <c r="T809" s="285"/>
      <c r="U809" s="285"/>
      <c r="V809" s="285"/>
      <c r="W809" s="285"/>
      <c r="X809" s="285"/>
      <c r="Y809" s="285"/>
      <c r="Z809" s="285"/>
      <c r="AA809" s="285"/>
      <c r="AB809" s="285"/>
      <c r="AC809" s="285"/>
      <c r="AD809" s="285"/>
      <c r="AE809" s="285"/>
      <c r="AF809" s="285"/>
    </row>
    <row r="810" spans="1:32">
      <c r="A810" s="484"/>
      <c r="B810" s="285"/>
      <c r="C810" s="285"/>
      <c r="D810" s="285"/>
      <c r="E810" s="285"/>
      <c r="F810" s="285"/>
      <c r="G810" s="285"/>
      <c r="H810" s="285"/>
      <c r="I810" s="285"/>
      <c r="J810" s="525"/>
      <c r="K810" s="285"/>
      <c r="L810" s="285"/>
      <c r="M810" s="285"/>
      <c r="N810" s="285"/>
      <c r="O810" s="285"/>
      <c r="P810" s="285"/>
      <c r="Q810" s="285"/>
      <c r="R810" s="285"/>
      <c r="S810" s="285"/>
      <c r="T810" s="285"/>
      <c r="U810" s="285"/>
      <c r="V810" s="285"/>
      <c r="W810" s="285"/>
      <c r="X810" s="285"/>
      <c r="Y810" s="285"/>
      <c r="Z810" s="285"/>
      <c r="AA810" s="285"/>
      <c r="AB810" s="285"/>
      <c r="AC810" s="285"/>
      <c r="AD810" s="285"/>
      <c r="AE810" s="285"/>
      <c r="AF810" s="285"/>
    </row>
    <row r="811" spans="1:32">
      <c r="A811" s="733" t="s">
        <v>193</v>
      </c>
      <c r="B811" s="285"/>
      <c r="C811" s="285"/>
      <c r="D811" s="285"/>
      <c r="E811" s="285"/>
      <c r="F811" s="285"/>
      <c r="G811" s="285"/>
      <c r="H811" s="285"/>
      <c r="I811" s="285"/>
      <c r="J811" s="525"/>
      <c r="K811" s="285"/>
      <c r="L811" s="285"/>
      <c r="M811" s="285"/>
      <c r="N811" s="285"/>
      <c r="O811" s="285"/>
      <c r="P811" s="285"/>
      <c r="Q811" s="285"/>
      <c r="R811" s="285"/>
      <c r="S811" s="285"/>
      <c r="T811" s="285"/>
      <c r="U811" s="285"/>
      <c r="V811" s="285"/>
      <c r="W811" s="285"/>
      <c r="X811" s="285"/>
      <c r="Y811" s="285"/>
      <c r="Z811" s="285"/>
      <c r="AA811" s="285"/>
      <c r="AB811" s="285"/>
      <c r="AC811" s="285"/>
      <c r="AD811" s="285"/>
      <c r="AE811" s="285"/>
      <c r="AF811" s="285"/>
    </row>
    <row r="812" spans="1:32">
      <c r="A812" s="285"/>
      <c r="B812" s="285" t="str">
        <f>A365</f>
        <v>Net Proceeds from Sale of Assets</v>
      </c>
      <c r="C812" s="285"/>
      <c r="D812" s="285"/>
      <c r="E812" s="285"/>
      <c r="F812" s="285"/>
      <c r="G812" s="285"/>
      <c r="H812" s="285"/>
      <c r="I812" s="285">
        <f t="shared" ref="I812:AF812" si="469">I365</f>
        <v>0</v>
      </c>
      <c r="J812" s="525">
        <f t="shared" si="469"/>
        <v>0</v>
      </c>
      <c r="K812" s="285">
        <f t="shared" si="469"/>
        <v>0</v>
      </c>
      <c r="L812" s="285">
        <f t="shared" si="469"/>
        <v>0</v>
      </c>
      <c r="M812" s="285">
        <f t="shared" si="469"/>
        <v>0</v>
      </c>
      <c r="N812" s="285">
        <f t="shared" si="469"/>
        <v>0</v>
      </c>
      <c r="O812" s="285">
        <f t="shared" si="469"/>
        <v>0</v>
      </c>
      <c r="P812" s="285">
        <f t="shared" si="469"/>
        <v>0</v>
      </c>
      <c r="Q812" s="285">
        <f t="shared" si="469"/>
        <v>0</v>
      </c>
      <c r="R812" s="285">
        <f t="shared" si="469"/>
        <v>0</v>
      </c>
      <c r="S812" s="285">
        <f t="shared" si="469"/>
        <v>0</v>
      </c>
      <c r="T812" s="285">
        <f t="shared" si="469"/>
        <v>0</v>
      </c>
      <c r="U812" s="285">
        <f t="shared" si="469"/>
        <v>0</v>
      </c>
      <c r="V812" s="285">
        <f t="shared" si="469"/>
        <v>0</v>
      </c>
      <c r="W812" s="285">
        <f t="shared" si="469"/>
        <v>0</v>
      </c>
      <c r="X812" s="285">
        <f t="shared" si="469"/>
        <v>0</v>
      </c>
      <c r="Y812" s="285">
        <f t="shared" si="469"/>
        <v>0</v>
      </c>
      <c r="Z812" s="285">
        <f t="shared" si="469"/>
        <v>0</v>
      </c>
      <c r="AA812" s="285">
        <f t="shared" si="469"/>
        <v>0</v>
      </c>
      <c r="AB812" s="285">
        <f t="shared" si="469"/>
        <v>0</v>
      </c>
      <c r="AC812" s="285">
        <f t="shared" si="469"/>
        <v>0</v>
      </c>
      <c r="AD812" s="285">
        <f t="shared" si="469"/>
        <v>0</v>
      </c>
      <c r="AE812" s="285">
        <f t="shared" si="469"/>
        <v>0</v>
      </c>
      <c r="AF812" s="285">
        <f t="shared" si="469"/>
        <v>0</v>
      </c>
    </row>
    <row r="813" spans="1:32">
      <c r="A813" s="285"/>
      <c r="B813" s="285" t="str">
        <f>A369</f>
        <v>Asset Purchase</v>
      </c>
      <c r="C813" s="285"/>
      <c r="D813" s="285"/>
      <c r="E813" s="285"/>
      <c r="F813" s="285"/>
      <c r="G813" s="285"/>
      <c r="H813" s="285"/>
      <c r="I813" s="285">
        <f t="shared" ref="I813:AF813" si="470">-I369</f>
        <v>0</v>
      </c>
      <c r="J813" s="525">
        <f t="shared" si="470"/>
        <v>0</v>
      </c>
      <c r="K813" s="285">
        <f t="shared" si="470"/>
        <v>0</v>
      </c>
      <c r="L813" s="285">
        <f t="shared" si="470"/>
        <v>0</v>
      </c>
      <c r="M813" s="285">
        <f t="shared" si="470"/>
        <v>-1331.9046155778003</v>
      </c>
      <c r="N813" s="285">
        <f t="shared" si="470"/>
        <v>0</v>
      </c>
      <c r="O813" s="285">
        <f t="shared" si="470"/>
        <v>0</v>
      </c>
      <c r="P813" s="285">
        <f t="shared" si="470"/>
        <v>0</v>
      </c>
      <c r="Q813" s="285">
        <f t="shared" si="470"/>
        <v>-4611.7398197956873</v>
      </c>
      <c r="R813" s="285">
        <f t="shared" si="470"/>
        <v>0</v>
      </c>
      <c r="S813" s="285">
        <f t="shared" si="470"/>
        <v>0</v>
      </c>
      <c r="T813" s="285">
        <f t="shared" si="470"/>
        <v>0</v>
      </c>
      <c r="U813" s="285">
        <f t="shared" si="470"/>
        <v>-1870.6553139776611</v>
      </c>
      <c r="V813" s="285">
        <f t="shared" si="470"/>
        <v>0</v>
      </c>
      <c r="W813" s="285">
        <f t="shared" si="470"/>
        <v>0</v>
      </c>
      <c r="X813" s="285">
        <f t="shared" si="470"/>
        <v>0</v>
      </c>
      <c r="Y813" s="285">
        <f t="shared" si="470"/>
        <v>-6463.75753668992</v>
      </c>
      <c r="Z813" s="285">
        <f t="shared" si="470"/>
        <v>0</v>
      </c>
      <c r="AA813" s="285">
        <f t="shared" si="470"/>
        <v>0</v>
      </c>
      <c r="AB813" s="285">
        <f t="shared" si="470"/>
        <v>0</v>
      </c>
      <c r="AC813" s="285">
        <f t="shared" si="470"/>
        <v>0</v>
      </c>
      <c r="AD813" s="285">
        <f t="shared" si="470"/>
        <v>0</v>
      </c>
      <c r="AE813" s="285">
        <f t="shared" si="470"/>
        <v>0</v>
      </c>
      <c r="AF813" s="285">
        <f t="shared" si="470"/>
        <v>0</v>
      </c>
    </row>
    <row r="814" spans="1:32">
      <c r="A814" s="285"/>
      <c r="B814" s="285" t="str">
        <f>A372</f>
        <v>Increase/(Decrease) in Reserve Accounts</v>
      </c>
      <c r="C814" s="285"/>
      <c r="D814" s="285"/>
      <c r="E814" s="285"/>
      <c r="F814" s="285"/>
      <c r="G814" s="285"/>
      <c r="H814" s="285"/>
      <c r="I814" s="285">
        <f t="shared" ref="I814:AF814" si="471">-I372</f>
        <v>0</v>
      </c>
      <c r="J814" s="525">
        <f t="shared" si="471"/>
        <v>0</v>
      </c>
      <c r="K814" s="285">
        <f t="shared" si="471"/>
        <v>0</v>
      </c>
      <c r="L814" s="285">
        <f t="shared" si="471"/>
        <v>-332.97615389445008</v>
      </c>
      <c r="M814" s="285">
        <f t="shared" si="471"/>
        <v>332.97615389445008</v>
      </c>
      <c r="N814" s="285">
        <f t="shared" si="471"/>
        <v>0</v>
      </c>
      <c r="O814" s="285">
        <f t="shared" si="471"/>
        <v>-576.46747747446091</v>
      </c>
      <c r="P814" s="285">
        <f t="shared" si="471"/>
        <v>-2305.8699098978436</v>
      </c>
      <c r="Q814" s="285">
        <f t="shared" si="471"/>
        <v>2882.3373873723044</v>
      </c>
      <c r="R814" s="285">
        <f t="shared" si="471"/>
        <v>0</v>
      </c>
      <c r="S814" s="285">
        <f t="shared" si="471"/>
        <v>0</v>
      </c>
      <c r="T814" s="285">
        <f t="shared" si="471"/>
        <v>-467.66382849441527</v>
      </c>
      <c r="U814" s="285">
        <f t="shared" si="471"/>
        <v>467.66382849441527</v>
      </c>
      <c r="V814" s="285">
        <f t="shared" si="471"/>
        <v>0</v>
      </c>
      <c r="W814" s="285">
        <f t="shared" si="471"/>
        <v>-807.96969208624</v>
      </c>
      <c r="X814" s="285">
        <f t="shared" si="471"/>
        <v>-3231.87876834496</v>
      </c>
      <c r="Y814" s="285">
        <f t="shared" si="471"/>
        <v>4039.8484604311998</v>
      </c>
      <c r="Z814" s="285">
        <f t="shared" si="471"/>
        <v>0</v>
      </c>
      <c r="AA814" s="285">
        <f t="shared" si="471"/>
        <v>0</v>
      </c>
      <c r="AB814" s="285">
        <f t="shared" si="471"/>
        <v>0</v>
      </c>
      <c r="AC814" s="285">
        <f t="shared" si="471"/>
        <v>0</v>
      </c>
      <c r="AD814" s="285">
        <f t="shared" si="471"/>
        <v>0</v>
      </c>
      <c r="AE814" s="285">
        <f t="shared" si="471"/>
        <v>0</v>
      </c>
      <c r="AF814" s="285">
        <f t="shared" si="471"/>
        <v>0</v>
      </c>
    </row>
    <row r="815" spans="1:32">
      <c r="A815" s="285"/>
      <c r="B815" s="285" t="s">
        <v>896</v>
      </c>
      <c r="C815" s="285"/>
      <c r="D815" s="285"/>
      <c r="E815" s="285"/>
      <c r="F815" s="285"/>
      <c r="G815" s="285"/>
      <c r="H815" s="285"/>
      <c r="I815" s="285">
        <f ca="1">-I370</f>
        <v>0</v>
      </c>
      <c r="J815" s="525">
        <f ca="1">-J370</f>
        <v>0</v>
      </c>
      <c r="K815" s="285">
        <f ca="1">-K370</f>
        <v>0</v>
      </c>
      <c r="L815" s="285">
        <f t="shared" ref="L815:AF815" ca="1" si="472">-L370</f>
        <v>0</v>
      </c>
      <c r="M815" s="285">
        <f t="shared" ca="1" si="472"/>
        <v>0</v>
      </c>
      <c r="N815" s="285">
        <f t="shared" ca="1" si="472"/>
        <v>0</v>
      </c>
      <c r="O815" s="285">
        <f t="shared" ca="1" si="472"/>
        <v>0</v>
      </c>
      <c r="P815" s="285">
        <f t="shared" ca="1" si="472"/>
        <v>0</v>
      </c>
      <c r="Q815" s="285">
        <f t="shared" ca="1" si="472"/>
        <v>0</v>
      </c>
      <c r="R815" s="285">
        <f t="shared" ca="1" si="472"/>
        <v>0</v>
      </c>
      <c r="S815" s="285">
        <f t="shared" ca="1" si="472"/>
        <v>0</v>
      </c>
      <c r="T815" s="285">
        <f t="shared" ca="1" si="472"/>
        <v>0</v>
      </c>
      <c r="U815" s="285">
        <f t="shared" ca="1" si="472"/>
        <v>0</v>
      </c>
      <c r="V815" s="285">
        <f t="shared" ca="1" si="472"/>
        <v>0</v>
      </c>
      <c r="W815" s="285">
        <f t="shared" ca="1" si="472"/>
        <v>0</v>
      </c>
      <c r="X815" s="285">
        <f t="shared" ca="1" si="472"/>
        <v>0</v>
      </c>
      <c r="Y815" s="285">
        <f t="shared" ca="1" si="472"/>
        <v>0</v>
      </c>
      <c r="Z815" s="285">
        <f t="shared" ca="1" si="472"/>
        <v>0</v>
      </c>
      <c r="AA815" s="285">
        <f t="shared" ca="1" si="472"/>
        <v>0</v>
      </c>
      <c r="AB815" s="285">
        <f t="shared" ca="1" si="472"/>
        <v>0</v>
      </c>
      <c r="AC815" s="285">
        <f t="shared" ca="1" si="472"/>
        <v>0</v>
      </c>
      <c r="AD815" s="285">
        <f t="shared" ca="1" si="472"/>
        <v>0</v>
      </c>
      <c r="AE815" s="285">
        <f t="shared" ca="1" si="472"/>
        <v>0</v>
      </c>
      <c r="AF815" s="285">
        <f t="shared" ca="1" si="472"/>
        <v>0</v>
      </c>
    </row>
    <row r="816" spans="1:32">
      <c r="A816" s="736" t="str">
        <f>A811</f>
        <v>Cash Flow From Investing Activities:</v>
      </c>
      <c r="B816" s="285"/>
      <c r="C816" s="285"/>
      <c r="D816" s="285"/>
      <c r="E816" s="285"/>
      <c r="F816" s="285"/>
      <c r="G816" s="285"/>
      <c r="H816" s="285"/>
      <c r="I816" s="503">
        <f ca="1">SUM(I812:I815)</f>
        <v>0</v>
      </c>
      <c r="J816" s="735">
        <f ca="1">SUM(J812:J815)</f>
        <v>0</v>
      </c>
      <c r="K816" s="503">
        <f ca="1">SUM(K812:K815)</f>
        <v>0</v>
      </c>
      <c r="L816" s="503">
        <f t="shared" ref="L816:AF816" ca="1" si="473">SUM(L812:L815)</f>
        <v>-332.97615389445008</v>
      </c>
      <c r="M816" s="503">
        <f t="shared" ca="1" si="473"/>
        <v>-998.92846168335018</v>
      </c>
      <c r="N816" s="503">
        <f t="shared" ca="1" si="473"/>
        <v>0</v>
      </c>
      <c r="O816" s="503">
        <f t="shared" ca="1" si="473"/>
        <v>-576.46747747446091</v>
      </c>
      <c r="P816" s="503">
        <f t="shared" ca="1" si="473"/>
        <v>-2305.8699098978436</v>
      </c>
      <c r="Q816" s="503">
        <f t="shared" ca="1" si="473"/>
        <v>-1729.4024324233828</v>
      </c>
      <c r="R816" s="503">
        <f t="shared" ca="1" si="473"/>
        <v>0</v>
      </c>
      <c r="S816" s="503">
        <f t="shared" ca="1" si="473"/>
        <v>0</v>
      </c>
      <c r="T816" s="503">
        <f t="shared" ca="1" si="473"/>
        <v>-467.66382849441527</v>
      </c>
      <c r="U816" s="503">
        <f t="shared" ca="1" si="473"/>
        <v>-1402.9914854832459</v>
      </c>
      <c r="V816" s="503">
        <f t="shared" ca="1" si="473"/>
        <v>0</v>
      </c>
      <c r="W816" s="503">
        <f t="shared" ca="1" si="473"/>
        <v>-807.96969208624</v>
      </c>
      <c r="X816" s="503">
        <f t="shared" ca="1" si="473"/>
        <v>-3231.87876834496</v>
      </c>
      <c r="Y816" s="503">
        <f t="shared" ca="1" si="473"/>
        <v>-2423.9090762587202</v>
      </c>
      <c r="Z816" s="503">
        <f t="shared" ca="1" si="473"/>
        <v>0</v>
      </c>
      <c r="AA816" s="503">
        <f t="shared" ca="1" si="473"/>
        <v>0</v>
      </c>
      <c r="AB816" s="503">
        <f t="shared" ca="1" si="473"/>
        <v>0</v>
      </c>
      <c r="AC816" s="503">
        <f t="shared" ca="1" si="473"/>
        <v>0</v>
      </c>
      <c r="AD816" s="503">
        <f t="shared" ca="1" si="473"/>
        <v>0</v>
      </c>
      <c r="AE816" s="503">
        <f t="shared" ca="1" si="473"/>
        <v>0</v>
      </c>
      <c r="AF816" s="503">
        <f t="shared" ca="1" si="473"/>
        <v>0</v>
      </c>
    </row>
    <row r="817" spans="1:34">
      <c r="A817" s="285"/>
      <c r="B817" s="285"/>
      <c r="C817" s="285"/>
      <c r="D817" s="285"/>
      <c r="E817" s="285"/>
      <c r="F817" s="285"/>
      <c r="G817" s="285"/>
      <c r="H817" s="285"/>
      <c r="I817" s="285"/>
      <c r="J817" s="525"/>
      <c r="K817" s="285"/>
      <c r="L817" s="285"/>
      <c r="M817" s="285"/>
      <c r="N817" s="285"/>
      <c r="O817" s="285"/>
      <c r="P817" s="285"/>
      <c r="Q817" s="285"/>
      <c r="R817" s="285"/>
      <c r="S817" s="285"/>
      <c r="T817" s="285"/>
      <c r="U817" s="285"/>
      <c r="V817" s="285"/>
      <c r="W817" s="285"/>
      <c r="X817" s="285"/>
      <c r="Y817" s="285"/>
      <c r="Z817" s="285"/>
      <c r="AA817" s="285"/>
      <c r="AB817" s="285"/>
      <c r="AC817" s="285"/>
      <c r="AD817" s="285"/>
      <c r="AE817" s="285"/>
      <c r="AF817" s="285"/>
    </row>
    <row r="818" spans="1:34">
      <c r="A818" s="733" t="s">
        <v>199</v>
      </c>
      <c r="B818" s="285"/>
      <c r="C818" s="285"/>
      <c r="D818" s="285"/>
      <c r="E818" s="285"/>
      <c r="F818" s="285"/>
      <c r="G818" s="285"/>
      <c r="H818" s="285"/>
      <c r="I818" s="285"/>
      <c r="J818" s="525"/>
      <c r="K818" s="285"/>
      <c r="L818" s="285"/>
      <c r="M818" s="285"/>
      <c r="N818" s="285"/>
      <c r="O818" s="285"/>
      <c r="P818" s="285"/>
      <c r="Q818" s="285"/>
      <c r="R818" s="285"/>
      <c r="S818" s="285"/>
      <c r="T818" s="285"/>
      <c r="U818" s="285"/>
      <c r="V818" s="285"/>
      <c r="W818" s="285"/>
      <c r="X818" s="285"/>
      <c r="Y818" s="285"/>
      <c r="Z818" s="285"/>
      <c r="AA818" s="285"/>
      <c r="AB818" s="285"/>
      <c r="AC818" s="285"/>
      <c r="AD818" s="285"/>
      <c r="AE818" s="285"/>
      <c r="AF818" s="285"/>
    </row>
    <row r="819" spans="1:34">
      <c r="A819" s="285"/>
      <c r="B819" s="484" t="s">
        <v>200</v>
      </c>
      <c r="C819" s="285"/>
      <c r="D819" s="285"/>
      <c r="E819" s="285"/>
      <c r="F819" s="285"/>
      <c r="G819" s="285"/>
      <c r="H819" s="285"/>
      <c r="I819" s="285">
        <f t="shared" ref="I819:AF819" ca="1" si="474">-I375</f>
        <v>-799.00000000000011</v>
      </c>
      <c r="J819" s="525">
        <f t="shared" ca="1" si="474"/>
        <v>0</v>
      </c>
      <c r="K819" s="285">
        <f t="shared" ca="1" si="474"/>
        <v>-2753.762861617533</v>
      </c>
      <c r="L819" s="285">
        <f t="shared" ca="1" si="474"/>
        <v>-1511.2440628491213</v>
      </c>
      <c r="M819" s="285">
        <f t="shared" ca="1" si="474"/>
        <v>-1126.5709761750591</v>
      </c>
      <c r="N819" s="285">
        <f t="shared" ca="1" si="474"/>
        <v>-1136.0432653317648</v>
      </c>
      <c r="O819" s="285">
        <f t="shared" ca="1" si="474"/>
        <v>-781.90097643004037</v>
      </c>
      <c r="P819" s="285">
        <f t="shared" ca="1" si="474"/>
        <v>-797.98060782172433</v>
      </c>
      <c r="Q819" s="285">
        <f t="shared" ca="1" si="474"/>
        <v>-1257.1138336626354</v>
      </c>
      <c r="R819" s="285">
        <f t="shared" ca="1" si="474"/>
        <v>-2216.6241087188118</v>
      </c>
      <c r="S819" s="285">
        <f t="shared" ca="1" si="474"/>
        <v>-2768.8207586107992</v>
      </c>
      <c r="T819" s="285">
        <f t="shared" ca="1" si="474"/>
        <v>-3056.3267096332306</v>
      </c>
      <c r="U819" s="285">
        <f t="shared" ca="1" si="474"/>
        <v>-2843.2111679944437</v>
      </c>
      <c r="V819" s="285">
        <f t="shared" ca="1" si="474"/>
        <v>-4176.1017050463961</v>
      </c>
      <c r="W819" s="285">
        <f t="shared" ca="1" si="474"/>
        <v>-3912.6881323226598</v>
      </c>
      <c r="X819" s="285">
        <f t="shared" ca="1" si="474"/>
        <v>-2682.3886289702714</v>
      </c>
      <c r="Y819" s="285">
        <f t="shared" ca="1" si="474"/>
        <v>-3376.9137682934797</v>
      </c>
      <c r="Z819" s="285">
        <f t="shared" ca="1" si="474"/>
        <v>-6585.0084301396291</v>
      </c>
      <c r="AA819" s="285">
        <f t="shared" ca="1" si="474"/>
        <v>-11367.975258794497</v>
      </c>
      <c r="AB819" s="285">
        <f t="shared" ca="1" si="474"/>
        <v>-11539.253484503484</v>
      </c>
      <c r="AC819" s="285">
        <f t="shared" ca="1" si="474"/>
        <v>-11824.604358037679</v>
      </c>
      <c r="AD819" s="285">
        <f t="shared" ca="1" si="474"/>
        <v>-11993.721614884949</v>
      </c>
      <c r="AE819" s="285">
        <f t="shared" ca="1" si="474"/>
        <v>-12189.275144125908</v>
      </c>
      <c r="AF819" s="285">
        <f t="shared" ca="1" si="474"/>
        <v>-10991.518758930441</v>
      </c>
    </row>
    <row r="820" spans="1:34">
      <c r="A820" s="285"/>
      <c r="B820" s="484" t="s">
        <v>201</v>
      </c>
      <c r="C820" s="285"/>
      <c r="D820" s="285"/>
      <c r="E820" s="285"/>
      <c r="F820" s="285"/>
      <c r="G820" s="285"/>
      <c r="H820" s="285"/>
      <c r="I820" s="285">
        <f t="shared" ref="I820:AF820" si="475">-SUM(I373:I374)</f>
        <v>-391.000001</v>
      </c>
      <c r="J820" s="525">
        <f t="shared" si="475"/>
        <v>-1601.9999830000002</v>
      </c>
      <c r="K820" s="285">
        <f t="shared" si="475"/>
        <v>-2148.0000500000001</v>
      </c>
      <c r="L820" s="285">
        <f t="shared" si="475"/>
        <v>-2500.9999025000002</v>
      </c>
      <c r="M820" s="285">
        <f t="shared" si="475"/>
        <v>-2102.0000100000002</v>
      </c>
      <c r="N820" s="285">
        <f t="shared" si="475"/>
        <v>-3172.9999980000002</v>
      </c>
      <c r="O820" s="285">
        <f t="shared" si="475"/>
        <v>-3259.000004</v>
      </c>
      <c r="P820" s="285">
        <f t="shared" si="475"/>
        <v>-2143.0000259999997</v>
      </c>
      <c r="Q820" s="285">
        <f t="shared" si="475"/>
        <v>-2834.9999914999999</v>
      </c>
      <c r="R820" s="285">
        <f t="shared" si="475"/>
        <v>-4242.9999925000011</v>
      </c>
      <c r="S820" s="285">
        <f t="shared" si="475"/>
        <v>-4340.9999770000004</v>
      </c>
      <c r="T820" s="285">
        <f t="shared" si="475"/>
        <v>-3399.9999349999998</v>
      </c>
      <c r="U820" s="285">
        <f t="shared" si="475"/>
        <v>-3140.000043</v>
      </c>
      <c r="V820" s="285">
        <f t="shared" si="475"/>
        <v>-4238.9999619999999</v>
      </c>
      <c r="W820" s="285">
        <f t="shared" si="475"/>
        <v>-4286.0000520000012</v>
      </c>
      <c r="X820" s="285">
        <f t="shared" si="475"/>
        <v>-3758.9999744999996</v>
      </c>
      <c r="Y820" s="285">
        <f t="shared" si="475"/>
        <v>-4520.9999934999996</v>
      </c>
      <c r="Z820" s="285">
        <f t="shared" si="475"/>
        <v>-4417.0001044999954</v>
      </c>
      <c r="AA820" s="285">
        <f t="shared" si="475"/>
        <v>0</v>
      </c>
      <c r="AB820" s="285">
        <f t="shared" si="475"/>
        <v>0</v>
      </c>
      <c r="AC820" s="285">
        <f t="shared" si="475"/>
        <v>0</v>
      </c>
      <c r="AD820" s="285">
        <f t="shared" si="475"/>
        <v>0</v>
      </c>
      <c r="AE820" s="285">
        <f t="shared" si="475"/>
        <v>0</v>
      </c>
      <c r="AF820" s="285">
        <f t="shared" si="475"/>
        <v>0</v>
      </c>
    </row>
    <row r="821" spans="1:34">
      <c r="A821" s="285"/>
      <c r="B821" s="484" t="s">
        <v>202</v>
      </c>
      <c r="C821" s="285"/>
      <c r="D821" s="285"/>
      <c r="E821" s="285"/>
      <c r="F821" s="285"/>
      <c r="G821" s="285"/>
      <c r="H821" s="285"/>
      <c r="I821" s="285">
        <f t="shared" ref="I821:AF821" si="476">SUM(I381:I383)</f>
        <v>0</v>
      </c>
      <c r="J821" s="525">
        <f t="shared" si="476"/>
        <v>0</v>
      </c>
      <c r="K821" s="285">
        <f t="shared" si="476"/>
        <v>0</v>
      </c>
      <c r="L821" s="285">
        <f t="shared" si="476"/>
        <v>0</v>
      </c>
      <c r="M821" s="285">
        <f t="shared" si="476"/>
        <v>0</v>
      </c>
      <c r="N821" s="285">
        <f t="shared" si="476"/>
        <v>0</v>
      </c>
      <c r="O821" s="285">
        <f t="shared" si="476"/>
        <v>0</v>
      </c>
      <c r="P821" s="285">
        <f t="shared" si="476"/>
        <v>0</v>
      </c>
      <c r="Q821" s="285">
        <f t="shared" si="476"/>
        <v>0</v>
      </c>
      <c r="R821" s="285">
        <f t="shared" si="476"/>
        <v>0</v>
      </c>
      <c r="S821" s="285">
        <f t="shared" si="476"/>
        <v>0</v>
      </c>
      <c r="T821" s="285">
        <f t="shared" si="476"/>
        <v>0</v>
      </c>
      <c r="U821" s="285">
        <f t="shared" si="476"/>
        <v>0</v>
      </c>
      <c r="V821" s="285">
        <f t="shared" si="476"/>
        <v>0</v>
      </c>
      <c r="W821" s="285">
        <f t="shared" si="476"/>
        <v>0</v>
      </c>
      <c r="X821" s="285">
        <f t="shared" si="476"/>
        <v>0</v>
      </c>
      <c r="Y821" s="285">
        <f t="shared" si="476"/>
        <v>0</v>
      </c>
      <c r="Z821" s="285">
        <f t="shared" si="476"/>
        <v>0</v>
      </c>
      <c r="AA821" s="285">
        <f t="shared" si="476"/>
        <v>0</v>
      </c>
      <c r="AB821" s="285">
        <f t="shared" si="476"/>
        <v>0</v>
      </c>
      <c r="AC821" s="285">
        <f t="shared" si="476"/>
        <v>0</v>
      </c>
      <c r="AD821" s="285">
        <f t="shared" si="476"/>
        <v>0</v>
      </c>
      <c r="AE821" s="285">
        <f t="shared" si="476"/>
        <v>0</v>
      </c>
      <c r="AF821" s="285">
        <f t="shared" si="476"/>
        <v>0</v>
      </c>
    </row>
    <row r="822" spans="1:34">
      <c r="A822" s="736" t="str">
        <f>A818</f>
        <v>Cash Flow From Financing Activities:</v>
      </c>
      <c r="B822" s="285"/>
      <c r="C822" s="285"/>
      <c r="D822" s="285"/>
      <c r="E822" s="285"/>
      <c r="F822" s="285"/>
      <c r="G822" s="285"/>
      <c r="H822" s="285"/>
      <c r="I822" s="503">
        <f t="shared" ref="I822:AF822" ca="1" si="477">SUM(I819:I821)</f>
        <v>-1190.0000010000001</v>
      </c>
      <c r="J822" s="735">
        <f t="shared" ca="1" si="477"/>
        <v>-1601.9999830000002</v>
      </c>
      <c r="K822" s="503">
        <f t="shared" ca="1" si="477"/>
        <v>-4901.7629116175331</v>
      </c>
      <c r="L822" s="503">
        <f t="shared" ca="1" si="477"/>
        <v>-4012.2439653491215</v>
      </c>
      <c r="M822" s="503">
        <f t="shared" ca="1" si="477"/>
        <v>-3228.5709861750593</v>
      </c>
      <c r="N822" s="503">
        <f t="shared" ca="1" si="477"/>
        <v>-4309.043263331765</v>
      </c>
      <c r="O822" s="503">
        <f t="shared" ca="1" si="477"/>
        <v>-4040.9009804300404</v>
      </c>
      <c r="P822" s="503">
        <f t="shared" ca="1" si="477"/>
        <v>-2940.980633821724</v>
      </c>
      <c r="Q822" s="503">
        <f t="shared" ca="1" si="477"/>
        <v>-4092.1138251626353</v>
      </c>
      <c r="R822" s="503">
        <f t="shared" ca="1" si="477"/>
        <v>-6459.6241012188129</v>
      </c>
      <c r="S822" s="503">
        <f t="shared" ca="1" si="477"/>
        <v>-7109.8207356107996</v>
      </c>
      <c r="T822" s="503">
        <f t="shared" ca="1" si="477"/>
        <v>-6456.3266446332309</v>
      </c>
      <c r="U822" s="503">
        <f t="shared" ca="1" si="477"/>
        <v>-5983.2112109944437</v>
      </c>
      <c r="V822" s="503">
        <f t="shared" ca="1" si="477"/>
        <v>-8415.101667046396</v>
      </c>
      <c r="W822" s="503">
        <f t="shared" ca="1" si="477"/>
        <v>-8198.688184322662</v>
      </c>
      <c r="X822" s="503">
        <f t="shared" ca="1" si="477"/>
        <v>-6441.3886034702709</v>
      </c>
      <c r="Y822" s="503">
        <f t="shared" ca="1" si="477"/>
        <v>-7897.9137617934794</v>
      </c>
      <c r="Z822" s="503">
        <f t="shared" ca="1" si="477"/>
        <v>-11002.008534639624</v>
      </c>
      <c r="AA822" s="503">
        <f t="shared" ca="1" si="477"/>
        <v>-11367.975258794497</v>
      </c>
      <c r="AB822" s="503">
        <f t="shared" ca="1" si="477"/>
        <v>-11539.253484503484</v>
      </c>
      <c r="AC822" s="503">
        <f t="shared" ca="1" si="477"/>
        <v>-11824.604358037679</v>
      </c>
      <c r="AD822" s="503">
        <f t="shared" ca="1" si="477"/>
        <v>-11993.721614884949</v>
      </c>
      <c r="AE822" s="503">
        <f t="shared" ca="1" si="477"/>
        <v>-12189.275144125908</v>
      </c>
      <c r="AF822" s="503">
        <f t="shared" ca="1" si="477"/>
        <v>-10991.518758930441</v>
      </c>
    </row>
    <row r="823" spans="1:34">
      <c r="A823" s="285"/>
      <c r="B823" s="285"/>
      <c r="C823" s="285"/>
      <c r="D823" s="285"/>
      <c r="E823" s="285"/>
      <c r="F823" s="285"/>
      <c r="G823" s="285"/>
      <c r="H823" s="285"/>
      <c r="I823" s="285"/>
      <c r="J823" s="525"/>
      <c r="K823" s="285"/>
      <c r="L823" s="285"/>
      <c r="M823" s="285"/>
      <c r="N823" s="285"/>
      <c r="O823" s="285"/>
      <c r="P823" s="285"/>
      <c r="Q823" s="285"/>
      <c r="R823" s="285"/>
      <c r="S823" s="285"/>
      <c r="T823" s="285"/>
      <c r="U823" s="285"/>
      <c r="V823" s="285"/>
      <c r="W823" s="285"/>
      <c r="X823" s="285"/>
      <c r="Y823" s="285"/>
      <c r="Z823" s="285"/>
      <c r="AA823" s="285"/>
      <c r="AB823" s="285"/>
      <c r="AC823" s="285"/>
      <c r="AD823" s="285"/>
      <c r="AE823" s="285"/>
      <c r="AF823" s="285"/>
    </row>
    <row r="824" spans="1:34" ht="10.8" thickBot="1">
      <c r="A824" s="733" t="s">
        <v>203</v>
      </c>
      <c r="B824" s="285"/>
      <c r="C824" s="285"/>
      <c r="D824" s="285"/>
      <c r="E824" s="285"/>
      <c r="F824" s="285"/>
      <c r="G824" s="285"/>
      <c r="H824" s="285"/>
      <c r="I824" s="737">
        <f t="shared" ref="I824:AF824" ca="1" si="478">I822+I816+I808</f>
        <v>0</v>
      </c>
      <c r="J824" s="738">
        <f t="shared" ca="1" si="478"/>
        <v>-910.07803185831301</v>
      </c>
      <c r="K824" s="737">
        <f t="shared" ca="1" si="478"/>
        <v>0</v>
      </c>
      <c r="L824" s="737">
        <f t="shared" ca="1" si="478"/>
        <v>0</v>
      </c>
      <c r="M824" s="737">
        <f t="shared" ca="1" si="478"/>
        <v>0</v>
      </c>
      <c r="N824" s="737">
        <f t="shared" ca="1" si="478"/>
        <v>0</v>
      </c>
      <c r="O824" s="737">
        <f t="shared" ca="1" si="478"/>
        <v>0</v>
      </c>
      <c r="P824" s="737">
        <f t="shared" ca="1" si="478"/>
        <v>0</v>
      </c>
      <c r="Q824" s="737">
        <f t="shared" ca="1" si="478"/>
        <v>0</v>
      </c>
      <c r="R824" s="737">
        <f t="shared" ca="1" si="478"/>
        <v>0</v>
      </c>
      <c r="S824" s="737">
        <f t="shared" ca="1" si="478"/>
        <v>0</v>
      </c>
      <c r="T824" s="737">
        <f t="shared" ca="1" si="478"/>
        <v>0</v>
      </c>
      <c r="U824" s="737">
        <f t="shared" ca="1" si="478"/>
        <v>0</v>
      </c>
      <c r="V824" s="737">
        <f t="shared" ca="1" si="478"/>
        <v>0</v>
      </c>
      <c r="W824" s="737">
        <f t="shared" ca="1" si="478"/>
        <v>0</v>
      </c>
      <c r="X824" s="737">
        <f t="shared" ca="1" si="478"/>
        <v>0</v>
      </c>
      <c r="Y824" s="737">
        <f t="shared" ca="1" si="478"/>
        <v>0</v>
      </c>
      <c r="Z824" s="737">
        <f t="shared" ca="1" si="478"/>
        <v>-1.6370904631912708E-11</v>
      </c>
      <c r="AA824" s="737">
        <f t="shared" ca="1" si="478"/>
        <v>0</v>
      </c>
      <c r="AB824" s="737">
        <f t="shared" ca="1" si="478"/>
        <v>-1.4551915228366852E-11</v>
      </c>
      <c r="AC824" s="737">
        <f t="shared" ca="1" si="478"/>
        <v>0</v>
      </c>
      <c r="AD824" s="737">
        <f t="shared" ca="1" si="478"/>
        <v>0</v>
      </c>
      <c r="AE824" s="737">
        <f t="shared" ca="1" si="478"/>
        <v>0</v>
      </c>
      <c r="AF824" s="737">
        <f t="shared" ca="1" si="478"/>
        <v>0</v>
      </c>
    </row>
    <row r="825" spans="1:34" ht="10.8" thickTop="1"/>
    <row r="826" spans="1:34">
      <c r="H826" s="1343" t="s">
        <v>836</v>
      </c>
      <c r="I826" s="1343"/>
      <c r="J826" s="286">
        <f ca="1">+J321+J331+J730-J726</f>
        <v>5023.7958533158526</v>
      </c>
      <c r="K826" s="286">
        <f>+K321+K331+K730-K726</f>
        <v>9133.8282141058644</v>
      </c>
      <c r="L826" s="286">
        <f t="shared" ref="L826:AF826" si="479">+L321+L331+L730-L726</f>
        <v>8461.0222985909641</v>
      </c>
      <c r="M826" s="286">
        <f t="shared" si="479"/>
        <v>6830.153890073314</v>
      </c>
      <c r="N826" s="286">
        <f t="shared" si="479"/>
        <v>8035.8991958094703</v>
      </c>
      <c r="O826" s="286">
        <f t="shared" si="479"/>
        <v>8198.3481404372069</v>
      </c>
      <c r="P826" s="286">
        <f t="shared" si="479"/>
        <v>8608.3739750335226</v>
      </c>
      <c r="Q826" s="286">
        <f t="shared" si="479"/>
        <v>4369.0686183933476</v>
      </c>
      <c r="R826" s="286">
        <f t="shared" si="479"/>
        <v>9374.1531575190184</v>
      </c>
      <c r="S826" s="286">
        <f t="shared" si="479"/>
        <v>9670.2597931691289</v>
      </c>
      <c r="T826" s="286">
        <f t="shared" si="479"/>
        <v>9165.1132843159739</v>
      </c>
      <c r="U826" s="286">
        <f t="shared" si="479"/>
        <v>7486.8951945958579</v>
      </c>
      <c r="V826" s="286">
        <f t="shared" si="479"/>
        <v>10105.943854067851</v>
      </c>
      <c r="W826" s="286">
        <f t="shared" si="479"/>
        <v>10340.515687844107</v>
      </c>
      <c r="X826" s="286">
        <f t="shared" si="479"/>
        <v>10670.240807140748</v>
      </c>
      <c r="Y826" s="286">
        <f t="shared" si="479"/>
        <v>4508.3137380277967</v>
      </c>
      <c r="Z826" s="286">
        <f t="shared" si="479"/>
        <v>11277.978217201377</v>
      </c>
      <c r="AA826" s="286">
        <f t="shared" si="479"/>
        <v>11458.983061980329</v>
      </c>
      <c r="AB826" s="286">
        <f t="shared" si="479"/>
        <v>11630.261287689304</v>
      </c>
      <c r="AC826" s="286">
        <f t="shared" si="479"/>
        <v>11915.612161223515</v>
      </c>
      <c r="AD826" s="286">
        <f t="shared" si="479"/>
        <v>12084.72941807078</v>
      </c>
      <c r="AE826" s="286">
        <f t="shared" si="479"/>
        <v>12280.282947311745</v>
      </c>
      <c r="AF826" s="286">
        <f t="shared" si="479"/>
        <v>11082.526562116273</v>
      </c>
      <c r="AG826" s="286">
        <f>AF826</f>
        <v>11082.526562116273</v>
      </c>
      <c r="AH826" s="286">
        <f>(5/12)*AG826</f>
        <v>4617.7194008817805</v>
      </c>
    </row>
    <row r="827" spans="1:34" ht="10.8" thickBot="1"/>
    <row r="828" spans="1:34" s="1335" customFormat="1" ht="11.4" thickTop="1" thickBot="1">
      <c r="H828" s="296">
        <v>36373</v>
      </c>
      <c r="I828" s="297">
        <v>36525</v>
      </c>
      <c r="J828" s="1337">
        <v>36891</v>
      </c>
      <c r="K828" s="297">
        <v>37256</v>
      </c>
      <c r="L828" s="1337">
        <v>37621</v>
      </c>
      <c r="M828" s="297">
        <v>37986</v>
      </c>
      <c r="N828" s="1337">
        <v>38352</v>
      </c>
      <c r="O828" s="297">
        <v>38717</v>
      </c>
      <c r="P828" s="1337">
        <v>39082</v>
      </c>
      <c r="Q828" s="297">
        <v>39447</v>
      </c>
      <c r="R828" s="1337">
        <v>39813</v>
      </c>
      <c r="S828" s="297">
        <v>40178</v>
      </c>
      <c r="T828" s="1337">
        <v>40543</v>
      </c>
      <c r="U828" s="297">
        <v>40908</v>
      </c>
      <c r="V828" s="1337">
        <v>41274</v>
      </c>
      <c r="W828" s="297">
        <v>41639</v>
      </c>
      <c r="X828" s="1337">
        <v>42004</v>
      </c>
      <c r="Y828" s="297">
        <v>42369</v>
      </c>
      <c r="Z828" s="1337">
        <v>42735</v>
      </c>
      <c r="AA828" s="297">
        <v>43100</v>
      </c>
      <c r="AB828" s="1337">
        <v>43465</v>
      </c>
      <c r="AC828" s="297">
        <v>43830</v>
      </c>
      <c r="AD828" s="1337">
        <v>44196</v>
      </c>
      <c r="AE828" s="297">
        <v>44561</v>
      </c>
      <c r="AF828" s="1337">
        <v>44926</v>
      </c>
      <c r="AG828" s="1337">
        <v>45291</v>
      </c>
      <c r="AH828" s="1337">
        <v>45443</v>
      </c>
    </row>
    <row r="829" spans="1:34" s="1336" customFormat="1" ht="10.8" thickTop="1">
      <c r="C829" s="1336" t="s">
        <v>787</v>
      </c>
      <c r="I829" s="1336">
        <v>0</v>
      </c>
      <c r="J829" s="1336">
        <v>0</v>
      </c>
      <c r="K829" s="1336">
        <v>0</v>
      </c>
      <c r="L829" s="1336">
        <v>0</v>
      </c>
      <c r="M829" s="1336">
        <v>0</v>
      </c>
      <c r="N829" s="1336">
        <v>0</v>
      </c>
      <c r="O829" s="1336">
        <v>0</v>
      </c>
      <c r="P829" s="1336">
        <v>0</v>
      </c>
      <c r="Q829" s="1336">
        <v>0</v>
      </c>
      <c r="R829" s="1336">
        <v>0</v>
      </c>
      <c r="S829" s="1336">
        <v>0</v>
      </c>
      <c r="T829" s="1336">
        <v>0</v>
      </c>
      <c r="U829" s="1336">
        <v>0</v>
      </c>
      <c r="V829" s="1336">
        <v>0</v>
      </c>
      <c r="W829" s="1336">
        <v>0</v>
      </c>
      <c r="X829" s="1336">
        <v>0</v>
      </c>
      <c r="Y829" s="1336">
        <v>0</v>
      </c>
      <c r="Z829" s="1336">
        <v>0</v>
      </c>
      <c r="AA829" s="1336">
        <v>0</v>
      </c>
      <c r="AB829" s="1336">
        <v>0</v>
      </c>
      <c r="AC829" s="1336">
        <v>0</v>
      </c>
      <c r="AD829" s="1336">
        <v>0</v>
      </c>
      <c r="AE829" s="1336">
        <v>0</v>
      </c>
      <c r="AF829" s="1336">
        <v>0</v>
      </c>
      <c r="AG829" s="1336">
        <v>0</v>
      </c>
      <c r="AH829" s="1336">
        <v>0</v>
      </c>
    </row>
    <row r="830" spans="1:34" s="1336" customFormat="1">
      <c r="C830" s="1336" t="s">
        <v>787</v>
      </c>
      <c r="I830" s="1336">
        <v>0</v>
      </c>
      <c r="J830" s="1336">
        <v>0</v>
      </c>
      <c r="K830" s="1336">
        <v>0</v>
      </c>
      <c r="L830" s="1336">
        <v>0</v>
      </c>
      <c r="M830" s="1336">
        <v>0</v>
      </c>
      <c r="N830" s="1336">
        <v>0</v>
      </c>
      <c r="O830" s="1336">
        <v>0</v>
      </c>
      <c r="P830" s="1336">
        <v>0</v>
      </c>
      <c r="Q830" s="1336">
        <v>0</v>
      </c>
      <c r="R830" s="1336">
        <v>0</v>
      </c>
      <c r="S830" s="1336">
        <v>0</v>
      </c>
      <c r="T830" s="1336">
        <v>0</v>
      </c>
      <c r="U830" s="1336">
        <v>0</v>
      </c>
      <c r="V830" s="1336">
        <v>0</v>
      </c>
      <c r="W830" s="1336">
        <v>0</v>
      </c>
      <c r="X830" s="1336">
        <v>0</v>
      </c>
      <c r="Y830" s="1336">
        <v>0</v>
      </c>
      <c r="Z830" s="1336">
        <v>0</v>
      </c>
      <c r="AA830" s="1336">
        <v>0</v>
      </c>
      <c r="AB830" s="1336">
        <v>0</v>
      </c>
      <c r="AC830" s="1336">
        <v>0</v>
      </c>
      <c r="AD830" s="1336">
        <v>0</v>
      </c>
      <c r="AE830" s="1336">
        <v>0</v>
      </c>
      <c r="AF830" s="1336">
        <v>0</v>
      </c>
      <c r="AG830" s="1336">
        <v>0</v>
      </c>
      <c r="AH830" s="1336">
        <v>0</v>
      </c>
    </row>
    <row r="831" spans="1:34">
      <c r="C831" s="379" t="s">
        <v>787</v>
      </c>
      <c r="I831" s="287">
        <v>0</v>
      </c>
      <c r="J831" s="287">
        <v>0</v>
      </c>
      <c r="K831" s="287">
        <v>0</v>
      </c>
      <c r="L831" s="287">
        <v>0</v>
      </c>
      <c r="M831" s="287">
        <v>0</v>
      </c>
      <c r="N831" s="287">
        <v>0</v>
      </c>
      <c r="O831" s="287">
        <v>0</v>
      </c>
      <c r="P831" s="287">
        <v>0</v>
      </c>
      <c r="Q831" s="287">
        <v>0</v>
      </c>
      <c r="R831" s="287">
        <v>0</v>
      </c>
      <c r="S831" s="287">
        <v>0</v>
      </c>
      <c r="T831" s="287">
        <v>0</v>
      </c>
      <c r="U831" s="287">
        <v>0</v>
      </c>
      <c r="V831" s="287">
        <v>0</v>
      </c>
      <c r="W831" s="287">
        <v>0</v>
      </c>
      <c r="X831" s="287">
        <v>0</v>
      </c>
      <c r="Y831" s="287">
        <v>0</v>
      </c>
      <c r="Z831" s="287">
        <v>0</v>
      </c>
      <c r="AA831" s="287">
        <v>0</v>
      </c>
      <c r="AB831" s="287">
        <v>0</v>
      </c>
      <c r="AC831" s="287">
        <v>0</v>
      </c>
      <c r="AD831" s="287">
        <v>0</v>
      </c>
      <c r="AE831" s="287">
        <v>0</v>
      </c>
      <c r="AF831" s="287">
        <v>0</v>
      </c>
      <c r="AG831" s="287">
        <v>0</v>
      </c>
      <c r="AH831" s="287">
        <v>0</v>
      </c>
    </row>
    <row r="832" spans="1:34">
      <c r="B832" s="1338">
        <v>0</v>
      </c>
      <c r="C832" s="379" t="s">
        <v>787</v>
      </c>
      <c r="H832" s="1341"/>
      <c r="I832" s="1341">
        <f>IF(I831&gt;0,B832*(I415-I407-I430),0)</f>
        <v>0</v>
      </c>
      <c r="J832" s="1341">
        <f>IF(AND(I831=0,J831&gt;0),(1-$B$832)*(J415-J407-J430),0)</f>
        <v>0</v>
      </c>
      <c r="K832" s="1341">
        <f t="shared" ref="K832:AH832" si="480">IF(AND(J831=0,K831&gt;0),(1-$B$832)*(K415-K407-K430),0)</f>
        <v>0</v>
      </c>
      <c r="L832" s="1341">
        <f t="shared" si="480"/>
        <v>0</v>
      </c>
      <c r="M832" s="1341">
        <f t="shared" si="480"/>
        <v>0</v>
      </c>
      <c r="N832" s="1341">
        <f t="shared" si="480"/>
        <v>0</v>
      </c>
      <c r="O832" s="1341">
        <f t="shared" si="480"/>
        <v>0</v>
      </c>
      <c r="P832" s="1341">
        <f t="shared" si="480"/>
        <v>0</v>
      </c>
      <c r="Q832" s="1341">
        <f t="shared" si="480"/>
        <v>0</v>
      </c>
      <c r="R832" s="1341">
        <f t="shared" si="480"/>
        <v>0</v>
      </c>
      <c r="S832" s="1341">
        <f t="shared" si="480"/>
        <v>0</v>
      </c>
      <c r="T832" s="1341">
        <f t="shared" si="480"/>
        <v>0</v>
      </c>
      <c r="U832" s="1341">
        <f t="shared" si="480"/>
        <v>0</v>
      </c>
      <c r="V832" s="1341">
        <f t="shared" si="480"/>
        <v>0</v>
      </c>
      <c r="W832" s="1341">
        <f t="shared" si="480"/>
        <v>0</v>
      </c>
      <c r="X832" s="1341">
        <f t="shared" si="480"/>
        <v>0</v>
      </c>
      <c r="Y832" s="1341">
        <f t="shared" si="480"/>
        <v>0</v>
      </c>
      <c r="Z832" s="1341">
        <f t="shared" si="480"/>
        <v>0</v>
      </c>
      <c r="AA832" s="1341">
        <f t="shared" si="480"/>
        <v>0</v>
      </c>
      <c r="AB832" s="1341">
        <f t="shared" si="480"/>
        <v>0</v>
      </c>
      <c r="AC832" s="1341">
        <f t="shared" si="480"/>
        <v>0</v>
      </c>
      <c r="AD832" s="1341">
        <f t="shared" si="480"/>
        <v>0</v>
      </c>
      <c r="AE832" s="1341">
        <f t="shared" si="480"/>
        <v>0</v>
      </c>
      <c r="AF832" s="1341">
        <f t="shared" si="480"/>
        <v>0</v>
      </c>
      <c r="AG832" s="1341">
        <f t="shared" si="480"/>
        <v>0</v>
      </c>
      <c r="AH832" s="1341">
        <f t="shared" si="480"/>
        <v>0</v>
      </c>
    </row>
    <row r="833" spans="2:34">
      <c r="B833" s="1338"/>
      <c r="C833" s="379" t="s">
        <v>787</v>
      </c>
      <c r="H833" s="1341"/>
      <c r="I833" s="1341"/>
      <c r="J833" s="1341">
        <v>0</v>
      </c>
      <c r="K833" s="1341">
        <v>0</v>
      </c>
      <c r="L833" s="1341">
        <v>0</v>
      </c>
      <c r="M833" s="1341">
        <v>0</v>
      </c>
      <c r="N833" s="1341">
        <v>0</v>
      </c>
      <c r="O833" s="1341">
        <v>0</v>
      </c>
      <c r="P833" s="1341">
        <v>0</v>
      </c>
      <c r="Q833" s="1341">
        <v>0</v>
      </c>
      <c r="R833" s="1341">
        <v>0</v>
      </c>
      <c r="S833" s="1341">
        <v>0</v>
      </c>
      <c r="T833" s="1341">
        <v>0</v>
      </c>
      <c r="U833" s="1341">
        <v>0</v>
      </c>
      <c r="V833" s="1341">
        <v>0</v>
      </c>
      <c r="W833" s="1341">
        <v>0</v>
      </c>
      <c r="X833" s="1341">
        <v>0</v>
      </c>
      <c r="Y833" s="1341">
        <v>0</v>
      </c>
      <c r="Z833" s="1341">
        <v>0</v>
      </c>
      <c r="AA833" s="1341">
        <v>0</v>
      </c>
      <c r="AB833" s="1341">
        <v>0</v>
      </c>
      <c r="AC833" s="1341">
        <v>0</v>
      </c>
      <c r="AD833" s="1341">
        <v>0</v>
      </c>
      <c r="AE833" s="1341">
        <v>0</v>
      </c>
      <c r="AF833" s="1341">
        <v>0</v>
      </c>
      <c r="AG833" s="1341">
        <v>0</v>
      </c>
      <c r="AH833" s="1341">
        <v>0</v>
      </c>
    </row>
    <row r="834" spans="2:34">
      <c r="C834" s="379" t="s">
        <v>350</v>
      </c>
      <c r="H834" s="1437">
        <f ca="1">H736</f>
        <v>-24000</v>
      </c>
      <c r="I834" s="1437"/>
      <c r="J834" s="1344">
        <f ca="1">IF(AND(I831=0,J831=1),J832,IF(J830=1,0.5*(J736+J833),(IF($J$829=1,(J$736+J833),IF(J831=1,J832,(J736+J833))))))</f>
        <v>0</v>
      </c>
      <c r="K834" s="1344">
        <f ca="1">IF(AND(J831=0,K831=1),K832,IF(K830=1,0.5*(K736+K833),(IF($J$829=1,(K$736+K833),IF(K831=1,K832,(K736+K833))))))</f>
        <v>2753.762861617533</v>
      </c>
      <c r="L834" s="1344">
        <f t="shared" ref="L834:AF834" ca="1" si="481">IF(AND(K831=0,L831=1),L832,IF(L830=1,0.5*(L736+L833),(IF($J$829=1,(L$736+L833),IF(L831=1,L832,(L736+L833))))))</f>
        <v>1511.2440628491213</v>
      </c>
      <c r="M834" s="1344">
        <f t="shared" ca="1" si="481"/>
        <v>1126.5709761750591</v>
      </c>
      <c r="N834" s="1344">
        <f t="shared" ca="1" si="481"/>
        <v>1136.0432653317648</v>
      </c>
      <c r="O834" s="1344">
        <f t="shared" ca="1" si="481"/>
        <v>781.90097643004037</v>
      </c>
      <c r="P834" s="1344">
        <f t="shared" ca="1" si="481"/>
        <v>797.98060782172433</v>
      </c>
      <c r="Q834" s="1344">
        <f t="shared" ca="1" si="481"/>
        <v>1257.1138336626354</v>
      </c>
      <c r="R834" s="1344">
        <f t="shared" ca="1" si="481"/>
        <v>2216.6241087188118</v>
      </c>
      <c r="S834" s="1344">
        <f t="shared" ca="1" si="481"/>
        <v>2768.8207586107992</v>
      </c>
      <c r="T834" s="1344">
        <f t="shared" ca="1" si="481"/>
        <v>3056.3267096332306</v>
      </c>
      <c r="U834" s="1344">
        <f t="shared" ca="1" si="481"/>
        <v>2843.2111679944437</v>
      </c>
      <c r="V834" s="1344">
        <f t="shared" ca="1" si="481"/>
        <v>4176.1017050463961</v>
      </c>
      <c r="W834" s="1344">
        <f t="shared" ca="1" si="481"/>
        <v>3912.6881323226598</v>
      </c>
      <c r="X834" s="1344">
        <f t="shared" ca="1" si="481"/>
        <v>2682.3886289702714</v>
      </c>
      <c r="Y834" s="1344">
        <f t="shared" ca="1" si="481"/>
        <v>3376.9137682934797</v>
      </c>
      <c r="Z834" s="1344">
        <f t="shared" ca="1" si="481"/>
        <v>6585.0084301396128</v>
      </c>
      <c r="AA834" s="1344">
        <f t="shared" ca="1" si="481"/>
        <v>11367.975258794511</v>
      </c>
      <c r="AB834" s="1344">
        <f t="shared" ca="1" si="481"/>
        <v>11539.25348450347</v>
      </c>
      <c r="AC834" s="1344">
        <f t="shared" ca="1" si="481"/>
        <v>11824.604358037692</v>
      </c>
      <c r="AD834" s="1344">
        <f t="shared" ca="1" si="481"/>
        <v>11993.721614884944</v>
      </c>
      <c r="AE834" s="1344">
        <f t="shared" ca="1" si="481"/>
        <v>12189.275144125912</v>
      </c>
      <c r="AF834" s="1344">
        <f t="shared" ca="1" si="481"/>
        <v>10991.518758930433</v>
      </c>
      <c r="AG834" s="1344">
        <f>IF(AND(AF831=0,AG831=1),AG832,IF(AG830=1,AG203-AG245,(IF($J$829=1,(AG$736+AG833),IF(AG831=1,AG832,(AG826))))))</f>
        <v>11082.526562116273</v>
      </c>
      <c r="AH834" s="1344">
        <f>IF(AND(AG831=0,AH831=1),AH832,IF(AH830=1,AH203-AH245,(IF($J$829=1,(AH$736+AH833),IF(AH831=1,AH832,(AH826))))))</f>
        <v>4617.7194008817805</v>
      </c>
    </row>
    <row r="836" spans="2:34">
      <c r="G836" s="1441" t="s">
        <v>350</v>
      </c>
      <c r="H836" s="1440">
        <f ca="1">+H834</f>
        <v>-24000</v>
      </c>
      <c r="I836" s="287">
        <v>0</v>
      </c>
      <c r="J836" s="460">
        <v>0</v>
      </c>
      <c r="K836" s="460">
        <v>0</v>
      </c>
      <c r="L836" s="287">
        <v>0</v>
      </c>
      <c r="M836" s="287">
        <v>0</v>
      </c>
      <c r="N836" s="287">
        <v>0</v>
      </c>
      <c r="O836" s="287">
        <v>0</v>
      </c>
      <c r="P836" s="287">
        <v>0</v>
      </c>
      <c r="Q836" s="287">
        <v>0</v>
      </c>
      <c r="R836" s="287">
        <v>0</v>
      </c>
      <c r="S836" s="287">
        <v>0</v>
      </c>
      <c r="T836" s="287">
        <v>0</v>
      </c>
      <c r="U836" s="287">
        <v>0</v>
      </c>
      <c r="V836" s="287">
        <v>0</v>
      </c>
      <c r="W836" s="287">
        <v>0</v>
      </c>
      <c r="X836" s="287">
        <v>0</v>
      </c>
      <c r="Y836" s="287">
        <v>0</v>
      </c>
      <c r="Z836" s="287">
        <v>0</v>
      </c>
      <c r="AA836" s="287">
        <v>0</v>
      </c>
      <c r="AB836" s="287">
        <v>0</v>
      </c>
      <c r="AC836" s="287">
        <v>0</v>
      </c>
      <c r="AD836" s="287">
        <v>0</v>
      </c>
      <c r="AE836" s="287">
        <v>0</v>
      </c>
      <c r="AF836" s="287">
        <v>0</v>
      </c>
      <c r="AG836" s="287">
        <v>0</v>
      </c>
      <c r="AH836" s="287">
        <v>0</v>
      </c>
    </row>
    <row r="837" spans="2:34">
      <c r="G837" s="1441" t="s">
        <v>490</v>
      </c>
      <c r="H837" s="529">
        <f>CapPrice</f>
        <v>0.09</v>
      </c>
    </row>
    <row r="839" spans="2:34">
      <c r="F839" s="379" t="s">
        <v>858</v>
      </c>
      <c r="H839" s="1340">
        <f>IF(ValDate&gt;H828,0,(1/((1+CapPrice)^((H828-ValDate)/365.25))))</f>
        <v>0</v>
      </c>
      <c r="I839" s="1340">
        <f t="shared" ref="I839:AH839" si="482">IF(ValDate&gt;I828,0,(1/((1+CapPrice)^((I828-ValDate)/365.25))))</f>
        <v>0</v>
      </c>
      <c r="J839" s="1340">
        <f t="shared" si="482"/>
        <v>0.9716254540077871</v>
      </c>
      <c r="K839" s="1340">
        <f t="shared" si="482"/>
        <v>0.89145208021284761</v>
      </c>
      <c r="L839" s="1340">
        <f t="shared" si="482"/>
        <v>0.81789418755742482</v>
      </c>
      <c r="M839" s="1340">
        <f t="shared" si="482"/>
        <v>0.75040590166158805</v>
      </c>
      <c r="N839" s="1340">
        <f t="shared" si="482"/>
        <v>0.6883239673317838</v>
      </c>
      <c r="O839" s="1340">
        <f t="shared" si="482"/>
        <v>0.6315271280792949</v>
      </c>
      <c r="P839" s="1340">
        <f t="shared" si="482"/>
        <v>0.57941686244936597</v>
      </c>
      <c r="Q839" s="1340">
        <f t="shared" si="482"/>
        <v>0.53160645926917949</v>
      </c>
      <c r="R839" s="1340">
        <f t="shared" si="482"/>
        <v>0.48762605183825225</v>
      </c>
      <c r="S839" s="1340">
        <f t="shared" si="482"/>
        <v>0.44738973900297174</v>
      </c>
      <c r="T839" s="1340">
        <f t="shared" si="482"/>
        <v>0.41047351307542596</v>
      </c>
      <c r="U839" s="1340">
        <f t="shared" si="482"/>
        <v>0.3766034181113902</v>
      </c>
      <c r="V839" s="1340">
        <f t="shared" si="482"/>
        <v>0.3454465886944022</v>
      </c>
      <c r="W839" s="1340">
        <f t="shared" si="482"/>
        <v>0.31694217028158339</v>
      </c>
      <c r="X839" s="1340">
        <f t="shared" si="482"/>
        <v>0.29078978513713127</v>
      </c>
      <c r="Y839" s="1340">
        <f t="shared" si="482"/>
        <v>0.26679535596343595</v>
      </c>
      <c r="Z839" s="1340">
        <f t="shared" si="482"/>
        <v>0.24472307250758399</v>
      </c>
      <c r="AA839" s="1340">
        <f t="shared" si="482"/>
        <v>0.22452982387719214</v>
      </c>
      <c r="AB839" s="1340">
        <f t="shared" si="482"/>
        <v>0.20600281491137534</v>
      </c>
      <c r="AC839" s="1340">
        <f t="shared" si="482"/>
        <v>0.1890045563596113</v>
      </c>
      <c r="AD839" s="1340">
        <f t="shared" si="482"/>
        <v>0.17336799429370853</v>
      </c>
      <c r="AE839" s="1340">
        <f t="shared" si="482"/>
        <v>0.15906258787063121</v>
      </c>
      <c r="AF839" s="1340">
        <f t="shared" si="482"/>
        <v>0.14593758763361564</v>
      </c>
      <c r="AG839" s="1340">
        <f t="shared" si="482"/>
        <v>0.13389559273134144</v>
      </c>
      <c r="AH839" s="1340">
        <f t="shared" si="482"/>
        <v>0.12917876279136484</v>
      </c>
    </row>
    <row r="840" spans="2:34">
      <c r="F840" s="379" t="s">
        <v>516</v>
      </c>
      <c r="G840" s="1439"/>
      <c r="H840" s="1341">
        <f ca="1">+H836</f>
        <v>-24000</v>
      </c>
      <c r="I840" s="1341">
        <v>0</v>
      </c>
      <c r="J840" s="1341">
        <f ca="1">CHOOSE(J829+1,J834,J836)*J839</f>
        <v>0</v>
      </c>
      <c r="K840" s="1341">
        <f t="shared" ref="K840:AF840" ca="1" si="483">CHOOSE(K829+1,K834,K836)*K839</f>
        <v>2454.847631401834</v>
      </c>
      <c r="L840" s="1341">
        <f t="shared" ca="1" si="483"/>
        <v>1236.0377349849639</v>
      </c>
      <c r="M840" s="1341">
        <f t="shared" ca="1" si="483"/>
        <v>845.38550916242059</v>
      </c>
      <c r="N840" s="1341">
        <f t="shared" ca="1" si="483"/>
        <v>781.96580745371466</v>
      </c>
      <c r="O840" s="1341">
        <f t="shared" ca="1" si="483"/>
        <v>493.79167808725987</v>
      </c>
      <c r="P840" s="1341">
        <f t="shared" ca="1" si="483"/>
        <v>462.36342007950151</v>
      </c>
      <c r="Q840" s="1341">
        <f t="shared" ca="1" si="483"/>
        <v>668.28983401169785</v>
      </c>
      <c r="R840" s="1341">
        <f t="shared" ca="1" si="483"/>
        <v>1080.883662544039</v>
      </c>
      <c r="S840" s="1341">
        <f t="shared" ca="1" si="483"/>
        <v>1238.7419965408956</v>
      </c>
      <c r="T840" s="1341">
        <f t="shared" ca="1" si="483"/>
        <v>1254.5411616094095</v>
      </c>
      <c r="U840" s="1341">
        <f t="shared" ca="1" si="483"/>
        <v>1070.7630442791856</v>
      </c>
      <c r="V840" s="1341">
        <f t="shared" ca="1" si="483"/>
        <v>1442.6200880491542</v>
      </c>
      <c r="W840" s="1341">
        <f t="shared" ca="1" si="483"/>
        <v>1240.095868293339</v>
      </c>
      <c r="X840" s="1341">
        <f t="shared" ca="1" si="483"/>
        <v>780.01121307254937</v>
      </c>
      <c r="Y840" s="1341">
        <f t="shared" ca="1" si="483"/>
        <v>900.94491086968685</v>
      </c>
      <c r="Z840" s="1341">
        <f t="shared" ca="1" si="483"/>
        <v>1611.5034955121082</v>
      </c>
      <c r="AA840" s="1341">
        <f t="shared" ca="1" si="483"/>
        <v>2552.4494826974092</v>
      </c>
      <c r="AB840" s="1341">
        <f t="shared" ca="1" si="483"/>
        <v>2377.1186997836112</v>
      </c>
      <c r="AC840" s="1341">
        <f t="shared" ca="1" si="483"/>
        <v>2234.9041008188406</v>
      </c>
      <c r="AD840" s="1341">
        <f t="shared" ca="1" si="483"/>
        <v>2079.3274604897015</v>
      </c>
      <c r="AE840" s="1341">
        <f t="shared" ca="1" si="483"/>
        <v>1938.8576486918287</v>
      </c>
      <c r="AF840" s="1341">
        <f t="shared" ca="1" si="483"/>
        <v>1604.0757321079402</v>
      </c>
      <c r="AG840" s="1341">
        <f>AG834*AG839</f>
        <v>1483.901462995394</v>
      </c>
      <c r="AH840" s="1341">
        <f>AH834*AH839</f>
        <v>596.51127912359084</v>
      </c>
    </row>
    <row r="841" spans="2:34">
      <c r="F841" s="379" t="s">
        <v>861</v>
      </c>
      <c r="G841" s="1451">
        <f ca="1">SUM(I840:AH840)</f>
        <v>32429.932922660075</v>
      </c>
    </row>
    <row r="842" spans="2:34">
      <c r="F842" s="379" t="s">
        <v>860</v>
      </c>
      <c r="G842" s="1339">
        <v>36769</v>
      </c>
    </row>
    <row r="843" spans="2:34">
      <c r="F843" s="379" t="s">
        <v>859</v>
      </c>
      <c r="G843" s="529">
        <f>IF(Summary!O109=1,J849,J850)</f>
        <v>0.09</v>
      </c>
    </row>
    <row r="844" spans="2:34">
      <c r="F844" s="379"/>
      <c r="G844" s="1342"/>
    </row>
    <row r="845" spans="2:34">
      <c r="I845" s="379"/>
    </row>
    <row r="846" spans="2:34">
      <c r="I846" s="379"/>
      <c r="J846" s="882"/>
    </row>
    <row r="847" spans="2:34">
      <c r="I847" s="379"/>
      <c r="J847" s="1342"/>
    </row>
    <row r="848" spans="2:34">
      <c r="I848" s="379"/>
      <c r="J848" s="1342"/>
    </row>
    <row r="849" spans="9:10">
      <c r="I849" s="379"/>
      <c r="J849" s="529"/>
    </row>
    <row r="850" spans="9:10">
      <c r="I850" s="287" t="s">
        <v>1113</v>
      </c>
      <c r="J850" s="529">
        <v>0.09</v>
      </c>
    </row>
    <row r="851" spans="9:10">
      <c r="I851" s="379"/>
      <c r="J851" s="468"/>
    </row>
    <row r="852" spans="9:10">
      <c r="I852" s="379"/>
      <c r="J852" s="529"/>
    </row>
    <row r="853" spans="9:10">
      <c r="I853" s="379"/>
      <c r="J853" s="529"/>
    </row>
    <row r="854" spans="9:10">
      <c r="I854" s="379"/>
      <c r="J854" s="529"/>
    </row>
    <row r="875" spans="1:32" ht="13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</row>
    <row r="876" spans="1:32" ht="13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</row>
    <row r="877" spans="1:32" ht="13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</row>
    <row r="878" spans="1:32" ht="13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</row>
    <row r="879" spans="1:32" ht="13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</row>
    <row r="880" spans="1:32" ht="13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</row>
    <row r="881" spans="1:32" ht="13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</row>
    <row r="882" spans="1:32" ht="13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</row>
    <row r="883" spans="1:32" ht="13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</row>
    <row r="884" spans="1:32" ht="13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</row>
    <row r="885" spans="1:32" ht="13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</row>
    <row r="886" spans="1:32" ht="13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</row>
    <row r="887" spans="1:32" ht="13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</row>
    <row r="888" spans="1:32" ht="13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</row>
    <row r="889" spans="1:32" ht="13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</row>
    <row r="890" spans="1:32" ht="13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</row>
    <row r="891" spans="1:32" ht="13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</row>
    <row r="892" spans="1:32" ht="13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</row>
    <row r="893" spans="1:32" ht="13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</row>
    <row r="894" spans="1:32" ht="13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</row>
    <row r="895" spans="1:32" ht="13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</row>
    <row r="896" spans="1:32" ht="13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</row>
    <row r="897" spans="1:32" ht="13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</row>
    <row r="898" spans="1:32" ht="13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</row>
    <row r="899" spans="1:32" ht="13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</row>
    <row r="900" spans="1:32" ht="13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</row>
    <row r="901" spans="1:32" ht="13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</row>
    <row r="902" spans="1:32" ht="13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</row>
    <row r="903" spans="1:32" ht="13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</row>
    <row r="904" spans="1:32" ht="13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</row>
    <row r="905" spans="1:32" ht="13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</row>
    <row r="906" spans="1:32" ht="13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</row>
    <row r="907" spans="1:32" ht="13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</row>
    <row r="908" spans="1:32" ht="13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</row>
  </sheetData>
  <printOptions horizontalCentered="1" gridLines="1"/>
  <pageMargins left="0.1" right="0.1" top="0.4" bottom="0.75" header="0.5" footer="0.5"/>
  <pageSetup scale="58" orientation="landscape" horizontalDpi="4294967292" r:id="rId1"/>
  <headerFooter alignWithMargins="0">
    <oddHeader>&amp;CMonetization</oddHeader>
    <oddFooter>&amp;LFilename:  &amp;F&amp;CECT WEST POWER&amp;RPage 9</oddFooter>
  </headerFooter>
  <rowBreaks count="2" manualBreakCount="2">
    <brk id="122" max="28" man="1"/>
    <brk id="253" max="2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Line="0" autoPict="0" macro="[0]!CFMODEL_Macros.Optimize">
                <anchor moveWithCells="1" sizeWithCells="1">
                  <from>
                    <xdr:col>1</xdr:col>
                    <xdr:colOff>868680</xdr:colOff>
                    <xdr:row>0</xdr:row>
                    <xdr:rowOff>0</xdr:rowOff>
                  </from>
                  <to>
                    <xdr:col>2</xdr:col>
                    <xdr:colOff>861060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5" name="Button 5">
              <controlPr defaultSize="0" print="0" autoFill="0" autoPict="0" macro="[0]!CFMODEL_Macros.inp">
                <anchor moveWithCells="1" sizeWithCells="1">
                  <from>
                    <xdr:col>0</xdr:col>
                    <xdr:colOff>0</xdr:colOff>
                    <xdr:row>0</xdr:row>
                    <xdr:rowOff>7620</xdr:rowOff>
                  </from>
                  <to>
                    <xdr:col>1</xdr:col>
                    <xdr:colOff>0</xdr:colOff>
                    <xdr:row>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6" name="Button 6">
              <controlPr defaultSize="0" print="0" autoFill="0" autoPict="0" macro="[0]!CFMODEL_Macros.go">
                <anchor moveWithCells="1">
                  <from>
                    <xdr:col>1</xdr:col>
                    <xdr:colOff>0</xdr:colOff>
                    <xdr:row>0</xdr:row>
                    <xdr:rowOff>7620</xdr:rowOff>
                  </from>
                  <to>
                    <xdr:col>1</xdr:col>
                    <xdr:colOff>868680</xdr:colOff>
                    <xdr:row>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7" name="Button 7">
              <controlPr defaultSize="0" print="0" autoFill="0" autoPict="0" macro="[0]!CFMODEL_Macros.setcalc">
                <anchor moveWithCells="1">
                  <from>
                    <xdr:col>0</xdr:col>
                    <xdr:colOff>0</xdr:colOff>
                    <xdr:row>1</xdr:row>
                    <xdr:rowOff>7620</xdr:rowOff>
                  </from>
                  <to>
                    <xdr:col>1</xdr:col>
                    <xdr:colOff>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8" name="Button 8">
              <controlPr defaultSize="0" print="0" autoFill="0" autoPict="0" macro="[0]!CFMODEL_Macros.prt">
                <anchor moveWithCells="1">
                  <from>
                    <xdr:col>1</xdr:col>
                    <xdr:colOff>0</xdr:colOff>
                    <xdr:row>1</xdr:row>
                    <xdr:rowOff>7620</xdr:rowOff>
                  </from>
                  <to>
                    <xdr:col>1</xdr:col>
                    <xdr:colOff>868680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9" name="Button 9">
              <controlPr defaultSize="0" print="0" autoFill="0" autoPict="0" macro="[0]!CFMODEL_Macros.Clear">
                <anchor moveWithCells="1">
                  <from>
                    <xdr:col>0</xdr:col>
                    <xdr:colOff>0</xdr:colOff>
                    <xdr:row>2</xdr:row>
                    <xdr:rowOff>15240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5" r:id="rId10" name="Button 165">
              <controlPr defaultSize="0" print="0" autoFill="0" autoPict="0" macro="[0]!CFMODEL_Macros.PRT_OPCO">
                <anchor moveWithCells="1">
                  <from>
                    <xdr:col>3</xdr:col>
                    <xdr:colOff>0</xdr:colOff>
                    <xdr:row>0</xdr:row>
                    <xdr:rowOff>7620</xdr:rowOff>
                  </from>
                  <to>
                    <xdr:col>4</xdr:col>
                    <xdr:colOff>297180</xdr:colOff>
                    <xdr:row>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IS342"/>
  <sheetViews>
    <sheetView zoomScale="75" workbookViewId="0">
      <pane xSplit="3" ySplit="16" topLeftCell="HQ17" activePane="bottomRight" state="frozen"/>
      <selection pane="topRight" activeCell="B1" sqref="B1"/>
      <selection pane="bottomLeft" activeCell="A17" sqref="A17"/>
      <selection pane="bottomRight" activeCell="HS17" sqref="HS17:HS40"/>
    </sheetView>
  </sheetViews>
  <sheetFormatPr defaultColWidth="13" defaultRowHeight="13.2"/>
  <cols>
    <col min="1" max="2" width="8.88671875" customWidth="1"/>
    <col min="3" max="3" width="10.33203125" customWidth="1"/>
    <col min="4" max="4" width="5.109375" customWidth="1"/>
    <col min="5" max="5" width="3.109375" customWidth="1"/>
    <col min="6" max="8" width="9.6640625" customWidth="1"/>
    <col min="9" max="9" width="7.109375" style="20" customWidth="1"/>
    <col min="10" max="12" width="8.5546875" style="20" customWidth="1"/>
    <col min="13" max="18" width="6.6640625" customWidth="1"/>
    <col min="19" max="19" width="7.109375" customWidth="1"/>
    <col min="20" max="21" width="6.6640625" customWidth="1"/>
    <col min="22" max="22" width="7" customWidth="1"/>
    <col min="23" max="24" width="6.6640625" customWidth="1"/>
    <col min="25" max="26" width="6.44140625" style="45" customWidth="1"/>
    <col min="27" max="27" width="5.33203125" style="45" customWidth="1"/>
    <col min="28" max="29" width="4.6640625" style="45" customWidth="1"/>
    <col min="30" max="30" width="5.33203125" style="45" customWidth="1"/>
    <col min="31" max="32" width="4.6640625" style="45" customWidth="1"/>
    <col min="33" max="33" width="5.33203125" style="45" customWidth="1"/>
    <col min="34" max="35" width="4.6640625" style="45" customWidth="1"/>
    <col min="36" max="36" width="5.33203125" style="45" customWidth="1"/>
    <col min="37" max="45" width="5.6640625" style="45" customWidth="1"/>
    <col min="46" max="47" width="4.6640625" style="45" customWidth="1"/>
    <col min="48" max="48" width="5.33203125" style="45" customWidth="1"/>
    <col min="49" max="49" width="8.5546875" style="45" customWidth="1"/>
    <col min="50" max="50" width="4.88671875" customWidth="1"/>
    <col min="51" max="51" width="4.6640625" customWidth="1"/>
    <col min="52" max="53" width="4.88671875" customWidth="1"/>
    <col min="54" max="54" width="5.44140625" customWidth="1"/>
    <col min="55" max="55" width="8.33203125" customWidth="1"/>
    <col min="56" max="56" width="10.6640625" style="44" customWidth="1"/>
    <col min="57" max="57" width="9.6640625" style="44" customWidth="1"/>
    <col min="58" max="58" width="9.109375" style="44" customWidth="1"/>
    <col min="59" max="59" width="9.6640625" style="44" customWidth="1"/>
    <col min="60" max="60" width="10.6640625" style="44" customWidth="1"/>
    <col min="61" max="61" width="8.6640625" style="44" customWidth="1"/>
    <col min="62" max="62" width="9.109375" style="44" customWidth="1"/>
    <col min="63" max="63" width="8.5546875" style="44" customWidth="1"/>
    <col min="64" max="64" width="10.6640625" style="44" customWidth="1"/>
    <col min="65" max="65" width="8.6640625" style="44" customWidth="1"/>
    <col min="66" max="66" width="9.109375" style="44" customWidth="1"/>
    <col min="67" max="67" width="10" style="44" customWidth="1"/>
    <col min="68" max="68" width="10.6640625" style="44" customWidth="1"/>
    <col min="69" max="69" width="8.6640625" style="44" customWidth="1"/>
    <col min="70" max="70" width="9.109375" style="44" customWidth="1"/>
    <col min="71" max="71" width="8.5546875" style="44" customWidth="1"/>
    <col min="72" max="72" width="10.33203125" style="10" customWidth="1"/>
    <col min="73" max="73" width="7.44140625" style="10" customWidth="1"/>
    <col min="74" max="74" width="13.109375" style="10" customWidth="1"/>
    <col min="75" max="75" width="7.44140625" style="10" customWidth="1"/>
    <col min="76" max="76" width="6.6640625" style="10" customWidth="1"/>
    <col min="77" max="77" width="8.6640625" style="10" customWidth="1"/>
    <col min="78" max="79" width="8.109375" style="10" customWidth="1"/>
    <col min="80" max="80" width="9.33203125" style="10" customWidth="1"/>
    <col min="81" max="82" width="8.109375" style="10" customWidth="1"/>
    <col min="83" max="83" width="8.6640625" style="10" customWidth="1"/>
    <col min="84" max="85" width="8.109375" style="10" customWidth="1"/>
    <col min="86" max="86" width="9.33203125" style="10" customWidth="1"/>
    <col min="87" max="94" width="8.109375" style="10" customWidth="1"/>
    <col min="95" max="95" width="9.33203125" style="10" customWidth="1"/>
    <col min="96" max="97" width="8" style="10" customWidth="1"/>
    <col min="98" max="98" width="9.109375" style="10" customWidth="1"/>
    <col min="99" max="99" width="13.44140625" style="10" customWidth="1"/>
    <col min="100" max="100" width="8.88671875" style="10" customWidth="1"/>
    <col min="101" max="101" width="9.88671875" style="10" customWidth="1"/>
    <col min="102" max="103" width="8" style="10" customWidth="1"/>
    <col min="104" max="104" width="10" customWidth="1"/>
    <col min="105" max="107" width="10.88671875" customWidth="1"/>
    <col min="108" max="109" width="9.44140625" customWidth="1"/>
    <col min="110" max="110" width="11" customWidth="1"/>
    <col min="111" max="111" width="11.5546875" customWidth="1"/>
    <col min="112" max="112" width="9.88671875" customWidth="1"/>
    <col min="113" max="113" width="10.88671875" customWidth="1"/>
    <col min="114" max="117" width="8.44140625" customWidth="1"/>
    <col min="118" max="118" width="9" customWidth="1"/>
    <col min="119" max="119" width="10.6640625" customWidth="1"/>
    <col min="120" max="120" width="8.6640625" customWidth="1"/>
    <col min="121" max="122" width="8.88671875" customWidth="1"/>
    <col min="123" max="123" width="10" customWidth="1"/>
    <col min="124" max="124" width="8.5546875" customWidth="1"/>
    <col min="125" max="125" width="9.88671875" customWidth="1"/>
    <col min="126" max="126" width="10.6640625" customWidth="1"/>
    <col min="127" max="127" width="8.6640625" customWidth="1"/>
    <col min="128" max="132" width="8.5546875" customWidth="1"/>
    <col min="133" max="133" width="10.6640625" customWidth="1"/>
    <col min="134" max="134" width="10.33203125" customWidth="1"/>
    <col min="135" max="135" width="10.6640625" customWidth="1"/>
    <col min="136" max="136" width="10.109375" customWidth="1"/>
    <col min="137" max="137" width="10.88671875" customWidth="1"/>
    <col min="138" max="138" width="11.109375" customWidth="1"/>
    <col min="139" max="139" width="10.44140625" customWidth="1"/>
    <col min="140" max="140" width="10.5546875" customWidth="1"/>
    <col min="141" max="141" width="9.5546875" customWidth="1"/>
    <col min="142" max="142" width="11.5546875" customWidth="1"/>
    <col min="143" max="144" width="11.109375" customWidth="1"/>
    <col min="145" max="145" width="9.88671875" customWidth="1"/>
    <col min="146" max="146" width="10.5546875" customWidth="1"/>
    <col min="147" max="147" width="12.6640625" customWidth="1"/>
    <col min="148" max="148" width="12.44140625" customWidth="1"/>
    <col min="149" max="149" width="10.44140625" customWidth="1"/>
    <col min="150" max="150" width="10.6640625" customWidth="1"/>
    <col min="151" max="151" width="12.5546875" customWidth="1"/>
    <col min="152" max="156" width="10.88671875" customWidth="1"/>
    <col min="157" max="157" width="13.88671875" customWidth="1"/>
    <col min="158" max="167" width="10.5546875" customWidth="1"/>
    <col min="168" max="168" width="14.109375" customWidth="1"/>
    <col min="169" max="170" width="13.109375" customWidth="1"/>
    <col min="171" max="171" width="12.109375" customWidth="1"/>
    <col min="172" max="208" width="11.44140625" style="10" customWidth="1"/>
    <col min="209" max="209" width="10.88671875" style="10" customWidth="1"/>
    <col min="210" max="215" width="11.44140625" style="10" customWidth="1"/>
    <col min="216" max="216" width="13.6640625" style="10" customWidth="1"/>
    <col min="217" max="217" width="16.44140625" style="10" customWidth="1"/>
    <col min="218" max="224" width="11.44140625" style="10" customWidth="1"/>
    <col min="225" max="225" width="16.6640625" style="10" customWidth="1"/>
    <col min="226" max="226" width="16.109375" style="10" customWidth="1"/>
    <col min="227" max="227" width="14.109375" style="10" customWidth="1"/>
    <col min="228" max="230" width="13.5546875" style="10" customWidth="1"/>
    <col min="231" max="232" width="13.109375" style="10" customWidth="1"/>
    <col min="233" max="233" width="14" style="10" customWidth="1"/>
    <col min="234" max="235" width="13.109375" style="10" customWidth="1"/>
    <col min="236" max="238" width="12.44140625" style="10" customWidth="1"/>
    <col min="239" max="242" width="11.44140625" style="10" customWidth="1"/>
    <col min="243" max="244" width="14.33203125" style="10" customWidth="1"/>
    <col min="245" max="245" width="12.6640625" style="10" customWidth="1"/>
    <col min="246" max="246" width="13.44140625" style="10" customWidth="1"/>
    <col min="247" max="247" width="13.6640625" customWidth="1"/>
    <col min="248" max="248" width="12.33203125" customWidth="1"/>
    <col min="249" max="249" width="10.88671875" customWidth="1"/>
    <col min="250" max="252" width="9.88671875" customWidth="1"/>
  </cols>
  <sheetData>
    <row r="1" spans="3:253">
      <c r="K1" s="830"/>
      <c r="L1" s="830"/>
      <c r="M1" s="830"/>
      <c r="N1" s="830"/>
      <c r="O1" s="830"/>
      <c r="P1" s="830"/>
      <c r="Q1" s="830"/>
      <c r="R1" s="830"/>
      <c r="S1" s="830"/>
      <c r="T1" s="830"/>
      <c r="U1" s="830"/>
      <c r="V1" s="830"/>
      <c r="W1" s="830"/>
      <c r="X1" s="830"/>
      <c r="Y1" s="806"/>
      <c r="Z1" s="806"/>
      <c r="BO1"/>
      <c r="BP1"/>
      <c r="BQ1"/>
      <c r="BR1"/>
      <c r="BS1"/>
      <c r="BT1"/>
      <c r="BU1"/>
      <c r="BV1"/>
      <c r="BW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 s="16"/>
      <c r="CR1" s="16"/>
      <c r="CS1" s="16"/>
      <c r="CV1"/>
      <c r="CW1"/>
      <c r="CX1"/>
      <c r="CY1"/>
      <c r="DD1" s="1363"/>
      <c r="DE1" s="1363"/>
      <c r="DF1" s="1363"/>
      <c r="DG1" s="1363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</row>
    <row r="2" spans="3:253">
      <c r="K2" s="831"/>
      <c r="L2" s="831"/>
      <c r="M2" s="831"/>
      <c r="N2" s="831"/>
      <c r="O2" s="831"/>
      <c r="P2" s="831"/>
      <c r="Q2" s="831"/>
      <c r="R2" s="831"/>
      <c r="S2" s="831"/>
      <c r="T2" s="831"/>
      <c r="U2" s="831"/>
      <c r="V2" s="831"/>
      <c r="W2" s="831"/>
      <c r="X2" s="831"/>
      <c r="Y2" s="807"/>
      <c r="Z2" s="807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DD2" s="1363"/>
      <c r="DE2" s="1363"/>
      <c r="DF2" s="1363"/>
      <c r="DG2" s="1363"/>
      <c r="DO2" s="10"/>
      <c r="DP2" s="10"/>
      <c r="DQ2" s="10"/>
      <c r="DR2" s="10"/>
      <c r="DS2" s="10"/>
      <c r="DT2" s="10"/>
      <c r="DU2" s="10"/>
      <c r="DV2" s="10"/>
      <c r="DW2" s="10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</row>
    <row r="3" spans="3:253">
      <c r="F3" s="141" t="s">
        <v>838</v>
      </c>
      <c r="I3"/>
      <c r="L3" s="1196"/>
      <c r="BL3" s="162"/>
      <c r="BM3" s="162"/>
      <c r="BN3" s="162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DD3" s="1363"/>
      <c r="DE3" s="1363"/>
      <c r="DF3" s="1363"/>
      <c r="DG3" s="1363"/>
      <c r="DO3" s="10"/>
      <c r="DP3" s="10"/>
      <c r="DQ3" s="10"/>
      <c r="DR3" s="10"/>
      <c r="DS3" s="10"/>
      <c r="DT3" s="10"/>
      <c r="DU3" s="10"/>
      <c r="DV3" s="10"/>
      <c r="DW3" s="10"/>
      <c r="EL3" s="188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 s="820"/>
    </row>
    <row r="4" spans="3:253" ht="13.8" thickBot="1">
      <c r="L4" s="1196"/>
      <c r="M4" s="17">
        <v>55.83999916791916</v>
      </c>
      <c r="N4" s="17">
        <v>55.83999916791916</v>
      </c>
      <c r="O4" s="17">
        <v>41.379999383389951</v>
      </c>
      <c r="P4" s="17">
        <v>12.686454294249419</v>
      </c>
      <c r="Q4" s="17">
        <v>53.507741138156383</v>
      </c>
      <c r="R4" s="17">
        <v>39.90064552352073</v>
      </c>
      <c r="Y4"/>
      <c r="Z4"/>
      <c r="AA4"/>
      <c r="AB4"/>
      <c r="AC4"/>
      <c r="AD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DD4" s="1363"/>
      <c r="DE4" s="1363"/>
      <c r="DF4" s="1363"/>
      <c r="DG4" s="1363"/>
      <c r="DO4" s="10"/>
      <c r="DP4" s="10"/>
      <c r="DQ4" s="10"/>
      <c r="DR4" s="10"/>
      <c r="DS4" s="10"/>
      <c r="DT4" s="10"/>
      <c r="DU4" s="10"/>
      <c r="DV4" s="10"/>
      <c r="DW4" s="10"/>
      <c r="EL4" s="188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</row>
    <row r="5" spans="3:253" ht="13.8" thickBot="1">
      <c r="H5" s="140" t="s">
        <v>841</v>
      </c>
      <c r="I5" s="142"/>
      <c r="J5" s="143">
        <v>36526</v>
      </c>
      <c r="K5" s="1011"/>
      <c r="L5" s="1197"/>
      <c r="Y5"/>
      <c r="Z5"/>
      <c r="AA5"/>
      <c r="AB5"/>
      <c r="AC5"/>
      <c r="AD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DD5" s="1363"/>
      <c r="DE5" s="1363"/>
      <c r="DF5" s="1363"/>
      <c r="DG5" s="1363"/>
      <c r="DO5" s="10"/>
      <c r="DP5" s="10"/>
      <c r="DQ5" s="10"/>
      <c r="DR5" s="10"/>
      <c r="DS5" s="10"/>
      <c r="DT5" s="10"/>
      <c r="DU5" s="10"/>
      <c r="DV5" s="10"/>
      <c r="DW5" s="10"/>
      <c r="EL5" s="188"/>
      <c r="EM5" s="16" t="s">
        <v>787</v>
      </c>
      <c r="EN5" s="16"/>
      <c r="EO5" s="10"/>
      <c r="EP5" s="1208" t="s">
        <v>787</v>
      </c>
      <c r="FG5" t="s">
        <v>787</v>
      </c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</row>
    <row r="6" spans="3:253" ht="13.8" thickBot="1">
      <c r="L6" s="1196"/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/>
      <c r="Z6"/>
      <c r="AA6"/>
      <c r="AB6"/>
      <c r="AC6"/>
      <c r="AD6"/>
      <c r="BD6" s="184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DD6" s="1363"/>
      <c r="DE6" s="1363"/>
      <c r="DF6" s="1363"/>
      <c r="DG6" s="1363"/>
      <c r="DO6" s="10"/>
      <c r="DP6" s="10"/>
      <c r="DQ6" s="10"/>
      <c r="DR6" s="10"/>
      <c r="DS6" s="10"/>
      <c r="DT6" s="10"/>
      <c r="DU6" s="10"/>
      <c r="DV6" s="10"/>
      <c r="DW6" s="10"/>
      <c r="EL6" s="188"/>
      <c r="EM6" s="1201" t="s">
        <v>592</v>
      </c>
      <c r="EN6" s="30"/>
      <c r="EO6" s="30"/>
      <c r="EP6" s="1202">
        <f>SUMPRODUCT($DS$17:$DS$292,$BL$17:$BL$292)+SUMPRODUCT($DT$17:$DT$292,$BM$17:$BM$292)+SUMPRODUCT($DU$17:$DU$292,$BN$17:$BN$292)</f>
        <v>0</v>
      </c>
      <c r="FC6" t="s">
        <v>244</v>
      </c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</row>
    <row r="7" spans="3:253" ht="13.8" thickBot="1">
      <c r="E7" t="s">
        <v>787</v>
      </c>
      <c r="F7" s="1542" t="s">
        <v>723</v>
      </c>
      <c r="G7" s="118"/>
      <c r="H7" s="1543">
        <v>36509</v>
      </c>
      <c r="L7" s="1196" t="s">
        <v>587</v>
      </c>
      <c r="M7" s="1398">
        <v>0</v>
      </c>
      <c r="N7" s="1398">
        <v>0</v>
      </c>
      <c r="O7" s="1398">
        <v>0</v>
      </c>
      <c r="P7" s="1398">
        <v>0</v>
      </c>
      <c r="Q7" s="1398">
        <v>0</v>
      </c>
      <c r="R7" s="1398">
        <v>0</v>
      </c>
      <c r="S7" s="1398">
        <v>0</v>
      </c>
      <c r="T7" s="1398">
        <v>0</v>
      </c>
      <c r="U7" s="1398">
        <v>0</v>
      </c>
      <c r="V7" s="1398">
        <v>0</v>
      </c>
      <c r="W7" s="1398">
        <v>0</v>
      </c>
      <c r="X7" s="1398">
        <v>0</v>
      </c>
      <c r="Y7"/>
      <c r="Z7"/>
      <c r="AA7"/>
      <c r="AB7"/>
      <c r="AC7"/>
      <c r="AD7"/>
      <c r="BO7"/>
      <c r="BP7"/>
      <c r="BQ7"/>
      <c r="BR7"/>
      <c r="BS7"/>
      <c r="BT7"/>
      <c r="BU7"/>
      <c r="BV7"/>
      <c r="BW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DD7" s="1363"/>
      <c r="DE7" s="1363"/>
      <c r="DF7" s="1363"/>
      <c r="DG7" s="1363"/>
      <c r="EL7" s="188"/>
      <c r="EM7" s="1203" t="s">
        <v>593</v>
      </c>
      <c r="EN7" s="118"/>
      <c r="EO7" s="1204"/>
      <c r="EP7" s="1205">
        <f>SUMPRODUCT($DV$17:$DV$292,$BO$17:$BO$292)</f>
        <v>0</v>
      </c>
      <c r="ER7" s="106" t="s">
        <v>787</v>
      </c>
      <c r="ES7" s="1209"/>
      <c r="ET7" s="1210"/>
      <c r="EU7" s="107"/>
      <c r="EV7" s="28"/>
      <c r="EW7" s="28"/>
      <c r="EX7" s="29"/>
      <c r="FC7" t="s">
        <v>245</v>
      </c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</row>
    <row r="8" spans="3:253">
      <c r="J8" s="20" t="s">
        <v>787</v>
      </c>
      <c r="L8" s="1196" t="s">
        <v>588</v>
      </c>
      <c r="M8" s="1398">
        <v>0</v>
      </c>
      <c r="N8" s="1398">
        <v>0</v>
      </c>
      <c r="O8" s="1398">
        <v>0</v>
      </c>
      <c r="P8" s="1398">
        <v>0</v>
      </c>
      <c r="Q8" s="1398">
        <v>0</v>
      </c>
      <c r="R8" s="1398">
        <v>0</v>
      </c>
      <c r="S8" s="1398">
        <v>0</v>
      </c>
      <c r="T8" s="1398">
        <v>0</v>
      </c>
      <c r="U8" s="1398">
        <v>0</v>
      </c>
      <c r="V8" s="1398">
        <v>0</v>
      </c>
      <c r="W8" s="1398">
        <v>0</v>
      </c>
      <c r="X8" s="1398">
        <v>0</v>
      </c>
      <c r="Y8"/>
      <c r="Z8"/>
      <c r="AA8"/>
      <c r="AB8"/>
      <c r="AC8"/>
      <c r="AD8"/>
      <c r="BO8"/>
      <c r="BP8"/>
      <c r="BQ8"/>
      <c r="BR8"/>
      <c r="BS8"/>
      <c r="BT8"/>
      <c r="BU8"/>
      <c r="BV8"/>
      <c r="BW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DD8" s="1363"/>
      <c r="DE8" s="1363"/>
      <c r="DF8" s="1363"/>
      <c r="DG8" s="1363"/>
      <c r="EL8" s="188"/>
      <c r="EM8" s="1206" t="s">
        <v>604</v>
      </c>
      <c r="EN8" s="900"/>
      <c r="EO8" s="900"/>
      <c r="EP8" s="1205">
        <f>SUMPRODUCT($EB$17:$EB$292,$BW$17:$BW$292)</f>
        <v>0</v>
      </c>
      <c r="ER8" s="1201" t="s">
        <v>605</v>
      </c>
      <c r="ES8" s="30"/>
      <c r="ET8" s="30"/>
      <c r="EU8" s="1214" t="e">
        <f>EP8/EX8</f>
        <v>#DIV/0!</v>
      </c>
      <c r="EV8" s="1201" t="s">
        <v>606</v>
      </c>
      <c r="EW8" s="30"/>
      <c r="EX8" s="1217">
        <v>0</v>
      </c>
      <c r="FC8" t="s">
        <v>235</v>
      </c>
      <c r="FF8" t="s">
        <v>232</v>
      </c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 t="s">
        <v>787</v>
      </c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</row>
    <row r="9" spans="3:253">
      <c r="J9" t="s">
        <v>787</v>
      </c>
      <c r="K9"/>
      <c r="L9" s="210" t="s">
        <v>589</v>
      </c>
      <c r="M9" s="1398">
        <v>0</v>
      </c>
      <c r="N9" s="1398">
        <v>0</v>
      </c>
      <c r="O9" s="1398">
        <v>0</v>
      </c>
      <c r="P9" s="1398">
        <v>0</v>
      </c>
      <c r="Q9" s="1398">
        <v>0</v>
      </c>
      <c r="R9" s="1398">
        <v>0</v>
      </c>
      <c r="S9" s="1398">
        <v>0</v>
      </c>
      <c r="T9" s="1398">
        <v>0</v>
      </c>
      <c r="U9" s="1398">
        <v>0</v>
      </c>
      <c r="V9" s="1398">
        <v>0</v>
      </c>
      <c r="W9" s="1398">
        <v>0</v>
      </c>
      <c r="X9" s="1398">
        <v>0</v>
      </c>
      <c r="Y9"/>
      <c r="Z9"/>
      <c r="AA9"/>
      <c r="AB9"/>
      <c r="AC9"/>
      <c r="AD9"/>
      <c r="BY9"/>
      <c r="BZ9"/>
      <c r="CA9"/>
      <c r="CB9"/>
      <c r="CC9"/>
      <c r="CD9"/>
      <c r="CE9"/>
      <c r="CF9"/>
      <c r="CG9"/>
      <c r="CH9"/>
      <c r="CI9"/>
      <c r="CJ9"/>
      <c r="CK9" s="1323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DD9" s="1363"/>
      <c r="DE9" s="1363"/>
      <c r="DF9" s="1363"/>
      <c r="DG9" s="1363"/>
      <c r="DH9" s="1261" t="s">
        <v>0</v>
      </c>
      <c r="EL9" s="188"/>
      <c r="EM9" s="1206" t="s">
        <v>602</v>
      </c>
      <c r="EN9" s="900"/>
      <c r="EO9" s="900"/>
      <c r="EP9" s="1205">
        <f>SUM($EV$17:$EV$292)</f>
        <v>0</v>
      </c>
      <c r="ER9" s="1203" t="s">
        <v>607</v>
      </c>
      <c r="ES9" s="118"/>
      <c r="ET9" s="1204"/>
      <c r="EU9" s="1215" t="e">
        <f>EP8/EX9</f>
        <v>#DIV/0!</v>
      </c>
      <c r="EV9" s="115" t="s">
        <v>608</v>
      </c>
      <c r="EW9" s="10"/>
      <c r="EX9" s="174">
        <v>0</v>
      </c>
      <c r="FC9" t="s">
        <v>233</v>
      </c>
      <c r="FF9" t="s">
        <v>236</v>
      </c>
      <c r="FP9" s="10" t="s">
        <v>787</v>
      </c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 s="848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 s="820">
        <f>+HR17-IC17</f>
        <v>0</v>
      </c>
      <c r="HU9"/>
      <c r="HV9"/>
      <c r="HW9"/>
      <c r="HX9"/>
      <c r="HY9"/>
      <c r="HZ9" s="820"/>
      <c r="IA9"/>
      <c r="IB9"/>
      <c r="IC9" s="820"/>
      <c r="ID9"/>
      <c r="IE9"/>
      <c r="IF9"/>
      <c r="IG9"/>
      <c r="IH9"/>
      <c r="II9"/>
      <c r="IJ9"/>
      <c r="IK9"/>
      <c r="IL9"/>
      <c r="IM9" s="820"/>
    </row>
    <row r="10" spans="3:253" ht="13.8" thickBot="1">
      <c r="L10" s="1196" t="s">
        <v>590</v>
      </c>
      <c r="M10" s="1398">
        <v>0</v>
      </c>
      <c r="N10" s="1398">
        <v>0</v>
      </c>
      <c r="O10" s="1398">
        <v>0</v>
      </c>
      <c r="P10" s="1398">
        <v>0</v>
      </c>
      <c r="Q10" s="1398">
        <v>0</v>
      </c>
      <c r="R10" s="1398">
        <v>0</v>
      </c>
      <c r="S10" s="1398">
        <v>0</v>
      </c>
      <c r="T10" s="1398">
        <v>0</v>
      </c>
      <c r="U10" s="1398">
        <v>0</v>
      </c>
      <c r="V10" s="1398">
        <v>0</v>
      </c>
      <c r="W10" s="1398">
        <v>0</v>
      </c>
      <c r="X10" s="1398">
        <v>0</v>
      </c>
      <c r="Y10"/>
      <c r="Z10"/>
      <c r="AA10"/>
      <c r="AB10"/>
      <c r="AC10"/>
      <c r="AD10"/>
      <c r="BD10" s="223"/>
      <c r="BE10"/>
      <c r="BF10"/>
      <c r="BG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 s="1362" t="s">
        <v>787</v>
      </c>
      <c r="CV10"/>
      <c r="CW10"/>
      <c r="CX10"/>
      <c r="CY10"/>
      <c r="DS10" s="10"/>
      <c r="EL10" s="188"/>
      <c r="EM10" s="14" t="s">
        <v>603</v>
      </c>
      <c r="EN10" s="33"/>
      <c r="EO10" s="33"/>
      <c r="EP10" s="1207">
        <f>EP8-EP9</f>
        <v>0</v>
      </c>
      <c r="ER10" s="14" t="s">
        <v>609</v>
      </c>
      <c r="ES10" s="33"/>
      <c r="ET10" s="33"/>
      <c r="EU10" s="1216" t="e">
        <f>EP8/EX10</f>
        <v>#DIV/0!</v>
      </c>
      <c r="EV10" s="14" t="s">
        <v>610</v>
      </c>
      <c r="EW10" s="33"/>
      <c r="EX10" s="1218">
        <f>SUM(EW17:EW292)*1000</f>
        <v>0</v>
      </c>
      <c r="FC10" t="s">
        <v>234</v>
      </c>
      <c r="FF10" t="s">
        <v>237</v>
      </c>
      <c r="FP10" t="s">
        <v>787</v>
      </c>
      <c r="FQ10"/>
      <c r="FR10"/>
      <c r="FS10"/>
      <c r="FT10"/>
      <c r="FU10"/>
      <c r="FV10"/>
      <c r="FW10"/>
      <c r="FX10"/>
      <c r="FY10"/>
      <c r="FZ10"/>
      <c r="GA10"/>
      <c r="GB10" s="44"/>
      <c r="GC10" s="44"/>
      <c r="GD10" s="44"/>
      <c r="GE10" s="44"/>
      <c r="GF10" s="44"/>
      <c r="GG10" s="44"/>
      <c r="GH10" s="44">
        <f>IF($C10&lt;Summary!$N$84,Summary!$O$79,Summary!$O$86)*(5000*(EOMONTH(C10,0)-C10+1))*IF(OR($C10&lt;Summary!$M$81,$C10&gt;Summary!$N$78),GB10,IF(Summary!$O$74=1,VLOOKUP(C10,GasTable,17)+Summary!$O$78,VLOOKUP(C10,GasTable,22)))</f>
        <v>0</v>
      </c>
      <c r="GI10" s="44"/>
      <c r="GJ10" s="1364"/>
      <c r="GK10" s="44"/>
      <c r="GL10" s="848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</row>
    <row r="11" spans="3:253" ht="13.8" thickBot="1">
      <c r="I11"/>
      <c r="J11"/>
      <c r="K11"/>
      <c r="L11" s="210" t="s">
        <v>229</v>
      </c>
      <c r="M11" s="807">
        <v>0</v>
      </c>
      <c r="N11" s="807">
        <v>0</v>
      </c>
      <c r="O11" s="807">
        <v>0</v>
      </c>
      <c r="P11" s="807">
        <v>0</v>
      </c>
      <c r="Q11" s="807">
        <v>0</v>
      </c>
      <c r="R11" s="807">
        <v>0</v>
      </c>
      <c r="S11" s="807">
        <v>0</v>
      </c>
      <c r="T11" s="807">
        <v>0</v>
      </c>
      <c r="U11" s="807">
        <v>0</v>
      </c>
      <c r="V11" s="807">
        <v>0</v>
      </c>
      <c r="W11" s="807">
        <v>0</v>
      </c>
      <c r="X11" s="807">
        <v>0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 s="224" t="s">
        <v>787</v>
      </c>
      <c r="CD11"/>
      <c r="CE11"/>
      <c r="CF11"/>
      <c r="CG11"/>
      <c r="CH11"/>
      <c r="CI11" s="224" t="s">
        <v>787</v>
      </c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DS11" s="224" t="s">
        <v>787</v>
      </c>
      <c r="FC11" s="763" t="s">
        <v>238</v>
      </c>
      <c r="FD11" s="763"/>
      <c r="FE11" s="763"/>
      <c r="FF11" s="763" t="s">
        <v>239</v>
      </c>
      <c r="FG11" s="763"/>
      <c r="FP11"/>
      <c r="FQ11"/>
      <c r="FR11"/>
      <c r="FS11"/>
      <c r="FT11"/>
      <c r="FU11"/>
      <c r="FV11"/>
      <c r="FW11"/>
      <c r="FX11"/>
      <c r="FY11"/>
      <c r="FZ11"/>
      <c r="GA11"/>
      <c r="GK11" s="44"/>
      <c r="GL11" s="921"/>
      <c r="GM11" t="s">
        <v>107</v>
      </c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 s="820"/>
      <c r="ID11"/>
      <c r="IE11"/>
      <c r="IF11"/>
      <c r="IG11"/>
      <c r="IH11"/>
      <c r="II11"/>
      <c r="IJ11"/>
      <c r="IK11"/>
      <c r="IL11"/>
      <c r="IN11" s="820"/>
    </row>
    <row r="12" spans="3:253" s="44" customFormat="1" ht="13.8" thickBot="1">
      <c r="C12" s="34" t="s">
        <v>842</v>
      </c>
      <c r="D12" s="207"/>
      <c r="E12" s="35"/>
      <c r="F12" s="35"/>
      <c r="G12" s="35"/>
      <c r="H12" s="48"/>
      <c r="I12" s="31" t="s">
        <v>757</v>
      </c>
      <c r="J12" s="32"/>
      <c r="K12" s="1012"/>
      <c r="L12" s="1012"/>
      <c r="M12" s="27" t="e">
        <f ca="1">IF(BasisNumber=1,"Prices","Basis-Adjusted Prices")</f>
        <v>#REF!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198" t="s">
        <v>758</v>
      </c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5"/>
      <c r="AT12" s="164"/>
      <c r="AU12" s="164"/>
      <c r="AV12" s="165"/>
      <c r="AW12" s="214" t="s">
        <v>846</v>
      </c>
      <c r="AX12" s="785" t="s">
        <v>759</v>
      </c>
      <c r="AY12" s="758"/>
      <c r="AZ12" s="758"/>
      <c r="BA12" s="758"/>
      <c r="BB12" s="21"/>
      <c r="BC12" s="239"/>
      <c r="BD12" s="185" t="s">
        <v>211</v>
      </c>
      <c r="BE12" s="185"/>
      <c r="BF12" s="185"/>
      <c r="BG12" s="185"/>
      <c r="BH12" s="185"/>
      <c r="BI12" s="185"/>
      <c r="BJ12" s="185"/>
      <c r="BK12" s="186"/>
      <c r="BL12" s="185" t="s">
        <v>213</v>
      </c>
      <c r="BM12" s="185"/>
      <c r="BN12" s="185"/>
      <c r="BO12" s="185"/>
      <c r="BP12" s="185"/>
      <c r="BQ12" s="186"/>
      <c r="BR12" s="186"/>
      <c r="BS12" s="186"/>
      <c r="BT12" s="790" t="s">
        <v>797</v>
      </c>
      <c r="BU12" s="757"/>
      <c r="BV12" s="790" t="s">
        <v>798</v>
      </c>
      <c r="BW12" s="757"/>
      <c r="BX12" s="788"/>
      <c r="BY12" s="1357"/>
      <c r="BZ12" s="1357"/>
      <c r="CA12" s="1357"/>
      <c r="CB12" s="1357"/>
      <c r="CC12" s="1357"/>
      <c r="CD12" s="1357"/>
      <c r="CE12" s="1357"/>
      <c r="CF12" s="1357"/>
      <c r="CG12" s="1357"/>
      <c r="CH12" s="1357"/>
      <c r="CI12" s="1357"/>
      <c r="CJ12" s="1357"/>
      <c r="CK12" s="744"/>
      <c r="CL12" s="744"/>
      <c r="CM12" s="744"/>
      <c r="CN12" s="744"/>
      <c r="CO12" s="744"/>
      <c r="CP12" s="744"/>
      <c r="CQ12" s="744"/>
      <c r="CR12" s="744"/>
      <c r="CS12" s="744"/>
      <c r="CT12" s="744"/>
      <c r="CU12" s="744"/>
      <c r="CV12" s="744"/>
      <c r="CW12" s="744"/>
      <c r="CX12" s="744"/>
      <c r="CY12" s="744"/>
      <c r="CZ12" s="1233" t="s">
        <v>760</v>
      </c>
      <c r="DA12" s="1234"/>
      <c r="DB12" s="1234"/>
      <c r="DC12" s="1234"/>
      <c r="DD12" s="1234"/>
      <c r="DE12" s="1234"/>
      <c r="DF12" s="756"/>
      <c r="DG12" s="756"/>
      <c r="DH12" s="756"/>
      <c r="DI12" s="756"/>
      <c r="DJ12" s="756"/>
      <c r="DK12" s="756"/>
      <c r="DL12" s="756"/>
      <c r="DM12" s="756"/>
      <c r="DN12" s="756"/>
      <c r="DO12" s="756"/>
      <c r="DP12" s="756"/>
      <c r="DQ12" s="756"/>
      <c r="DR12" s="756"/>
      <c r="DS12" s="756"/>
      <c r="DT12" s="756"/>
      <c r="DU12" s="756"/>
      <c r="DV12" s="756"/>
      <c r="DW12" s="756"/>
      <c r="DX12" s="756"/>
      <c r="DY12" s="756"/>
      <c r="DZ12" s="756"/>
      <c r="EA12" s="756"/>
      <c r="EB12" s="756"/>
      <c r="EC12" s="756"/>
      <c r="ED12" s="756"/>
      <c r="EE12" s="756"/>
      <c r="EF12" s="756"/>
      <c r="EG12" s="756"/>
      <c r="EH12" s="756"/>
      <c r="EI12" s="756"/>
      <c r="EJ12" s="756"/>
      <c r="EK12" s="756"/>
      <c r="EL12" s="756"/>
      <c r="EM12" s="756"/>
      <c r="EN12" s="756"/>
      <c r="EO12" s="756"/>
      <c r="EP12" s="756"/>
      <c r="EQ12" s="756"/>
      <c r="ER12" s="756"/>
      <c r="ES12" s="756"/>
      <c r="ET12" s="756"/>
      <c r="EU12" s="756"/>
      <c r="EV12" s="756"/>
      <c r="EW12" s="1213"/>
      <c r="EX12" s="755"/>
      <c r="EY12" s="757"/>
      <c r="EZ12" s="1308"/>
      <c r="FA12" s="925"/>
      <c r="FB12" s="925"/>
      <c r="FC12" s="925"/>
      <c r="FD12" s="925"/>
      <c r="FE12" s="925"/>
      <c r="FF12" s="925"/>
      <c r="FG12" s="925"/>
      <c r="FH12" s="925"/>
      <c r="FI12" s="925"/>
      <c r="FJ12" s="925"/>
      <c r="FK12" s="925"/>
      <c r="FL12" s="925"/>
      <c r="FM12" s="925"/>
      <c r="FN12" s="925"/>
      <c r="FO12" s="925"/>
      <c r="FP12" s="922" t="s">
        <v>787</v>
      </c>
      <c r="FQ12" s="922"/>
      <c r="FR12" s="922" t="s">
        <v>787</v>
      </c>
      <c r="FS12" s="922"/>
      <c r="FT12" s="922" t="s">
        <v>787</v>
      </c>
      <c r="FU12" s="922"/>
      <c r="FV12" s="923" t="s">
        <v>787</v>
      </c>
      <c r="FW12" s="858"/>
      <c r="FX12" s="858"/>
      <c r="FY12" s="858"/>
      <c r="FZ12" s="858"/>
      <c r="GA12" s="925" t="s">
        <v>787</v>
      </c>
      <c r="GB12" s="925"/>
      <c r="GC12" s="925"/>
      <c r="GD12" s="925"/>
      <c r="GE12" s="925"/>
      <c r="GF12" s="925"/>
      <c r="GG12" s="925"/>
      <c r="GH12" s="925"/>
      <c r="GI12" s="925"/>
      <c r="GJ12" s="925"/>
      <c r="GK12" s="925" t="s">
        <v>787</v>
      </c>
      <c r="GL12" s="925"/>
      <c r="GM12" s="925"/>
      <c r="GN12" s="925"/>
      <c r="GO12" s="925"/>
      <c r="GP12" s="925"/>
      <c r="GQ12" s="1348"/>
      <c r="GR12" s="925"/>
      <c r="GS12" s="925"/>
      <c r="GT12" s="1349"/>
      <c r="GU12" s="920" t="s">
        <v>787</v>
      </c>
      <c r="GV12" s="920" t="s">
        <v>787</v>
      </c>
      <c r="GW12" s="920" t="s">
        <v>787</v>
      </c>
      <c r="GX12" s="920" t="s">
        <v>787</v>
      </c>
      <c r="GY12" s="858"/>
      <c r="GZ12" s="858"/>
      <c r="HA12" s="858"/>
      <c r="HB12" s="858"/>
      <c r="HC12" s="858"/>
      <c r="HD12" s="858"/>
      <c r="HE12" s="858"/>
      <c r="HF12" s="858"/>
      <c r="HG12" s="858"/>
      <c r="HH12" s="858"/>
      <c r="HI12" s="858"/>
      <c r="HJ12" s="859" t="s">
        <v>787</v>
      </c>
      <c r="HK12" s="859"/>
      <c r="HL12" s="859"/>
      <c r="HM12" s="859"/>
      <c r="HN12" s="859"/>
      <c r="HO12" s="859"/>
      <c r="HP12" s="860"/>
      <c r="HQ12" s="1194"/>
      <c r="HR12" s="859"/>
      <c r="HS12" s="859"/>
      <c r="HT12" s="859"/>
      <c r="HU12" s="859"/>
      <c r="HV12" s="859"/>
      <c r="HW12" s="859"/>
      <c r="HX12" s="859"/>
      <c r="HY12" s="859"/>
      <c r="HZ12" s="859"/>
      <c r="IA12" s="859"/>
      <c r="IB12" s="859"/>
      <c r="IC12" s="859"/>
      <c r="ID12" s="859"/>
      <c r="IE12" s="859"/>
      <c r="IF12" s="859"/>
      <c r="IG12" s="859"/>
      <c r="IH12" s="859"/>
      <c r="II12" s="859"/>
      <c r="IJ12" s="859"/>
      <c r="IK12" s="859"/>
      <c r="IL12" s="860"/>
      <c r="IM12"/>
      <c r="IN12"/>
      <c r="IO12"/>
      <c r="IP12"/>
      <c r="IQ12"/>
    </row>
    <row r="13" spans="3:253" s="770" customFormat="1" ht="13.8" thickBot="1">
      <c r="C13" s="765"/>
      <c r="D13" s="765"/>
      <c r="E13" s="766"/>
      <c r="F13" s="767"/>
      <c r="G13" s="768"/>
      <c r="H13" s="769"/>
      <c r="I13" s="54"/>
      <c r="J13" s="55"/>
      <c r="K13" s="1013"/>
      <c r="L13" s="1013"/>
      <c r="M13" s="205" t="s">
        <v>751</v>
      </c>
      <c r="N13" s="150"/>
      <c r="O13" s="151"/>
      <c r="P13" s="200" t="s">
        <v>786</v>
      </c>
      <c r="Q13" s="195"/>
      <c r="R13" s="196"/>
      <c r="S13" s="827" t="s">
        <v>788</v>
      </c>
      <c r="T13" s="760"/>
      <c r="U13" s="181"/>
      <c r="V13" s="784" t="s">
        <v>849</v>
      </c>
      <c r="W13" s="760"/>
      <c r="X13" s="761"/>
      <c r="Y13" s="73" t="s">
        <v>773</v>
      </c>
      <c r="Z13" s="73"/>
      <c r="AA13" s="74"/>
      <c r="AB13" s="75" t="s">
        <v>773</v>
      </c>
      <c r="AC13" s="73"/>
      <c r="AD13" s="74"/>
      <c r="AE13" s="75" t="s">
        <v>773</v>
      </c>
      <c r="AF13" s="73"/>
      <c r="AG13" s="74"/>
      <c r="AH13" s="75" t="s">
        <v>773</v>
      </c>
      <c r="AI13" s="73"/>
      <c r="AJ13" s="74"/>
      <c r="AK13" s="75" t="s">
        <v>726</v>
      </c>
      <c r="AL13" s="73"/>
      <c r="AM13" s="74"/>
      <c r="AN13" s="87" t="s">
        <v>726</v>
      </c>
      <c r="AO13" s="85"/>
      <c r="AP13" s="86"/>
      <c r="AQ13" s="75" t="s">
        <v>726</v>
      </c>
      <c r="AR13" s="73"/>
      <c r="AS13" s="73"/>
      <c r="AT13" s="87" t="s">
        <v>726</v>
      </c>
      <c r="AU13" s="85"/>
      <c r="AV13" s="180"/>
      <c r="AW13" s="215" t="s">
        <v>849</v>
      </c>
      <c r="AX13" s="786" t="s">
        <v>727</v>
      </c>
      <c r="AY13" s="112"/>
      <c r="AZ13" s="112"/>
      <c r="BA13" s="112"/>
      <c r="BB13" s="746"/>
      <c r="BC13" s="240" t="s">
        <v>720</v>
      </c>
      <c r="BD13" s="166" t="s">
        <v>728</v>
      </c>
      <c r="BE13" s="166"/>
      <c r="BF13" s="166"/>
      <c r="BG13" s="63"/>
      <c r="BH13" s="62" t="s">
        <v>729</v>
      </c>
      <c r="BI13" s="166"/>
      <c r="BJ13" s="166"/>
      <c r="BK13" s="63"/>
      <c r="BL13" s="166" t="s">
        <v>728</v>
      </c>
      <c r="BM13" s="166"/>
      <c r="BN13" s="166"/>
      <c r="BO13" s="63"/>
      <c r="BP13" s="62" t="s">
        <v>729</v>
      </c>
      <c r="BQ13" s="166"/>
      <c r="BR13" s="166"/>
      <c r="BS13" s="63"/>
      <c r="BT13" s="791" t="s">
        <v>216</v>
      </c>
      <c r="BU13" s="762"/>
      <c r="BV13" s="792" t="s">
        <v>216</v>
      </c>
      <c r="BW13" s="762"/>
      <c r="BX13" s="64" t="s">
        <v>730</v>
      </c>
      <c r="BY13" s="828" t="s">
        <v>227</v>
      </c>
      <c r="BZ13" s="747"/>
      <c r="CA13" s="747"/>
      <c r="CB13" s="747"/>
      <c r="CC13" s="747"/>
      <c r="CD13" s="748"/>
      <c r="CE13" s="828" t="s">
        <v>320</v>
      </c>
      <c r="CF13" s="747"/>
      <c r="CG13" s="747"/>
      <c r="CH13" s="747"/>
      <c r="CI13" s="747"/>
      <c r="CJ13" s="748"/>
      <c r="CK13" s="1358" t="e">
        <f>+"Nevada Power Market Price Curve "&amp;IF(Summary!#REF!=1,"Mid","Offer")</f>
        <v>#REF!</v>
      </c>
      <c r="CL13" s="1359"/>
      <c r="CM13" s="1359"/>
      <c r="CN13" s="1359"/>
      <c r="CO13" s="1359"/>
      <c r="CP13" s="1360"/>
      <c r="CQ13" s="150" t="s">
        <v>758</v>
      </c>
      <c r="CR13" s="150"/>
      <c r="CS13" s="150"/>
      <c r="CT13" s="150"/>
      <c r="CU13" s="150"/>
      <c r="CV13" s="150"/>
      <c r="CW13" s="68"/>
      <c r="CX13" s="68"/>
      <c r="CY13" s="1236"/>
      <c r="CZ13" s="1232" t="s">
        <v>247</v>
      </c>
      <c r="DA13" s="749"/>
      <c r="DB13" s="749"/>
      <c r="DC13" s="749"/>
      <c r="DD13" s="749"/>
      <c r="DE13" s="750"/>
      <c r="DF13" s="109" t="s">
        <v>231</v>
      </c>
      <c r="DG13" s="58" t="s">
        <v>847</v>
      </c>
      <c r="DH13" s="161" t="s">
        <v>228</v>
      </c>
      <c r="DI13" s="161"/>
      <c r="DJ13" s="161"/>
      <c r="DK13" s="161"/>
      <c r="DL13" s="149"/>
      <c r="DM13" s="200" t="s">
        <v>731</v>
      </c>
      <c r="DN13" s="195"/>
      <c r="DO13" s="195"/>
      <c r="DP13" s="195"/>
      <c r="DQ13" s="196"/>
      <c r="DR13" s="195"/>
      <c r="DS13" s="1304" t="s">
        <v>321</v>
      </c>
      <c r="DT13" s="1305"/>
      <c r="DU13" s="1305"/>
      <c r="DV13" s="1305"/>
      <c r="DW13" s="1306"/>
      <c r="DX13" s="1306"/>
      <c r="DY13" s="1306"/>
      <c r="DZ13" s="1306"/>
      <c r="EA13" s="1306"/>
      <c r="EB13" s="1306"/>
      <c r="EC13" s="195" t="s">
        <v>787</v>
      </c>
      <c r="ED13" s="195"/>
      <c r="EE13" s="195"/>
      <c r="EF13" s="195"/>
      <c r="EG13" s="196"/>
      <c r="EH13" s="149" t="s">
        <v>787</v>
      </c>
      <c r="EI13" s="150"/>
      <c r="EJ13" s="150"/>
      <c r="EK13" s="150"/>
      <c r="EL13" s="151"/>
      <c r="EM13" s="150" t="s">
        <v>787</v>
      </c>
      <c r="EN13" s="150"/>
      <c r="EO13" s="150"/>
      <c r="EP13" s="150"/>
      <c r="EQ13" s="151"/>
      <c r="ER13" s="149" t="s">
        <v>787</v>
      </c>
      <c r="ES13" s="150"/>
      <c r="ET13" s="150"/>
      <c r="EU13" s="150"/>
      <c r="EV13" s="150"/>
      <c r="EW13" s="1211" t="s">
        <v>611</v>
      </c>
      <c r="EX13" s="59" t="s">
        <v>787</v>
      </c>
      <c r="EY13" s="61"/>
      <c r="EZ13" s="1309" t="s">
        <v>787</v>
      </c>
      <c r="FA13" s="1039" t="s">
        <v>863</v>
      </c>
      <c r="FB13" s="1010"/>
      <c r="FC13" s="1010"/>
      <c r="FD13" s="744"/>
      <c r="FE13" s="744"/>
      <c r="FF13" s="744"/>
      <c r="FG13" s="744"/>
      <c r="FH13" s="744"/>
      <c r="FI13" s="744"/>
      <c r="FJ13" s="744"/>
      <c r="FK13" s="744"/>
      <c r="FL13" s="744"/>
      <c r="FM13" s="744"/>
      <c r="FN13" s="744"/>
      <c r="FO13" s="744"/>
      <c r="FP13" s="972" t="s">
        <v>867</v>
      </c>
      <c r="FQ13" s="972"/>
      <c r="FR13" s="744"/>
      <c r="FS13" s="744"/>
      <c r="FT13" s="744"/>
      <c r="FU13" s="744"/>
      <c r="FV13" s="744"/>
      <c r="FW13" s="744"/>
      <c r="FX13" s="744"/>
      <c r="FY13" s="744"/>
      <c r="FZ13" s="745"/>
      <c r="GA13" s="1275" t="s">
        <v>319</v>
      </c>
      <c r="GB13" s="1280"/>
      <c r="GC13" s="1277"/>
      <c r="GD13" s="1277"/>
      <c r="GE13" s="1277"/>
      <c r="GF13" s="1277"/>
      <c r="GG13" s="1277"/>
      <c r="GH13" s="1277"/>
      <c r="GI13" s="1277"/>
      <c r="GJ13" s="1278"/>
      <c r="GK13" s="1277" t="s">
        <v>1004</v>
      </c>
      <c r="GL13" s="1277"/>
      <c r="GM13" s="1277"/>
      <c r="GN13" s="1276"/>
      <c r="GO13" s="1276"/>
      <c r="GP13" s="1276"/>
      <c r="GQ13" s="1350" t="s">
        <v>514</v>
      </c>
      <c r="GR13" s="1347"/>
      <c r="GS13" s="1347"/>
      <c r="GT13" s="1351"/>
      <c r="GU13" s="854" t="s">
        <v>865</v>
      </c>
      <c r="GV13" s="853"/>
      <c r="GW13" s="853"/>
      <c r="GX13" s="853"/>
      <c r="GY13" s="853"/>
      <c r="GZ13" s="853"/>
      <c r="HA13" s="853"/>
      <c r="HB13" s="853"/>
      <c r="HC13" s="1353"/>
      <c r="HD13" s="1353"/>
      <c r="HE13" s="1353"/>
      <c r="HF13" s="1353"/>
      <c r="HG13" s="1353"/>
      <c r="HH13" s="1353"/>
      <c r="HI13" s="1365"/>
      <c r="HJ13" s="855" t="s">
        <v>866</v>
      </c>
      <c r="HK13" s="856"/>
      <c r="HL13" s="856"/>
      <c r="HM13" s="856"/>
      <c r="HN13" s="856"/>
      <c r="HO13" s="856"/>
      <c r="HP13" s="1366"/>
      <c r="HQ13" s="1195"/>
      <c r="HR13" s="1303"/>
      <c r="HS13" s="857"/>
      <c r="HT13" s="857"/>
      <c r="HU13" s="857"/>
      <c r="HV13" s="857"/>
      <c r="HW13" s="857"/>
      <c r="HX13" s="857"/>
      <c r="HY13" s="857"/>
      <c r="HZ13" s="857"/>
      <c r="IA13" s="857"/>
      <c r="IB13" s="857"/>
      <c r="IC13" s="857"/>
      <c r="ID13" s="857"/>
      <c r="IE13" s="857"/>
      <c r="IF13" s="857"/>
      <c r="IG13" s="857"/>
      <c r="IH13" s="857"/>
      <c r="II13" s="857"/>
      <c r="IJ13" s="857"/>
      <c r="IK13" s="857"/>
      <c r="IL13" s="1188"/>
      <c r="IM13"/>
      <c r="IN13"/>
      <c r="IO13"/>
      <c r="IP13"/>
      <c r="IQ13"/>
    </row>
    <row r="14" spans="3:253" s="770" customFormat="1">
      <c r="C14" s="64" t="s">
        <v>732</v>
      </c>
      <c r="D14" s="765"/>
      <c r="E14" s="766"/>
      <c r="F14" s="51" t="s">
        <v>733</v>
      </c>
      <c r="G14" s="89" t="s">
        <v>734</v>
      </c>
      <c r="H14" s="110" t="s">
        <v>734</v>
      </c>
      <c r="I14" s="66" t="s">
        <v>735</v>
      </c>
      <c r="J14" s="67" t="s">
        <v>736</v>
      </c>
      <c r="K14" s="1014" t="s">
        <v>874</v>
      </c>
      <c r="L14" s="1014" t="s">
        <v>736</v>
      </c>
      <c r="M14" s="59" t="s">
        <v>851</v>
      </c>
      <c r="N14" s="60"/>
      <c r="O14" s="60"/>
      <c r="P14" s="200" t="s">
        <v>851</v>
      </c>
      <c r="Q14" s="195"/>
      <c r="R14" s="196"/>
      <c r="S14" s="60" t="s">
        <v>851</v>
      </c>
      <c r="T14" s="60"/>
      <c r="U14" s="71"/>
      <c r="V14" s="197"/>
      <c r="W14" s="195"/>
      <c r="X14" s="199"/>
      <c r="Y14" s="73" t="s">
        <v>851</v>
      </c>
      <c r="Z14" s="73"/>
      <c r="AA14" s="74"/>
      <c r="AB14" s="75" t="s">
        <v>752</v>
      </c>
      <c r="AC14" s="73"/>
      <c r="AD14" s="74"/>
      <c r="AE14" s="75" t="s">
        <v>753</v>
      </c>
      <c r="AF14" s="73"/>
      <c r="AG14" s="74"/>
      <c r="AH14" s="75" t="s">
        <v>849</v>
      </c>
      <c r="AI14" s="73"/>
      <c r="AJ14" s="74"/>
      <c r="AK14" s="75" t="s">
        <v>851</v>
      </c>
      <c r="AL14" s="73"/>
      <c r="AM14" s="74"/>
      <c r="AN14" s="75" t="s">
        <v>752</v>
      </c>
      <c r="AO14" s="73"/>
      <c r="AP14" s="74"/>
      <c r="AQ14" s="75" t="s">
        <v>753</v>
      </c>
      <c r="AR14" s="73"/>
      <c r="AS14" s="73"/>
      <c r="AT14" s="75" t="s">
        <v>849</v>
      </c>
      <c r="AU14" s="73"/>
      <c r="AV14" s="76"/>
      <c r="AW14" s="215" t="s">
        <v>737</v>
      </c>
      <c r="AX14" s="786" t="s">
        <v>738</v>
      </c>
      <c r="AY14" s="112"/>
      <c r="AZ14" s="112"/>
      <c r="BA14" s="112"/>
      <c r="BB14" s="746"/>
      <c r="BC14" s="240" t="s">
        <v>790</v>
      </c>
      <c r="BD14" s="68" t="s">
        <v>739</v>
      </c>
      <c r="BE14" s="68"/>
      <c r="BF14" s="68"/>
      <c r="BG14" s="69"/>
      <c r="BH14" s="70" t="s">
        <v>850</v>
      </c>
      <c r="BI14" s="68"/>
      <c r="BJ14" s="68"/>
      <c r="BK14" s="69"/>
      <c r="BL14" s="68" t="s">
        <v>739</v>
      </c>
      <c r="BM14" s="68"/>
      <c r="BN14" s="68"/>
      <c r="BO14" s="69"/>
      <c r="BP14" s="70" t="s">
        <v>850</v>
      </c>
      <c r="BQ14" s="68"/>
      <c r="BR14" s="68"/>
      <c r="BS14" s="69"/>
      <c r="BT14" s="792" t="s">
        <v>728</v>
      </c>
      <c r="BU14" s="762"/>
      <c r="BV14" s="793" t="s">
        <v>728</v>
      </c>
      <c r="BW14" s="762"/>
      <c r="BX14" s="64" t="s">
        <v>740</v>
      </c>
      <c r="BY14" s="58" t="s">
        <v>851</v>
      </c>
      <c r="BZ14" s="56" t="s">
        <v>851</v>
      </c>
      <c r="CA14" s="56" t="s">
        <v>851</v>
      </c>
      <c r="CB14" s="56" t="s">
        <v>849</v>
      </c>
      <c r="CC14" s="56" t="s">
        <v>851</v>
      </c>
      <c r="CD14" s="57" t="s">
        <v>720</v>
      </c>
      <c r="CE14" s="51" t="s">
        <v>851</v>
      </c>
      <c r="CF14" s="51" t="s">
        <v>851</v>
      </c>
      <c r="CG14" s="51" t="s">
        <v>851</v>
      </c>
      <c r="CH14" s="51" t="s">
        <v>849</v>
      </c>
      <c r="CI14" s="51" t="s">
        <v>844</v>
      </c>
      <c r="CJ14" s="57" t="s">
        <v>720</v>
      </c>
      <c r="CK14" s="56" t="s">
        <v>851</v>
      </c>
      <c r="CL14" s="56" t="s">
        <v>851</v>
      </c>
      <c r="CM14" s="56" t="s">
        <v>851</v>
      </c>
      <c r="CN14" s="56" t="s">
        <v>849</v>
      </c>
      <c r="CO14" s="56" t="s">
        <v>844</v>
      </c>
      <c r="CP14" s="56" t="s">
        <v>720</v>
      </c>
      <c r="CQ14" s="149" t="s">
        <v>741</v>
      </c>
      <c r="CR14" s="150"/>
      <c r="CS14" s="150"/>
      <c r="CT14" s="150"/>
      <c r="CU14" s="150"/>
      <c r="CV14" s="150"/>
      <c r="CW14" s="150"/>
      <c r="CX14" s="150"/>
      <c r="CY14" s="1235" t="s">
        <v>647</v>
      </c>
      <c r="CZ14" s="51" t="s">
        <v>851</v>
      </c>
      <c r="DA14" s="56" t="s">
        <v>851</v>
      </c>
      <c r="DB14" s="56" t="s">
        <v>851</v>
      </c>
      <c r="DC14" s="51" t="s">
        <v>849</v>
      </c>
      <c r="DD14" s="56" t="s">
        <v>793</v>
      </c>
      <c r="DE14" s="57" t="s">
        <v>794</v>
      </c>
      <c r="DF14" s="108" t="s">
        <v>782</v>
      </c>
      <c r="DG14" s="89" t="s">
        <v>231</v>
      </c>
      <c r="DH14" s="89" t="s">
        <v>851</v>
      </c>
      <c r="DI14" s="56" t="s">
        <v>851</v>
      </c>
      <c r="DJ14" s="56" t="s">
        <v>851</v>
      </c>
      <c r="DK14" s="51" t="s">
        <v>849</v>
      </c>
      <c r="DL14" s="51" t="s">
        <v>774</v>
      </c>
      <c r="DM14" s="58" t="s">
        <v>851</v>
      </c>
      <c r="DN14" s="56" t="s">
        <v>851</v>
      </c>
      <c r="DO14" s="56" t="s">
        <v>851</v>
      </c>
      <c r="DP14" s="56" t="s">
        <v>849</v>
      </c>
      <c r="DQ14" s="56" t="s">
        <v>793</v>
      </c>
      <c r="DR14" s="57" t="s">
        <v>794</v>
      </c>
      <c r="DS14" s="56" t="s">
        <v>851</v>
      </c>
      <c r="DT14" s="56" t="s">
        <v>851</v>
      </c>
      <c r="DU14" s="56" t="s">
        <v>851</v>
      </c>
      <c r="DV14" s="56" t="s">
        <v>849</v>
      </c>
      <c r="DW14" s="56" t="s">
        <v>793</v>
      </c>
      <c r="DX14" s="56" t="s">
        <v>794</v>
      </c>
      <c r="DY14" s="56" t="s">
        <v>794</v>
      </c>
      <c r="DZ14" s="800" t="s">
        <v>794</v>
      </c>
      <c r="EA14" s="57" t="s">
        <v>794</v>
      </c>
      <c r="EB14" s="57" t="s">
        <v>794</v>
      </c>
      <c r="EC14" s="58" t="s">
        <v>851</v>
      </c>
      <c r="ED14" s="56" t="s">
        <v>851</v>
      </c>
      <c r="EE14" s="56" t="s">
        <v>851</v>
      </c>
      <c r="EF14" s="56" t="s">
        <v>849</v>
      </c>
      <c r="EG14" s="57" t="s">
        <v>787</v>
      </c>
      <c r="EH14" s="51" t="s">
        <v>787</v>
      </c>
      <c r="EI14" s="89" t="s">
        <v>787</v>
      </c>
      <c r="EJ14" s="89" t="s">
        <v>787</v>
      </c>
      <c r="EK14" s="89" t="s">
        <v>849</v>
      </c>
      <c r="EL14" s="108" t="s">
        <v>787</v>
      </c>
      <c r="EM14" s="51" t="s">
        <v>851</v>
      </c>
      <c r="EN14" s="89" t="s">
        <v>851</v>
      </c>
      <c r="EO14" s="89" t="s">
        <v>851</v>
      </c>
      <c r="EP14" s="89" t="s">
        <v>849</v>
      </c>
      <c r="EQ14" s="89" t="s">
        <v>787</v>
      </c>
      <c r="ER14" s="89" t="s">
        <v>851</v>
      </c>
      <c r="ES14" s="89" t="s">
        <v>851</v>
      </c>
      <c r="ET14" s="89" t="s">
        <v>851</v>
      </c>
      <c r="EU14" s="89" t="s">
        <v>849</v>
      </c>
      <c r="EV14" s="89" t="s">
        <v>720</v>
      </c>
      <c r="EW14" s="110" t="s">
        <v>467</v>
      </c>
      <c r="EX14" s="64" t="s">
        <v>531</v>
      </c>
      <c r="EY14" s="65" t="s">
        <v>532</v>
      </c>
      <c r="EZ14" s="1309" t="s">
        <v>787</v>
      </c>
      <c r="FA14" s="1040" t="s">
        <v>224</v>
      </c>
      <c r="FB14" s="976" t="s">
        <v>869</v>
      </c>
      <c r="FC14" s="823"/>
      <c r="FD14" s="742"/>
      <c r="FE14" s="742"/>
      <c r="FF14" s="742"/>
      <c r="FG14" s="742"/>
      <c r="FH14" s="742"/>
      <c r="FI14" s="109" t="s">
        <v>246</v>
      </c>
      <c r="FJ14" s="109" t="s">
        <v>240</v>
      </c>
      <c r="FK14" s="109" t="s">
        <v>246</v>
      </c>
      <c r="FL14" s="109" t="s">
        <v>241</v>
      </c>
      <c r="FM14" s="109" t="s">
        <v>241</v>
      </c>
      <c r="FN14" s="109" t="s">
        <v>764</v>
      </c>
      <c r="FO14" s="58" t="s">
        <v>720</v>
      </c>
      <c r="FP14" s="1009" t="s">
        <v>212</v>
      </c>
      <c r="FQ14" s="973"/>
      <c r="FR14" s="747"/>
      <c r="FS14" s="747"/>
      <c r="FT14" s="747"/>
      <c r="FU14" s="747"/>
      <c r="FV14" s="748"/>
      <c r="FW14" s="787" t="s">
        <v>214</v>
      </c>
      <c r="FX14" s="747"/>
      <c r="FY14" s="747"/>
      <c r="FZ14" s="931"/>
      <c r="GA14" s="1228" t="s">
        <v>640</v>
      </c>
      <c r="GB14" s="1281" t="s">
        <v>317</v>
      </c>
      <c r="GC14" s="1272" t="s">
        <v>639</v>
      </c>
      <c r="GD14" s="1273"/>
      <c r="GE14" s="1273"/>
      <c r="GF14" s="1273"/>
      <c r="GG14" s="1288"/>
      <c r="GH14" s="1273"/>
      <c r="GI14" s="1272"/>
      <c r="GJ14" s="1274"/>
      <c r="GK14" s="1279" t="s">
        <v>1004</v>
      </c>
      <c r="GL14" s="747"/>
      <c r="GM14" s="748"/>
      <c r="GN14" s="1427" t="s">
        <v>72</v>
      </c>
      <c r="GO14" s="1427"/>
      <c r="GP14" s="1427"/>
      <c r="GQ14" s="1352" t="s">
        <v>212</v>
      </c>
      <c r="GR14" s="751"/>
      <c r="GS14" s="751"/>
      <c r="GT14" s="926"/>
      <c r="GU14" s="797" t="s">
        <v>212</v>
      </c>
      <c r="GV14" s="751"/>
      <c r="GW14" s="751"/>
      <c r="GX14" s="743"/>
      <c r="GY14" s="798" t="s">
        <v>215</v>
      </c>
      <c r="GZ14" s="751"/>
      <c r="HA14" s="751"/>
      <c r="HB14" s="751"/>
      <c r="HC14" s="1272" t="s">
        <v>883</v>
      </c>
      <c r="HD14" s="1273"/>
      <c r="HE14" s="1273"/>
      <c r="HF14" s="1272" t="s">
        <v>872</v>
      </c>
      <c r="HG14" s="1273"/>
      <c r="HH14" s="1273"/>
      <c r="HI14" s="1288"/>
      <c r="HJ14" s="1367" t="s">
        <v>864</v>
      </c>
      <c r="HK14" s="752"/>
      <c r="HL14" s="752"/>
      <c r="HM14" s="759"/>
      <c r="HN14" s="799" t="s">
        <v>887</v>
      </c>
      <c r="HO14" s="752"/>
      <c r="HP14" s="753"/>
      <c r="HQ14" s="240"/>
      <c r="HR14" s="1190" t="s">
        <v>219</v>
      </c>
      <c r="HS14" s="1189"/>
      <c r="HT14" s="1189"/>
      <c r="HU14" s="1189"/>
      <c r="HV14" s="1189"/>
      <c r="HW14" s="1189"/>
      <c r="HX14" s="1189"/>
      <c r="HY14" s="1191"/>
      <c r="HZ14" s="1192" t="s">
        <v>222</v>
      </c>
      <c r="IA14" s="272"/>
      <c r="IB14" s="272"/>
      <c r="IC14" s="272"/>
      <c r="ID14" s="272"/>
      <c r="IE14" s="272"/>
      <c r="IF14" s="272"/>
      <c r="IG14" s="272"/>
      <c r="IH14" s="272"/>
      <c r="II14" s="1189"/>
      <c r="IJ14" s="1189"/>
      <c r="IK14" s="1189"/>
      <c r="IL14" s="1193" t="s">
        <v>582</v>
      </c>
      <c r="IO14"/>
      <c r="IP14"/>
      <c r="IS14" s="1464"/>
    </row>
    <row r="15" spans="3:253" s="770" customFormat="1">
      <c r="C15" s="64" t="s">
        <v>776</v>
      </c>
      <c r="D15" s="765"/>
      <c r="E15" s="766"/>
      <c r="F15" s="51" t="s">
        <v>742</v>
      </c>
      <c r="G15" s="89" t="s">
        <v>743</v>
      </c>
      <c r="H15" s="110" t="s">
        <v>744</v>
      </c>
      <c r="I15" s="66" t="s">
        <v>745</v>
      </c>
      <c r="J15" s="67" t="s">
        <v>746</v>
      </c>
      <c r="K15" s="1014" t="s">
        <v>515</v>
      </c>
      <c r="L15" s="1014" t="s">
        <v>746</v>
      </c>
      <c r="M15" s="59" t="s">
        <v>784</v>
      </c>
      <c r="N15" s="60"/>
      <c r="O15" s="60"/>
      <c r="P15" s="72" t="s">
        <v>784</v>
      </c>
      <c r="Q15" s="60"/>
      <c r="R15" s="71"/>
      <c r="S15" s="60" t="s">
        <v>784</v>
      </c>
      <c r="T15" s="60"/>
      <c r="U15" s="71"/>
      <c r="V15" s="60" t="s">
        <v>784</v>
      </c>
      <c r="W15" s="60"/>
      <c r="X15" s="61"/>
      <c r="Y15" s="73" t="s">
        <v>782</v>
      </c>
      <c r="Z15" s="73"/>
      <c r="AA15" s="74"/>
      <c r="AB15" s="75" t="s">
        <v>782</v>
      </c>
      <c r="AC15" s="73"/>
      <c r="AD15" s="74"/>
      <c r="AE15" s="75" t="s">
        <v>782</v>
      </c>
      <c r="AF15" s="73"/>
      <c r="AG15" s="74"/>
      <c r="AH15" s="75" t="s">
        <v>782</v>
      </c>
      <c r="AI15" s="73"/>
      <c r="AJ15" s="74"/>
      <c r="AK15" s="75" t="s">
        <v>782</v>
      </c>
      <c r="AL15" s="73"/>
      <c r="AM15" s="74"/>
      <c r="AN15" s="75" t="s">
        <v>782</v>
      </c>
      <c r="AO15" s="73"/>
      <c r="AP15" s="74"/>
      <c r="AQ15" s="75" t="s">
        <v>782</v>
      </c>
      <c r="AR15" s="73"/>
      <c r="AS15" s="73"/>
      <c r="AT15" s="75" t="s">
        <v>782</v>
      </c>
      <c r="AU15" s="73"/>
      <c r="AV15" s="76"/>
      <c r="AW15" s="215" t="s">
        <v>747</v>
      </c>
      <c r="AX15" s="64" t="s">
        <v>748</v>
      </c>
      <c r="AY15" s="51" t="s">
        <v>777</v>
      </c>
      <c r="AZ15" s="51" t="s">
        <v>778</v>
      </c>
      <c r="BA15" s="51" t="s">
        <v>779</v>
      </c>
      <c r="BB15" s="65" t="s">
        <v>720</v>
      </c>
      <c r="BC15" s="241"/>
      <c r="BD15" s="181" t="s">
        <v>756</v>
      </c>
      <c r="BE15" s="167" t="s">
        <v>754</v>
      </c>
      <c r="BF15" s="167" t="s">
        <v>755</v>
      </c>
      <c r="BG15" s="168" t="s">
        <v>849</v>
      </c>
      <c r="BH15" s="176" t="s">
        <v>756</v>
      </c>
      <c r="BI15" s="167" t="s">
        <v>754</v>
      </c>
      <c r="BJ15" s="167" t="s">
        <v>755</v>
      </c>
      <c r="BK15" s="168" t="s">
        <v>849</v>
      </c>
      <c r="BL15" s="176" t="s">
        <v>756</v>
      </c>
      <c r="BM15" s="167" t="s">
        <v>754</v>
      </c>
      <c r="BN15" s="167" t="s">
        <v>755</v>
      </c>
      <c r="BO15" s="168" t="s">
        <v>849</v>
      </c>
      <c r="BP15" s="176" t="s">
        <v>756</v>
      </c>
      <c r="BQ15" s="167" t="s">
        <v>754</v>
      </c>
      <c r="BR15" s="167" t="s">
        <v>755</v>
      </c>
      <c r="BS15" s="168" t="s">
        <v>849</v>
      </c>
      <c r="BT15" s="794" t="s">
        <v>739</v>
      </c>
      <c r="BU15" s="754"/>
      <c r="BV15" s="795" t="s">
        <v>739</v>
      </c>
      <c r="BW15" s="754"/>
      <c r="BX15" s="64" t="s">
        <v>749</v>
      </c>
      <c r="BY15" s="89" t="s">
        <v>748</v>
      </c>
      <c r="BZ15" s="51" t="s">
        <v>777</v>
      </c>
      <c r="CA15" s="51" t="s">
        <v>778</v>
      </c>
      <c r="CB15" s="51"/>
      <c r="CC15" s="51" t="s">
        <v>720</v>
      </c>
      <c r="CD15" s="53" t="s">
        <v>774</v>
      </c>
      <c r="CE15" s="51" t="s">
        <v>748</v>
      </c>
      <c r="CF15" s="51" t="s">
        <v>777</v>
      </c>
      <c r="CG15" s="51" t="s">
        <v>778</v>
      </c>
      <c r="CH15" s="51"/>
      <c r="CI15" s="51" t="s">
        <v>720</v>
      </c>
      <c r="CJ15" s="53" t="s">
        <v>774</v>
      </c>
      <c r="CK15" s="51" t="s">
        <v>748</v>
      </c>
      <c r="CL15" s="51" t="s">
        <v>777</v>
      </c>
      <c r="CM15" s="51" t="s">
        <v>778</v>
      </c>
      <c r="CN15" s="51"/>
      <c r="CO15" s="51" t="s">
        <v>720</v>
      </c>
      <c r="CP15" s="51" t="s">
        <v>774</v>
      </c>
      <c r="CQ15" s="51" t="s">
        <v>851</v>
      </c>
      <c r="CR15" s="51" t="s">
        <v>851</v>
      </c>
      <c r="CS15" s="51" t="s">
        <v>851</v>
      </c>
      <c r="CT15" s="51" t="s">
        <v>795</v>
      </c>
      <c r="CU15" s="51" t="s">
        <v>796</v>
      </c>
      <c r="CV15" s="51" t="s">
        <v>849</v>
      </c>
      <c r="CW15" s="51" t="s">
        <v>793</v>
      </c>
      <c r="CX15" s="51" t="s">
        <v>794</v>
      </c>
      <c r="CY15" s="1235" t="s">
        <v>745</v>
      </c>
      <c r="CZ15" s="51"/>
      <c r="DA15" s="51" t="s">
        <v>777</v>
      </c>
      <c r="DB15" s="51" t="s">
        <v>778</v>
      </c>
      <c r="DC15" s="51"/>
      <c r="DD15" s="51" t="s">
        <v>774</v>
      </c>
      <c r="DE15" s="53" t="s">
        <v>226</v>
      </c>
      <c r="DF15" s="108"/>
      <c r="DG15" s="89" t="s">
        <v>747</v>
      </c>
      <c r="DH15" s="89"/>
      <c r="DI15" s="51" t="s">
        <v>777</v>
      </c>
      <c r="DJ15" s="51" t="s">
        <v>778</v>
      </c>
      <c r="DK15" s="51"/>
      <c r="DL15" s="51"/>
      <c r="DM15" s="89"/>
      <c r="DN15" s="51" t="s">
        <v>777</v>
      </c>
      <c r="DO15" s="51" t="s">
        <v>778</v>
      </c>
      <c r="DP15" s="51"/>
      <c r="DQ15" s="51" t="s">
        <v>774</v>
      </c>
      <c r="DR15" s="53" t="s">
        <v>774</v>
      </c>
      <c r="DS15" s="51"/>
      <c r="DT15" s="51" t="s">
        <v>777</v>
      </c>
      <c r="DU15" s="51" t="s">
        <v>778</v>
      </c>
      <c r="DV15" s="51"/>
      <c r="DW15" s="51" t="s">
        <v>774</v>
      </c>
      <c r="DX15" s="51" t="s">
        <v>851</v>
      </c>
      <c r="DY15" s="51" t="s">
        <v>851</v>
      </c>
      <c r="DZ15" s="801" t="s">
        <v>220</v>
      </c>
      <c r="EA15" s="53" t="s">
        <v>849</v>
      </c>
      <c r="EB15" s="53" t="s">
        <v>774</v>
      </c>
      <c r="EC15" s="89"/>
      <c r="ED15" s="51" t="s">
        <v>777</v>
      </c>
      <c r="EE15" s="51" t="s">
        <v>778</v>
      </c>
      <c r="EF15" s="51"/>
      <c r="EG15" s="53"/>
      <c r="EH15" s="51"/>
      <c r="EI15" s="89" t="s">
        <v>777</v>
      </c>
      <c r="EJ15" s="89" t="s">
        <v>778</v>
      </c>
      <c r="EK15" s="89"/>
      <c r="EL15" s="108"/>
      <c r="EM15" s="51"/>
      <c r="EN15" s="89" t="s">
        <v>777</v>
      </c>
      <c r="EO15" s="89" t="s">
        <v>778</v>
      </c>
      <c r="EP15" s="89"/>
      <c r="EQ15" s="89"/>
      <c r="ER15" s="89"/>
      <c r="ES15" s="89" t="s">
        <v>777</v>
      </c>
      <c r="ET15" s="89" t="s">
        <v>778</v>
      </c>
      <c r="EU15" s="89"/>
      <c r="EV15" s="89"/>
      <c r="EW15" s="110" t="s">
        <v>612</v>
      </c>
      <c r="EX15" s="64" t="s">
        <v>774</v>
      </c>
      <c r="EY15" s="65" t="s">
        <v>533</v>
      </c>
      <c r="EZ15" s="1309" t="s">
        <v>787</v>
      </c>
      <c r="FA15" s="1041" t="s">
        <v>225</v>
      </c>
      <c r="FB15" s="750" t="s">
        <v>756</v>
      </c>
      <c r="FC15" s="750" t="s">
        <v>499</v>
      </c>
      <c r="FD15" s="242" t="s">
        <v>754</v>
      </c>
      <c r="FE15" s="242" t="s">
        <v>754</v>
      </c>
      <c r="FF15" s="242" t="s">
        <v>755</v>
      </c>
      <c r="FG15" s="242" t="s">
        <v>755</v>
      </c>
      <c r="FH15" s="274" t="s">
        <v>849</v>
      </c>
      <c r="FI15" s="270" t="s">
        <v>851</v>
      </c>
      <c r="FJ15" s="270" t="s">
        <v>849</v>
      </c>
      <c r="FK15" s="270" t="s">
        <v>875</v>
      </c>
      <c r="FL15" s="270" t="s">
        <v>242</v>
      </c>
      <c r="FM15" s="270" t="s">
        <v>243</v>
      </c>
      <c r="FN15" s="270" t="s">
        <v>875</v>
      </c>
      <c r="FO15" s="833" t="s">
        <v>875</v>
      </c>
      <c r="FP15" s="181" t="s">
        <v>756</v>
      </c>
      <c r="FQ15" s="750" t="s">
        <v>756</v>
      </c>
      <c r="FR15" s="242" t="s">
        <v>754</v>
      </c>
      <c r="FS15" s="242" t="s">
        <v>754</v>
      </c>
      <c r="FT15" s="242" t="s">
        <v>755</v>
      </c>
      <c r="FU15" s="242" t="s">
        <v>755</v>
      </c>
      <c r="FV15" s="109" t="s">
        <v>849</v>
      </c>
      <c r="FW15" s="181" t="s">
        <v>756</v>
      </c>
      <c r="FX15" s="167" t="s">
        <v>754</v>
      </c>
      <c r="FY15" s="167" t="s">
        <v>755</v>
      </c>
      <c r="FZ15" s="168" t="s">
        <v>849</v>
      </c>
      <c r="GA15" s="829" t="s">
        <v>883</v>
      </c>
      <c r="GB15" s="829" t="s">
        <v>870</v>
      </c>
      <c r="GC15" s="108" t="s">
        <v>317</v>
      </c>
      <c r="GD15" s="108" t="s">
        <v>1144</v>
      </c>
      <c r="GE15" s="270" t="str">
        <f>GD16</f>
        <v>Penalty</v>
      </c>
      <c r="GF15" s="108" t="s">
        <v>318</v>
      </c>
      <c r="GG15" s="108" t="s">
        <v>318</v>
      </c>
      <c r="GH15" s="109" t="s">
        <v>194</v>
      </c>
      <c r="GI15" s="109" t="s">
        <v>787</v>
      </c>
      <c r="GJ15" s="65" t="s">
        <v>720</v>
      </c>
      <c r="GK15" s="51" t="s">
        <v>883</v>
      </c>
      <c r="GL15" s="89" t="s">
        <v>870</v>
      </c>
      <c r="GM15" s="109" t="s">
        <v>720</v>
      </c>
      <c r="GN15" s="56" t="s">
        <v>471</v>
      </c>
      <c r="GO15" s="109" t="s">
        <v>870</v>
      </c>
      <c r="GP15" s="58" t="s">
        <v>720</v>
      </c>
      <c r="GQ15" s="176" t="s">
        <v>756</v>
      </c>
      <c r="GR15" s="167" t="s">
        <v>754</v>
      </c>
      <c r="GS15" s="167" t="s">
        <v>755</v>
      </c>
      <c r="GT15" s="168" t="s">
        <v>849</v>
      </c>
      <c r="GU15" s="181" t="s">
        <v>756</v>
      </c>
      <c r="GV15" s="167" t="s">
        <v>754</v>
      </c>
      <c r="GW15" s="167" t="s">
        <v>755</v>
      </c>
      <c r="GX15" s="167" t="s">
        <v>849</v>
      </c>
      <c r="GY15" s="167" t="s">
        <v>756</v>
      </c>
      <c r="GZ15" s="167" t="s">
        <v>754</v>
      </c>
      <c r="HA15" s="167" t="s">
        <v>755</v>
      </c>
      <c r="HB15" s="1368" t="s">
        <v>849</v>
      </c>
      <c r="HC15" s="89" t="s">
        <v>851</v>
      </c>
      <c r="HD15" s="51" t="s">
        <v>849</v>
      </c>
      <c r="HE15" s="53" t="s">
        <v>720</v>
      </c>
      <c r="HF15" s="51" t="s">
        <v>851</v>
      </c>
      <c r="HG15" s="89" t="s">
        <v>849</v>
      </c>
      <c r="HH15" s="51" t="s">
        <v>885</v>
      </c>
      <c r="HI15" s="89" t="s">
        <v>720</v>
      </c>
      <c r="HJ15" s="176" t="s">
        <v>756</v>
      </c>
      <c r="HK15" s="167" t="s">
        <v>754</v>
      </c>
      <c r="HL15" s="167" t="s">
        <v>755</v>
      </c>
      <c r="HM15" s="167" t="s">
        <v>849</v>
      </c>
      <c r="HN15" s="58" t="s">
        <v>883</v>
      </c>
      <c r="HO15" s="109" t="s">
        <v>870</v>
      </c>
      <c r="HP15" s="276" t="s">
        <v>720</v>
      </c>
      <c r="HQ15" s="241"/>
      <c r="HR15" s="771"/>
      <c r="HS15" s="764"/>
      <c r="HT15" s="824"/>
      <c r="HU15" s="764"/>
      <c r="HV15" s="764"/>
      <c r="HW15" s="1018"/>
      <c r="HX15" s="1019"/>
      <c r="HY15" s="1023"/>
      <c r="HZ15" s="1022" t="s">
        <v>223</v>
      </c>
      <c r="IA15" s="752"/>
      <c r="IB15" s="752"/>
      <c r="IC15" s="752"/>
      <c r="ID15" s="752"/>
      <c r="IE15" s="752"/>
      <c r="IF15" s="1428" t="s">
        <v>74</v>
      </c>
      <c r="IG15" s="1429"/>
      <c r="IH15" s="1430"/>
      <c r="II15" s="789" t="s">
        <v>218</v>
      </c>
      <c r="IJ15" s="272"/>
      <c r="IK15" s="272"/>
      <c r="IL15" s="1185"/>
      <c r="IO15"/>
      <c r="IP15"/>
      <c r="IS15" s="1465"/>
    </row>
    <row r="16" spans="3:253" s="770" customFormat="1" ht="13.8" thickBot="1">
      <c r="C16" s="237"/>
      <c r="D16" s="237"/>
      <c r="E16" s="772"/>
      <c r="F16" s="773">
        <f>Holiday(YEAR(H7),MONTH(H7))</f>
        <v>36519</v>
      </c>
      <c r="G16" s="774"/>
      <c r="H16" s="775"/>
      <c r="I16" s="1015" t="s">
        <v>787</v>
      </c>
      <c r="J16" s="1016"/>
      <c r="K16" s="1017"/>
      <c r="L16" s="1017"/>
      <c r="M16" s="965" t="s">
        <v>780</v>
      </c>
      <c r="N16" s="77" t="s">
        <v>834</v>
      </c>
      <c r="O16" s="77" t="s">
        <v>781</v>
      </c>
      <c r="P16" s="78" t="s">
        <v>780</v>
      </c>
      <c r="Q16" s="77" t="s">
        <v>834</v>
      </c>
      <c r="R16" s="213" t="s">
        <v>781</v>
      </c>
      <c r="S16" s="77" t="s">
        <v>780</v>
      </c>
      <c r="T16" s="77" t="s">
        <v>834</v>
      </c>
      <c r="U16" s="213" t="s">
        <v>781</v>
      </c>
      <c r="V16" s="77" t="s">
        <v>780</v>
      </c>
      <c r="W16" s="77" t="s">
        <v>834</v>
      </c>
      <c r="X16" s="966" t="s">
        <v>781</v>
      </c>
      <c r="Y16" s="79" t="s">
        <v>780</v>
      </c>
      <c r="Z16" s="79" t="s">
        <v>834</v>
      </c>
      <c r="AA16" s="80" t="s">
        <v>781</v>
      </c>
      <c r="AB16" s="81" t="s">
        <v>780</v>
      </c>
      <c r="AC16" s="79" t="s">
        <v>834</v>
      </c>
      <c r="AD16" s="80" t="s">
        <v>781</v>
      </c>
      <c r="AE16" s="81" t="s">
        <v>780</v>
      </c>
      <c r="AF16" s="79" t="s">
        <v>834</v>
      </c>
      <c r="AG16" s="80" t="s">
        <v>781</v>
      </c>
      <c r="AH16" s="81" t="s">
        <v>780</v>
      </c>
      <c r="AI16" s="79" t="s">
        <v>834</v>
      </c>
      <c r="AJ16" s="80" t="s">
        <v>781</v>
      </c>
      <c r="AK16" s="81" t="s">
        <v>780</v>
      </c>
      <c r="AL16" s="79" t="s">
        <v>834</v>
      </c>
      <c r="AM16" s="80" t="s">
        <v>781</v>
      </c>
      <c r="AN16" s="81" t="s">
        <v>780</v>
      </c>
      <c r="AO16" s="79" t="s">
        <v>834</v>
      </c>
      <c r="AP16" s="80" t="s">
        <v>781</v>
      </c>
      <c r="AQ16" s="81" t="s">
        <v>780</v>
      </c>
      <c r="AR16" s="79" t="s">
        <v>834</v>
      </c>
      <c r="AS16" s="79" t="s">
        <v>781</v>
      </c>
      <c r="AT16" s="81" t="s">
        <v>780</v>
      </c>
      <c r="AU16" s="79" t="s">
        <v>834</v>
      </c>
      <c r="AV16" s="82" t="s">
        <v>781</v>
      </c>
      <c r="AW16" s="79"/>
      <c r="AX16" s="84" t="s">
        <v>750</v>
      </c>
      <c r="AY16" s="83" t="s">
        <v>750</v>
      </c>
      <c r="AZ16" s="83" t="s">
        <v>750</v>
      </c>
      <c r="BA16" s="83"/>
      <c r="BB16" s="183"/>
      <c r="BC16" s="243"/>
      <c r="BD16" s="182">
        <v>4164422.4</v>
      </c>
      <c r="BE16" s="169">
        <v>844657.20000000205</v>
      </c>
      <c r="BF16" s="169">
        <v>948909.60000000068</v>
      </c>
      <c r="BG16" s="170">
        <v>0</v>
      </c>
      <c r="BH16" s="177"/>
      <c r="BI16" s="169"/>
      <c r="BJ16" s="169"/>
      <c r="BK16" s="170"/>
      <c r="BL16" s="177">
        <v>832884.48</v>
      </c>
      <c r="BM16" s="169">
        <v>168931.44</v>
      </c>
      <c r="BN16" s="169">
        <v>189781.92</v>
      </c>
      <c r="BO16" s="170" t="s">
        <v>787</v>
      </c>
      <c r="BP16" s="177"/>
      <c r="BQ16" s="169"/>
      <c r="BR16" s="169"/>
      <c r="BS16" s="170"/>
      <c r="BT16" s="253" t="s">
        <v>845</v>
      </c>
      <c r="BU16" s="231" t="s">
        <v>720</v>
      </c>
      <c r="BV16" s="253" t="s">
        <v>845</v>
      </c>
      <c r="BW16" s="231" t="s">
        <v>720</v>
      </c>
      <c r="BX16" s="237"/>
      <c r="BY16" s="78"/>
      <c r="BZ16" s="77"/>
      <c r="CA16" s="77"/>
      <c r="CB16" s="77"/>
      <c r="CC16" s="77" t="s">
        <v>787</v>
      </c>
      <c r="CD16" s="213"/>
      <c r="CE16" s="77"/>
      <c r="CF16" s="77"/>
      <c r="CG16" s="77"/>
      <c r="CH16" s="77"/>
      <c r="CI16" s="77" t="s">
        <v>787</v>
      </c>
      <c r="CJ16" s="213"/>
      <c r="CK16" s="77"/>
      <c r="CL16" s="77"/>
      <c r="CM16" s="77"/>
      <c r="CN16" s="77"/>
      <c r="CO16" s="77" t="s">
        <v>787</v>
      </c>
      <c r="CP16" s="77"/>
      <c r="CQ16" s="77" t="s">
        <v>748</v>
      </c>
      <c r="CR16" s="77" t="s">
        <v>777</v>
      </c>
      <c r="CS16" s="77" t="s">
        <v>778</v>
      </c>
      <c r="CT16" s="77" t="s">
        <v>720</v>
      </c>
      <c r="CU16" s="77" t="s">
        <v>720</v>
      </c>
      <c r="CV16" s="77"/>
      <c r="CW16" s="77" t="s">
        <v>774</v>
      </c>
      <c r="CX16" s="776" t="s">
        <v>774</v>
      </c>
      <c r="CY16" s="777"/>
      <c r="CZ16" s="767"/>
      <c r="DA16" s="767"/>
      <c r="DB16" s="767"/>
      <c r="DC16" s="767"/>
      <c r="DD16" s="767"/>
      <c r="DE16" s="767"/>
      <c r="DF16" s="777"/>
      <c r="DG16" s="774"/>
      <c r="DH16" s="774"/>
      <c r="DI16" s="776"/>
      <c r="DJ16" s="776"/>
      <c r="DK16" s="776"/>
      <c r="DL16" s="772"/>
      <c r="DM16" s="776"/>
      <c r="DN16" s="776"/>
      <c r="DO16" s="776"/>
      <c r="DP16" s="776"/>
      <c r="DQ16" s="776"/>
      <c r="DR16" s="772"/>
      <c r="DS16" s="776"/>
      <c r="DT16" s="776"/>
      <c r="DU16" s="776"/>
      <c r="DV16" s="776"/>
      <c r="DW16" s="776"/>
      <c r="DX16" s="77" t="s">
        <v>425</v>
      </c>
      <c r="DY16" s="77" t="s">
        <v>777</v>
      </c>
      <c r="DZ16" s="802"/>
      <c r="EA16" s="776"/>
      <c r="EB16" s="796"/>
      <c r="EC16" s="778"/>
      <c r="ED16" s="779"/>
      <c r="EE16" s="779"/>
      <c r="EF16" s="779"/>
      <c r="EG16" s="780"/>
      <c r="EH16" s="781"/>
      <c r="EI16" s="782"/>
      <c r="EJ16" s="782"/>
      <c r="EK16" s="782"/>
      <c r="EL16" s="783"/>
      <c r="EM16" s="781"/>
      <c r="EN16" s="782"/>
      <c r="EO16" s="782"/>
      <c r="EP16" s="782"/>
      <c r="EQ16" s="782"/>
      <c r="ER16" s="783"/>
      <c r="ES16" s="782"/>
      <c r="ET16" s="782"/>
      <c r="EU16" s="782"/>
      <c r="EV16" s="782"/>
      <c r="EW16" s="1212"/>
      <c r="EX16" s="1043"/>
      <c r="EY16" s="1044"/>
      <c r="EZ16" s="1310" t="s">
        <v>787</v>
      </c>
      <c r="FA16" s="1042" t="s">
        <v>862</v>
      </c>
      <c r="FB16" s="825" t="s">
        <v>498</v>
      </c>
      <c r="FC16" s="825" t="s">
        <v>500</v>
      </c>
      <c r="FD16" s="974" t="s">
        <v>498</v>
      </c>
      <c r="FE16" s="974" t="s">
        <v>500</v>
      </c>
      <c r="FF16" s="974" t="s">
        <v>498</v>
      </c>
      <c r="FG16" s="975" t="s">
        <v>500</v>
      </c>
      <c r="FH16" s="275">
        <f>SUM(FH17:FH292)</f>
        <v>0</v>
      </c>
      <c r="FI16" s="1409">
        <f>+Summary!N10</f>
        <v>26.67</v>
      </c>
      <c r="FJ16" s="1409">
        <f>+Summary!N11</f>
        <v>23.31</v>
      </c>
      <c r="FK16" s="264" t="s">
        <v>839</v>
      </c>
      <c r="FL16" s="1409">
        <f>+Summary!N12</f>
        <v>56.09</v>
      </c>
      <c r="FM16" s="1409">
        <f>+Summary!O12</f>
        <v>26.77</v>
      </c>
      <c r="FN16" s="264" t="s">
        <v>839</v>
      </c>
      <c r="FO16" s="265" t="s">
        <v>839</v>
      </c>
      <c r="FP16" s="977" t="s">
        <v>498</v>
      </c>
      <c r="FQ16" s="977" t="s">
        <v>500</v>
      </c>
      <c r="FR16" s="978" t="s">
        <v>498</v>
      </c>
      <c r="FS16" s="979" t="s">
        <v>500</v>
      </c>
      <c r="FT16" s="979" t="s">
        <v>498</v>
      </c>
      <c r="FU16" s="979" t="s">
        <v>500</v>
      </c>
      <c r="FV16" s="980">
        <f>SUM(FV17:FV292)</f>
        <v>0</v>
      </c>
      <c r="FW16" s="981">
        <f>SUM(FW17:FW292)</f>
        <v>0</v>
      </c>
      <c r="FX16" s="980">
        <f>SUM(FX17:FX292)</f>
        <v>0</v>
      </c>
      <c r="FY16" s="980">
        <f>SUM(FY17:FY292)</f>
        <v>0</v>
      </c>
      <c r="FZ16" s="982">
        <f>SUM(FZ17:FZ292)</f>
        <v>0</v>
      </c>
      <c r="GA16" s="279" t="s">
        <v>886</v>
      </c>
      <c r="GB16" s="279" t="s">
        <v>792</v>
      </c>
      <c r="GC16" s="264" t="s">
        <v>886</v>
      </c>
      <c r="GD16" s="264" t="s">
        <v>195</v>
      </c>
      <c r="GE16" s="264" t="s">
        <v>958</v>
      </c>
      <c r="GF16" s="264" t="s">
        <v>783</v>
      </c>
      <c r="GG16" s="264" t="s">
        <v>958</v>
      </c>
      <c r="GH16" s="264" t="s">
        <v>597</v>
      </c>
      <c r="GI16" s="264" t="s">
        <v>787</v>
      </c>
      <c r="GJ16" s="231" t="s">
        <v>901</v>
      </c>
      <c r="GK16" s="236" t="s">
        <v>884</v>
      </c>
      <c r="GL16" s="273" t="s">
        <v>767</v>
      </c>
      <c r="GM16" s="822" t="s">
        <v>839</v>
      </c>
      <c r="GN16" s="236" t="s">
        <v>862</v>
      </c>
      <c r="GO16" s="264" t="s">
        <v>767</v>
      </c>
      <c r="GP16" s="273" t="s">
        <v>839</v>
      </c>
      <c r="GQ16" s="177">
        <f t="shared" ref="GQ16:GW16" si="0">SUM(GQ17:GQ292)</f>
        <v>0</v>
      </c>
      <c r="GR16" s="169">
        <f t="shared" si="0"/>
        <v>0</v>
      </c>
      <c r="GS16" s="169">
        <f t="shared" si="0"/>
        <v>0</v>
      </c>
      <c r="GT16" s="170">
        <f t="shared" si="0"/>
        <v>0</v>
      </c>
      <c r="GU16" s="182">
        <f t="shared" si="0"/>
        <v>1191758.7397500011</v>
      </c>
      <c r="GV16" s="169">
        <f t="shared" si="0"/>
        <v>241842.07575000013</v>
      </c>
      <c r="GW16" s="169">
        <f t="shared" si="0"/>
        <v>268532.81775000022</v>
      </c>
      <c r="GX16" s="275" t="s">
        <v>787</v>
      </c>
      <c r="GY16" s="177">
        <f>SUM(GY17:GY292)</f>
        <v>760070.20680000039</v>
      </c>
      <c r="GZ16" s="169">
        <f>SUM(GZ17:GZ292)</f>
        <v>154258.80119999949</v>
      </c>
      <c r="HA16" s="169">
        <f>SUM(HA17:HA292)</f>
        <v>171778.87799999941</v>
      </c>
      <c r="HB16" s="275" t="s">
        <v>787</v>
      </c>
      <c r="HC16" s="273" t="s">
        <v>767</v>
      </c>
      <c r="HD16" s="236" t="s">
        <v>767</v>
      </c>
      <c r="HE16" s="822" t="s">
        <v>884</v>
      </c>
      <c r="HF16" s="273" t="s">
        <v>839</v>
      </c>
      <c r="HG16" s="273" t="s">
        <v>839</v>
      </c>
      <c r="HH16" s="236" t="s">
        <v>767</v>
      </c>
      <c r="HI16" s="273" t="s">
        <v>839</v>
      </c>
      <c r="HJ16" s="177">
        <f>SUM(HJ17:HJ292)</f>
        <v>0</v>
      </c>
      <c r="HK16" s="169">
        <f>SUM(HK17:HK292)</f>
        <v>0</v>
      </c>
      <c r="HL16" s="169">
        <f>SUM(HL17:HL292)</f>
        <v>0</v>
      </c>
      <c r="HM16" s="169">
        <f>SUM(HM17:HM292)</f>
        <v>0</v>
      </c>
      <c r="HN16" s="236" t="s">
        <v>884</v>
      </c>
      <c r="HO16" s="264" t="s">
        <v>767</v>
      </c>
      <c r="HP16" s="231" t="s">
        <v>839</v>
      </c>
      <c r="HQ16" s="803"/>
      <c r="HR16" s="279" t="s">
        <v>876</v>
      </c>
      <c r="HS16" s="236" t="s">
        <v>868</v>
      </c>
      <c r="HT16" s="822" t="s">
        <v>873</v>
      </c>
      <c r="HU16" s="236" t="s">
        <v>877</v>
      </c>
      <c r="HV16" s="236" t="s">
        <v>878</v>
      </c>
      <c r="HW16" s="236" t="s">
        <v>872</v>
      </c>
      <c r="HX16" s="264" t="s">
        <v>517</v>
      </c>
      <c r="HY16" s="231" t="s">
        <v>879</v>
      </c>
      <c r="HZ16" s="236" t="s">
        <v>249</v>
      </c>
      <c r="IA16" s="236" t="s">
        <v>250</v>
      </c>
      <c r="IB16" s="822" t="s">
        <v>248</v>
      </c>
      <c r="IC16" s="236" t="s">
        <v>888</v>
      </c>
      <c r="ID16" s="236" t="s">
        <v>880</v>
      </c>
      <c r="IE16" s="822" t="s">
        <v>881</v>
      </c>
      <c r="IF16" s="236" t="s">
        <v>469</v>
      </c>
      <c r="IG16" s="236" t="s">
        <v>467</v>
      </c>
      <c r="IH16" s="825" t="s">
        <v>468</v>
      </c>
      <c r="II16" s="236" t="s">
        <v>877</v>
      </c>
      <c r="IJ16" s="236" t="s">
        <v>209</v>
      </c>
      <c r="IK16" s="236" t="s">
        <v>882</v>
      </c>
      <c r="IL16" s="1186" t="s">
        <v>787</v>
      </c>
      <c r="IO16"/>
      <c r="IP16"/>
      <c r="IS16" s="1195"/>
    </row>
    <row r="17" spans="1:252" ht="13.8" thickBot="1">
      <c r="A17" t="str">
        <f>+D17&amp;"Q"&amp;ROUNDUP(E17/3,0)</f>
        <v>2000Q1</v>
      </c>
      <c r="B17">
        <f>YEAR(C17)</f>
        <v>2000</v>
      </c>
      <c r="C17" s="1463">
        <f>EOMONTH(H7,0)+1</f>
        <v>36526</v>
      </c>
      <c r="D17" s="115">
        <f>+YEAR(C17)</f>
        <v>2000</v>
      </c>
      <c r="E17" s="30">
        <f>MONTH(C17)</f>
        <v>1</v>
      </c>
      <c r="F17" s="247">
        <f>IF(G17="","",Holiday(D17,E17))</f>
        <v>36526</v>
      </c>
      <c r="G17" s="244">
        <v>36526</v>
      </c>
      <c r="H17" s="250">
        <v>36556</v>
      </c>
      <c r="I17" s="958">
        <v>7.1499999999999994E-2</v>
      </c>
      <c r="J17" s="36">
        <f>(1+I17/2)^(-2*(DATE(D18,E18,20)-$H$7)/365.25)</f>
        <v>0.98719600423352283</v>
      </c>
      <c r="K17" s="1035" t="e">
        <f>IF(Summary!#REF!=1,+Summary!#REF!,I17+Summary!#REF!/10000)</f>
        <v>#REF!</v>
      </c>
      <c r="L17" s="36" t="e">
        <f>(1+K17/2)^(-2*(DATE(D18,E18,20)-$H$7)/365.25)</f>
        <v>#REF!</v>
      </c>
      <c r="M17" s="1004">
        <v>0</v>
      </c>
      <c r="N17" s="1004">
        <v>0</v>
      </c>
      <c r="O17" s="1005">
        <v>0</v>
      </c>
      <c r="P17" s="1006">
        <v>0</v>
      </c>
      <c r="Q17" s="1004">
        <v>0</v>
      </c>
      <c r="R17" s="1005">
        <v>0</v>
      </c>
      <c r="S17" s="1004">
        <v>0</v>
      </c>
      <c r="T17" s="1004">
        <v>0</v>
      </c>
      <c r="U17" s="1004">
        <v>0</v>
      </c>
      <c r="V17" s="1006">
        <v>0</v>
      </c>
      <c r="W17" s="1004">
        <v>0</v>
      </c>
      <c r="X17" s="1007">
        <v>0</v>
      </c>
      <c r="Y17" s="46">
        <v>0</v>
      </c>
      <c r="Z17" s="46">
        <v>0</v>
      </c>
      <c r="AA17" s="47">
        <v>0</v>
      </c>
      <c r="AB17" s="46">
        <v>0</v>
      </c>
      <c r="AC17" s="46">
        <v>0</v>
      </c>
      <c r="AD17" s="47">
        <v>0</v>
      </c>
      <c r="AE17" s="46">
        <v>0</v>
      </c>
      <c r="AF17" s="46">
        <v>0</v>
      </c>
      <c r="AG17" s="47">
        <v>0</v>
      </c>
      <c r="AH17" s="46">
        <v>0</v>
      </c>
      <c r="AI17" s="46">
        <v>0</v>
      </c>
      <c r="AJ17" s="47">
        <v>0</v>
      </c>
      <c r="AK17" s="46">
        <v>0</v>
      </c>
      <c r="AL17" s="46">
        <v>0</v>
      </c>
      <c r="AM17" s="47">
        <v>0</v>
      </c>
      <c r="AN17" s="46">
        <v>0</v>
      </c>
      <c r="AO17" s="46">
        <v>0</v>
      </c>
      <c r="AP17" s="47">
        <v>0</v>
      </c>
      <c r="AQ17" s="46">
        <v>0</v>
      </c>
      <c r="AR17" s="46">
        <v>0</v>
      </c>
      <c r="AS17" s="47">
        <v>0</v>
      </c>
      <c r="AT17" s="46">
        <v>0</v>
      </c>
      <c r="AU17" s="46">
        <v>0</v>
      </c>
      <c r="AV17" s="46">
        <v>0</v>
      </c>
      <c r="AW17" s="179">
        <v>0</v>
      </c>
      <c r="AX17" s="216">
        <f>BB17-SUM(AY17:BA17)</f>
        <v>21</v>
      </c>
      <c r="AY17" s="41">
        <f>IF(AND($E17=MONTH(Summary!$E$24),$D17=YEAR(Summary!$E$24)),Summary!$E$25,1)*IF(G17="",0,INT((H17-MOD(H17,7)-G17)/7)+1-IF(BA17,IF(WEEKDAY(F17)=7,1,0),0))</f>
        <v>4</v>
      </c>
      <c r="AZ17" s="41">
        <f>IF(AND($E17=MONTH(Summary!$E$24),$D17=YEAR(Summary!$E$24)),Summary!$E$25,1)*IF(G17="",0,INT((H17-MOD(H17-1,7)-G17)/7)+1-IF(BA17,IF(WEEKDAY(F17)=1,1,0),0))</f>
        <v>5</v>
      </c>
      <c r="BA17" s="41">
        <v>1</v>
      </c>
      <c r="BB17" s="30">
        <f>IF(AND($E17=MONTH(Summary!$E$24),$D17=YEAR(Summary!$E$24)),Summary!$E$25,1)*IF(G17="",0,H17-G17+1)</f>
        <v>31</v>
      </c>
      <c r="BC17" s="914">
        <f>Summary!$E$19</f>
        <v>1.4999999999999999E-2</v>
      </c>
      <c r="BD17" s="92">
        <v>14893.2</v>
      </c>
      <c r="BE17" s="97">
        <v>2836.8</v>
      </c>
      <c r="BF17" s="97">
        <v>4255.2</v>
      </c>
      <c r="BG17" s="178"/>
      <c r="BH17" s="1198">
        <v>1</v>
      </c>
      <c r="BI17" s="1198">
        <v>1</v>
      </c>
      <c r="BJ17" s="1198">
        <v>1</v>
      </c>
      <c r="BK17" s="1198">
        <v>1</v>
      </c>
      <c r="BL17" s="94">
        <v>2978.64</v>
      </c>
      <c r="BM17" s="97">
        <v>567.36</v>
      </c>
      <c r="BN17" s="97">
        <v>851.04</v>
      </c>
      <c r="BO17" s="178"/>
      <c r="BP17" s="1198">
        <v>1</v>
      </c>
      <c r="BQ17" s="1199">
        <v>1</v>
      </c>
      <c r="BR17" s="1199">
        <v>1</v>
      </c>
      <c r="BS17" s="1200">
        <v>1</v>
      </c>
      <c r="BT17" s="93">
        <f>SUM(BD17:BF17)</f>
        <v>21985.200000000001</v>
      </c>
      <c r="BU17" s="232">
        <f>SUM(BD17:BG17)</f>
        <v>21985.200000000001</v>
      </c>
      <c r="BV17" s="92">
        <f>SUM(BL17:BN17)</f>
        <v>4397.04</v>
      </c>
      <c r="BW17" s="233">
        <f>SUM(BL17:BO17)</f>
        <v>4397.04</v>
      </c>
      <c r="BX17" s="88">
        <v>4.6543463381245723E-2</v>
      </c>
      <c r="BY17" s="90">
        <v>0</v>
      </c>
      <c r="BZ17" s="88">
        <v>0</v>
      </c>
      <c r="CA17" s="88">
        <v>0</v>
      </c>
      <c r="CB17" s="88">
        <v>0</v>
      </c>
      <c r="CC17" s="88">
        <v>0</v>
      </c>
      <c r="CD17" s="88">
        <v>0</v>
      </c>
      <c r="CE17" s="100">
        <v>0</v>
      </c>
      <c r="CF17" s="88">
        <v>0</v>
      </c>
      <c r="CG17" s="88">
        <v>0</v>
      </c>
      <c r="CH17" s="88">
        <v>0</v>
      </c>
      <c r="CI17" s="88">
        <v>0</v>
      </c>
      <c r="CJ17" s="228">
        <v>0</v>
      </c>
      <c r="CK17" s="88">
        <v>0</v>
      </c>
      <c r="CL17" s="88">
        <v>0</v>
      </c>
      <c r="CM17" s="88">
        <v>0</v>
      </c>
      <c r="CN17" s="88">
        <v>0</v>
      </c>
      <c r="CO17" s="88">
        <v>0</v>
      </c>
      <c r="CP17" s="88">
        <v>0</v>
      </c>
      <c r="CQ17" s="229">
        <v>0</v>
      </c>
      <c r="CR17" s="91">
        <v>0</v>
      </c>
      <c r="CS17" s="91">
        <v>0</v>
      </c>
      <c r="CT17" s="91">
        <v>0</v>
      </c>
      <c r="CU17" s="91">
        <v>0</v>
      </c>
      <c r="CV17" s="91">
        <v>0</v>
      </c>
      <c r="CW17" s="91">
        <v>0</v>
      </c>
      <c r="CX17" s="225">
        <v>0</v>
      </c>
      <c r="CY17" s="1265">
        <v>7669.8629599999995</v>
      </c>
      <c r="CZ17" s="1262">
        <v>0</v>
      </c>
      <c r="DA17" s="1263">
        <v>0</v>
      </c>
      <c r="DB17" s="1263">
        <v>0</v>
      </c>
      <c r="DC17" s="1263">
        <v>0</v>
      </c>
      <c r="DD17" s="1263">
        <v>0</v>
      </c>
      <c r="DE17" s="1556" t="s">
        <v>595</v>
      </c>
      <c r="DF17" s="230">
        <v>0</v>
      </c>
      <c r="DG17" s="38">
        <v>0</v>
      </c>
      <c r="DH17" s="1237">
        <v>0</v>
      </c>
      <c r="DI17" s="956">
        <v>0</v>
      </c>
      <c r="DJ17" s="956">
        <v>0</v>
      </c>
      <c r="DK17" s="956">
        <v>0</v>
      </c>
      <c r="DL17" s="152">
        <v>0</v>
      </c>
      <c r="DM17" s="160">
        <v>0</v>
      </c>
      <c r="DN17" s="160">
        <v>0</v>
      </c>
      <c r="DO17" s="160">
        <v>0</v>
      </c>
      <c r="DP17" s="160">
        <v>0</v>
      </c>
      <c r="DQ17" s="160">
        <v>0</v>
      </c>
      <c r="DR17" s="230">
        <v>0</v>
      </c>
      <c r="DS17" s="88">
        <v>0</v>
      </c>
      <c r="DT17" s="88">
        <v>0</v>
      </c>
      <c r="DU17" s="88">
        <v>0</v>
      </c>
      <c r="DV17" s="88">
        <v>0</v>
      </c>
      <c r="DW17" s="88">
        <v>0</v>
      </c>
      <c r="DX17" s="88">
        <v>0</v>
      </c>
      <c r="DY17" s="88">
        <v>0</v>
      </c>
      <c r="DZ17" s="88">
        <v>0</v>
      </c>
      <c r="EA17" s="88">
        <v>0</v>
      </c>
      <c r="EB17" s="152">
        <v>0</v>
      </c>
      <c r="EC17" s="52">
        <f>DS17*BD17</f>
        <v>0</v>
      </c>
      <c r="ED17" s="52">
        <f>DT17*BE17</f>
        <v>0</v>
      </c>
      <c r="EE17" s="52">
        <f>DU17*BF17</f>
        <v>0</v>
      </c>
      <c r="EF17" s="52">
        <f>DV17*BG17</f>
        <v>0</v>
      </c>
      <c r="EG17" s="52">
        <f>DS17*BD17+DT17*BE17+DU17*BF17+DV17*BG17</f>
        <v>0</v>
      </c>
      <c r="EH17" s="238">
        <v>0</v>
      </c>
      <c r="EI17" s="211">
        <v>0</v>
      </c>
      <c r="EJ17" s="211">
        <v>0</v>
      </c>
      <c r="EK17" s="211">
        <v>0</v>
      </c>
      <c r="EL17" s="217">
        <f>IF(C17&gt;=Summary!$E$26,MAX(0,SUM(EH17:EK17)),0)</f>
        <v>0</v>
      </c>
      <c r="EM17" s="52">
        <f>IF(C17&gt;=Summary!$E$26,DX17*BL17,0)</f>
        <v>0</v>
      </c>
      <c r="EN17" s="52">
        <f>IF(C17&gt;=Summary!$E$26,DY17*BM17,0)</f>
        <v>0</v>
      </c>
      <c r="EO17" s="52">
        <f>IF(C17&gt;=Summary!$E$26,DZ17*BN17,0)</f>
        <v>0</v>
      </c>
      <c r="EP17" s="52">
        <f>IF(C17&gt;=Summary!$E$26,EA17*BO17,0)</f>
        <v>0</v>
      </c>
      <c r="EQ17" s="52">
        <f>IF(C17&gt;=Summary!$E$26,DX17*BL17+DY17*BM17+DZ17*BN17+EA17*BO17,0)</f>
        <v>0</v>
      </c>
      <c r="ER17" s="826">
        <v>0</v>
      </c>
      <c r="ES17" s="278">
        <v>0</v>
      </c>
      <c r="ET17" s="278">
        <v>0</v>
      </c>
      <c r="EU17" s="278">
        <v>0</v>
      </c>
      <c r="EV17" s="1300">
        <f>IF(C17&gt;=Summary!$E$26,MAX(0,SUM(ER17:EU17)),0)</f>
        <v>0</v>
      </c>
      <c r="EW17" s="92"/>
      <c r="EX17" s="826">
        <f>(EQ17-EV17)+IF(EZ17="Yes",(EG17-EL17),0)</f>
        <v>0</v>
      </c>
      <c r="EY17" s="278" t="str">
        <f>IF(EX17,EX17/EQ17,"")</f>
        <v/>
      </c>
      <c r="EZ17" s="1684" t="s">
        <v>525</v>
      </c>
      <c r="FA17" s="1046">
        <f>Summary!O14</f>
        <v>45</v>
      </c>
      <c r="FB17" s="1047">
        <f>IF(EZ17="No",IF((OR(MONTH(C17)=5,MONTH(C17)=6,MONTH(C17)=7,MONTH(C17)=8,MONTH(C17)=9)),$FA17*12*AX17*(1-$BC17),$FA17*10*AX17*(1-$BC17)),0)</f>
        <v>9308.25</v>
      </c>
      <c r="FC17" s="934">
        <f>IF(EZ17="No",IF((OR(MONTH(C17)=5,MONTH(C17)=6,MONTH(C17)=7,MONTH(C17)=8,MONTH(C17)=9)),0,$FA17*3*AX17*(1-$BC17)),0)</f>
        <v>2792.4749999999999</v>
      </c>
      <c r="FD17" s="934">
        <f>IF(EZ17="No",IF((OR(MONTH(C17)=5,MONTH(C17)=6,MONTH(C17)=7,MONTH(C17)=8,MONTH(C17)=9)),$FA17*12*AY17*(1-$BC17),$FA17*10*AY17*(1-$BC17)),0)</f>
        <v>1773</v>
      </c>
      <c r="FE17" s="934">
        <f>IF(EZ17="No",IF((OR(MONTH(C17)=5,MONTH(C17)=6,MONTH(C17)=7,MONTH(C17)=8,MONTH(C17)=9)),0,$FA17*3*AY17*(1-$BC17)),0)</f>
        <v>531.9</v>
      </c>
      <c r="FF17" s="934">
        <f>IF(EZ17="No",IF((OR(MONTH(C17)=5,MONTH(C17)=6,MONTH(C17)=7,MONTH(C17)=8,MONTH(C17)=9)),$FA17*12*(AZ17+BA17)*(1-$BC17),$FA17*10*(AZ17+BA17)*(1-$BC17)),0)</f>
        <v>2659.5</v>
      </c>
      <c r="FG17" s="934">
        <f>IF(EZ17="No",IF((OR(MONTH(C17)=5,MONTH(C17)=6,MONTH(C17)=7,MONTH(C17)=8,MONTH(C17)=9)),0,$FA17*3*(AZ17+BA17)*(1-$BC17)),0)</f>
        <v>797.85</v>
      </c>
      <c r="FH17" s="1048">
        <f>IF(EZ17="No",IF((OR(MONTH(C17)=5,MONTH(C17)=6,MONTH(C17)=7,MONTH(C17)=8,MONTH(C17)=9)),Summary!$O$15*12*(AX17+AY17+AZ17+BA17)*(1-$BC17),Summary!$O$15*13*(AX17+AY17+AZ17+BA17)*(1-$BC17)+IF(Summary!$O$16="Yes",(CALC!FA17+Summary!$O$15)*6*(AX17+AY17+AZ17+BA17)*(1-$BC17),0)),0)</f>
        <v>0</v>
      </c>
      <c r="FI17" s="1410">
        <f>IF(MONTH(C17)=5,FI16*(IF(Summary!$E$70="no",(1+(Summary!$E$71*0.8)),1+HLOOKUP(YEAR(C17)-1,CCFMODEL!$I$127:$AF$128,2)*0.8)),+FI16)</f>
        <v>26.67</v>
      </c>
      <c r="FJ17" s="1411">
        <f>IF(MONTH(C17)=5,FJ16*(IF(Summary!$E$70="no",(1+(Summary!$E$71*0.8)),1+HLOOKUP(YEAR(CALC!C17)-1,CCFMODEL!$I$127:$AF$128,2)*0.8)),FJ16)</f>
        <v>23.31</v>
      </c>
      <c r="FK17" s="832">
        <f t="shared" ref="FK17:FK80" si="1">SUM(FB17:FG17)*FI17+FH17*FJ17</f>
        <v>476405.54324999999</v>
      </c>
      <c r="FL17" s="1410">
        <f>IF(MONTH(C17)=5,FL16*(IF(Summary!$E$70="no",(1+(Summary!$E$71*0.8)),1+HLOOKUP(YEAR(CALC!C17)-1,CCFMODEL!$I$127:$AF$128,2)*0.8)),+FL16)</f>
        <v>56.09</v>
      </c>
      <c r="FM17" s="1411">
        <f>IF(MONTH(C17)=5,FM16*(IF(Summary!$E$70="no",(1+(Summary!$E$71*0.8)),1+HLOOKUP(YEAR(CALC!C17)-1,CCFMODEL!$I$127:$AF$128,2)*0.8)),+FM16)</f>
        <v>26.77</v>
      </c>
      <c r="FN17" s="832">
        <f t="shared" ref="FN17:FN80" si="2">IF((OR(MONTH(C17)=5,MONTH(C17)=6,MONTH(C17)=7,MONTH(C17)=8,MONTH(C17)=9)),SUM(FB17:FG17)/(1-BC17)*FL17,SUM(FB17:FG17)/(1-BC17)*FM17)</f>
        <v>485473.95</v>
      </c>
      <c r="FO17" s="194">
        <f>FK17+FN17</f>
        <v>961879.49325000006</v>
      </c>
      <c r="FP17" s="933">
        <f t="shared" ref="FP17:FV32" si="3">FB17</f>
        <v>9308.25</v>
      </c>
      <c r="FQ17" s="934">
        <f t="shared" si="3"/>
        <v>2792.4749999999999</v>
      </c>
      <c r="FR17" s="934">
        <f t="shared" si="3"/>
        <v>1773</v>
      </c>
      <c r="FS17" s="934">
        <f t="shared" si="3"/>
        <v>531.9</v>
      </c>
      <c r="FT17" s="934">
        <f t="shared" si="3"/>
        <v>2659.5</v>
      </c>
      <c r="FU17" s="934">
        <f t="shared" si="3"/>
        <v>797.85</v>
      </c>
      <c r="FV17" s="932">
        <f t="shared" si="3"/>
        <v>0</v>
      </c>
      <c r="FW17" s="219">
        <f t="shared" ref="FW17:FW80" si="4">IF(ER17&gt;0,MIN(FB17-FP17,BL17),0)</f>
        <v>0</v>
      </c>
      <c r="FX17" s="219">
        <f t="shared" ref="FX17:FX80" si="5">IF(ES17&gt;0,MIN(FD17-FR17,BM17),0)</f>
        <v>0</v>
      </c>
      <c r="FY17" s="219">
        <f t="shared" ref="FY17:FY80" si="6">IF(ET17&gt;0,MIN(FF17-FT17,BN17),0)</f>
        <v>0</v>
      </c>
      <c r="FZ17" s="218">
        <f t="shared" ref="FZ17:FZ80" si="7">IF(EU17&gt;0,MIN(FH17-FV17,BO17),0)</f>
        <v>0</v>
      </c>
      <c r="GA17" s="1293">
        <f>(SUM(FP17:FV17)+SUM(GU17:HB17)/(1-Summary!$O$25))*CY17/1000</f>
        <v>137006.57030790596</v>
      </c>
      <c r="GB17" s="1369">
        <f>IF($C17&lt;Summary!$M$81,+Summary!$O$81,VLOOKUP(C17,GasTable,19))</f>
        <v>2.0449999999999999</v>
      </c>
      <c r="GC17" s="1370">
        <f>IF(H17&lt;=Summary!$N$84,MIN(GA17,Summary!$O$75*(H17-G17+1)),0)</f>
        <v>137006.57030790596</v>
      </c>
      <c r="GD17" s="1371">
        <f>IF(Summary!$O$75*(H17-G17+1)*0.8&gt;GC17,1,0)</f>
        <v>0</v>
      </c>
      <c r="GE17" s="1372">
        <v>0</v>
      </c>
      <c r="GF17" s="1370">
        <f t="shared" ref="GF17:GF81" si="8">ABS(MIN(0,GC17-$GA17))</f>
        <v>0</v>
      </c>
      <c r="GG17" s="1371">
        <f>GF17*(IF(Summary!$O$74=1,VLOOKUP($C17,GasTable,16)+Summary!$O$92+Summary!$O$93,VLOOKUP($C17,GasTable,19)+Summary!$O$92+Summary!$O$93))</f>
        <v>0</v>
      </c>
      <c r="GH17" s="1373">
        <v>12679</v>
      </c>
      <c r="GI17" s="1466">
        <v>0</v>
      </c>
      <c r="GJ17" s="1374">
        <f>+GB17*GC17+GE17+GG17+GH17-GI17</f>
        <v>292857.43627966766</v>
      </c>
      <c r="GK17" s="189">
        <f t="shared" ref="GK17:GK80" si="9">SUM(FP17:FV17,GU17:GX17,GY17:HB17)</f>
        <v>17862.974999999999</v>
      </c>
      <c r="GL17" s="266">
        <v>0.75318054267199996</v>
      </c>
      <c r="GM17" s="255">
        <f t="shared" ref="GM17:GM80" si="10">IF(GK17&gt;GC17/(CY17/1000),GC17/(CY17/1000),+GK17)*GL17</f>
        <v>13454.045204236367</v>
      </c>
      <c r="GN17" s="189">
        <f>IF(SUM(GU17:HB17)=0,0,IF(Summary!$O$16="Yes",SUM(GX17:HB17),IF(Summary!$O$17="Yes",SUM(GY17:HB17),SUM(GU17:HB17))))</f>
        <v>0</v>
      </c>
      <c r="GO17" s="203">
        <v>5.5522262773722622</v>
      </c>
      <c r="GP17" s="258">
        <f>GN17*GO17</f>
        <v>0</v>
      </c>
      <c r="GQ17" s="189"/>
      <c r="GR17" s="189"/>
      <c r="GS17" s="189"/>
      <c r="GT17" s="189"/>
      <c r="GU17" s="267">
        <v>0</v>
      </c>
      <c r="GV17" s="189">
        <v>0</v>
      </c>
      <c r="GW17" s="189">
        <v>0</v>
      </c>
      <c r="GX17" s="271"/>
      <c r="GY17" s="219">
        <v>0</v>
      </c>
      <c r="GZ17" s="219">
        <v>0</v>
      </c>
      <c r="HA17" s="219">
        <v>0</v>
      </c>
      <c r="HB17" s="271"/>
      <c r="HC17" s="189">
        <v>0</v>
      </c>
      <c r="HD17" s="189"/>
      <c r="HE17" s="189">
        <v>0</v>
      </c>
      <c r="HF17" s="189">
        <v>0</v>
      </c>
      <c r="HG17" s="189"/>
      <c r="HH17" s="262">
        <v>0</v>
      </c>
      <c r="HI17" s="219">
        <v>0</v>
      </c>
      <c r="HJ17" s="267">
        <f t="shared" ref="HJ17:HJ80" si="11">MAX(FB17-FP17-FW17,0)</f>
        <v>0</v>
      </c>
      <c r="HK17" s="219">
        <f t="shared" ref="HK17:HK80" si="12">MAX(FD17-FR17-FX17,0)</f>
        <v>0</v>
      </c>
      <c r="HL17" s="219">
        <f t="shared" ref="HL17:HL80" si="13">MAX(FF17-FT17-FY17,0)</f>
        <v>0</v>
      </c>
      <c r="HM17" s="271">
        <f t="shared" ref="HM17:HM80" si="14">MAX(FH17-FV17-FZ17,0)</f>
        <v>0</v>
      </c>
      <c r="HN17" s="219">
        <f t="shared" ref="HN17:HN80" si="15">SUM(HJ17:HM17)</f>
        <v>0</v>
      </c>
      <c r="HO17" s="262">
        <f>IF(ISERROR(+HP17/HN17),0,+HP17/HN17)</f>
        <v>0</v>
      </c>
      <c r="HP17" s="218">
        <f t="shared" ref="HP17:HP80" si="16">(HJ17*CE17+HK17*CF17+HL17*CG17+HM17*CH17)</f>
        <v>0</v>
      </c>
      <c r="HQ17" s="804">
        <v>1999</v>
      </c>
      <c r="HR17" s="267">
        <f>SUMIF($D$17:$D$292,HQ17,$FB$17:$FB$292)+SUMIF($D$17:$D$292,HQ17,$FC$17:$FC$292)+SUMIF($D$17:$D$292,HQ17,$FD$17:$FD$292)+SUMIF($D$17:$D$292,HQ17,$FE$17:$FE$292)+SUMIF($D$17:$D$292,HQ17,$FF$17:$FF$292)+SUMIF($D$17:$D$292,HQ17,$FG$17:$FG$292)+SUMIF($D$17:$D$292,HQ17,$FH$17:$FH$292)</f>
        <v>0</v>
      </c>
      <c r="HS17" s="277">
        <f>IF(HT17=0,0,HT17/HR17)</f>
        <v>0</v>
      </c>
      <c r="HT17" s="271">
        <f t="shared" ref="HT17:HT40" si="17">SUMIF($D$17:$D$292,HQ17,$FO$17:$FO$292)</f>
        <v>0</v>
      </c>
      <c r="HU17" s="834">
        <f>SUMIF($D$17:$D$292,HQ17,$HE$17:$HE$292)</f>
        <v>0</v>
      </c>
      <c r="HV17" s="262">
        <f>+IF(HU17&gt;0,HW17/HU17,0)</f>
        <v>0</v>
      </c>
      <c r="HW17" s="219">
        <f>SUMIF($D$17:$D$292,HQ17,$HI$17:$HI$292)</f>
        <v>0</v>
      </c>
      <c r="HX17" s="1020">
        <v>0</v>
      </c>
      <c r="HY17" s="218">
        <f>HT17+HW17+HX17</f>
        <v>0</v>
      </c>
      <c r="HZ17" s="268">
        <f>SUMIF($D$17:$D$292,HQ17,$GA$17:$GA$292)</f>
        <v>0</v>
      </c>
      <c r="IA17" s="203">
        <f>IF(IB17=0,0,IB17/HZ17)</f>
        <v>0</v>
      </c>
      <c r="IB17" s="255">
        <f>-SUMIF($D$17:$D$292,HQ17,$GJ$17:$GJ$292)</f>
        <v>0</v>
      </c>
      <c r="IC17" s="254">
        <f>SUMIF($D$17:$D$292,HQ17,$GK$17:$GK$292)</f>
        <v>0</v>
      </c>
      <c r="ID17" s="203">
        <f>IF(IE17=0,0,IE17/IC17)</f>
        <v>0</v>
      </c>
      <c r="IE17" s="255">
        <f t="shared" ref="IE17:IE40" si="18">-SUMIF($D$17:$D$292,HQ17,$GM$17:$GM$292)</f>
        <v>0</v>
      </c>
      <c r="IF17" s="254">
        <f t="shared" ref="IF17:IF40" si="19">SUMIF($D$17:$D$292,HQ17,$GN$17:$GN$292)</f>
        <v>0</v>
      </c>
      <c r="IG17" s="203">
        <f>IF(IH17=0,0,IH17/IF17)</f>
        <v>0</v>
      </c>
      <c r="IH17" s="255">
        <f>-SUMIF($D$17:$D$292,HQ17,$GP$17:$GP$292)</f>
        <v>0</v>
      </c>
      <c r="II17" s="189">
        <f t="shared" ref="II17:II40" si="20">SUMIF($D$17:$D$292,HQ17,$HN$17:$HN$292)</f>
        <v>0</v>
      </c>
      <c r="IJ17" s="203">
        <f>IF(IK17=0,0,IK17/II17)</f>
        <v>0</v>
      </c>
      <c r="IK17" s="189">
        <f t="shared" ref="IK17:IK40" si="21">-SUMIF($D$17:$D$292,HQ17,$HP$17:$HP$292)</f>
        <v>0</v>
      </c>
      <c r="IL17" s="1182">
        <f t="shared" ref="IL17:IL40" si="22">HY17+IB17+IE17+IH17</f>
        <v>0</v>
      </c>
      <c r="IN17" s="1307"/>
      <c r="IO17" s="1307"/>
      <c r="IR17" s="223"/>
    </row>
    <row r="18" spans="1:252" ht="13.8" thickBot="1">
      <c r="A18" t="str">
        <f t="shared" ref="A18:A81" si="23">+D18&amp;"Q"&amp;ROUNDUP(E18/3,0)</f>
        <v>2000Q1</v>
      </c>
      <c r="B18">
        <f t="shared" ref="B18:B81" si="24">YEAR(C18)</f>
        <v>2000</v>
      </c>
      <c r="C18" s="49">
        <f t="shared" ref="C18:C81" si="25">EOMONTH(C17,0)+1</f>
        <v>36557</v>
      </c>
      <c r="D18" s="115">
        <f t="shared" ref="D18:D81" si="26">+YEAR(C18)</f>
        <v>2000</v>
      </c>
      <c r="E18" s="10">
        <f>MONTH(C18)</f>
        <v>2</v>
      </c>
      <c r="F18" s="248" t="str">
        <f>IF(G18="","",Holiday(D18,E18))</f>
        <v/>
      </c>
      <c r="G18" s="245">
        <v>36557</v>
      </c>
      <c r="H18" s="251">
        <v>36585</v>
      </c>
      <c r="I18" s="959">
        <f>I17</f>
        <v>7.1499999999999994E-2</v>
      </c>
      <c r="J18" s="37">
        <f t="shared" ref="J18:J81" si="27">(1+I18/2)^(-2*(DATE(D19,E19,20)-$H$7)/365.25)</f>
        <v>0.98170493698463157</v>
      </c>
      <c r="K18" s="1036" t="e">
        <f>IF(Summary!#REF!=1,+Summary!#REF!,I18+Summary!#REF!/10000)</f>
        <v>#REF!</v>
      </c>
      <c r="L18" s="37" t="e">
        <f t="shared" ref="L18:L81" si="28">(1+K18/2)^(-2*(DATE(D19,E19,20)-$H$7)/365.25)</f>
        <v>#REF!</v>
      </c>
      <c r="M18" s="1004">
        <v>0</v>
      </c>
      <c r="N18" s="138">
        <v>0</v>
      </c>
      <c r="O18" s="139">
        <v>0</v>
      </c>
      <c r="P18" s="163">
        <v>0</v>
      </c>
      <c r="Q18" s="138">
        <v>0</v>
      </c>
      <c r="R18" s="139">
        <v>0</v>
      </c>
      <c r="S18" s="138">
        <v>0</v>
      </c>
      <c r="T18" s="138">
        <v>0</v>
      </c>
      <c r="U18" s="138">
        <v>0</v>
      </c>
      <c r="V18" s="163">
        <v>0</v>
      </c>
      <c r="W18" s="138">
        <v>0</v>
      </c>
      <c r="X18" s="1008">
        <v>0</v>
      </c>
      <c r="Y18" s="46">
        <v>0</v>
      </c>
      <c r="Z18" s="46">
        <v>0</v>
      </c>
      <c r="AA18" s="47">
        <v>0</v>
      </c>
      <c r="AB18" s="46">
        <v>0</v>
      </c>
      <c r="AC18" s="46">
        <v>0</v>
      </c>
      <c r="AD18" s="47">
        <v>0</v>
      </c>
      <c r="AE18" s="46">
        <v>0</v>
      </c>
      <c r="AF18" s="46">
        <v>0</v>
      </c>
      <c r="AG18" s="47">
        <v>0</v>
      </c>
      <c r="AH18" s="46">
        <v>0</v>
      </c>
      <c r="AI18" s="46">
        <v>0</v>
      </c>
      <c r="AJ18" s="47">
        <v>0</v>
      </c>
      <c r="AK18" s="46">
        <v>0</v>
      </c>
      <c r="AL18" s="46">
        <v>0</v>
      </c>
      <c r="AM18" s="47">
        <v>0</v>
      </c>
      <c r="AN18" s="46">
        <v>0</v>
      </c>
      <c r="AO18" s="46">
        <v>0</v>
      </c>
      <c r="AP18" s="47">
        <v>0</v>
      </c>
      <c r="AQ18" s="46">
        <v>0</v>
      </c>
      <c r="AR18" s="46">
        <v>0</v>
      </c>
      <c r="AS18" s="47">
        <v>0</v>
      </c>
      <c r="AT18" s="46">
        <v>0</v>
      </c>
      <c r="AU18" s="46">
        <v>0</v>
      </c>
      <c r="AV18" s="46">
        <v>0</v>
      </c>
      <c r="AW18" s="1544">
        <v>0</v>
      </c>
      <c r="AX18" s="10">
        <f>BB18-SUM(AY18:BA18)</f>
        <v>21</v>
      </c>
      <c r="AY18" s="42">
        <f>IF(AND($E18=MONTH(Summary!$E$24),$D18=YEAR(Summary!$E$24)),Summary!$E$25,1)*IF(G18="",0,INT((H18-MOD(H18,7)-G18)/7)+1-IF(BA18,IF(WEEKDAY(F18)=7,1,0),0))</f>
        <v>4</v>
      </c>
      <c r="AZ18" s="42">
        <f>IF(AND($E18=MONTH(Summary!$E$24),$D18=YEAR(Summary!$E$24)),Summary!$E$25,1)*IF(G18="",0,INT((H18-MOD(H18-1,7)-G18)/7)+1-IF(BA18,IF(WEEKDAY(F18)=1,1,0),0))</f>
        <v>4</v>
      </c>
      <c r="BA18" s="42">
        <v>0</v>
      </c>
      <c r="BB18" s="10">
        <f>IF(AND($E18=MONTH(Summary!$E$24),$D18=YEAR(Summary!$E$24)),Summary!$E$25,1)*IF(G18="",0,H18-G18+1)</f>
        <v>29</v>
      </c>
      <c r="BC18" s="914">
        <f>Summary!$E$19</f>
        <v>1.4999999999999999E-2</v>
      </c>
      <c r="BD18" s="92">
        <v>14893.2</v>
      </c>
      <c r="BE18" s="97">
        <v>2836.8</v>
      </c>
      <c r="BF18" s="97">
        <v>2836.8</v>
      </c>
      <c r="BG18" s="173"/>
      <c r="BH18" s="1198">
        <v>1</v>
      </c>
      <c r="BI18" s="1198">
        <v>1</v>
      </c>
      <c r="BJ18" s="1198">
        <v>1</v>
      </c>
      <c r="BK18" s="1198">
        <v>1</v>
      </c>
      <c r="BL18" s="94">
        <v>2978.64</v>
      </c>
      <c r="BM18" s="97">
        <v>567.36</v>
      </c>
      <c r="BN18" s="97">
        <v>567.36</v>
      </c>
      <c r="BO18" s="173"/>
      <c r="BP18" s="1198">
        <v>1</v>
      </c>
      <c r="BQ18" s="1199">
        <v>1</v>
      </c>
      <c r="BR18" s="1199">
        <v>1</v>
      </c>
      <c r="BS18" s="1200">
        <v>1</v>
      </c>
      <c r="BT18" s="94">
        <f t="shared" ref="BT18:BT81" si="29">SUM(BD18:BF18)</f>
        <v>20566.8</v>
      </c>
      <c r="BU18" s="233">
        <f t="shared" ref="BU18:BU81" si="30">SUM(BD18:BG18)</f>
        <v>20566.8</v>
      </c>
      <c r="BV18" s="92">
        <f t="shared" ref="BV18:BV81" si="31">SUM(BL18:BN18)</f>
        <v>4113.3599999999997</v>
      </c>
      <c r="BW18" s="233">
        <f t="shared" ref="BW18:BW81" si="32">SUM(BL18:BO18)</f>
        <v>4113.3599999999997</v>
      </c>
      <c r="BX18" s="88">
        <v>0.13141683778234087</v>
      </c>
      <c r="BY18" s="90">
        <v>0</v>
      </c>
      <c r="BZ18" s="88">
        <v>0</v>
      </c>
      <c r="CA18" s="88">
        <v>0</v>
      </c>
      <c r="CB18" s="88">
        <v>0</v>
      </c>
      <c r="CC18" s="88">
        <v>0</v>
      </c>
      <c r="CD18" s="88">
        <v>0</v>
      </c>
      <c r="CE18" s="100">
        <v>0</v>
      </c>
      <c r="CF18" s="88">
        <v>0</v>
      </c>
      <c r="CG18" s="88">
        <v>0</v>
      </c>
      <c r="CH18" s="88">
        <v>0</v>
      </c>
      <c r="CI18" s="88">
        <v>0</v>
      </c>
      <c r="CJ18" s="228">
        <v>0</v>
      </c>
      <c r="CK18" s="88">
        <v>0</v>
      </c>
      <c r="CL18" s="88">
        <v>0</v>
      </c>
      <c r="CM18" s="88">
        <v>0</v>
      </c>
      <c r="CN18" s="88">
        <v>0</v>
      </c>
      <c r="CO18" s="88">
        <v>0</v>
      </c>
      <c r="CP18" s="88">
        <v>0</v>
      </c>
      <c r="CQ18" s="229">
        <v>0</v>
      </c>
      <c r="CR18" s="91">
        <v>0</v>
      </c>
      <c r="CS18" s="91">
        <v>0</v>
      </c>
      <c r="CT18" s="91">
        <v>0</v>
      </c>
      <c r="CU18" s="91">
        <v>0</v>
      </c>
      <c r="CV18" s="91">
        <v>0</v>
      </c>
      <c r="CW18" s="91">
        <v>0</v>
      </c>
      <c r="CX18" s="225">
        <v>0</v>
      </c>
      <c r="CY18" s="1265">
        <v>7671.8172800000002</v>
      </c>
      <c r="CZ18" s="90">
        <v>0</v>
      </c>
      <c r="DA18" s="88">
        <v>0</v>
      </c>
      <c r="DB18" s="88">
        <v>0</v>
      </c>
      <c r="DC18" s="88">
        <v>0</v>
      </c>
      <c r="DD18" s="88">
        <v>0</v>
      </c>
      <c r="DE18" s="152">
        <v>0</v>
      </c>
      <c r="DF18" s="230">
        <v>0</v>
      </c>
      <c r="DG18" s="38">
        <v>0</v>
      </c>
      <c r="DH18" s="1237">
        <v>0</v>
      </c>
      <c r="DI18" s="956">
        <v>0</v>
      </c>
      <c r="DJ18" s="956">
        <v>0</v>
      </c>
      <c r="DK18" s="956">
        <v>0</v>
      </c>
      <c r="DL18" s="152">
        <v>0</v>
      </c>
      <c r="DM18" s="160">
        <v>0</v>
      </c>
      <c r="DN18" s="160">
        <v>0</v>
      </c>
      <c r="DO18" s="160">
        <v>0</v>
      </c>
      <c r="DP18" s="160">
        <v>0</v>
      </c>
      <c r="DQ18" s="160">
        <v>0</v>
      </c>
      <c r="DR18" s="230">
        <v>0</v>
      </c>
      <c r="DS18" s="88">
        <v>0</v>
      </c>
      <c r="DT18" s="88">
        <v>0</v>
      </c>
      <c r="DU18" s="88">
        <v>0</v>
      </c>
      <c r="DV18" s="88">
        <v>0</v>
      </c>
      <c r="DW18" s="88">
        <v>0</v>
      </c>
      <c r="DX18" s="88">
        <v>0</v>
      </c>
      <c r="DY18" s="88">
        <v>0</v>
      </c>
      <c r="DZ18" s="88">
        <v>0</v>
      </c>
      <c r="EA18" s="88">
        <v>0</v>
      </c>
      <c r="EB18" s="152">
        <v>0</v>
      </c>
      <c r="EC18" s="52">
        <f t="shared" ref="EC18:EF81" si="33">DS18*BD18</f>
        <v>0</v>
      </c>
      <c r="ED18" s="52">
        <f t="shared" si="33"/>
        <v>0</v>
      </c>
      <c r="EE18" s="52">
        <f t="shared" si="33"/>
        <v>0</v>
      </c>
      <c r="EF18" s="52">
        <f t="shared" si="33"/>
        <v>0</v>
      </c>
      <c r="EG18" s="52">
        <f t="shared" ref="EG18:EG81" si="34">DS18*BD18+DT18*BE18+DU18*BF18+DV18*BG18</f>
        <v>0</v>
      </c>
      <c r="EH18" s="238">
        <v>0</v>
      </c>
      <c r="EI18" s="211">
        <v>0</v>
      </c>
      <c r="EJ18" s="211">
        <v>0</v>
      </c>
      <c r="EK18" s="211">
        <v>0</v>
      </c>
      <c r="EL18" s="217">
        <f>IF(C18&gt;=Summary!$E$26,MAX(0,SUM(EH18:EK18)),0)</f>
        <v>0</v>
      </c>
      <c r="EM18" s="52">
        <f>IF(C18&gt;=Summary!$E$26,DX18*BL18,0)</f>
        <v>0</v>
      </c>
      <c r="EN18" s="52">
        <f>IF(C18&gt;=Summary!$E$26,DY18*BM18,0)</f>
        <v>0</v>
      </c>
      <c r="EO18" s="52">
        <f>IF(C18&gt;=Summary!$E$26,DZ18*BN18,0)</f>
        <v>0</v>
      </c>
      <c r="EP18" s="52">
        <f>IF(C18&gt;=Summary!$E$26,EA18*BO18,0)</f>
        <v>0</v>
      </c>
      <c r="EQ18" s="52">
        <f>IF(C18&gt;=Summary!$E$26,DX18*BL18+DY18*BM18+DZ18*BN18+EA18*BO18,0)</f>
        <v>0</v>
      </c>
      <c r="ER18" s="826">
        <v>0</v>
      </c>
      <c r="ES18" s="278">
        <v>0</v>
      </c>
      <c r="ET18" s="278">
        <v>0</v>
      </c>
      <c r="EU18" s="278">
        <v>0</v>
      </c>
      <c r="EV18" s="212">
        <f>IF(C18&gt;=Summary!$E$26,MAX(0,SUM(ER18:EU18)),0)</f>
        <v>0</v>
      </c>
      <c r="EW18" s="52"/>
      <c r="EX18" s="1049">
        <f t="shared" ref="EX18:EX81" si="35">(EQ18-EV18)+IF(EZ18="Yes",(EG18-EL18),0)</f>
        <v>0</v>
      </c>
      <c r="EY18" s="1045" t="str">
        <f t="shared" ref="EY18:EY81" si="36">IF(EX18,EX18/EQ18,"")</f>
        <v/>
      </c>
      <c r="EZ18" s="1684" t="s">
        <v>525</v>
      </c>
      <c r="FA18" s="1046">
        <f>FA17</f>
        <v>45</v>
      </c>
      <c r="FB18" s="256">
        <f t="shared" ref="FB18:FB81" si="37">IF(EZ18="No",IF((OR(MONTH(C18)=5,MONTH(C18)=6,MONTH(C18)=7,MONTH(C18)=8,MONTH(C18)=9)),$FA18*12*AX18*(1-$BC18),$FA18*10*AX18*(1-$BC18)),0)</f>
        <v>9308.25</v>
      </c>
      <c r="FC18" s="194">
        <f t="shared" ref="FC18:FC81" si="38">IF(EZ18="No",IF((OR(MONTH(C18)=5,MONTH(C18)=6,MONTH(C18)=7,MONTH(C18)=8,MONTH(C18)=9)),0,$FA18*3*AX18*(1-$BC18)),0)</f>
        <v>2792.4749999999999</v>
      </c>
      <c r="FD18" s="194">
        <f t="shared" ref="FD18:FD81" si="39">IF(EZ18="No",IF((OR(MONTH(C18)=5,MONTH(C18)=6,MONTH(C18)=7,MONTH(C18)=8,MONTH(C18)=9)),$FA18*12*AY18*(1-$BC18),$FA18*10*AY18*(1-$BC18)),0)</f>
        <v>1773</v>
      </c>
      <c r="FE18" s="194">
        <f t="shared" ref="FE18:FE81" si="40">IF(EZ18="No",IF((OR(MONTH(C18)=5,MONTH(C18)=6,MONTH(C18)=7,MONTH(C18)=8,MONTH(C18)=9)),0,$FA18*3*AY18*(1-$BC18)),0)</f>
        <v>531.9</v>
      </c>
      <c r="FF18" s="194">
        <f t="shared" ref="FF18:FF81" si="41">IF(EZ18="No",IF((OR(MONTH(C18)=5,MONTH(C18)=6,MONTH(C18)=7,MONTH(C18)=8,MONTH(C18)=9)),$FA18*12*(AZ18+BA18)*(1-$BC18),$FA18*10*(AZ18+BA18)*(1-$BC18)),0)</f>
        <v>1773</v>
      </c>
      <c r="FG18" s="194">
        <f t="shared" ref="FG18:FG81" si="42">IF(EZ18="No",IF((OR(MONTH(C18)=5,MONTH(C18)=6,MONTH(C18)=7,MONTH(C18)=8,MONTH(C18)=9)),0,$FA18*3*(AZ18+BA18)*(1-$BC18)),0)</f>
        <v>531.9</v>
      </c>
      <c r="FH18" s="1227">
        <f>IF(EZ18="No",IF((OR(MONTH(C18)=5,MONTH(C18)=6,MONTH(C18)=7,MONTH(C18)=8,MONTH(C18)=9)),Summary!$O$15*12*(AX18+AY18+AZ18+BA18)*(1-$BC18),Summary!$O$15*13*(AX18+AY18+AZ18+BA18)*(1-$BC18)+IF(Summary!$O$16="Yes",(CALC!FA18+Summary!$O$15)*6*(AX18+AY18+AZ18+BA18)*(1-$BC18),0)),0)</f>
        <v>0</v>
      </c>
      <c r="FI18" s="1410">
        <f>IF(MONTH(C18)=5,FI17*(IF(Summary!$E$70="no",(1+(Summary!$E$71*0.8)),1+HLOOKUP(YEAR(C18)-1,CCFMODEL!$I$127:$AF$128,2)*0.8)),+FI17)</f>
        <v>26.67</v>
      </c>
      <c r="FJ18" s="1411">
        <f>IF(MONTH(C18)=5,FJ17*(IF(Summary!$E$70="no",(1+(Summary!$E$71*0.8)),1+HLOOKUP(YEAR(CALC!C18)-1,CCFMODEL!$I$127:$AF$128,2)*0.8)),FJ17)</f>
        <v>23.31</v>
      </c>
      <c r="FK18" s="832">
        <f t="shared" si="1"/>
        <v>445669.70175000007</v>
      </c>
      <c r="FL18" s="1410">
        <f>IF(MONTH(C18)=5,FL17*(IF(Summary!$E$70="no",(1+(Summary!$E$71*0.8)),1+HLOOKUP(YEAR(CALC!C18)-1,CCFMODEL!$I$127:$AF$128,2)*0.8)),+FL17)</f>
        <v>56.09</v>
      </c>
      <c r="FM18" s="1411">
        <f>IF(MONTH(C18)=5,FM17*(IF(Summary!$E$70="no",(1+(Summary!$E$71*0.8)),1+HLOOKUP(YEAR(CALC!C18)-1,CCFMODEL!$I$127:$AF$128,2)*0.8)),+FM17)</f>
        <v>26.77</v>
      </c>
      <c r="FN18" s="832">
        <f t="shared" si="2"/>
        <v>454153.05</v>
      </c>
      <c r="FO18" s="194">
        <f t="shared" ref="FO18:FO81" si="43">FK18+FN18</f>
        <v>899822.75175000005</v>
      </c>
      <c r="FP18" s="263">
        <f t="shared" si="3"/>
        <v>9308.25</v>
      </c>
      <c r="FQ18" s="194">
        <f t="shared" si="3"/>
        <v>2792.4749999999999</v>
      </c>
      <c r="FR18" s="194">
        <f t="shared" si="3"/>
        <v>1773</v>
      </c>
      <c r="FS18" s="194">
        <f t="shared" si="3"/>
        <v>531.9</v>
      </c>
      <c r="FT18" s="194">
        <f t="shared" si="3"/>
        <v>1773</v>
      </c>
      <c r="FU18" s="194">
        <f t="shared" si="3"/>
        <v>531.9</v>
      </c>
      <c r="FV18" s="257">
        <f t="shared" si="3"/>
        <v>0</v>
      </c>
      <c r="FW18" s="189">
        <f t="shared" si="4"/>
        <v>0</v>
      </c>
      <c r="FX18" s="189">
        <f t="shared" si="5"/>
        <v>0</v>
      </c>
      <c r="FY18" s="189">
        <f t="shared" si="6"/>
        <v>0</v>
      </c>
      <c r="FZ18" s="258">
        <f t="shared" si="7"/>
        <v>0</v>
      </c>
      <c r="GA18" s="1293">
        <f>(SUM(FP18:FV18)+SUM(GU18:HB18)/(1-Summary!$O$25))*CY18/1000</f>
        <v>128200.09445287201</v>
      </c>
      <c r="GB18" s="1369">
        <f>IF($C18&lt;Summary!$M$81,+Summary!$O$81,VLOOKUP(C18,GasTable,19))</f>
        <v>2.0449999999999999</v>
      </c>
      <c r="GC18" s="1370">
        <f>IF(H18&lt;=Summary!$N$84,MIN(GA18,Summary!$O$75*(H18-G18+1)),0)</f>
        <v>128200.09445287201</v>
      </c>
      <c r="GD18" s="1371">
        <f>IF(Summary!$O$75*(H18-G18+1)*0.8&gt;GC18,1,0)</f>
        <v>0</v>
      </c>
      <c r="GE18" s="1372">
        <v>0</v>
      </c>
      <c r="GF18" s="1370">
        <f t="shared" si="8"/>
        <v>0</v>
      </c>
      <c r="GG18" s="1371">
        <f>GF18*(IF(Summary!$O$74=1,VLOOKUP($C18,GasTable,16)+Summary!$O$92+Summary!$O$93,VLOOKUP($C18,GasTable,19)+Summary!$O$92+Summary!$O$93))</f>
        <v>0</v>
      </c>
      <c r="GH18" s="1373">
        <v>11861</v>
      </c>
      <c r="GI18" s="1466"/>
      <c r="GJ18" s="1374">
        <f t="shared" ref="GJ18:GJ81" si="44">+GB18*GC18+GE18+GG18+GH18-GI18</f>
        <v>274030.19315612328</v>
      </c>
      <c r="GK18" s="189">
        <f t="shared" si="9"/>
        <v>16710.525000000001</v>
      </c>
      <c r="GL18" s="266">
        <v>0.75337245689600008</v>
      </c>
      <c r="GM18" s="255">
        <f t="shared" si="10"/>
        <v>12589.249275272034</v>
      </c>
      <c r="GN18" s="189">
        <f>IF(SUM(GU18:HB18)=0,0,IF(Summary!$O$16="Yes",SUM(GX18:HB18),IF(Summary!$O$17="Yes",SUM(GY18:HB18),SUM(GU18:HB18))))</f>
        <v>0</v>
      </c>
      <c r="GO18" s="203">
        <v>5.5522262773722622</v>
      </c>
      <c r="GP18" s="258">
        <f t="shared" ref="GP18:GP81" si="45">GN18*GO18</f>
        <v>0</v>
      </c>
      <c r="GQ18" s="189"/>
      <c r="GR18" s="189"/>
      <c r="GS18" s="189"/>
      <c r="GT18" s="189"/>
      <c r="GU18" s="268">
        <v>0</v>
      </c>
      <c r="GV18" s="189">
        <v>0</v>
      </c>
      <c r="GW18" s="189">
        <v>0</v>
      </c>
      <c r="GX18" s="189"/>
      <c r="GY18" s="254">
        <v>0</v>
      </c>
      <c r="GZ18" s="189">
        <v>0</v>
      </c>
      <c r="HA18" s="189">
        <v>0</v>
      </c>
      <c r="HB18" s="255"/>
      <c r="HC18" s="189">
        <v>0</v>
      </c>
      <c r="HD18" s="189"/>
      <c r="HE18" s="189">
        <v>0</v>
      </c>
      <c r="HF18" s="189">
        <v>0</v>
      </c>
      <c r="HG18" s="189"/>
      <c r="HH18" s="203">
        <v>0</v>
      </c>
      <c r="HI18" s="189">
        <v>0</v>
      </c>
      <c r="HJ18" s="268">
        <f t="shared" si="11"/>
        <v>0</v>
      </c>
      <c r="HK18" s="189">
        <f t="shared" si="12"/>
        <v>0</v>
      </c>
      <c r="HL18" s="189">
        <f t="shared" si="13"/>
        <v>0</v>
      </c>
      <c r="HM18" s="255">
        <f t="shared" si="14"/>
        <v>0</v>
      </c>
      <c r="HN18" s="189">
        <f t="shared" si="15"/>
        <v>0</v>
      </c>
      <c r="HO18" s="203">
        <f t="shared" ref="HO18:HO81" si="46">IF(ISERROR(+HP18/HN18),0,+HP18/HN18)</f>
        <v>0</v>
      </c>
      <c r="HP18" s="258">
        <f t="shared" si="16"/>
        <v>0</v>
      </c>
      <c r="HQ18" s="804">
        <v>2000</v>
      </c>
      <c r="HR18" s="268">
        <f t="shared" ref="HR18:HR40" si="47">SUMIF($D$17:$D$292,HQ18,$FB$17:$FB$292)+SUMIF($D$17:$D$292,HQ18,$FC$17:$FC$292)+SUMIF($D$17:$D$292,HQ18,$FD$17:$FD$292)+SUMIF($D$17:$D$292,HQ18,$FE$17:$FE$292)+SUMIF($D$17:$D$292,HQ18,$FF$17:$FF$292)+SUMIF($D$17:$D$292,HQ18,$FG$17:$FG$292)+SUMIF($D$17:$D$292,HQ18,$FH$17:$FH$292)</f>
        <v>204116.625</v>
      </c>
      <c r="HS18" s="38">
        <f t="shared" ref="HS18:HS40" si="48">IF(HT18=0,0,HT18/HR18)</f>
        <v>66.728698825353533</v>
      </c>
      <c r="HT18" s="255">
        <f t="shared" si="17"/>
        <v>13620436.794872627</v>
      </c>
      <c r="HU18" s="254">
        <v>67479.670799999993</v>
      </c>
      <c r="HV18" s="203">
        <v>72.42985786106847</v>
      </c>
      <c r="HW18" s="189">
        <v>4887542.9645556919</v>
      </c>
      <c r="HX18" s="1021">
        <v>0</v>
      </c>
      <c r="HY18" s="258">
        <f t="shared" ref="HY18:HY40" si="49">HT18+HW18+HX18</f>
        <v>18507979.759428319</v>
      </c>
      <c r="HZ18" s="268">
        <v>2105170.542364385</v>
      </c>
      <c r="IA18" s="203">
        <v>-2.8664851708038954</v>
      </c>
      <c r="IB18" s="255">
        <v>-6034440.1417007037</v>
      </c>
      <c r="IC18" s="254">
        <v>271596.29580000002</v>
      </c>
      <c r="ID18" s="203">
        <f t="shared" ref="ID18:ID40" si="50">IF(IE18=0,0,IE18/IC18)</f>
        <v>-0.62607617101102919</v>
      </c>
      <c r="IE18" s="255">
        <f t="shared" si="18"/>
        <v>-170039.96893524288</v>
      </c>
      <c r="IF18" s="189">
        <f t="shared" si="19"/>
        <v>69447.257549999995</v>
      </c>
      <c r="IG18" s="203">
        <f t="shared" ref="IG18:IG40" si="51">IF(IH18=0,0,IH18/IF18)</f>
        <v>-5.3949200389150542</v>
      </c>
      <c r="IH18" s="255">
        <v>-374662.40140418976</v>
      </c>
      <c r="II18" s="189">
        <f t="shared" si="20"/>
        <v>0</v>
      </c>
      <c r="IJ18" s="203">
        <f t="shared" ref="IJ18:IJ40" si="52">IF(IK18=0,0,IK18/II18)</f>
        <v>0</v>
      </c>
      <c r="IK18" s="189">
        <f t="shared" si="21"/>
        <v>0</v>
      </c>
      <c r="IL18" s="1182">
        <f t="shared" si="22"/>
        <v>11928837.247388182</v>
      </c>
      <c r="IN18" s="1307"/>
      <c r="IO18" s="1307"/>
      <c r="IR18" s="223"/>
    </row>
    <row r="19" spans="1:252" ht="13.8" thickBot="1">
      <c r="A19" t="str">
        <f t="shared" si="23"/>
        <v>2000Q1</v>
      </c>
      <c r="B19">
        <f t="shared" si="24"/>
        <v>2000</v>
      </c>
      <c r="C19" s="49">
        <f t="shared" si="25"/>
        <v>36586</v>
      </c>
      <c r="D19" s="115">
        <f t="shared" si="26"/>
        <v>2000</v>
      </c>
      <c r="E19" s="10">
        <f>MONTH(C19)</f>
        <v>3</v>
      </c>
      <c r="F19" s="248" t="str">
        <f>IF(G19="","",Holiday(D19,E19))</f>
        <v/>
      </c>
      <c r="G19" s="245">
        <v>36586</v>
      </c>
      <c r="H19" s="251">
        <v>36616</v>
      </c>
      <c r="I19" s="959">
        <f t="shared" ref="I19:I82" si="53">I18</f>
        <v>7.1499999999999994E-2</v>
      </c>
      <c r="J19" s="37">
        <f t="shared" si="27"/>
        <v>0.97586894625296972</v>
      </c>
      <c r="K19" s="1036" t="e">
        <f>IF(Summary!#REF!=1,+Summary!#REF!,I19+Summary!#REF!/10000)</f>
        <v>#REF!</v>
      </c>
      <c r="L19" s="37" t="e">
        <f t="shared" si="28"/>
        <v>#REF!</v>
      </c>
      <c r="M19" s="1004">
        <v>0</v>
      </c>
      <c r="N19" s="138">
        <v>0</v>
      </c>
      <c r="O19" s="139">
        <v>0</v>
      </c>
      <c r="P19" s="163">
        <v>0</v>
      </c>
      <c r="Q19" s="138">
        <v>0</v>
      </c>
      <c r="R19" s="139">
        <v>0</v>
      </c>
      <c r="S19" s="138">
        <v>0</v>
      </c>
      <c r="T19" s="138">
        <v>0</v>
      </c>
      <c r="U19" s="138">
        <v>0</v>
      </c>
      <c r="V19" s="163">
        <v>0</v>
      </c>
      <c r="W19" s="138">
        <v>0</v>
      </c>
      <c r="X19" s="1008">
        <v>0</v>
      </c>
      <c r="Y19" s="46">
        <v>0</v>
      </c>
      <c r="Z19" s="46">
        <v>0</v>
      </c>
      <c r="AA19" s="47">
        <v>0</v>
      </c>
      <c r="AB19" s="46">
        <v>0</v>
      </c>
      <c r="AC19" s="46">
        <v>0</v>
      </c>
      <c r="AD19" s="47">
        <v>0</v>
      </c>
      <c r="AE19" s="46">
        <v>0</v>
      </c>
      <c r="AF19" s="46">
        <v>0</v>
      </c>
      <c r="AG19" s="47">
        <v>0</v>
      </c>
      <c r="AH19" s="46">
        <v>0</v>
      </c>
      <c r="AI19" s="46">
        <v>0</v>
      </c>
      <c r="AJ19" s="47">
        <v>0</v>
      </c>
      <c r="AK19" s="46">
        <v>0</v>
      </c>
      <c r="AL19" s="46">
        <v>0</v>
      </c>
      <c r="AM19" s="47">
        <v>0</v>
      </c>
      <c r="AN19" s="46">
        <v>0</v>
      </c>
      <c r="AO19" s="46">
        <v>0</v>
      </c>
      <c r="AP19" s="47">
        <v>0</v>
      </c>
      <c r="AQ19" s="46">
        <v>0</v>
      </c>
      <c r="AR19" s="46">
        <v>0</v>
      </c>
      <c r="AS19" s="47">
        <v>0</v>
      </c>
      <c r="AT19" s="46">
        <v>0</v>
      </c>
      <c r="AU19" s="46">
        <v>0</v>
      </c>
      <c r="AV19" s="46">
        <v>0</v>
      </c>
      <c r="AW19" s="1545">
        <v>0</v>
      </c>
      <c r="AX19" s="1355">
        <f>BB19-SUM(AY19:BA19)</f>
        <v>23</v>
      </c>
      <c r="AY19" s="1354">
        <f>IF(AND($E19=MONTH(Summary!$E$24),$D19=YEAR(Summary!$E$24)),Summary!$E$25,1)*IF(G19="",0,INT((H19-MOD(H19,7)-G19)/7)+1-IF(BA19,IF(WEEKDAY(F19)=7,1,0),0))</f>
        <v>4</v>
      </c>
      <c r="AZ19" s="1354">
        <f>IF(AND($E19=MONTH(Summary!$E$24),$D19=YEAR(Summary!$E$24)),Summary!$E$25,1)*IF(G19="",0,INT((H19-MOD(H19-1,7)-G19)/7)+1-IF(BA19,IF(WEEKDAY(F19)=1,1,0),0))</f>
        <v>4</v>
      </c>
      <c r="BA19" s="1354">
        <v>0</v>
      </c>
      <c r="BB19" s="1355">
        <f>IF(AND($E19=MONTH(Summary!$E$24),$D19=YEAR(Summary!$E$24)),Summary!$E$25,1)*IF(G19="",0,H19-G19+1)</f>
        <v>31</v>
      </c>
      <c r="BC19" s="914">
        <f>Summary!$E$19</f>
        <v>1.4999999999999999E-2</v>
      </c>
      <c r="BD19" s="92">
        <v>16311.6</v>
      </c>
      <c r="BE19" s="97">
        <v>2836.8</v>
      </c>
      <c r="BF19" s="97">
        <v>2836.8</v>
      </c>
      <c r="BG19" s="173"/>
      <c r="BH19" s="1198">
        <v>1</v>
      </c>
      <c r="BI19" s="1198">
        <v>1</v>
      </c>
      <c r="BJ19" s="1198">
        <v>1</v>
      </c>
      <c r="BK19" s="1198">
        <v>1</v>
      </c>
      <c r="BL19" s="94">
        <v>3262.32</v>
      </c>
      <c r="BM19" s="97">
        <v>567.36</v>
      </c>
      <c r="BN19" s="97">
        <v>567.36</v>
      </c>
      <c r="BO19" s="173"/>
      <c r="BP19" s="1198">
        <v>1</v>
      </c>
      <c r="BQ19" s="1199">
        <v>1</v>
      </c>
      <c r="BR19" s="1199">
        <v>1</v>
      </c>
      <c r="BS19" s="1200">
        <v>1</v>
      </c>
      <c r="BT19" s="94">
        <f t="shared" si="29"/>
        <v>21985.200000000001</v>
      </c>
      <c r="BU19" s="233">
        <f t="shared" si="30"/>
        <v>21985.200000000001</v>
      </c>
      <c r="BV19" s="92">
        <f t="shared" si="31"/>
        <v>4397.04</v>
      </c>
      <c r="BW19" s="233">
        <f t="shared" si="32"/>
        <v>4397.04</v>
      </c>
      <c r="BX19" s="88">
        <v>0.21081451060917181</v>
      </c>
      <c r="BY19" s="90">
        <v>0</v>
      </c>
      <c r="BZ19" s="88">
        <v>0</v>
      </c>
      <c r="CA19" s="88">
        <v>0</v>
      </c>
      <c r="CB19" s="88">
        <v>0</v>
      </c>
      <c r="CC19" s="88">
        <v>0</v>
      </c>
      <c r="CD19" s="88">
        <v>0</v>
      </c>
      <c r="CE19" s="100">
        <v>0</v>
      </c>
      <c r="CF19" s="88">
        <v>0</v>
      </c>
      <c r="CG19" s="88">
        <v>0</v>
      </c>
      <c r="CH19" s="88">
        <v>0</v>
      </c>
      <c r="CI19" s="88">
        <v>0</v>
      </c>
      <c r="CJ19" s="228">
        <v>0</v>
      </c>
      <c r="CK19" s="88">
        <v>0</v>
      </c>
      <c r="CL19" s="88">
        <v>0</v>
      </c>
      <c r="CM19" s="88">
        <v>0</v>
      </c>
      <c r="CN19" s="88">
        <v>0</v>
      </c>
      <c r="CO19" s="88">
        <v>0</v>
      </c>
      <c r="CP19" s="88">
        <v>0</v>
      </c>
      <c r="CQ19" s="229">
        <v>0</v>
      </c>
      <c r="CR19" s="91">
        <v>0</v>
      </c>
      <c r="CS19" s="91">
        <v>0</v>
      </c>
      <c r="CT19" s="91">
        <v>0</v>
      </c>
      <c r="CU19" s="91">
        <v>0</v>
      </c>
      <c r="CV19" s="91">
        <v>0</v>
      </c>
      <c r="CW19" s="91">
        <v>0</v>
      </c>
      <c r="CX19" s="225">
        <v>0</v>
      </c>
      <c r="CY19" s="1265">
        <v>7673.7715999999991</v>
      </c>
      <c r="CZ19" s="90">
        <v>0</v>
      </c>
      <c r="DA19" s="88">
        <v>0</v>
      </c>
      <c r="DB19" s="88">
        <v>0</v>
      </c>
      <c r="DC19" s="88">
        <v>0</v>
      </c>
      <c r="DD19" s="88">
        <v>0</v>
      </c>
      <c r="DE19" s="152">
        <v>0</v>
      </c>
      <c r="DF19" s="230">
        <v>0</v>
      </c>
      <c r="DG19" s="38">
        <v>0</v>
      </c>
      <c r="DH19" s="1237">
        <v>0</v>
      </c>
      <c r="DI19" s="956">
        <v>0</v>
      </c>
      <c r="DJ19" s="956">
        <v>0</v>
      </c>
      <c r="DK19" s="956">
        <v>0</v>
      </c>
      <c r="DL19" s="152">
        <v>0</v>
      </c>
      <c r="DM19" s="160">
        <v>0</v>
      </c>
      <c r="DN19" s="160">
        <v>0</v>
      </c>
      <c r="DO19" s="160">
        <v>0</v>
      </c>
      <c r="DP19" s="160">
        <v>0</v>
      </c>
      <c r="DQ19" s="160">
        <v>0</v>
      </c>
      <c r="DR19" s="230">
        <v>0</v>
      </c>
      <c r="DS19" s="88">
        <v>0</v>
      </c>
      <c r="DT19" s="88">
        <v>0</v>
      </c>
      <c r="DU19" s="88">
        <v>0</v>
      </c>
      <c r="DV19" s="88">
        <v>0</v>
      </c>
      <c r="DW19" s="88">
        <v>0</v>
      </c>
      <c r="DX19" s="88">
        <v>0</v>
      </c>
      <c r="DY19" s="88">
        <v>0</v>
      </c>
      <c r="DZ19" s="88">
        <v>0</v>
      </c>
      <c r="EA19" s="88">
        <v>0</v>
      </c>
      <c r="EB19" s="152">
        <v>0</v>
      </c>
      <c r="EC19" s="52">
        <f t="shared" si="33"/>
        <v>0</v>
      </c>
      <c r="ED19" s="52">
        <f t="shared" si="33"/>
        <v>0</v>
      </c>
      <c r="EE19" s="52">
        <f t="shared" si="33"/>
        <v>0</v>
      </c>
      <c r="EF19" s="52">
        <f t="shared" si="33"/>
        <v>0</v>
      </c>
      <c r="EG19" s="52">
        <f t="shared" si="34"/>
        <v>0</v>
      </c>
      <c r="EH19" s="238">
        <v>0</v>
      </c>
      <c r="EI19" s="211">
        <v>0</v>
      </c>
      <c r="EJ19" s="211">
        <v>0</v>
      </c>
      <c r="EK19" s="211">
        <v>0</v>
      </c>
      <c r="EL19" s="217">
        <f>IF(C19&gt;=Summary!$E$26,MAX(0,SUM(EH19:EK19)),0)</f>
        <v>0</v>
      </c>
      <c r="EM19" s="52">
        <f>IF(C19&gt;=Summary!$E$26,DX19*BL19,0)</f>
        <v>0</v>
      </c>
      <c r="EN19" s="52">
        <f>IF(C19&gt;=Summary!$E$26,DY19*BM19,0)</f>
        <v>0</v>
      </c>
      <c r="EO19" s="52">
        <f>IF(C19&gt;=Summary!$E$26,DZ19*BN19,0)</f>
        <v>0</v>
      </c>
      <c r="EP19" s="52">
        <f>IF(C19&gt;=Summary!$E$26,EA19*BO19,0)</f>
        <v>0</v>
      </c>
      <c r="EQ19" s="52">
        <f>IF(C19&gt;=Summary!$E$26,DX19*BL19+DY19*BM19+DZ19*BN19+EA19*BO19,0)</f>
        <v>0</v>
      </c>
      <c r="ER19" s="826">
        <v>0</v>
      </c>
      <c r="ES19" s="278">
        <v>0</v>
      </c>
      <c r="ET19" s="278">
        <v>0</v>
      </c>
      <c r="EU19" s="278">
        <v>0</v>
      </c>
      <c r="EV19" s="212">
        <f>IF(C19&gt;=Summary!$E$26,MAX(0,SUM(ER19:EU19)),0)</f>
        <v>0</v>
      </c>
      <c r="EW19" s="52"/>
      <c r="EX19" s="1049">
        <f t="shared" si="35"/>
        <v>0</v>
      </c>
      <c r="EY19" s="1045" t="str">
        <f t="shared" si="36"/>
        <v/>
      </c>
      <c r="EZ19" s="1684" t="s">
        <v>525</v>
      </c>
      <c r="FA19" s="1046">
        <f t="shared" ref="FA19:FA82" si="54">FA18</f>
        <v>45</v>
      </c>
      <c r="FB19" s="256">
        <f t="shared" si="37"/>
        <v>10194.75</v>
      </c>
      <c r="FC19" s="194">
        <f t="shared" si="38"/>
        <v>3058.4250000000002</v>
      </c>
      <c r="FD19" s="194">
        <f t="shared" si="39"/>
        <v>1773</v>
      </c>
      <c r="FE19" s="194">
        <f t="shared" si="40"/>
        <v>531.9</v>
      </c>
      <c r="FF19" s="194">
        <f t="shared" si="41"/>
        <v>1773</v>
      </c>
      <c r="FG19" s="194">
        <f t="shared" si="42"/>
        <v>531.9</v>
      </c>
      <c r="FH19" s="1227">
        <f>IF(EZ19="No",IF((OR(MONTH(C19)=5,MONTH(C19)=6,MONTH(C19)=7,MONTH(C19)=8,MONTH(C19)=9)),Summary!$O$15*12*(AX19+AY19+AZ19+BA19)*(1-$BC19),Summary!$O$15*13*(AX19+AY19+AZ19+BA19)*(1-$BC19)+IF(Summary!$O$16="Yes",(CALC!FA19+Summary!$O$15)*6*(AX19+AY19+AZ19+BA19)*(1-$BC19),0)),0)</f>
        <v>0</v>
      </c>
      <c r="FI19" s="1412">
        <f>IF(MONTH(C19)=5,FI18*(IF(Summary!$E$70="no",(1+(Summary!$E$71*0.8)),1+HLOOKUP(YEAR(C19)-1,CCFMODEL!$I$127:$AF$128,2)*0.8)),+FI18)</f>
        <v>26.67</v>
      </c>
      <c r="FJ19" s="1411">
        <f>IF(MONTH(C19)=5,FJ18*(IF(Summary!$E$70="no",(1+(Summary!$E$71*0.8)),1+HLOOKUP(YEAR(CALC!C19)-1,CCFMODEL!$I$127:$AF$128,2)*0.8)),FJ18)</f>
        <v>23.31</v>
      </c>
      <c r="FK19" s="832">
        <f t="shared" si="1"/>
        <v>476405.54324999999</v>
      </c>
      <c r="FL19" s="1412">
        <f>IF(MONTH(C19)=5,FL18*(IF(Summary!$E$70="no",(1+(Summary!$E$71*0.8)),1+HLOOKUP(YEAR(CALC!C19)-1,CCFMODEL!$I$127:$AF$128,2)*0.8)),+FL18)</f>
        <v>56.09</v>
      </c>
      <c r="FM19" s="1411">
        <f>IF(MONTH(C19)=5,FM18*(IF(Summary!$E$70="no",(1+(Summary!$E$71*0.8)),1+HLOOKUP(YEAR(CALC!C19)-1,CCFMODEL!$I$127:$AF$128,2)*0.8)),+FM18)</f>
        <v>26.77</v>
      </c>
      <c r="FN19" s="832">
        <f t="shared" si="2"/>
        <v>485473.95</v>
      </c>
      <c r="FO19" s="194">
        <f t="shared" si="43"/>
        <v>961879.49325000006</v>
      </c>
      <c r="FP19" s="263">
        <f t="shared" si="3"/>
        <v>10194.75</v>
      </c>
      <c r="FQ19" s="194">
        <f t="shared" si="3"/>
        <v>3058.4250000000002</v>
      </c>
      <c r="FR19" s="194">
        <f t="shared" si="3"/>
        <v>1773</v>
      </c>
      <c r="FS19" s="194">
        <f t="shared" si="3"/>
        <v>531.9</v>
      </c>
      <c r="FT19" s="194">
        <f t="shared" si="3"/>
        <v>1773</v>
      </c>
      <c r="FU19" s="194">
        <f t="shared" si="3"/>
        <v>531.9</v>
      </c>
      <c r="FV19" s="257">
        <f t="shared" si="3"/>
        <v>0</v>
      </c>
      <c r="FW19" s="189">
        <f t="shared" si="4"/>
        <v>0</v>
      </c>
      <c r="FX19" s="189">
        <f t="shared" si="5"/>
        <v>0</v>
      </c>
      <c r="FY19" s="189">
        <f t="shared" si="6"/>
        <v>0</v>
      </c>
      <c r="FZ19" s="258">
        <f t="shared" si="7"/>
        <v>0</v>
      </c>
      <c r="GA19" s="1293">
        <f>(SUM(FP19:FV19)+SUM(GU19:HB19)/(1-Summary!$O$25))*CY19/1000</f>
        <v>137076.39024650998</v>
      </c>
      <c r="GB19" s="1369">
        <f>IF($C19&lt;Summary!$M$81,+Summary!$O$81,VLOOKUP(C19,GasTable,19))</f>
        <v>2.0449999999999999</v>
      </c>
      <c r="GC19" s="1370">
        <f>IF(H19&lt;=Summary!$N$84,MIN(GA19,Summary!$O$75*(H19-G19+1)),0)</f>
        <v>137076.39024650998</v>
      </c>
      <c r="GD19" s="1371">
        <f>IF(Summary!$O$75*(H19-G19+1)*0.8&gt;GC19,1,0)</f>
        <v>0</v>
      </c>
      <c r="GE19" s="1372">
        <v>0</v>
      </c>
      <c r="GF19" s="1370">
        <f t="shared" si="8"/>
        <v>0</v>
      </c>
      <c r="GG19" s="1371">
        <f>GF19*(IF(Summary!$O$74=1,VLOOKUP($C19,GasTable,16)+Summary!$O$92+Summary!$O$93,VLOOKUP($C19,GasTable,19)+Summary!$O$92+Summary!$O$93))</f>
        <v>0</v>
      </c>
      <c r="GH19" s="1373">
        <v>12679</v>
      </c>
      <c r="GI19" s="1466">
        <v>0</v>
      </c>
      <c r="GJ19" s="1374">
        <f t="shared" si="44"/>
        <v>293000.21805411292</v>
      </c>
      <c r="GK19" s="189">
        <f t="shared" si="9"/>
        <v>17862.974999999999</v>
      </c>
      <c r="GL19" s="266">
        <v>0.75356437111999997</v>
      </c>
      <c r="GM19" s="255">
        <f t="shared" si="10"/>
        <v>13460.901522207279</v>
      </c>
      <c r="GN19" s="189">
        <f>IF(SUM(GU19:HB19)=0,0,IF(Summary!$O$16="Yes",SUM(GX19:HB19),IF(Summary!$O$17="Yes",SUM(GY19:HB19),SUM(GU19:HB19))))</f>
        <v>0</v>
      </c>
      <c r="GO19" s="203">
        <v>5.5522262773722622</v>
      </c>
      <c r="GP19" s="258">
        <f t="shared" si="45"/>
        <v>0</v>
      </c>
      <c r="GQ19" s="189"/>
      <c r="GR19" s="189"/>
      <c r="GS19" s="189"/>
      <c r="GT19" s="189"/>
      <c r="GU19" s="268">
        <v>0</v>
      </c>
      <c r="GV19" s="189">
        <v>0</v>
      </c>
      <c r="GW19" s="189">
        <v>0</v>
      </c>
      <c r="GX19" s="189"/>
      <c r="GY19" s="254">
        <v>0</v>
      </c>
      <c r="GZ19" s="189">
        <v>0</v>
      </c>
      <c r="HA19" s="189">
        <v>0</v>
      </c>
      <c r="HB19" s="255"/>
      <c r="HC19" s="189">
        <v>0</v>
      </c>
      <c r="HD19" s="189"/>
      <c r="HE19" s="189">
        <v>0</v>
      </c>
      <c r="HF19" s="189">
        <v>0</v>
      </c>
      <c r="HG19" s="189"/>
      <c r="HH19" s="203">
        <v>0</v>
      </c>
      <c r="HI19" s="189">
        <v>0</v>
      </c>
      <c r="HJ19" s="268">
        <f t="shared" si="11"/>
        <v>0</v>
      </c>
      <c r="HK19" s="189">
        <f t="shared" si="12"/>
        <v>0</v>
      </c>
      <c r="HL19" s="189">
        <f t="shared" si="13"/>
        <v>0</v>
      </c>
      <c r="HM19" s="255">
        <f t="shared" si="14"/>
        <v>0</v>
      </c>
      <c r="HN19" s="189">
        <f t="shared" si="15"/>
        <v>0</v>
      </c>
      <c r="HO19" s="203">
        <f t="shared" si="46"/>
        <v>0</v>
      </c>
      <c r="HP19" s="258">
        <f t="shared" si="16"/>
        <v>0</v>
      </c>
      <c r="HQ19" s="804">
        <v>2001</v>
      </c>
      <c r="HR19" s="268">
        <f>SUMIF($D$17:$D$292,HQ19,$FB$17:$FB$292)+SUMIF($D$17:$D$292,HQ19,$FC$17:$FC$292)+SUMIF($D$17:$D$292,HQ19,$FD$17:$FD$292)+SUMIF($D$17:$D$292,HQ19,$FE$17:$FE$292)+SUMIF($D$17:$D$292,HQ19,$FF$17:$FF$292)+SUMIF($D$17:$D$292,HQ19,$FG$17:$FG$292)+SUMIF($D$17:$D$292,HQ19,$FH$17:$FH$292)</f>
        <v>203540.4</v>
      </c>
      <c r="HS19" s="38">
        <f t="shared" si="48"/>
        <v>68.320171561851339</v>
      </c>
      <c r="HT19" s="255">
        <f t="shared" si="17"/>
        <v>13905915.047767846</v>
      </c>
      <c r="HU19" s="254">
        <v>126216.41264999997</v>
      </c>
      <c r="HV19" s="203">
        <v>59.823340990926361</v>
      </c>
      <c r="HW19" s="189">
        <v>7550687.4926124196</v>
      </c>
      <c r="HX19" s="1021">
        <v>0</v>
      </c>
      <c r="HY19" s="258">
        <f t="shared" si="49"/>
        <v>21456602.540380266</v>
      </c>
      <c r="HZ19" s="268">
        <v>2575689.5035496806</v>
      </c>
      <c r="IA19" s="203">
        <v>-2.6665848742915021</v>
      </c>
      <c r="IB19" s="255">
        <v>-6868294.6710369671</v>
      </c>
      <c r="IC19" s="254">
        <v>329756.81265000004</v>
      </c>
      <c r="ID19" s="203">
        <f t="shared" si="50"/>
        <v>-0.54347626227882262</v>
      </c>
      <c r="IE19" s="255">
        <f t="shared" si="18"/>
        <v>-179215</v>
      </c>
      <c r="IF19" s="189">
        <f t="shared" si="19"/>
        <v>130545.10349999997</v>
      </c>
      <c r="IG19" s="203">
        <f t="shared" si="51"/>
        <v>-5.5291659823880002</v>
      </c>
      <c r="IH19" s="255">
        <v>-721805.5454395205</v>
      </c>
      <c r="II19" s="189">
        <f t="shared" si="20"/>
        <v>0</v>
      </c>
      <c r="IJ19" s="203">
        <f t="shared" si="52"/>
        <v>0</v>
      </c>
      <c r="IK19" s="189">
        <f t="shared" si="21"/>
        <v>0</v>
      </c>
      <c r="IL19" s="1182">
        <f t="shared" si="22"/>
        <v>13687287.323903779</v>
      </c>
      <c r="IN19" s="1307"/>
      <c r="IO19" s="1307"/>
      <c r="IR19" s="223"/>
    </row>
    <row r="20" spans="1:252" ht="13.8" thickBot="1">
      <c r="A20" t="str">
        <f t="shared" si="23"/>
        <v>2000Q2</v>
      </c>
      <c r="B20">
        <f t="shared" si="24"/>
        <v>2000</v>
      </c>
      <c r="C20" s="49">
        <f t="shared" si="25"/>
        <v>36617</v>
      </c>
      <c r="D20" s="115">
        <f t="shared" si="26"/>
        <v>2000</v>
      </c>
      <c r="E20" s="10">
        <f t="shared" ref="E20:E83" si="55">MONTH(C20)</f>
        <v>4</v>
      </c>
      <c r="F20" s="248" t="str">
        <f>IF(G20="","",Holiday(D20,E20))</f>
        <v/>
      </c>
      <c r="G20" s="245">
        <v>36617</v>
      </c>
      <c r="H20" s="251">
        <v>36646</v>
      </c>
      <c r="I20" s="959">
        <f t="shared" si="53"/>
        <v>7.1499999999999994E-2</v>
      </c>
      <c r="J20" s="37">
        <f t="shared" si="27"/>
        <v>0.97025424824196593</v>
      </c>
      <c r="K20" s="1036" t="e">
        <f>IF(Summary!#REF!=1,+Summary!#REF!,I20+Summary!#REF!/10000)</f>
        <v>#REF!</v>
      </c>
      <c r="L20" s="37" t="e">
        <f t="shared" si="28"/>
        <v>#REF!</v>
      </c>
      <c r="M20" s="1004">
        <v>0</v>
      </c>
      <c r="N20" s="138">
        <v>0</v>
      </c>
      <c r="O20" s="139">
        <v>0</v>
      </c>
      <c r="P20" s="163">
        <v>0</v>
      </c>
      <c r="Q20" s="138">
        <v>0</v>
      </c>
      <c r="R20" s="139">
        <v>0</v>
      </c>
      <c r="S20" s="138">
        <v>0</v>
      </c>
      <c r="T20" s="138">
        <v>0</v>
      </c>
      <c r="U20" s="138">
        <v>0</v>
      </c>
      <c r="V20" s="163">
        <v>0</v>
      </c>
      <c r="W20" s="138">
        <v>0</v>
      </c>
      <c r="X20" s="1008">
        <v>0</v>
      </c>
      <c r="Y20" s="46">
        <v>0</v>
      </c>
      <c r="Z20" s="46">
        <v>0</v>
      </c>
      <c r="AA20" s="47">
        <v>0</v>
      </c>
      <c r="AB20" s="46">
        <v>0</v>
      </c>
      <c r="AC20" s="46">
        <v>0</v>
      </c>
      <c r="AD20" s="47">
        <v>0</v>
      </c>
      <c r="AE20" s="46">
        <v>0</v>
      </c>
      <c r="AF20" s="46">
        <v>0</v>
      </c>
      <c r="AG20" s="47">
        <v>0</v>
      </c>
      <c r="AH20" s="46">
        <v>0</v>
      </c>
      <c r="AI20" s="46">
        <v>0</v>
      </c>
      <c r="AJ20" s="47">
        <v>0</v>
      </c>
      <c r="AK20" s="46">
        <v>0</v>
      </c>
      <c r="AL20" s="46">
        <v>0</v>
      </c>
      <c r="AM20" s="47">
        <v>0</v>
      </c>
      <c r="AN20" s="46">
        <v>0</v>
      </c>
      <c r="AO20" s="46">
        <v>0</v>
      </c>
      <c r="AP20" s="47">
        <v>0</v>
      </c>
      <c r="AQ20" s="46">
        <v>0</v>
      </c>
      <c r="AR20" s="46">
        <v>0</v>
      </c>
      <c r="AS20" s="47">
        <v>0</v>
      </c>
      <c r="AT20" s="46">
        <v>0</v>
      </c>
      <c r="AU20" s="46">
        <v>0</v>
      </c>
      <c r="AV20" s="46">
        <v>0</v>
      </c>
      <c r="AW20" s="1545">
        <v>0</v>
      </c>
      <c r="AX20" s="10">
        <f t="shared" ref="AX20:AX83" si="56">BB20-SUM(AY20:BA20)</f>
        <v>20</v>
      </c>
      <c r="AY20" s="42">
        <f>IF(AND($E20=MONTH(Summary!$E$24),$D20=YEAR(Summary!$E$24)),Summary!$E$25,1)*IF(G20="",0,INT((H20-MOD(H20,7)-G20)/7)+1-IF(BA20,IF(WEEKDAY(F20)=7,1,0),0))</f>
        <v>5</v>
      </c>
      <c r="AZ20" s="42">
        <f>IF(AND($E20=MONTH(Summary!$E$24),$D20=YEAR(Summary!$E$24)),Summary!$E$25,1)*IF(G20="",0,INT((H20-MOD(H20-1,7)-G20)/7)+1-IF(BA20,IF(WEEKDAY(F20)=1,1,0),0))</f>
        <v>5</v>
      </c>
      <c r="BA20" s="42">
        <v>0</v>
      </c>
      <c r="BB20" s="10">
        <f>IF(AND($E20=MONTH(Summary!$E$24),$D20=YEAR(Summary!$E$24)),Summary!$E$25,1)*IF(G20="",0,H20-G20+1)</f>
        <v>30</v>
      </c>
      <c r="BC20" s="914">
        <f>Summary!$E$19</f>
        <v>1.4999999999999999E-2</v>
      </c>
      <c r="BD20" s="92">
        <v>14184</v>
      </c>
      <c r="BE20" s="97">
        <v>3546</v>
      </c>
      <c r="BF20" s="97">
        <v>3546</v>
      </c>
      <c r="BG20" s="173"/>
      <c r="BH20" s="1198">
        <v>1</v>
      </c>
      <c r="BI20" s="1198">
        <v>1</v>
      </c>
      <c r="BJ20" s="1198">
        <v>1</v>
      </c>
      <c r="BK20" s="1198">
        <v>1</v>
      </c>
      <c r="BL20" s="94">
        <v>2836.8</v>
      </c>
      <c r="BM20" s="97">
        <v>709.2</v>
      </c>
      <c r="BN20" s="97">
        <v>709.2</v>
      </c>
      <c r="BO20" s="173"/>
      <c r="BP20" s="1198">
        <v>1</v>
      </c>
      <c r="BQ20" s="1199">
        <v>1</v>
      </c>
      <c r="BR20" s="1199">
        <v>1</v>
      </c>
      <c r="BS20" s="1200">
        <v>1</v>
      </c>
      <c r="BT20" s="94">
        <f t="shared" si="29"/>
        <v>21276</v>
      </c>
      <c r="BU20" s="233">
        <f t="shared" si="30"/>
        <v>21276</v>
      </c>
      <c r="BV20" s="92">
        <f t="shared" si="31"/>
        <v>4255.2</v>
      </c>
      <c r="BW20" s="233">
        <f t="shared" si="32"/>
        <v>4255.2</v>
      </c>
      <c r="BX20" s="88">
        <v>0.29568788501026694</v>
      </c>
      <c r="BY20" s="90">
        <v>0</v>
      </c>
      <c r="BZ20" s="88">
        <v>0</v>
      </c>
      <c r="CA20" s="88">
        <v>0</v>
      </c>
      <c r="CB20" s="88">
        <v>0</v>
      </c>
      <c r="CC20" s="88">
        <v>0</v>
      </c>
      <c r="CD20" s="88">
        <v>0</v>
      </c>
      <c r="CE20" s="100">
        <v>0</v>
      </c>
      <c r="CF20" s="88">
        <v>0</v>
      </c>
      <c r="CG20" s="88">
        <v>0</v>
      </c>
      <c r="CH20" s="88">
        <v>0</v>
      </c>
      <c r="CI20" s="88">
        <v>0</v>
      </c>
      <c r="CJ20" s="228">
        <v>0</v>
      </c>
      <c r="CK20" s="88">
        <v>0</v>
      </c>
      <c r="CL20" s="88">
        <v>0</v>
      </c>
      <c r="CM20" s="88">
        <v>0</v>
      </c>
      <c r="CN20" s="88">
        <v>0</v>
      </c>
      <c r="CO20" s="88">
        <v>0</v>
      </c>
      <c r="CP20" s="88">
        <v>0</v>
      </c>
      <c r="CQ20" s="229">
        <v>0</v>
      </c>
      <c r="CR20" s="91">
        <v>0</v>
      </c>
      <c r="CS20" s="91">
        <v>0</v>
      </c>
      <c r="CT20" s="91">
        <v>0</v>
      </c>
      <c r="CU20" s="91">
        <v>0</v>
      </c>
      <c r="CV20" s="91">
        <v>0</v>
      </c>
      <c r="CW20" s="91">
        <v>0</v>
      </c>
      <c r="CX20" s="225">
        <v>0</v>
      </c>
      <c r="CY20" s="1265">
        <v>7675.7259199999999</v>
      </c>
      <c r="CZ20" s="90">
        <v>0</v>
      </c>
      <c r="DA20" s="88">
        <v>0</v>
      </c>
      <c r="DB20" s="88">
        <v>0</v>
      </c>
      <c r="DC20" s="88">
        <v>0</v>
      </c>
      <c r="DD20" s="88">
        <v>0</v>
      </c>
      <c r="DE20" s="152">
        <v>0</v>
      </c>
      <c r="DF20" s="230">
        <v>0</v>
      </c>
      <c r="DG20" s="38">
        <v>0</v>
      </c>
      <c r="DH20" s="1237">
        <v>0</v>
      </c>
      <c r="DI20" s="956">
        <v>0</v>
      </c>
      <c r="DJ20" s="956">
        <v>0</v>
      </c>
      <c r="DK20" s="956">
        <v>0</v>
      </c>
      <c r="DL20" s="152">
        <v>0</v>
      </c>
      <c r="DM20" s="160">
        <v>0</v>
      </c>
      <c r="DN20" s="160">
        <v>0</v>
      </c>
      <c r="DO20" s="160">
        <v>0</v>
      </c>
      <c r="DP20" s="160">
        <v>0</v>
      </c>
      <c r="DQ20" s="160">
        <v>0</v>
      </c>
      <c r="DR20" s="230">
        <v>0</v>
      </c>
      <c r="DS20" s="88">
        <v>0</v>
      </c>
      <c r="DT20" s="88">
        <v>0</v>
      </c>
      <c r="DU20" s="88">
        <v>0</v>
      </c>
      <c r="DV20" s="88">
        <v>0</v>
      </c>
      <c r="DW20" s="88">
        <v>0</v>
      </c>
      <c r="DX20" s="88">
        <v>0</v>
      </c>
      <c r="DY20" s="88">
        <v>0</v>
      </c>
      <c r="DZ20" s="88">
        <v>0</v>
      </c>
      <c r="EA20" s="88">
        <v>0</v>
      </c>
      <c r="EB20" s="152">
        <v>0</v>
      </c>
      <c r="EC20" s="52">
        <f t="shared" si="33"/>
        <v>0</v>
      </c>
      <c r="ED20" s="52">
        <f t="shared" si="33"/>
        <v>0</v>
      </c>
      <c r="EE20" s="52">
        <f t="shared" si="33"/>
        <v>0</v>
      </c>
      <c r="EF20" s="52">
        <f t="shared" si="33"/>
        <v>0</v>
      </c>
      <c r="EG20" s="52">
        <f t="shared" si="34"/>
        <v>0</v>
      </c>
      <c r="EH20" s="238">
        <v>0</v>
      </c>
      <c r="EI20" s="211">
        <v>0</v>
      </c>
      <c r="EJ20" s="211">
        <v>0</v>
      </c>
      <c r="EK20" s="211">
        <v>0</v>
      </c>
      <c r="EL20" s="217">
        <f>IF(C20&gt;=Summary!$E$26,MAX(0,SUM(EH20:EK20)),0)</f>
        <v>0</v>
      </c>
      <c r="EM20" s="52">
        <f>IF(C20&gt;=Summary!$E$26,DX20*BL20,0)</f>
        <v>0</v>
      </c>
      <c r="EN20" s="52">
        <f>IF(C20&gt;=Summary!$E$26,DY20*BM20,0)</f>
        <v>0</v>
      </c>
      <c r="EO20" s="52">
        <f>IF(C20&gt;=Summary!$E$26,DZ20*BN20,0)</f>
        <v>0</v>
      </c>
      <c r="EP20" s="52">
        <f>IF(C20&gt;=Summary!$E$26,EA20*BO20,0)</f>
        <v>0</v>
      </c>
      <c r="EQ20" s="52">
        <f>IF(C20&gt;=Summary!$E$26,DX20*BL20+DY20*BM20+DZ20*BN20+EA20*BO20,0)</f>
        <v>0</v>
      </c>
      <c r="ER20" s="826">
        <v>0</v>
      </c>
      <c r="ES20" s="278">
        <v>0</v>
      </c>
      <c r="ET20" s="278">
        <v>0</v>
      </c>
      <c r="EU20" s="278">
        <v>0</v>
      </c>
      <c r="EV20" s="212">
        <f>IF(C20&gt;=Summary!$E$26,MAX(0,SUM(ER20:EU20)),0)</f>
        <v>0</v>
      </c>
      <c r="EW20" s="52"/>
      <c r="EX20" s="1049">
        <f t="shared" si="35"/>
        <v>0</v>
      </c>
      <c r="EY20" s="1045" t="str">
        <f t="shared" si="36"/>
        <v/>
      </c>
      <c r="EZ20" s="1684" t="s">
        <v>525</v>
      </c>
      <c r="FA20" s="1046">
        <f t="shared" si="54"/>
        <v>45</v>
      </c>
      <c r="FB20" s="256">
        <f t="shared" si="37"/>
        <v>8865</v>
      </c>
      <c r="FC20" s="194">
        <f t="shared" si="38"/>
        <v>2659.5</v>
      </c>
      <c r="FD20" s="194">
        <f t="shared" si="39"/>
        <v>2216.25</v>
      </c>
      <c r="FE20" s="194">
        <f t="shared" si="40"/>
        <v>664.875</v>
      </c>
      <c r="FF20" s="194">
        <f t="shared" si="41"/>
        <v>2216.25</v>
      </c>
      <c r="FG20" s="194">
        <f t="shared" si="42"/>
        <v>664.875</v>
      </c>
      <c r="FH20" s="1227">
        <f>IF(EZ20="No",IF((OR(MONTH(C20)=5,MONTH(C20)=6,MONTH(C20)=7,MONTH(C20)=8,MONTH(C20)=9)),Summary!$O$15*12*(AX20+AY20+AZ20+BA20)*(1-$BC20),Summary!$O$15*13*(AX20+AY20+AZ20+BA20)*(1-$BC20)+IF(Summary!$O$16="Yes",(CALC!FA20+Summary!$O$15)*6*(AX20+AY20+AZ20+BA20)*(1-$BC20),0)),0)</f>
        <v>0</v>
      </c>
      <c r="FI20" s="1412">
        <f>IF(MONTH(C20)=5,FI19*(IF(Summary!$E$70="no",(1+(Summary!$E$71*0.8)),1+HLOOKUP(YEAR(C20)-1,CCFMODEL!$I$127:$AF$128,2)*0.8)),+FI19)</f>
        <v>26.67</v>
      </c>
      <c r="FJ20" s="1411">
        <f>IF(MONTH(C20)=5,FJ19*(IF(Summary!$E$70="no",(1+(Summary!$E$71*0.8)),1+HLOOKUP(YEAR(CALC!C20)-1,CCFMODEL!$I$127:$AF$128,2)*0.8)),FJ19)</f>
        <v>23.31</v>
      </c>
      <c r="FK20" s="832">
        <f t="shared" si="1"/>
        <v>461037.62250000006</v>
      </c>
      <c r="FL20" s="1412">
        <f>IF(MONTH(C20)=5,FL19*(IF(Summary!$E$70="no",(1+(Summary!$E$71*0.8)),1+HLOOKUP(YEAR(CALC!C20)-1,CCFMODEL!$I$127:$AF$128,2)*0.8)),+FL19)</f>
        <v>56.09</v>
      </c>
      <c r="FM20" s="1411">
        <f>IF(MONTH(C20)=5,FM19*(IF(Summary!$E$70="no",(1+(Summary!$E$71*0.8)),1+HLOOKUP(YEAR(CALC!C20)-1,CCFMODEL!$I$127:$AF$128,2)*0.8)),+FM19)</f>
        <v>26.77</v>
      </c>
      <c r="FN20" s="832">
        <f t="shared" si="2"/>
        <v>469813.5</v>
      </c>
      <c r="FO20" s="194">
        <f t="shared" si="43"/>
        <v>930851.12250000006</v>
      </c>
      <c r="FP20" s="263">
        <f t="shared" si="3"/>
        <v>8865</v>
      </c>
      <c r="FQ20" s="194">
        <f t="shared" si="3"/>
        <v>2659.5</v>
      </c>
      <c r="FR20" s="194">
        <f t="shared" si="3"/>
        <v>2216.25</v>
      </c>
      <c r="FS20" s="194">
        <f t="shared" si="3"/>
        <v>664.875</v>
      </c>
      <c r="FT20" s="194">
        <f t="shared" si="3"/>
        <v>2216.25</v>
      </c>
      <c r="FU20" s="194">
        <f t="shared" si="3"/>
        <v>664.875</v>
      </c>
      <c r="FV20" s="257">
        <f t="shared" si="3"/>
        <v>0</v>
      </c>
      <c r="FW20" s="189">
        <f t="shared" si="4"/>
        <v>0</v>
      </c>
      <c r="FX20" s="189">
        <f t="shared" si="5"/>
        <v>0</v>
      </c>
      <c r="FY20" s="189">
        <f t="shared" si="6"/>
        <v>0</v>
      </c>
      <c r="FZ20" s="258">
        <f t="shared" si="7"/>
        <v>0</v>
      </c>
      <c r="GA20" s="1293">
        <f>(SUM(FP20:FV20)+SUM(GU20:HB20)/(1-Summary!$O$25))*CY20/1000</f>
        <v>132688.35504756001</v>
      </c>
      <c r="GB20" s="1369">
        <f>IF($C20&lt;Summary!$M$81,+Summary!$O$81,VLOOKUP(C20,GasTable,19))</f>
        <v>2.0449999999999999</v>
      </c>
      <c r="GC20" s="1370">
        <f>IF(H20&lt;=Summary!$N$84,MIN(GA20,Summary!$O$75*(H20-G20+1)),0)</f>
        <v>132688.35504756001</v>
      </c>
      <c r="GD20" s="1371">
        <f>IF(Summary!$O$75*(H20-G20+1)*0.8&gt;GC20,1,0)</f>
        <v>0</v>
      </c>
      <c r="GE20" s="1372">
        <v>0</v>
      </c>
      <c r="GF20" s="1370">
        <f t="shared" si="8"/>
        <v>0</v>
      </c>
      <c r="GG20" s="1371">
        <f>GF20*(IF(Summary!$O$74=1,VLOOKUP($C20,GasTable,16)+Summary!$O$92+Summary!$O$93,VLOOKUP($C20,GasTable,19)+Summary!$O$92+Summary!$O$93))</f>
        <v>0</v>
      </c>
      <c r="GH20" s="1373">
        <v>12270</v>
      </c>
      <c r="GI20" s="1466">
        <v>0</v>
      </c>
      <c r="GJ20" s="1374">
        <f t="shared" si="44"/>
        <v>283617.6860722602</v>
      </c>
      <c r="GK20" s="189">
        <f t="shared" si="9"/>
        <v>17286.75</v>
      </c>
      <c r="GL20" s="266">
        <v>0.75375628534400008</v>
      </c>
      <c r="GM20" s="255">
        <f t="shared" si="10"/>
        <v>13029.996465670394</v>
      </c>
      <c r="GN20" s="189">
        <f>IF(SUM(GU20:HB20)=0,0,IF(Summary!$O$16="Yes",SUM(GX20:HB20),IF(Summary!$O$17="Yes",SUM(GY20:HB20),SUM(GU20:HB20))))</f>
        <v>0</v>
      </c>
      <c r="GO20" s="203">
        <v>5.5522262773722622</v>
      </c>
      <c r="GP20" s="258">
        <f t="shared" si="45"/>
        <v>0</v>
      </c>
      <c r="GQ20" s="189"/>
      <c r="GR20" s="189"/>
      <c r="GS20" s="189"/>
      <c r="GT20" s="189"/>
      <c r="GU20" s="268">
        <v>0</v>
      </c>
      <c r="GV20" s="189">
        <v>0</v>
      </c>
      <c r="GW20" s="189">
        <v>0</v>
      </c>
      <c r="GX20" s="189"/>
      <c r="GY20" s="254">
        <v>0</v>
      </c>
      <c r="GZ20" s="189">
        <v>0</v>
      </c>
      <c r="HA20" s="189">
        <v>0</v>
      </c>
      <c r="HB20" s="255"/>
      <c r="HC20" s="189">
        <v>0</v>
      </c>
      <c r="HD20" s="189"/>
      <c r="HE20" s="189">
        <v>0</v>
      </c>
      <c r="HF20" s="189">
        <v>0</v>
      </c>
      <c r="HG20" s="189"/>
      <c r="HH20" s="203">
        <v>0</v>
      </c>
      <c r="HI20" s="189">
        <v>0</v>
      </c>
      <c r="HJ20" s="268">
        <f t="shared" si="11"/>
        <v>0</v>
      </c>
      <c r="HK20" s="189">
        <f t="shared" si="12"/>
        <v>0</v>
      </c>
      <c r="HL20" s="189">
        <f t="shared" si="13"/>
        <v>0</v>
      </c>
      <c r="HM20" s="255">
        <f t="shared" si="14"/>
        <v>0</v>
      </c>
      <c r="HN20" s="189">
        <f t="shared" si="15"/>
        <v>0</v>
      </c>
      <c r="HO20" s="203">
        <f t="shared" si="46"/>
        <v>0</v>
      </c>
      <c r="HP20" s="258">
        <f t="shared" si="16"/>
        <v>0</v>
      </c>
      <c r="HQ20" s="804">
        <v>2002</v>
      </c>
      <c r="HR20" s="268">
        <f t="shared" si="47"/>
        <v>203540.4</v>
      </c>
      <c r="HS20" s="38">
        <f>IF(HT20=0,0,HT20/HR20)</f>
        <v>69.959855679335774</v>
      </c>
      <c r="HT20" s="255">
        <f t="shared" si="17"/>
        <v>14239657.008914275</v>
      </c>
      <c r="HU20" s="254">
        <v>119680.60275000001</v>
      </c>
      <c r="HV20" s="203">
        <v>47.699201568829729</v>
      </c>
      <c r="HW20" s="189">
        <v>5708669.1944512874</v>
      </c>
      <c r="HX20" s="1021">
        <v>0</v>
      </c>
      <c r="HY20" s="258">
        <f t="shared" si="49"/>
        <v>19948326.203365564</v>
      </c>
      <c r="HZ20" s="268">
        <v>2531231.6588325575</v>
      </c>
      <c r="IA20" s="203">
        <v>-2.5966440843263583</v>
      </c>
      <c r="IB20" s="255">
        <v>-6572707.7129671555</v>
      </c>
      <c r="IC20" s="254">
        <v>323221.00275000004</v>
      </c>
      <c r="ID20" s="203">
        <f t="shared" si="50"/>
        <v>-0.5544658251636464</v>
      </c>
      <c r="IE20" s="255">
        <f t="shared" si="18"/>
        <v>-179215</v>
      </c>
      <c r="IF20" s="189">
        <f t="shared" si="19"/>
        <v>125412.26849999999</v>
      </c>
      <c r="IG20" s="203">
        <f t="shared" si="51"/>
        <v>-5.6211522809497021</v>
      </c>
      <c r="IH20" s="255">
        <v>-704961.45913785137</v>
      </c>
      <c r="II20" s="189">
        <f t="shared" si="20"/>
        <v>0</v>
      </c>
      <c r="IJ20" s="203">
        <f t="shared" si="52"/>
        <v>0</v>
      </c>
      <c r="IK20" s="189">
        <f t="shared" si="21"/>
        <v>0</v>
      </c>
      <c r="IL20" s="1182">
        <f t="shared" si="22"/>
        <v>12491442.031260557</v>
      </c>
      <c r="IN20" s="820"/>
      <c r="IO20" s="1307"/>
      <c r="IR20" s="223"/>
    </row>
    <row r="21" spans="1:252" ht="13.8" thickBot="1">
      <c r="A21" t="str">
        <f t="shared" si="23"/>
        <v>2000Q2</v>
      </c>
      <c r="B21">
        <f t="shared" si="24"/>
        <v>2000</v>
      </c>
      <c r="C21" s="49">
        <f t="shared" si="25"/>
        <v>36647</v>
      </c>
      <c r="D21" s="115">
        <f t="shared" si="26"/>
        <v>2000</v>
      </c>
      <c r="E21" s="10">
        <f t="shared" si="55"/>
        <v>5</v>
      </c>
      <c r="F21" s="248">
        <f t="shared" ref="F21:F83" si="57">IF(G21="","",Holiday(D21,E21))</f>
        <v>36675</v>
      </c>
      <c r="G21" s="245">
        <v>36647</v>
      </c>
      <c r="H21" s="251">
        <v>36677</v>
      </c>
      <c r="I21" s="959">
        <f t="shared" si="53"/>
        <v>7.1499999999999994E-2</v>
      </c>
      <c r="J21" s="37">
        <f t="shared" si="27"/>
        <v>0.96448632899579412</v>
      </c>
      <c r="K21" s="1036" t="e">
        <f>IF(Summary!#REF!=1,+Summary!#REF!,I21+Summary!#REF!/10000)</f>
        <v>#REF!</v>
      </c>
      <c r="L21" s="37" t="e">
        <f t="shared" si="28"/>
        <v>#REF!</v>
      </c>
      <c r="M21" s="1004">
        <v>0</v>
      </c>
      <c r="N21" s="138">
        <v>0</v>
      </c>
      <c r="O21" s="139">
        <v>0</v>
      </c>
      <c r="P21" s="163">
        <v>0</v>
      </c>
      <c r="Q21" s="138">
        <v>0</v>
      </c>
      <c r="R21" s="139">
        <v>0</v>
      </c>
      <c r="S21" s="138">
        <v>0</v>
      </c>
      <c r="T21" s="138">
        <v>0</v>
      </c>
      <c r="U21" s="138">
        <v>0</v>
      </c>
      <c r="V21" s="163">
        <v>0</v>
      </c>
      <c r="W21" s="138">
        <v>0</v>
      </c>
      <c r="X21" s="1008">
        <v>0</v>
      </c>
      <c r="Y21" s="46">
        <v>0</v>
      </c>
      <c r="Z21" s="46">
        <v>0</v>
      </c>
      <c r="AA21" s="47">
        <v>0</v>
      </c>
      <c r="AB21" s="46">
        <v>0</v>
      </c>
      <c r="AC21" s="46">
        <v>0</v>
      </c>
      <c r="AD21" s="47">
        <v>0</v>
      </c>
      <c r="AE21" s="46">
        <v>0</v>
      </c>
      <c r="AF21" s="46">
        <v>0</v>
      </c>
      <c r="AG21" s="47">
        <v>0</v>
      </c>
      <c r="AH21" s="46">
        <v>0</v>
      </c>
      <c r="AI21" s="46">
        <v>0</v>
      </c>
      <c r="AJ21" s="47">
        <v>0</v>
      </c>
      <c r="AK21" s="46">
        <v>0</v>
      </c>
      <c r="AL21" s="46">
        <v>0</v>
      </c>
      <c r="AM21" s="47">
        <v>0</v>
      </c>
      <c r="AN21" s="46">
        <v>0</v>
      </c>
      <c r="AO21" s="46">
        <v>0</v>
      </c>
      <c r="AP21" s="47">
        <v>0</v>
      </c>
      <c r="AQ21" s="46">
        <v>0</v>
      </c>
      <c r="AR21" s="46">
        <v>0</v>
      </c>
      <c r="AS21" s="47">
        <v>0</v>
      </c>
      <c r="AT21" s="46">
        <v>0</v>
      </c>
      <c r="AU21" s="46">
        <v>0</v>
      </c>
      <c r="AV21" s="46">
        <v>0</v>
      </c>
      <c r="AW21" s="1545">
        <v>0</v>
      </c>
      <c r="AX21" s="10">
        <f t="shared" si="56"/>
        <v>22</v>
      </c>
      <c r="AY21" s="42">
        <f>IF(AND($E21=MONTH(Summary!$E$24),$D21=YEAR(Summary!$E$24)),Summary!$E$25,1)*IF(G21="",0,INT((H21-MOD(H21,7)-G21)/7)+1-IF(BA21,IF(WEEKDAY(F21)=7,1,0),0))</f>
        <v>4</v>
      </c>
      <c r="AZ21" s="42">
        <f>IF(AND($E21=MONTH(Summary!$E$24),$D21=YEAR(Summary!$E$24)),Summary!$E$25,1)*IF(G21="",0,INT((H21-MOD(H21-1,7)-G21)/7)+1-IF(BA21,IF(WEEKDAY(F21)=1,1,0),0))</f>
        <v>4</v>
      </c>
      <c r="BA21" s="42">
        <v>1</v>
      </c>
      <c r="BB21" s="10">
        <f>IF(AND($E21=MONTH(Summary!$E$24),$D21=YEAR(Summary!$E$24)),Summary!$E$25,1)*IF(G21="",0,H21-G21+1)</f>
        <v>31</v>
      </c>
      <c r="BC21" s="914">
        <f>Summary!$E$19</f>
        <v>1.4999999999999999E-2</v>
      </c>
      <c r="BD21" s="92">
        <v>15602.4</v>
      </c>
      <c r="BE21" s="97">
        <v>2836.8</v>
      </c>
      <c r="BF21" s="97">
        <v>3546</v>
      </c>
      <c r="BG21" s="173"/>
      <c r="BH21" s="1198">
        <v>1</v>
      </c>
      <c r="BI21" s="1198">
        <v>1</v>
      </c>
      <c r="BJ21" s="1198">
        <v>1</v>
      </c>
      <c r="BK21" s="1198">
        <v>1</v>
      </c>
      <c r="BL21" s="94">
        <v>3120.48</v>
      </c>
      <c r="BM21" s="97">
        <v>567.36</v>
      </c>
      <c r="BN21" s="97">
        <v>709.2</v>
      </c>
      <c r="BO21" s="173"/>
      <c r="BP21" s="1198">
        <v>1</v>
      </c>
      <c r="BQ21" s="1199">
        <v>1</v>
      </c>
      <c r="BR21" s="1199">
        <v>1</v>
      </c>
      <c r="BS21" s="1200">
        <v>1</v>
      </c>
      <c r="BT21" s="94">
        <f t="shared" si="29"/>
        <v>21985.200000000001</v>
      </c>
      <c r="BU21" s="233">
        <f t="shared" si="30"/>
        <v>21985.200000000001</v>
      </c>
      <c r="BV21" s="92">
        <f t="shared" si="31"/>
        <v>4397.04</v>
      </c>
      <c r="BW21" s="233">
        <f t="shared" si="32"/>
        <v>4397.04</v>
      </c>
      <c r="BX21" s="88">
        <v>0.37782340862422997</v>
      </c>
      <c r="BY21" s="90">
        <v>0</v>
      </c>
      <c r="BZ21" s="88">
        <v>0</v>
      </c>
      <c r="CA21" s="88">
        <v>0</v>
      </c>
      <c r="CB21" s="88">
        <v>0</v>
      </c>
      <c r="CC21" s="88">
        <v>0</v>
      </c>
      <c r="CD21" s="88">
        <v>0</v>
      </c>
      <c r="CE21" s="100">
        <v>0</v>
      </c>
      <c r="CF21" s="88">
        <v>0</v>
      </c>
      <c r="CG21" s="88">
        <v>0</v>
      </c>
      <c r="CH21" s="88">
        <v>0</v>
      </c>
      <c r="CI21" s="88">
        <v>0</v>
      </c>
      <c r="CJ21" s="228">
        <v>0</v>
      </c>
      <c r="CK21" s="88">
        <v>0</v>
      </c>
      <c r="CL21" s="88">
        <v>0</v>
      </c>
      <c r="CM21" s="88">
        <v>0</v>
      </c>
      <c r="CN21" s="88">
        <v>0</v>
      </c>
      <c r="CO21" s="88">
        <v>0</v>
      </c>
      <c r="CP21" s="88">
        <v>0</v>
      </c>
      <c r="CQ21" s="229">
        <v>0</v>
      </c>
      <c r="CR21" s="91">
        <v>0</v>
      </c>
      <c r="CS21" s="91">
        <v>0</v>
      </c>
      <c r="CT21" s="91">
        <v>0</v>
      </c>
      <c r="CU21" s="91">
        <v>0</v>
      </c>
      <c r="CV21" s="91">
        <v>0</v>
      </c>
      <c r="CW21" s="91">
        <v>0</v>
      </c>
      <c r="CX21" s="225">
        <v>0</v>
      </c>
      <c r="CY21" s="1265">
        <v>7677.6802399999997</v>
      </c>
      <c r="CZ21" s="90">
        <v>0</v>
      </c>
      <c r="DA21" s="88">
        <v>0</v>
      </c>
      <c r="DB21" s="88">
        <v>0</v>
      </c>
      <c r="DC21" s="88">
        <v>0</v>
      </c>
      <c r="DD21" s="88">
        <v>0</v>
      </c>
      <c r="DE21" s="152">
        <v>0</v>
      </c>
      <c r="DF21" s="230">
        <v>0</v>
      </c>
      <c r="DG21" s="38">
        <v>0</v>
      </c>
      <c r="DH21" s="1237">
        <v>0</v>
      </c>
      <c r="DI21" s="956">
        <v>0</v>
      </c>
      <c r="DJ21" s="956">
        <v>0</v>
      </c>
      <c r="DK21" s="956">
        <v>0</v>
      </c>
      <c r="DL21" s="152">
        <v>0</v>
      </c>
      <c r="DM21" s="160">
        <v>0</v>
      </c>
      <c r="DN21" s="160">
        <v>0</v>
      </c>
      <c r="DO21" s="160">
        <v>0</v>
      </c>
      <c r="DP21" s="160">
        <v>0</v>
      </c>
      <c r="DQ21" s="160">
        <v>0</v>
      </c>
      <c r="DR21" s="230">
        <v>0</v>
      </c>
      <c r="DS21" s="88">
        <v>0</v>
      </c>
      <c r="DT21" s="88">
        <v>0</v>
      </c>
      <c r="DU21" s="88">
        <v>0</v>
      </c>
      <c r="DV21" s="88">
        <v>0</v>
      </c>
      <c r="DW21" s="88">
        <v>0</v>
      </c>
      <c r="DX21" s="88">
        <v>0</v>
      </c>
      <c r="DY21" s="88">
        <v>0</v>
      </c>
      <c r="DZ21" s="88">
        <v>0</v>
      </c>
      <c r="EA21" s="88">
        <v>0</v>
      </c>
      <c r="EB21" s="152">
        <v>0</v>
      </c>
      <c r="EC21" s="52">
        <f t="shared" si="33"/>
        <v>0</v>
      </c>
      <c r="ED21" s="52">
        <f t="shared" si="33"/>
        <v>0</v>
      </c>
      <c r="EE21" s="52">
        <f t="shared" si="33"/>
        <v>0</v>
      </c>
      <c r="EF21" s="52">
        <f t="shared" si="33"/>
        <v>0</v>
      </c>
      <c r="EG21" s="52">
        <f t="shared" si="34"/>
        <v>0</v>
      </c>
      <c r="EH21" s="238">
        <v>0</v>
      </c>
      <c r="EI21" s="211">
        <v>0</v>
      </c>
      <c r="EJ21" s="211">
        <v>0</v>
      </c>
      <c r="EK21" s="211">
        <v>0</v>
      </c>
      <c r="EL21" s="217">
        <f>IF(C21&gt;=Summary!$E$26,MAX(0,SUM(EH21:EK21)),0)</f>
        <v>0</v>
      </c>
      <c r="EM21" s="52">
        <f>IF(C21&gt;=Summary!$E$26,DX21*BL21,0)</f>
        <v>0</v>
      </c>
      <c r="EN21" s="52">
        <f>IF(C21&gt;=Summary!$E$26,DY21*BM21,0)</f>
        <v>0</v>
      </c>
      <c r="EO21" s="52">
        <f>IF(C21&gt;=Summary!$E$26,DZ21*BN21,0)</f>
        <v>0</v>
      </c>
      <c r="EP21" s="52">
        <f>IF(C21&gt;=Summary!$E$26,EA21*BO21,0)</f>
        <v>0</v>
      </c>
      <c r="EQ21" s="52">
        <f>IF(C21&gt;=Summary!$E$26,DX21*BL21+DY21*BM21+DZ21*BN21+EA21*BO21,0)</f>
        <v>0</v>
      </c>
      <c r="ER21" s="826">
        <v>0</v>
      </c>
      <c r="ES21" s="278">
        <v>0</v>
      </c>
      <c r="ET21" s="278">
        <v>0</v>
      </c>
      <c r="EU21" s="278">
        <v>0</v>
      </c>
      <c r="EV21" s="212">
        <f>IF(C21&gt;=Summary!$E$26,MAX(0,SUM(ER21:EU21)),0)</f>
        <v>0</v>
      </c>
      <c r="EW21" s="52"/>
      <c r="EX21" s="1049">
        <f t="shared" si="35"/>
        <v>0</v>
      </c>
      <c r="EY21" s="1045" t="str">
        <f t="shared" si="36"/>
        <v/>
      </c>
      <c r="EZ21" s="1684" t="s">
        <v>525</v>
      </c>
      <c r="FA21" s="1046">
        <f t="shared" si="54"/>
        <v>45</v>
      </c>
      <c r="FB21" s="256">
        <f t="shared" si="37"/>
        <v>11701.8</v>
      </c>
      <c r="FC21" s="194">
        <f t="shared" si="38"/>
        <v>0</v>
      </c>
      <c r="FD21" s="194">
        <f t="shared" si="39"/>
        <v>2127.6</v>
      </c>
      <c r="FE21" s="194">
        <f t="shared" si="40"/>
        <v>0</v>
      </c>
      <c r="FF21" s="194">
        <f t="shared" si="41"/>
        <v>2659.5</v>
      </c>
      <c r="FG21" s="194">
        <f t="shared" si="42"/>
        <v>0</v>
      </c>
      <c r="FH21" s="257">
        <f>IF(EZ21="No",IF((OR(MONTH(C21)=5,MONTH(C21)=6,MONTH(C21)=7,MONTH(C21)=8,MONTH(C21)=9)),Summary!$O$15*12*(AX21+AY21+AZ21+BA21)*(1-$BC21),Summary!$O$15*13*(AX21+AY21+AZ21+BA21)*(1-$BC21)+IF(Summary!$O$16="Yes",(CALC!FA21+Summary!$O$15)*6*(AX21+AY21+AZ21+BA21)*(1-$BC21),0)),0)</f>
        <v>0</v>
      </c>
      <c r="FI21" s="1412">
        <f>IF(MONTH(C21)=5,FI20*(IF(Summary!$E$70="no",(1+(Summary!$E$71*0.8)),1+HLOOKUP(YEAR(C21)-1,CCFMODEL!$I$127:$AF$128,2)*0.8)),+FI20)</f>
        <v>27.241036496350365</v>
      </c>
      <c r="FJ21" s="1411">
        <f>IF(MONTH(C21)=5,FJ20*(IF(Summary!$E$70="no",(1+(Summary!$E$71*0.8)),1+HLOOKUP(YEAR(CALC!C21)-1,CCFMODEL!$I$127:$AF$128,2)*0.8)),FJ20)</f>
        <v>23.809094890510945</v>
      </c>
      <c r="FK21" s="832">
        <f t="shared" si="1"/>
        <v>449174.72668467159</v>
      </c>
      <c r="FL21" s="1412">
        <f>IF(MONTH(C21)=5,FL20*(IF(Summary!$E$70="no",(1+(Summary!$E$71*0.8)),1+HLOOKUP(YEAR(CALC!C21)-1,CCFMODEL!$I$127:$AF$128,2)*0.8)),+FL20)</f>
        <v>57.290953771289537</v>
      </c>
      <c r="FM21" s="1411">
        <f>IF(MONTH(C21)=5,FM20*(IF(Summary!$E$70="no",(1+(Summary!$E$71*0.8)),1+HLOOKUP(YEAR(CALC!C21)-1,CCFMODEL!$I$127:$AF$128,2)*0.8)),+FM20)</f>
        <v>27.343177615571772</v>
      </c>
      <c r="FN21" s="832">
        <f t="shared" si="2"/>
        <v>959050.56613138691</v>
      </c>
      <c r="FO21" s="194">
        <f t="shared" si="43"/>
        <v>1408225.2928160585</v>
      </c>
      <c r="FP21" s="263">
        <f t="shared" si="3"/>
        <v>11701.8</v>
      </c>
      <c r="FQ21" s="194">
        <f t="shared" si="3"/>
        <v>0</v>
      </c>
      <c r="FR21" s="194">
        <f t="shared" si="3"/>
        <v>2127.6</v>
      </c>
      <c r="FS21" s="194">
        <f t="shared" si="3"/>
        <v>0</v>
      </c>
      <c r="FT21" s="194">
        <f t="shared" si="3"/>
        <v>2659.5</v>
      </c>
      <c r="FU21" s="194">
        <f t="shared" si="3"/>
        <v>0</v>
      </c>
      <c r="FV21" s="257">
        <f t="shared" si="3"/>
        <v>0</v>
      </c>
      <c r="FW21" s="189">
        <f t="shared" si="4"/>
        <v>0</v>
      </c>
      <c r="FX21" s="189">
        <f t="shared" si="5"/>
        <v>0</v>
      </c>
      <c r="FY21" s="189">
        <f t="shared" si="6"/>
        <v>0</v>
      </c>
      <c r="FZ21" s="258">
        <f t="shared" si="7"/>
        <v>0</v>
      </c>
      <c r="GA21" s="1293">
        <f>(SUM(FP21:FV21)+SUM(GU21:HB21)/(1-Summary!$O$25))*CY21/1000</f>
        <v>126596.50170933601</v>
      </c>
      <c r="GB21" s="1369">
        <f>IF($C21&lt;Summary!$M$81,+Summary!$O$81,VLOOKUP(C21,GasTable,19))</f>
        <v>2.4</v>
      </c>
      <c r="GC21" s="1370">
        <f>IF(H21&lt;=Summary!$N$84,MIN(GA21,Summary!$O$75*(H21-G21+1)),0)</f>
        <v>126596.50170933601</v>
      </c>
      <c r="GD21" s="1371">
        <f>IF(Summary!$O$75*(H21-G21+1)*0.8&gt;GC21,1,0)</f>
        <v>0</v>
      </c>
      <c r="GE21" s="1372">
        <v>0</v>
      </c>
      <c r="GF21" s="1370">
        <f t="shared" si="8"/>
        <v>0</v>
      </c>
      <c r="GG21" s="1371">
        <f>GF21*(IF(Summary!$O$74=1,VLOOKUP($C21,GasTable,16)+Summary!$O$92+Summary!$O$93,VLOOKUP($C21,GasTable,19)+Summary!$O$92+Summary!$O$93))</f>
        <v>0</v>
      </c>
      <c r="GH21" s="1373">
        <v>24713.200000000001</v>
      </c>
      <c r="GI21" s="1466">
        <v>0</v>
      </c>
      <c r="GJ21" s="1374">
        <f t="shared" si="44"/>
        <v>328544.80410240643</v>
      </c>
      <c r="GK21" s="189">
        <f t="shared" si="9"/>
        <v>16488.900000000001</v>
      </c>
      <c r="GL21" s="266">
        <v>0.75394819956799997</v>
      </c>
      <c r="GM21" s="255">
        <f t="shared" si="10"/>
        <v>12431.776467856796</v>
      </c>
      <c r="GN21" s="189">
        <f>IF(SUM(GU21:HB21)=0,0,IF(Summary!$O$16="Yes",SUM(GX21:HB21),IF(Summary!$O$17="Yes",SUM(GY21:HB21),SUM(GU21:HB21))))</f>
        <v>0</v>
      </c>
      <c r="GO21" s="203">
        <v>5.5522262773722622</v>
      </c>
      <c r="GP21" s="258">
        <f t="shared" si="45"/>
        <v>0</v>
      </c>
      <c r="GQ21" s="189"/>
      <c r="GR21" s="189"/>
      <c r="GS21" s="189"/>
      <c r="GT21" s="189"/>
      <c r="GU21" s="268">
        <v>0</v>
      </c>
      <c r="GV21" s="189">
        <v>0</v>
      </c>
      <c r="GW21" s="189">
        <v>0</v>
      </c>
      <c r="GX21" s="189"/>
      <c r="GY21" s="254">
        <v>0</v>
      </c>
      <c r="GZ21" s="189">
        <v>0</v>
      </c>
      <c r="HA21" s="189">
        <v>0</v>
      </c>
      <c r="HB21" s="255"/>
      <c r="HC21" s="189">
        <v>0</v>
      </c>
      <c r="HD21" s="189"/>
      <c r="HE21" s="189">
        <v>0</v>
      </c>
      <c r="HF21" s="189">
        <v>0</v>
      </c>
      <c r="HG21" s="189"/>
      <c r="HH21" s="203">
        <v>0</v>
      </c>
      <c r="HI21" s="189">
        <v>0</v>
      </c>
      <c r="HJ21" s="268">
        <f t="shared" si="11"/>
        <v>0</v>
      </c>
      <c r="HK21" s="189">
        <f t="shared" si="12"/>
        <v>0</v>
      </c>
      <c r="HL21" s="189">
        <f t="shared" si="13"/>
        <v>0</v>
      </c>
      <c r="HM21" s="255">
        <f t="shared" si="14"/>
        <v>0</v>
      </c>
      <c r="HN21" s="189">
        <f t="shared" si="15"/>
        <v>0</v>
      </c>
      <c r="HO21" s="203">
        <f t="shared" si="46"/>
        <v>0</v>
      </c>
      <c r="HP21" s="258">
        <f t="shared" si="16"/>
        <v>0</v>
      </c>
      <c r="HQ21" s="804">
        <v>2003</v>
      </c>
      <c r="HR21" s="268">
        <f t="shared" si="47"/>
        <v>203540.39999999997</v>
      </c>
      <c r="HS21" s="38">
        <f t="shared" si="48"/>
        <v>71.638892215639856</v>
      </c>
      <c r="HT21" s="255">
        <f t="shared" si="17"/>
        <v>14581408.77712822</v>
      </c>
      <c r="HU21" s="254">
        <v>113025.02669999997</v>
      </c>
      <c r="HV21" s="203">
        <v>40.063698977174852</v>
      </c>
      <c r="HW21" s="189">
        <v>4528200.6465959493</v>
      </c>
      <c r="HX21" s="1021">
        <v>0</v>
      </c>
      <c r="HY21" s="258">
        <f t="shared" si="49"/>
        <v>19109609.423724167</v>
      </c>
      <c r="HZ21" s="268">
        <v>2484273.7086295681</v>
      </c>
      <c r="IA21" s="203">
        <v>-2.5794658162372603</v>
      </c>
      <c r="IB21" s="255">
        <v>-6408099.1095869346</v>
      </c>
      <c r="IC21" s="254">
        <v>316565.42669999995</v>
      </c>
      <c r="ID21" s="203">
        <f t="shared" si="50"/>
        <v>-0.56612309773750802</v>
      </c>
      <c r="IE21" s="255">
        <f t="shared" si="18"/>
        <v>-179215</v>
      </c>
      <c r="IF21" s="189">
        <f t="shared" si="19"/>
        <v>125412.26849999999</v>
      </c>
      <c r="IG21" s="203">
        <f t="shared" si="51"/>
        <v>-2.3433472027157571</v>
      </c>
      <c r="IH21" s="255">
        <v>-293884.48857571243</v>
      </c>
      <c r="II21" s="189">
        <f t="shared" si="20"/>
        <v>0</v>
      </c>
      <c r="IJ21" s="203">
        <f t="shared" si="52"/>
        <v>0</v>
      </c>
      <c r="IK21" s="189">
        <f t="shared" si="21"/>
        <v>0</v>
      </c>
      <c r="IL21" s="1182">
        <f t="shared" si="22"/>
        <v>12228410.82556152</v>
      </c>
      <c r="IN21" s="820"/>
      <c r="IO21" s="1307"/>
      <c r="IR21" s="223"/>
    </row>
    <row r="22" spans="1:252" ht="13.8" thickBot="1">
      <c r="A22" t="str">
        <f t="shared" si="23"/>
        <v>2000Q2</v>
      </c>
      <c r="B22">
        <f t="shared" si="24"/>
        <v>2000</v>
      </c>
      <c r="C22" s="49">
        <f t="shared" si="25"/>
        <v>36678</v>
      </c>
      <c r="D22" s="115">
        <f t="shared" si="26"/>
        <v>2000</v>
      </c>
      <c r="E22" s="10">
        <f t="shared" si="55"/>
        <v>6</v>
      </c>
      <c r="F22" s="248" t="str">
        <f>IF(G22="","",Holiday(D22,E22))</f>
        <v/>
      </c>
      <c r="G22" s="245">
        <v>36678</v>
      </c>
      <c r="H22" s="251">
        <v>36707</v>
      </c>
      <c r="I22" s="959">
        <f t="shared" si="53"/>
        <v>7.1499999999999994E-2</v>
      </c>
      <c r="J22" s="37">
        <f t="shared" si="27"/>
        <v>0.95893712129342168</v>
      </c>
      <c r="K22" s="1036" t="e">
        <f>IF(Summary!#REF!=1,+Summary!#REF!,I22+Summary!#REF!/10000)</f>
        <v>#REF!</v>
      </c>
      <c r="L22" s="37" t="e">
        <f t="shared" si="28"/>
        <v>#REF!</v>
      </c>
      <c r="M22" s="1004">
        <v>0</v>
      </c>
      <c r="N22" s="138">
        <v>0</v>
      </c>
      <c r="O22" s="139">
        <v>0</v>
      </c>
      <c r="P22" s="163">
        <v>0</v>
      </c>
      <c r="Q22" s="138">
        <v>0</v>
      </c>
      <c r="R22" s="139">
        <v>0</v>
      </c>
      <c r="S22" s="138">
        <v>0</v>
      </c>
      <c r="T22" s="138">
        <v>0</v>
      </c>
      <c r="U22" s="138">
        <v>0</v>
      </c>
      <c r="V22" s="163">
        <v>0</v>
      </c>
      <c r="W22" s="138">
        <v>0</v>
      </c>
      <c r="X22" s="1008">
        <v>0</v>
      </c>
      <c r="Y22" s="46">
        <v>0</v>
      </c>
      <c r="Z22" s="46">
        <v>0</v>
      </c>
      <c r="AA22" s="47">
        <v>0</v>
      </c>
      <c r="AB22" s="46">
        <v>0</v>
      </c>
      <c r="AC22" s="46">
        <v>0</v>
      </c>
      <c r="AD22" s="47">
        <v>0</v>
      </c>
      <c r="AE22" s="46">
        <v>0</v>
      </c>
      <c r="AF22" s="46">
        <v>0</v>
      </c>
      <c r="AG22" s="47">
        <v>0</v>
      </c>
      <c r="AH22" s="46">
        <v>0</v>
      </c>
      <c r="AI22" s="46">
        <v>0</v>
      </c>
      <c r="AJ22" s="47">
        <v>0</v>
      </c>
      <c r="AK22" s="46">
        <v>0</v>
      </c>
      <c r="AL22" s="46">
        <v>0</v>
      </c>
      <c r="AM22" s="47">
        <v>0</v>
      </c>
      <c r="AN22" s="46">
        <v>0</v>
      </c>
      <c r="AO22" s="46">
        <v>0</v>
      </c>
      <c r="AP22" s="47">
        <v>0</v>
      </c>
      <c r="AQ22" s="46">
        <v>0</v>
      </c>
      <c r="AR22" s="46">
        <v>0</v>
      </c>
      <c r="AS22" s="47">
        <v>0</v>
      </c>
      <c r="AT22" s="46">
        <v>0</v>
      </c>
      <c r="AU22" s="46">
        <v>0</v>
      </c>
      <c r="AV22" s="46">
        <v>0</v>
      </c>
      <c r="AW22" s="1545">
        <v>0</v>
      </c>
      <c r="AX22" s="10">
        <f t="shared" si="56"/>
        <v>22</v>
      </c>
      <c r="AY22" s="42">
        <f>IF(AND($E22=MONTH(Summary!$E$24),$D22=YEAR(Summary!$E$24)),Summary!$E$25,1)*IF(G22="",0,INT((H22-MOD(H22,7)-G22)/7)+1-IF(BA22,IF(WEEKDAY(F22)=7,1,0),0))</f>
        <v>4</v>
      </c>
      <c r="AZ22" s="42">
        <f>IF(AND($E22=MONTH(Summary!$E$24),$D22=YEAR(Summary!$E$24)),Summary!$E$25,1)*IF(G22="",0,INT((H22-MOD(H22-1,7)-G22)/7)+1-IF(BA22,IF(WEEKDAY(F22)=1,1,0),0))</f>
        <v>4</v>
      </c>
      <c r="BA22" s="42">
        <v>0</v>
      </c>
      <c r="BB22" s="10">
        <f>IF(AND($E22=MONTH(Summary!$E$24),$D22=YEAR(Summary!$E$24)),Summary!$E$25,1)*IF(G22="",0,H22-G22+1)</f>
        <v>30</v>
      </c>
      <c r="BC22" s="914">
        <f>Summary!$E$19</f>
        <v>1.4999999999999999E-2</v>
      </c>
      <c r="BD22" s="92">
        <v>15602.4</v>
      </c>
      <c r="BE22" s="97">
        <v>2836.8</v>
      </c>
      <c r="BF22" s="97">
        <v>2836.8</v>
      </c>
      <c r="BG22" s="173"/>
      <c r="BH22" s="1198">
        <v>1</v>
      </c>
      <c r="BI22" s="1198">
        <v>1</v>
      </c>
      <c r="BJ22" s="1198">
        <v>1</v>
      </c>
      <c r="BK22" s="1198">
        <v>1</v>
      </c>
      <c r="BL22" s="94">
        <v>3120.48</v>
      </c>
      <c r="BM22" s="97">
        <v>567.36</v>
      </c>
      <c r="BN22" s="97">
        <v>567.36</v>
      </c>
      <c r="BO22" s="173"/>
      <c r="BP22" s="1198">
        <v>1</v>
      </c>
      <c r="BQ22" s="1199">
        <v>1</v>
      </c>
      <c r="BR22" s="1199">
        <v>1</v>
      </c>
      <c r="BS22" s="1200">
        <v>1</v>
      </c>
      <c r="BT22" s="94">
        <f t="shared" si="29"/>
        <v>21276</v>
      </c>
      <c r="BU22" s="233">
        <f t="shared" si="30"/>
        <v>21276</v>
      </c>
      <c r="BV22" s="92">
        <f t="shared" si="31"/>
        <v>4255.2</v>
      </c>
      <c r="BW22" s="233">
        <f t="shared" si="32"/>
        <v>4255.2</v>
      </c>
      <c r="BX22" s="88">
        <v>0.46269678302532513</v>
      </c>
      <c r="BY22" s="90">
        <v>0</v>
      </c>
      <c r="BZ22" s="88">
        <v>0</v>
      </c>
      <c r="CA22" s="88">
        <v>0</v>
      </c>
      <c r="CB22" s="88">
        <v>0</v>
      </c>
      <c r="CC22" s="88">
        <v>0</v>
      </c>
      <c r="CD22" s="88">
        <v>0</v>
      </c>
      <c r="CE22" s="100">
        <v>0</v>
      </c>
      <c r="CF22" s="88">
        <v>0</v>
      </c>
      <c r="CG22" s="88">
        <v>0</v>
      </c>
      <c r="CH22" s="88">
        <v>0</v>
      </c>
      <c r="CI22" s="88">
        <v>0</v>
      </c>
      <c r="CJ22" s="228">
        <v>0</v>
      </c>
      <c r="CK22" s="88">
        <v>0</v>
      </c>
      <c r="CL22" s="88">
        <v>0</v>
      </c>
      <c r="CM22" s="88">
        <v>0</v>
      </c>
      <c r="CN22" s="88">
        <v>0</v>
      </c>
      <c r="CO22" s="88">
        <v>0</v>
      </c>
      <c r="CP22" s="88">
        <v>0</v>
      </c>
      <c r="CQ22" s="229">
        <v>0</v>
      </c>
      <c r="CR22" s="91">
        <v>0</v>
      </c>
      <c r="CS22" s="91">
        <v>0</v>
      </c>
      <c r="CT22" s="91">
        <v>0</v>
      </c>
      <c r="CU22" s="91">
        <v>0</v>
      </c>
      <c r="CV22" s="91">
        <v>0</v>
      </c>
      <c r="CW22" s="91">
        <v>0</v>
      </c>
      <c r="CX22" s="225">
        <v>0</v>
      </c>
      <c r="CY22" s="1265">
        <v>7679.6345600000004</v>
      </c>
      <c r="CZ22" s="90">
        <v>0</v>
      </c>
      <c r="DA22" s="88">
        <v>0</v>
      </c>
      <c r="DB22" s="88">
        <v>0</v>
      </c>
      <c r="DC22" s="88">
        <v>0</v>
      </c>
      <c r="DD22" s="88">
        <v>0</v>
      </c>
      <c r="DE22" s="152">
        <v>0</v>
      </c>
      <c r="DF22" s="230">
        <v>0</v>
      </c>
      <c r="DG22" s="38">
        <v>0</v>
      </c>
      <c r="DH22" s="1237">
        <v>0</v>
      </c>
      <c r="DI22" s="956">
        <v>0</v>
      </c>
      <c r="DJ22" s="956">
        <v>0</v>
      </c>
      <c r="DK22" s="956">
        <v>0</v>
      </c>
      <c r="DL22" s="152">
        <v>0</v>
      </c>
      <c r="DM22" s="160">
        <v>0</v>
      </c>
      <c r="DN22" s="160">
        <v>0</v>
      </c>
      <c r="DO22" s="160">
        <v>0</v>
      </c>
      <c r="DP22" s="160">
        <v>0</v>
      </c>
      <c r="DQ22" s="160">
        <v>0</v>
      </c>
      <c r="DR22" s="230">
        <v>0</v>
      </c>
      <c r="DS22" s="88">
        <v>0</v>
      </c>
      <c r="DT22" s="88">
        <v>0</v>
      </c>
      <c r="DU22" s="88">
        <v>0</v>
      </c>
      <c r="DV22" s="88">
        <v>0</v>
      </c>
      <c r="DW22" s="88">
        <v>0</v>
      </c>
      <c r="DX22" s="88">
        <v>0</v>
      </c>
      <c r="DY22" s="88">
        <v>0</v>
      </c>
      <c r="DZ22" s="88">
        <v>0</v>
      </c>
      <c r="EA22" s="88">
        <v>0</v>
      </c>
      <c r="EB22" s="152">
        <v>0</v>
      </c>
      <c r="EC22" s="52">
        <f t="shared" si="33"/>
        <v>0</v>
      </c>
      <c r="ED22" s="52">
        <f t="shared" si="33"/>
        <v>0</v>
      </c>
      <c r="EE22" s="52">
        <f t="shared" si="33"/>
        <v>0</v>
      </c>
      <c r="EF22" s="52">
        <f t="shared" si="33"/>
        <v>0</v>
      </c>
      <c r="EG22" s="52">
        <f t="shared" si="34"/>
        <v>0</v>
      </c>
      <c r="EH22" s="238">
        <v>0</v>
      </c>
      <c r="EI22" s="211">
        <v>0</v>
      </c>
      <c r="EJ22" s="211">
        <v>0</v>
      </c>
      <c r="EK22" s="211">
        <v>0</v>
      </c>
      <c r="EL22" s="217">
        <f>IF(C22&gt;=Summary!$E$26,MAX(0,SUM(EH22:EK22)),0)</f>
        <v>0</v>
      </c>
      <c r="EM22" s="52">
        <f>IF(C22&gt;=Summary!$E$26,DX22*BL22,0)</f>
        <v>0</v>
      </c>
      <c r="EN22" s="52">
        <f>IF(C22&gt;=Summary!$E$26,DY22*BM22,0)</f>
        <v>0</v>
      </c>
      <c r="EO22" s="52">
        <f>IF(C22&gt;=Summary!$E$26,DZ22*BN22,0)</f>
        <v>0</v>
      </c>
      <c r="EP22" s="52">
        <f>IF(C22&gt;=Summary!$E$26,EA22*BO22,0)</f>
        <v>0</v>
      </c>
      <c r="EQ22" s="52">
        <f>IF(C22&gt;=Summary!$E$26,DX22*BL22+DY22*BM22+DZ22*BN22+EA22*BO22,0)</f>
        <v>0</v>
      </c>
      <c r="ER22" s="826">
        <v>0</v>
      </c>
      <c r="ES22" s="278">
        <v>0</v>
      </c>
      <c r="ET22" s="278">
        <v>0</v>
      </c>
      <c r="EU22" s="278">
        <v>0</v>
      </c>
      <c r="EV22" s="212">
        <f>IF(C22&gt;=Summary!$E$26,MAX(0,SUM(ER22:EU22)),0)</f>
        <v>0</v>
      </c>
      <c r="EW22" s="52"/>
      <c r="EX22" s="1049">
        <f t="shared" si="35"/>
        <v>0</v>
      </c>
      <c r="EY22" s="1045" t="str">
        <f t="shared" si="36"/>
        <v/>
      </c>
      <c r="EZ22" s="1684" t="s">
        <v>525</v>
      </c>
      <c r="FA22" s="1046">
        <f t="shared" si="54"/>
        <v>45</v>
      </c>
      <c r="FB22" s="256">
        <f t="shared" si="37"/>
        <v>11701.8</v>
      </c>
      <c r="FC22" s="194">
        <f t="shared" si="38"/>
        <v>0</v>
      </c>
      <c r="FD22" s="194">
        <f t="shared" si="39"/>
        <v>2127.6</v>
      </c>
      <c r="FE22" s="194">
        <f t="shared" si="40"/>
        <v>0</v>
      </c>
      <c r="FF22" s="194">
        <f t="shared" si="41"/>
        <v>2127.6</v>
      </c>
      <c r="FG22" s="194">
        <f t="shared" si="42"/>
        <v>0</v>
      </c>
      <c r="FH22" s="257">
        <f>IF(EZ22="No",IF((OR(MONTH(C22)=5,MONTH(C22)=6,MONTH(C22)=7,MONTH(C22)=8,MONTH(C22)=9)),Summary!$O$15*12*(AX22+AY22+AZ22+BA22)*(1-$BC22),Summary!$O$15*13*(AX22+AY22+AZ22+BA22)*(1-$BC22)+IF(Summary!$O$16="Yes",(CALC!FA22+Summary!$O$15)*6*(AX22+AY22+AZ22+BA22)*(1-$BC22),0)),0)</f>
        <v>0</v>
      </c>
      <c r="FI22" s="1412">
        <f>IF(MONTH(C22)=5,FI21*(IF(Summary!$E$70="no",(1+(Summary!$E$71*0.8)),1+HLOOKUP(YEAR(C22)-1,CCFMODEL!$I$127:$AF$128,2)*0.8)),+FI21)</f>
        <v>27.241036496350365</v>
      </c>
      <c r="FJ22" s="1411">
        <f>IF(MONTH(C22)=5,FJ21*(IF(Summary!$E$70="no",(1+(Summary!$E$71*0.8)),1+HLOOKUP(YEAR(CALC!C22)-1,CCFMODEL!$I$127:$AF$128,2)*0.8)),FJ21)</f>
        <v>23.809094890510945</v>
      </c>
      <c r="FK22" s="832">
        <f t="shared" si="1"/>
        <v>434685.21937226277</v>
      </c>
      <c r="FL22" s="1412">
        <f>IF(MONTH(C22)=5,FL21*(IF(Summary!$E$70="no",(1+(Summary!$E$71*0.8)),1+HLOOKUP(YEAR(CALC!C22)-1,CCFMODEL!$I$127:$AF$128,2)*0.8)),+FL21)</f>
        <v>57.290953771289537</v>
      </c>
      <c r="FM22" s="1411">
        <f>IF(MONTH(C22)=5,FM21*(IF(Summary!$E$70="no",(1+(Summary!$E$71*0.8)),1+HLOOKUP(YEAR(CALC!C22)-1,CCFMODEL!$I$127:$AF$128,2)*0.8)),+FM21)</f>
        <v>27.343177615571772</v>
      </c>
      <c r="FN22" s="832">
        <f t="shared" si="2"/>
        <v>928113.45109489048</v>
      </c>
      <c r="FO22" s="194">
        <f t="shared" si="43"/>
        <v>1362798.6704671532</v>
      </c>
      <c r="FP22" s="263">
        <f t="shared" si="3"/>
        <v>11701.8</v>
      </c>
      <c r="FQ22" s="194">
        <f t="shared" si="3"/>
        <v>0</v>
      </c>
      <c r="FR22" s="194">
        <f t="shared" si="3"/>
        <v>2127.6</v>
      </c>
      <c r="FS22" s="194">
        <f t="shared" si="3"/>
        <v>0</v>
      </c>
      <c r="FT22" s="194">
        <f t="shared" si="3"/>
        <v>2127.6</v>
      </c>
      <c r="FU22" s="194">
        <f t="shared" si="3"/>
        <v>0</v>
      </c>
      <c r="FV22" s="257">
        <f t="shared" si="3"/>
        <v>0</v>
      </c>
      <c r="FW22" s="189">
        <f t="shared" si="4"/>
        <v>0</v>
      </c>
      <c r="FX22" s="189">
        <f t="shared" si="5"/>
        <v>0</v>
      </c>
      <c r="FY22" s="189">
        <f t="shared" si="6"/>
        <v>0</v>
      </c>
      <c r="FZ22" s="258">
        <f t="shared" si="7"/>
        <v>0</v>
      </c>
      <c r="GA22" s="1293">
        <f>(SUM(FP22:FV22)+SUM(GU22:HB22)/(1-Summary!$O$25))*CY22/1000</f>
        <v>196070.285878272</v>
      </c>
      <c r="GB22" s="1369">
        <f>IF($C22&lt;Summary!$M$81,+Summary!$O$81,VLOOKUP(C22,GasTable,19))</f>
        <v>2.4</v>
      </c>
      <c r="GC22" s="1370">
        <f>IF(H22&lt;=Summary!$N$84,MIN(GA22,Summary!$O$75*(H22-G22+1)),0)</f>
        <v>150000</v>
      </c>
      <c r="GD22" s="1371">
        <f>IF(Summary!$O$75*(H22-G22+1)*0.8&gt;GC22,1,0)</f>
        <v>0</v>
      </c>
      <c r="GE22" s="1372">
        <v>0</v>
      </c>
      <c r="GF22" s="1370">
        <f t="shared" si="8"/>
        <v>46070.285878272</v>
      </c>
      <c r="GG22" s="1371">
        <f>GF22*(IF(Summary!$O$74=1,VLOOKUP($C22,GasTable,16)+Summary!$O$92+Summary!$O$93,VLOOKUP($C22,GasTable,19)+Summary!$O$92+Summary!$O$93))</f>
        <v>2400.2618942579716</v>
      </c>
      <c r="GH22" s="1373">
        <v>24936</v>
      </c>
      <c r="GI22" s="1466">
        <v>0</v>
      </c>
      <c r="GJ22" s="1374">
        <f t="shared" si="44"/>
        <v>387336.26189425797</v>
      </c>
      <c r="GK22" s="189">
        <f t="shared" si="9"/>
        <v>25196.103000000006</v>
      </c>
      <c r="GL22" s="266">
        <v>0.75414011379200008</v>
      </c>
      <c r="GM22" s="255">
        <f t="shared" si="10"/>
        <v>14730</v>
      </c>
      <c r="GN22" s="189">
        <f>IF(SUM(GU22:HB22)=0,0,IF(Summary!$O$16="Yes",SUM(GX22:HB22),IF(Summary!$O$17="Yes",SUM(GY22:HB22),SUM(GU22:HB22))))</f>
        <v>9239.1029999999992</v>
      </c>
      <c r="GO22" s="203">
        <v>5.5522262773722622</v>
      </c>
      <c r="GP22" s="258">
        <f t="shared" si="45"/>
        <v>51297.590455948892</v>
      </c>
      <c r="GQ22" s="189"/>
      <c r="GR22" s="189"/>
      <c r="GS22" s="189"/>
      <c r="GT22" s="189"/>
      <c r="GU22" s="268">
        <v>3764.0790000000002</v>
      </c>
      <c r="GV22" s="189">
        <v>684.37800000000027</v>
      </c>
      <c r="GW22" s="189">
        <v>684.37800000000027</v>
      </c>
      <c r="GX22" s="189"/>
      <c r="GY22" s="254">
        <v>3011.2631999999999</v>
      </c>
      <c r="GZ22" s="189">
        <v>547.50239999999997</v>
      </c>
      <c r="HA22" s="189">
        <v>547.50239999999997</v>
      </c>
      <c r="HB22" s="255"/>
      <c r="HC22" s="189">
        <v>9239.1029999999992</v>
      </c>
      <c r="HD22" s="189"/>
      <c r="HE22" s="189">
        <v>9239.1029999999992</v>
      </c>
      <c r="HF22" s="189">
        <v>571486.89504465007</v>
      </c>
      <c r="HG22" s="189"/>
      <c r="HH22" s="203">
        <v>61.855235843203623</v>
      </c>
      <c r="HI22" s="189">
        <v>571486.89504465007</v>
      </c>
      <c r="HJ22" s="268">
        <f t="shared" si="11"/>
        <v>0</v>
      </c>
      <c r="HK22" s="189">
        <f t="shared" si="12"/>
        <v>0</v>
      </c>
      <c r="HL22" s="189">
        <f t="shared" si="13"/>
        <v>0</v>
      </c>
      <c r="HM22" s="255">
        <f t="shared" si="14"/>
        <v>0</v>
      </c>
      <c r="HN22" s="189">
        <f t="shared" si="15"/>
        <v>0</v>
      </c>
      <c r="HO22" s="203">
        <f t="shared" si="46"/>
        <v>0</v>
      </c>
      <c r="HP22" s="258">
        <f t="shared" si="16"/>
        <v>0</v>
      </c>
      <c r="HQ22" s="804">
        <v>2004</v>
      </c>
      <c r="HR22" s="268">
        <f t="shared" si="47"/>
        <v>204116.62499999997</v>
      </c>
      <c r="HS22" s="38">
        <f t="shared" si="48"/>
        <v>73.317851460165798</v>
      </c>
      <c r="HT22" s="255">
        <f t="shared" si="17"/>
        <v>14965392.392300362</v>
      </c>
      <c r="HU22" s="254">
        <v>104333.42609999998</v>
      </c>
      <c r="HV22" s="203">
        <v>36.825706531856703</v>
      </c>
      <c r="HW22" s="189">
        <v>3842152.1310217576</v>
      </c>
      <c r="HX22" s="1021">
        <v>0</v>
      </c>
      <c r="HY22" s="258">
        <f t="shared" si="49"/>
        <v>18807544.52332212</v>
      </c>
      <c r="HZ22" s="268">
        <v>2412371.0874231644</v>
      </c>
      <c r="IA22" s="203">
        <v>-2.5959281432498496</v>
      </c>
      <c r="IB22" s="255">
        <v>-6262341.9978040354</v>
      </c>
      <c r="IC22" s="254">
        <v>308450.05109999998</v>
      </c>
      <c r="ID22" s="203">
        <f t="shared" si="50"/>
        <v>-0.57410147564162517</v>
      </c>
      <c r="IE22" s="255">
        <f t="shared" si="18"/>
        <v>-177081.62949824467</v>
      </c>
      <c r="IF22" s="189">
        <f t="shared" si="19"/>
        <v>106301.01285</v>
      </c>
      <c r="IG22" s="203">
        <f t="shared" si="51"/>
        <v>-2.628605045293849</v>
      </c>
      <c r="IH22" s="255">
        <v>-279423.37869735627</v>
      </c>
      <c r="II22" s="189">
        <f t="shared" si="20"/>
        <v>0</v>
      </c>
      <c r="IJ22" s="203">
        <f t="shared" si="52"/>
        <v>0</v>
      </c>
      <c r="IK22" s="189">
        <f t="shared" si="21"/>
        <v>0</v>
      </c>
      <c r="IL22" s="1182">
        <f t="shared" si="22"/>
        <v>12088697.517322484</v>
      </c>
      <c r="IN22" s="820"/>
      <c r="IO22" s="1307"/>
      <c r="IR22" s="223"/>
    </row>
    <row r="23" spans="1:252" ht="13.8" thickBot="1">
      <c r="A23" t="str">
        <f t="shared" si="23"/>
        <v>2000Q3</v>
      </c>
      <c r="B23">
        <f t="shared" si="24"/>
        <v>2000</v>
      </c>
      <c r="C23" s="49">
        <f t="shared" si="25"/>
        <v>36708</v>
      </c>
      <c r="D23" s="115">
        <f t="shared" si="26"/>
        <v>2000</v>
      </c>
      <c r="E23" s="10">
        <f t="shared" si="55"/>
        <v>7</v>
      </c>
      <c r="F23" s="248">
        <f t="shared" si="57"/>
        <v>36711</v>
      </c>
      <c r="G23" s="245">
        <v>36708</v>
      </c>
      <c r="H23" s="251">
        <v>36738</v>
      </c>
      <c r="I23" s="959">
        <f t="shared" si="53"/>
        <v>7.1499999999999994E-2</v>
      </c>
      <c r="J23" s="37">
        <f t="shared" si="27"/>
        <v>0.95323647954122237</v>
      </c>
      <c r="K23" s="1036" t="e">
        <f>IF(Summary!#REF!=1,+Summary!#REF!,I23+Summary!#REF!/10000)</f>
        <v>#REF!</v>
      </c>
      <c r="L23" s="37" t="e">
        <f t="shared" si="28"/>
        <v>#REF!</v>
      </c>
      <c r="M23" s="1004">
        <v>0</v>
      </c>
      <c r="N23" s="138">
        <v>0</v>
      </c>
      <c r="O23" s="139">
        <v>0</v>
      </c>
      <c r="P23" s="163">
        <v>0</v>
      </c>
      <c r="Q23" s="138">
        <v>0</v>
      </c>
      <c r="R23" s="139">
        <v>0</v>
      </c>
      <c r="S23" s="138">
        <v>0</v>
      </c>
      <c r="T23" s="138">
        <v>0</v>
      </c>
      <c r="U23" s="138">
        <v>0</v>
      </c>
      <c r="V23" s="163">
        <v>0</v>
      </c>
      <c r="W23" s="138">
        <v>0</v>
      </c>
      <c r="X23" s="1008">
        <v>0</v>
      </c>
      <c r="Y23" s="46">
        <v>0</v>
      </c>
      <c r="Z23" s="46">
        <v>0</v>
      </c>
      <c r="AA23" s="47">
        <v>0</v>
      </c>
      <c r="AB23" s="46">
        <v>0</v>
      </c>
      <c r="AC23" s="46">
        <v>0</v>
      </c>
      <c r="AD23" s="47">
        <v>0</v>
      </c>
      <c r="AE23" s="46">
        <v>0</v>
      </c>
      <c r="AF23" s="46">
        <v>0</v>
      </c>
      <c r="AG23" s="47">
        <v>0</v>
      </c>
      <c r="AH23" s="46">
        <v>0</v>
      </c>
      <c r="AI23" s="46">
        <v>0</v>
      </c>
      <c r="AJ23" s="47">
        <v>0</v>
      </c>
      <c r="AK23" s="46">
        <v>0</v>
      </c>
      <c r="AL23" s="46">
        <v>0</v>
      </c>
      <c r="AM23" s="47">
        <v>0</v>
      </c>
      <c r="AN23" s="46">
        <v>0</v>
      </c>
      <c r="AO23" s="46">
        <v>0</v>
      </c>
      <c r="AP23" s="47">
        <v>0</v>
      </c>
      <c r="AQ23" s="46">
        <v>0</v>
      </c>
      <c r="AR23" s="46">
        <v>0</v>
      </c>
      <c r="AS23" s="47">
        <v>0</v>
      </c>
      <c r="AT23" s="46">
        <v>0</v>
      </c>
      <c r="AU23" s="46">
        <v>0</v>
      </c>
      <c r="AV23" s="46">
        <v>0</v>
      </c>
      <c r="AW23" s="1545">
        <v>0</v>
      </c>
      <c r="AX23" s="10">
        <f t="shared" si="56"/>
        <v>20</v>
      </c>
      <c r="AY23" s="42">
        <f>IF(AND($E23=MONTH(Summary!$E$24),$D23=YEAR(Summary!$E$24)),Summary!$E$25,1)*IF(G23="",0,INT((H23-MOD(H23,7)-G23)/7)+1-IF(BA23,IF(WEEKDAY(F23)=7,1,0),0))</f>
        <v>5</v>
      </c>
      <c r="AZ23" s="42">
        <f>IF(AND($E23=MONTH(Summary!$E$24),$D23=YEAR(Summary!$E$24)),Summary!$E$25,1)*IF(G23="",0,INT((H23-MOD(H23-1,7)-G23)/7)+1-IF(BA23,IF(WEEKDAY(F23)=1,1,0),0))</f>
        <v>5</v>
      </c>
      <c r="BA23" s="42">
        <v>1</v>
      </c>
      <c r="BB23" s="10">
        <f>IF(AND($E23=MONTH(Summary!$E$24),$D23=YEAR(Summary!$E$24)),Summary!$E$25,1)*IF(G23="",0,H23-G23+1)</f>
        <v>31</v>
      </c>
      <c r="BC23" s="914">
        <f>Summary!$E$19</f>
        <v>1.4999999999999999E-2</v>
      </c>
      <c r="BD23" s="92">
        <v>14184</v>
      </c>
      <c r="BE23" s="97">
        <v>3546</v>
      </c>
      <c r="BF23" s="97">
        <v>4255.2</v>
      </c>
      <c r="BG23" s="173"/>
      <c r="BH23" s="1198">
        <v>1</v>
      </c>
      <c r="BI23" s="1198">
        <v>1</v>
      </c>
      <c r="BJ23" s="1198">
        <v>1</v>
      </c>
      <c r="BK23" s="1198">
        <v>1</v>
      </c>
      <c r="BL23" s="94">
        <v>2836.8</v>
      </c>
      <c r="BM23" s="97">
        <v>709.2</v>
      </c>
      <c r="BN23" s="97">
        <v>851.04</v>
      </c>
      <c r="BO23" s="173"/>
      <c r="BP23" s="1198">
        <v>1</v>
      </c>
      <c r="BQ23" s="1199">
        <v>1</v>
      </c>
      <c r="BR23" s="1199">
        <v>1</v>
      </c>
      <c r="BS23" s="1200">
        <v>1</v>
      </c>
      <c r="BT23" s="94">
        <f t="shared" si="29"/>
        <v>21985.200000000001</v>
      </c>
      <c r="BU23" s="233">
        <f t="shared" si="30"/>
        <v>21985.200000000001</v>
      </c>
      <c r="BV23" s="92">
        <f t="shared" si="31"/>
        <v>4397.04</v>
      </c>
      <c r="BW23" s="233">
        <f t="shared" si="32"/>
        <v>4397.04</v>
      </c>
      <c r="BX23" s="88">
        <v>0.54483230663928817</v>
      </c>
      <c r="BY23" s="90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100">
        <v>0</v>
      </c>
      <c r="CF23" s="88">
        <v>0</v>
      </c>
      <c r="CG23" s="88">
        <v>0</v>
      </c>
      <c r="CH23" s="88">
        <v>0</v>
      </c>
      <c r="CI23" s="88">
        <v>0</v>
      </c>
      <c r="CJ23" s="228">
        <v>0</v>
      </c>
      <c r="CK23" s="88">
        <v>0</v>
      </c>
      <c r="CL23" s="88">
        <v>0</v>
      </c>
      <c r="CM23" s="88">
        <v>0</v>
      </c>
      <c r="CN23" s="88">
        <v>0</v>
      </c>
      <c r="CO23" s="88">
        <v>0</v>
      </c>
      <c r="CP23" s="88">
        <v>0</v>
      </c>
      <c r="CQ23" s="229">
        <v>0</v>
      </c>
      <c r="CR23" s="91">
        <v>0</v>
      </c>
      <c r="CS23" s="91">
        <v>0</v>
      </c>
      <c r="CT23" s="91">
        <v>0</v>
      </c>
      <c r="CU23" s="91">
        <v>0</v>
      </c>
      <c r="CV23" s="91">
        <v>0</v>
      </c>
      <c r="CW23" s="91">
        <v>0</v>
      </c>
      <c r="CX23" s="225">
        <v>0</v>
      </c>
      <c r="CY23" s="1265">
        <v>7681.5888799999993</v>
      </c>
      <c r="CZ23" s="90">
        <v>0</v>
      </c>
      <c r="DA23" s="88">
        <v>0</v>
      </c>
      <c r="DB23" s="88">
        <v>0</v>
      </c>
      <c r="DC23" s="88">
        <v>0</v>
      </c>
      <c r="DD23" s="88">
        <v>0</v>
      </c>
      <c r="DE23" s="152">
        <v>0</v>
      </c>
      <c r="DF23" s="230">
        <v>0</v>
      </c>
      <c r="DG23" s="38">
        <v>0</v>
      </c>
      <c r="DH23" s="1237">
        <v>0</v>
      </c>
      <c r="DI23" s="956">
        <v>0</v>
      </c>
      <c r="DJ23" s="956">
        <v>0</v>
      </c>
      <c r="DK23" s="956">
        <v>0</v>
      </c>
      <c r="DL23" s="152">
        <v>0</v>
      </c>
      <c r="DM23" s="160">
        <v>0</v>
      </c>
      <c r="DN23" s="160">
        <v>0</v>
      </c>
      <c r="DO23" s="160">
        <v>0</v>
      </c>
      <c r="DP23" s="160">
        <v>0</v>
      </c>
      <c r="DQ23" s="160">
        <v>0</v>
      </c>
      <c r="DR23" s="230">
        <v>0</v>
      </c>
      <c r="DS23" s="88">
        <v>0</v>
      </c>
      <c r="DT23" s="88">
        <v>0</v>
      </c>
      <c r="DU23" s="88">
        <v>0</v>
      </c>
      <c r="DV23" s="88">
        <v>0</v>
      </c>
      <c r="DW23" s="88">
        <v>0</v>
      </c>
      <c r="DX23" s="88">
        <v>0</v>
      </c>
      <c r="DY23" s="88">
        <v>0</v>
      </c>
      <c r="DZ23" s="88">
        <v>0</v>
      </c>
      <c r="EA23" s="88">
        <v>0</v>
      </c>
      <c r="EB23" s="152">
        <v>0</v>
      </c>
      <c r="EC23" s="52">
        <f t="shared" si="33"/>
        <v>0</v>
      </c>
      <c r="ED23" s="52">
        <f t="shared" si="33"/>
        <v>0</v>
      </c>
      <c r="EE23" s="52">
        <f t="shared" si="33"/>
        <v>0</v>
      </c>
      <c r="EF23" s="52">
        <f t="shared" si="33"/>
        <v>0</v>
      </c>
      <c r="EG23" s="52">
        <f t="shared" si="34"/>
        <v>0</v>
      </c>
      <c r="EH23" s="238">
        <v>0</v>
      </c>
      <c r="EI23" s="211">
        <v>0</v>
      </c>
      <c r="EJ23" s="211">
        <v>0</v>
      </c>
      <c r="EK23" s="211">
        <v>0</v>
      </c>
      <c r="EL23" s="217">
        <f>IF(C23&gt;=Summary!$E$26,MAX(0,SUM(EH23:EK23)),0)</f>
        <v>0</v>
      </c>
      <c r="EM23" s="52">
        <f>IF(C23&gt;=Summary!$E$26,DX23*BL23,0)</f>
        <v>0</v>
      </c>
      <c r="EN23" s="52">
        <f>IF(C23&gt;=Summary!$E$26,DY23*BM23,0)</f>
        <v>0</v>
      </c>
      <c r="EO23" s="52">
        <f>IF(C23&gt;=Summary!$E$26,DZ23*BN23,0)</f>
        <v>0</v>
      </c>
      <c r="EP23" s="52">
        <f>IF(C23&gt;=Summary!$E$26,EA23*BO23,0)</f>
        <v>0</v>
      </c>
      <c r="EQ23" s="52">
        <f>IF(C23&gt;=Summary!$E$26,DX23*BL23+DY23*BM23+DZ23*BN23+EA23*BO23,0)</f>
        <v>0</v>
      </c>
      <c r="ER23" s="826">
        <v>0</v>
      </c>
      <c r="ES23" s="278">
        <v>0</v>
      </c>
      <c r="ET23" s="278">
        <v>0</v>
      </c>
      <c r="EU23" s="278">
        <v>0</v>
      </c>
      <c r="EV23" s="212">
        <f>IF(C23&gt;=Summary!$E$26,MAX(0,SUM(ER23:EU23)),0)</f>
        <v>0</v>
      </c>
      <c r="EW23" s="52"/>
      <c r="EX23" s="1049">
        <f t="shared" si="35"/>
        <v>0</v>
      </c>
      <c r="EY23" s="1045" t="str">
        <f t="shared" si="36"/>
        <v/>
      </c>
      <c r="EZ23" s="1684" t="s">
        <v>525</v>
      </c>
      <c r="FA23" s="1046">
        <f t="shared" si="54"/>
        <v>45</v>
      </c>
      <c r="FB23" s="256">
        <f t="shared" si="37"/>
        <v>10638</v>
      </c>
      <c r="FC23" s="194">
        <f t="shared" si="38"/>
        <v>0</v>
      </c>
      <c r="FD23" s="194">
        <f t="shared" si="39"/>
        <v>2659.5</v>
      </c>
      <c r="FE23" s="194">
        <f t="shared" si="40"/>
        <v>0</v>
      </c>
      <c r="FF23" s="194">
        <f t="shared" si="41"/>
        <v>3191.4</v>
      </c>
      <c r="FG23" s="194">
        <f t="shared" si="42"/>
        <v>0</v>
      </c>
      <c r="FH23" s="257">
        <f>IF(EZ23="No",IF((OR(MONTH(C23)=5,MONTH(C23)=6,MONTH(C23)=7,MONTH(C23)=8,MONTH(C23)=9)),Summary!$O$15*12*(AX23+AY23+AZ23+BA23)*(1-$BC23),Summary!$O$15*13*(AX23+AY23+AZ23+BA23)*(1-$BC23)+IF(Summary!$O$16="Yes",(CALC!FA23+Summary!$O$15)*6*(AX23+AY23+AZ23+BA23)*(1-$BC23),0)),0)</f>
        <v>0</v>
      </c>
      <c r="FI23" s="1412">
        <f>IF(MONTH(C23)=5,FI22*(IF(Summary!$E$70="no",(1+(Summary!$E$71*0.8)),1+HLOOKUP(YEAR(C23)-1,CCFMODEL!$I$127:$AF$128,2)*0.8)),+FI22)</f>
        <v>27.241036496350365</v>
      </c>
      <c r="FJ23" s="1411">
        <f>IF(MONTH(C23)=5,FJ22*(IF(Summary!$E$70="no",(1+(Summary!$E$71*0.8)),1+HLOOKUP(YEAR(CALC!C23)-1,CCFMODEL!$I$127:$AF$128,2)*0.8)),FJ22)</f>
        <v>23.809094890510945</v>
      </c>
      <c r="FK23" s="832">
        <f t="shared" si="1"/>
        <v>449174.72668467159</v>
      </c>
      <c r="FL23" s="1412">
        <f>IF(MONTH(C23)=5,FL22*(IF(Summary!$E$70="no",(1+(Summary!$E$71*0.8)),1+HLOOKUP(YEAR(CALC!C23)-1,CCFMODEL!$I$127:$AF$128,2)*0.8)),+FL22)</f>
        <v>57.290953771289537</v>
      </c>
      <c r="FM23" s="1411">
        <f>IF(MONTH(C23)=5,FM22*(IF(Summary!$E$70="no",(1+(Summary!$E$71*0.8)),1+HLOOKUP(YEAR(CALC!C23)-1,CCFMODEL!$I$127:$AF$128,2)*0.8)),+FM22)</f>
        <v>27.343177615571772</v>
      </c>
      <c r="FN23" s="832">
        <f t="shared" si="2"/>
        <v>959050.56613138691</v>
      </c>
      <c r="FO23" s="194">
        <f t="shared" si="43"/>
        <v>1408225.2928160585</v>
      </c>
      <c r="FP23" s="263">
        <f t="shared" si="3"/>
        <v>10638</v>
      </c>
      <c r="FQ23" s="194">
        <f t="shared" si="3"/>
        <v>0</v>
      </c>
      <c r="FR23" s="194">
        <f t="shared" si="3"/>
        <v>2659.5</v>
      </c>
      <c r="FS23" s="194">
        <f t="shared" si="3"/>
        <v>0</v>
      </c>
      <c r="FT23" s="194">
        <f t="shared" si="3"/>
        <v>3191.4</v>
      </c>
      <c r="FU23" s="194">
        <f t="shared" si="3"/>
        <v>0</v>
      </c>
      <c r="FV23" s="257">
        <f t="shared" si="3"/>
        <v>0</v>
      </c>
      <c r="FW23" s="189">
        <f t="shared" si="4"/>
        <v>0</v>
      </c>
      <c r="FX23" s="189">
        <f t="shared" si="5"/>
        <v>0</v>
      </c>
      <c r="FY23" s="189">
        <f t="shared" si="6"/>
        <v>0</v>
      </c>
      <c r="FZ23" s="258">
        <f t="shared" si="7"/>
        <v>0</v>
      </c>
      <c r="GA23" s="1293">
        <f>(SUM(FP23:FV23)+SUM(GU23:HB23)/(1-Summary!$O$25))*CY23/1000</f>
        <v>202657.52141349122</v>
      </c>
      <c r="GB23" s="1369">
        <f>IF($C23&lt;Summary!$M$81,+Summary!$O$81,VLOOKUP(C23,GasTable,19))</f>
        <v>2.4</v>
      </c>
      <c r="GC23" s="1370">
        <f>IF(H23&lt;=Summary!$N$84,MIN(GA23,Summary!$O$75*(H23-G23+1)),0)</f>
        <v>155000</v>
      </c>
      <c r="GD23" s="1371">
        <f>IF(Summary!$O$75*(H23-G23+1)*0.8&gt;GC23,1,0)</f>
        <v>0</v>
      </c>
      <c r="GE23" s="1372">
        <v>0</v>
      </c>
      <c r="GF23" s="1370">
        <f t="shared" si="8"/>
        <v>47657.521413491224</v>
      </c>
      <c r="GG23" s="1371">
        <f>GF23*(IF(Summary!$O$74=1,VLOOKUP($C23,GasTable,16)+Summary!$O$92+Summary!$O$93,VLOOKUP($C23,GasTable,19)+Summary!$O$92+Summary!$O$93))</f>
        <v>2482.9568656428933</v>
      </c>
      <c r="GH23" s="1373">
        <v>25444.799999999999</v>
      </c>
      <c r="GI23" s="1466">
        <v>0</v>
      </c>
      <c r="GJ23" s="1374">
        <f t="shared" si="44"/>
        <v>399927.75686564291</v>
      </c>
      <c r="GK23" s="189">
        <f t="shared" si="9"/>
        <v>26035.973099999999</v>
      </c>
      <c r="GL23" s="266">
        <v>0.75433202801599997</v>
      </c>
      <c r="GM23" s="255">
        <f t="shared" si="10"/>
        <v>15221</v>
      </c>
      <c r="GN23" s="189">
        <f>IF(SUM(GU23:HB23)=0,0,IF(Summary!$O$16="Yes",SUM(GX23:HB23),IF(Summary!$O$17="Yes",SUM(GY23:HB23),SUM(GU23:HB23))))</f>
        <v>9547.0731000000014</v>
      </c>
      <c r="GO23" s="203">
        <v>5.5522262773722622</v>
      </c>
      <c r="GP23" s="258">
        <f t="shared" si="45"/>
        <v>53007.510137813872</v>
      </c>
      <c r="GQ23" s="189"/>
      <c r="GR23" s="189"/>
      <c r="GS23" s="189"/>
      <c r="GT23" s="189"/>
      <c r="GU23" s="268">
        <v>3421.89</v>
      </c>
      <c r="GV23" s="189">
        <v>855.47249999999997</v>
      </c>
      <c r="GW23" s="189">
        <v>1026.5669999999998</v>
      </c>
      <c r="GX23" s="189"/>
      <c r="GY23" s="254">
        <v>2737.5120000000002</v>
      </c>
      <c r="GZ23" s="189">
        <v>684.37800000000004</v>
      </c>
      <c r="HA23" s="189">
        <v>821.25359999999989</v>
      </c>
      <c r="HB23" s="255"/>
      <c r="HC23" s="189">
        <v>9547.0731000000014</v>
      </c>
      <c r="HD23" s="189"/>
      <c r="HE23" s="189">
        <v>9547.0731000000014</v>
      </c>
      <c r="HF23" s="189">
        <v>767185.53092437505</v>
      </c>
      <c r="HG23" s="189"/>
      <c r="HH23" s="203">
        <v>80.358191760820915</v>
      </c>
      <c r="HI23" s="189">
        <v>767185.53092437505</v>
      </c>
      <c r="HJ23" s="268">
        <f t="shared" si="11"/>
        <v>0</v>
      </c>
      <c r="HK23" s="189">
        <f t="shared" si="12"/>
        <v>0</v>
      </c>
      <c r="HL23" s="189">
        <f t="shared" si="13"/>
        <v>0</v>
      </c>
      <c r="HM23" s="255">
        <f t="shared" si="14"/>
        <v>0</v>
      </c>
      <c r="HN23" s="189">
        <f t="shared" si="15"/>
        <v>0</v>
      </c>
      <c r="HO23" s="203">
        <f t="shared" si="46"/>
        <v>0</v>
      </c>
      <c r="HP23" s="258">
        <f t="shared" si="16"/>
        <v>0</v>
      </c>
      <c r="HQ23" s="804">
        <v>2005</v>
      </c>
      <c r="HR23" s="268">
        <f t="shared" si="47"/>
        <v>203540.39999999997</v>
      </c>
      <c r="HS23" s="38">
        <f t="shared" si="48"/>
        <v>75.118823043906772</v>
      </c>
      <c r="HT23" s="255">
        <f t="shared" si="17"/>
        <v>15289715.289886</v>
      </c>
      <c r="HU23" s="254">
        <v>90389.224350000004</v>
      </c>
      <c r="HV23" s="203">
        <v>39.338676175695333</v>
      </c>
      <c r="HW23" s="189">
        <v>3555792.4264769256</v>
      </c>
      <c r="HX23" s="1021">
        <v>0</v>
      </c>
      <c r="HY23" s="258">
        <f t="shared" si="49"/>
        <v>18845507.716362923</v>
      </c>
      <c r="HZ23" s="268">
        <v>2300969.8543195012</v>
      </c>
      <c r="IA23" s="203">
        <v>-2.6068936823454902</v>
      </c>
      <c r="IB23" s="255">
        <v>-5998383.7764929309</v>
      </c>
      <c r="IC23" s="254">
        <v>293929.62434999994</v>
      </c>
      <c r="ID23" s="203">
        <f t="shared" si="50"/>
        <v>-0.60972078059950074</v>
      </c>
      <c r="IE23" s="255">
        <f t="shared" si="18"/>
        <v>-179215</v>
      </c>
      <c r="IF23" s="189">
        <f t="shared" si="19"/>
        <v>125412.26850000001</v>
      </c>
      <c r="IG23" s="203">
        <f t="shared" si="51"/>
        <v>-1.9881682381484918</v>
      </c>
      <c r="IH23" s="255">
        <v>-249340.68890585061</v>
      </c>
      <c r="II23" s="189">
        <f t="shared" si="20"/>
        <v>0</v>
      </c>
      <c r="IJ23" s="203">
        <f t="shared" si="52"/>
        <v>0</v>
      </c>
      <c r="IK23" s="189">
        <f t="shared" si="21"/>
        <v>0</v>
      </c>
      <c r="IL23" s="1182">
        <f t="shared" si="22"/>
        <v>12418568.250964142</v>
      </c>
      <c r="IN23" s="820"/>
      <c r="IO23" s="1307"/>
      <c r="IR23" s="223"/>
    </row>
    <row r="24" spans="1:252" ht="13.8" thickBot="1">
      <c r="A24" t="str">
        <f t="shared" si="23"/>
        <v>2000Q3</v>
      </c>
      <c r="B24">
        <f t="shared" si="24"/>
        <v>2000</v>
      </c>
      <c r="C24" s="49">
        <f t="shared" si="25"/>
        <v>36739</v>
      </c>
      <c r="D24" s="115">
        <f t="shared" si="26"/>
        <v>2000</v>
      </c>
      <c r="E24" s="10">
        <f t="shared" si="55"/>
        <v>8</v>
      </c>
      <c r="F24" s="248" t="str">
        <f t="shared" si="57"/>
        <v/>
      </c>
      <c r="G24" s="245">
        <v>36739</v>
      </c>
      <c r="H24" s="251">
        <v>36769</v>
      </c>
      <c r="I24" s="959">
        <f t="shared" si="53"/>
        <v>7.1499999999999994E-2</v>
      </c>
      <c r="J24" s="37">
        <f t="shared" si="27"/>
        <v>0.94756972668086514</v>
      </c>
      <c r="K24" s="1036" t="e">
        <f>IF(Summary!#REF!=1,+Summary!#REF!,I24+Summary!#REF!/10000)</f>
        <v>#REF!</v>
      </c>
      <c r="L24" s="37" t="e">
        <f t="shared" si="28"/>
        <v>#REF!</v>
      </c>
      <c r="M24" s="1004">
        <v>0</v>
      </c>
      <c r="N24" s="138">
        <v>0</v>
      </c>
      <c r="O24" s="139">
        <v>0</v>
      </c>
      <c r="P24" s="163">
        <v>0</v>
      </c>
      <c r="Q24" s="138">
        <v>0</v>
      </c>
      <c r="R24" s="139">
        <v>0</v>
      </c>
      <c r="S24" s="138">
        <v>0</v>
      </c>
      <c r="T24" s="138">
        <v>0</v>
      </c>
      <c r="U24" s="138">
        <v>0</v>
      </c>
      <c r="V24" s="163">
        <v>0</v>
      </c>
      <c r="W24" s="138">
        <v>0</v>
      </c>
      <c r="X24" s="1008">
        <v>0</v>
      </c>
      <c r="Y24" s="46">
        <v>0</v>
      </c>
      <c r="Z24" s="46">
        <v>0</v>
      </c>
      <c r="AA24" s="47">
        <v>0</v>
      </c>
      <c r="AB24" s="46">
        <v>0</v>
      </c>
      <c r="AC24" s="46">
        <v>0</v>
      </c>
      <c r="AD24" s="47">
        <v>0</v>
      </c>
      <c r="AE24" s="46">
        <v>0</v>
      </c>
      <c r="AF24" s="46">
        <v>0</v>
      </c>
      <c r="AG24" s="47">
        <v>0</v>
      </c>
      <c r="AH24" s="46">
        <v>0</v>
      </c>
      <c r="AI24" s="46">
        <v>0</v>
      </c>
      <c r="AJ24" s="47">
        <v>0</v>
      </c>
      <c r="AK24" s="46">
        <v>0</v>
      </c>
      <c r="AL24" s="46">
        <v>0</v>
      </c>
      <c r="AM24" s="47">
        <v>0</v>
      </c>
      <c r="AN24" s="46">
        <v>0</v>
      </c>
      <c r="AO24" s="46">
        <v>0</v>
      </c>
      <c r="AP24" s="47">
        <v>0</v>
      </c>
      <c r="AQ24" s="46">
        <v>0</v>
      </c>
      <c r="AR24" s="46">
        <v>0</v>
      </c>
      <c r="AS24" s="47">
        <v>0</v>
      </c>
      <c r="AT24" s="46">
        <v>0</v>
      </c>
      <c r="AU24" s="46">
        <v>0</v>
      </c>
      <c r="AV24" s="46">
        <v>0</v>
      </c>
      <c r="AW24" s="1545">
        <v>0</v>
      </c>
      <c r="AX24" s="10">
        <f t="shared" si="56"/>
        <v>23</v>
      </c>
      <c r="AY24" s="42">
        <f>IF(AND($E24=MONTH(Summary!$E$24),$D24=YEAR(Summary!$E$24)),Summary!$E$25,1)*IF(G24="",0,INT((H24-MOD(H24,7)-G24)/7)+1-IF(BA24,IF(WEEKDAY(F24)=7,1,0),0))</f>
        <v>4</v>
      </c>
      <c r="AZ24" s="42">
        <f>IF(AND($E24=MONTH(Summary!$E$24),$D24=YEAR(Summary!$E$24)),Summary!$E$25,1)*IF(G24="",0,INT((H24-MOD(H24-1,7)-G24)/7)+1-IF(BA24,IF(WEEKDAY(F24)=1,1,0),0))</f>
        <v>4</v>
      </c>
      <c r="BA24" s="42">
        <v>0</v>
      </c>
      <c r="BB24" s="10">
        <f>IF(AND($E24=MONTH(Summary!$E$24),$D24=YEAR(Summary!$E$24)),Summary!$E$25,1)*IF(G24="",0,H24-G24+1)</f>
        <v>31</v>
      </c>
      <c r="BC24" s="914">
        <f>Summary!$E$19</f>
        <v>1.4999999999999999E-2</v>
      </c>
      <c r="BD24" s="92">
        <v>16311.6</v>
      </c>
      <c r="BE24" s="97">
        <v>2836.8</v>
      </c>
      <c r="BF24" s="97">
        <v>2836.8</v>
      </c>
      <c r="BG24" s="173"/>
      <c r="BH24" s="1198">
        <v>1</v>
      </c>
      <c r="BI24" s="1198">
        <v>1</v>
      </c>
      <c r="BJ24" s="1198">
        <v>1</v>
      </c>
      <c r="BK24" s="1198">
        <v>1</v>
      </c>
      <c r="BL24" s="94">
        <v>3262.32</v>
      </c>
      <c r="BM24" s="97">
        <v>567.36</v>
      </c>
      <c r="BN24" s="97">
        <v>567.36</v>
      </c>
      <c r="BO24" s="173"/>
      <c r="BP24" s="1198">
        <v>1</v>
      </c>
      <c r="BQ24" s="1199">
        <v>1</v>
      </c>
      <c r="BR24" s="1199">
        <v>1</v>
      </c>
      <c r="BS24" s="1200">
        <v>1</v>
      </c>
      <c r="BT24" s="94">
        <f t="shared" si="29"/>
        <v>21985.200000000001</v>
      </c>
      <c r="BU24" s="233">
        <f t="shared" si="30"/>
        <v>21985.200000000001</v>
      </c>
      <c r="BV24" s="92">
        <f t="shared" si="31"/>
        <v>4397.04</v>
      </c>
      <c r="BW24" s="233">
        <f t="shared" si="32"/>
        <v>4397.04</v>
      </c>
      <c r="BX24" s="88">
        <v>0.62970568104038327</v>
      </c>
      <c r="BY24" s="90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100">
        <v>0</v>
      </c>
      <c r="CF24" s="88">
        <v>0</v>
      </c>
      <c r="CG24" s="88">
        <v>0</v>
      </c>
      <c r="CH24" s="88">
        <v>0</v>
      </c>
      <c r="CI24" s="88">
        <v>0</v>
      </c>
      <c r="CJ24" s="228">
        <v>0</v>
      </c>
      <c r="CK24" s="88">
        <v>0</v>
      </c>
      <c r="CL24" s="88">
        <v>0</v>
      </c>
      <c r="CM24" s="88">
        <v>0</v>
      </c>
      <c r="CN24" s="88">
        <v>0</v>
      </c>
      <c r="CO24" s="88">
        <v>0</v>
      </c>
      <c r="CP24" s="88">
        <v>0</v>
      </c>
      <c r="CQ24" s="229">
        <v>0</v>
      </c>
      <c r="CR24" s="91">
        <v>0</v>
      </c>
      <c r="CS24" s="91">
        <v>0</v>
      </c>
      <c r="CT24" s="91">
        <v>0</v>
      </c>
      <c r="CU24" s="91">
        <v>0</v>
      </c>
      <c r="CV24" s="91">
        <v>0</v>
      </c>
      <c r="CW24" s="91">
        <v>0</v>
      </c>
      <c r="CX24" s="225">
        <v>0</v>
      </c>
      <c r="CY24" s="1265">
        <v>7683.5432000000001</v>
      </c>
      <c r="CZ24" s="90">
        <v>0</v>
      </c>
      <c r="DA24" s="88">
        <v>0</v>
      </c>
      <c r="DB24" s="88">
        <v>0</v>
      </c>
      <c r="DC24" s="88">
        <v>0</v>
      </c>
      <c r="DD24" s="88">
        <v>0</v>
      </c>
      <c r="DE24" s="152">
        <v>0</v>
      </c>
      <c r="DF24" s="230">
        <v>0</v>
      </c>
      <c r="DG24" s="38">
        <v>0</v>
      </c>
      <c r="DH24" s="1237">
        <v>0</v>
      </c>
      <c r="DI24" s="956">
        <v>0</v>
      </c>
      <c r="DJ24" s="956">
        <v>0</v>
      </c>
      <c r="DK24" s="956">
        <v>0</v>
      </c>
      <c r="DL24" s="152">
        <v>0</v>
      </c>
      <c r="DM24" s="160">
        <v>0</v>
      </c>
      <c r="DN24" s="160">
        <v>0</v>
      </c>
      <c r="DO24" s="160">
        <v>0</v>
      </c>
      <c r="DP24" s="160">
        <v>0</v>
      </c>
      <c r="DQ24" s="160">
        <v>0</v>
      </c>
      <c r="DR24" s="230">
        <v>0</v>
      </c>
      <c r="DS24" s="88">
        <v>0</v>
      </c>
      <c r="DT24" s="88">
        <v>0</v>
      </c>
      <c r="DU24" s="88">
        <v>0</v>
      </c>
      <c r="DV24" s="88">
        <v>0</v>
      </c>
      <c r="DW24" s="88">
        <v>0</v>
      </c>
      <c r="DX24" s="88">
        <v>0</v>
      </c>
      <c r="DY24" s="88">
        <v>0</v>
      </c>
      <c r="DZ24" s="88">
        <v>0</v>
      </c>
      <c r="EA24" s="88">
        <v>0</v>
      </c>
      <c r="EB24" s="152">
        <v>0</v>
      </c>
      <c r="EC24" s="52">
        <f t="shared" si="33"/>
        <v>0</v>
      </c>
      <c r="ED24" s="52">
        <f t="shared" si="33"/>
        <v>0</v>
      </c>
      <c r="EE24" s="52">
        <f t="shared" si="33"/>
        <v>0</v>
      </c>
      <c r="EF24" s="52">
        <f t="shared" si="33"/>
        <v>0</v>
      </c>
      <c r="EG24" s="52">
        <f t="shared" si="34"/>
        <v>0</v>
      </c>
      <c r="EH24" s="238">
        <v>0</v>
      </c>
      <c r="EI24" s="211">
        <v>0</v>
      </c>
      <c r="EJ24" s="211">
        <v>0</v>
      </c>
      <c r="EK24" s="211">
        <v>0</v>
      </c>
      <c r="EL24" s="217">
        <f>IF(C24&gt;=Summary!$E$26,MAX(0,SUM(EH24:EK24)),0)</f>
        <v>0</v>
      </c>
      <c r="EM24" s="52">
        <f>IF(C24&gt;=Summary!$E$26,DX24*BL24,0)</f>
        <v>0</v>
      </c>
      <c r="EN24" s="52">
        <f>IF(C24&gt;=Summary!$E$26,DY24*BM24,0)</f>
        <v>0</v>
      </c>
      <c r="EO24" s="52">
        <f>IF(C24&gt;=Summary!$E$26,DZ24*BN24,0)</f>
        <v>0</v>
      </c>
      <c r="EP24" s="52">
        <f>IF(C24&gt;=Summary!$E$26,EA24*BO24,0)</f>
        <v>0</v>
      </c>
      <c r="EQ24" s="52">
        <f>IF(C24&gt;=Summary!$E$26,DX24*BL24+DY24*BM24+DZ24*BN24+EA24*BO24,0)</f>
        <v>0</v>
      </c>
      <c r="ER24" s="826">
        <v>0</v>
      </c>
      <c r="ES24" s="278">
        <v>0</v>
      </c>
      <c r="ET24" s="278">
        <v>0</v>
      </c>
      <c r="EU24" s="278">
        <v>0</v>
      </c>
      <c r="EV24" s="212">
        <f>IF(C24&gt;=Summary!$E$26,MAX(0,SUM(ER24:EU24)),0)</f>
        <v>0</v>
      </c>
      <c r="EW24" s="52"/>
      <c r="EX24" s="1049">
        <f t="shared" si="35"/>
        <v>0</v>
      </c>
      <c r="EY24" s="1045" t="str">
        <f t="shared" si="36"/>
        <v/>
      </c>
      <c r="EZ24" s="1684" t="s">
        <v>525</v>
      </c>
      <c r="FA24" s="1046">
        <f t="shared" si="54"/>
        <v>45</v>
      </c>
      <c r="FB24" s="256">
        <f t="shared" si="37"/>
        <v>12233.7</v>
      </c>
      <c r="FC24" s="194">
        <f t="shared" si="38"/>
        <v>0</v>
      </c>
      <c r="FD24" s="194">
        <f t="shared" si="39"/>
        <v>2127.6</v>
      </c>
      <c r="FE24" s="194">
        <f t="shared" si="40"/>
        <v>0</v>
      </c>
      <c r="FF24" s="194">
        <f t="shared" si="41"/>
        <v>2127.6</v>
      </c>
      <c r="FG24" s="194">
        <f t="shared" si="42"/>
        <v>0</v>
      </c>
      <c r="FH24" s="257">
        <f>IF(EZ24="No",IF((OR(MONTH(C24)=5,MONTH(C24)=6,MONTH(C24)=7,MONTH(C24)=8,MONTH(C24)=9)),Summary!$O$15*12*(AX24+AY24+AZ24+BA24)*(1-$BC24),Summary!$O$15*13*(AX24+AY24+AZ24+BA24)*(1-$BC24)+IF(Summary!$O$16="Yes",(CALC!FA24+Summary!$O$15)*6*(AX24+AY24+AZ24+BA24)*(1-$BC24),0)),0)</f>
        <v>0</v>
      </c>
      <c r="FI24" s="1412">
        <f>IF(MONTH(C24)=5,FI23*(IF(Summary!$E$70="no",(1+(Summary!$E$71*0.8)),1+HLOOKUP(YEAR(C24)-1,CCFMODEL!$I$127:$AF$128,2)*0.8)),+FI23)</f>
        <v>27.241036496350365</v>
      </c>
      <c r="FJ24" s="1411">
        <f>IF(MONTH(C24)=5,FJ23*(IF(Summary!$E$70="no",(1+(Summary!$E$71*0.8)),1+HLOOKUP(YEAR(CALC!C24)-1,CCFMODEL!$I$127:$AF$128,2)*0.8)),FJ23)</f>
        <v>23.809094890510945</v>
      </c>
      <c r="FK24" s="832">
        <f t="shared" si="1"/>
        <v>449174.72668467159</v>
      </c>
      <c r="FL24" s="1412">
        <f>IF(MONTH(C24)=5,FL23*(IF(Summary!$E$70="no",(1+(Summary!$E$71*0.8)),1+HLOOKUP(YEAR(CALC!C24)-1,CCFMODEL!$I$127:$AF$128,2)*0.8)),+FL23)</f>
        <v>57.290953771289537</v>
      </c>
      <c r="FM24" s="1411">
        <f>IF(MONTH(C24)=5,FM23*(IF(Summary!$E$70="no",(1+(Summary!$E$71*0.8)),1+HLOOKUP(YEAR(CALC!C24)-1,CCFMODEL!$I$127:$AF$128,2)*0.8)),+FM23)</f>
        <v>27.343177615571772</v>
      </c>
      <c r="FN24" s="832">
        <f t="shared" si="2"/>
        <v>959050.56613138691</v>
      </c>
      <c r="FO24" s="194">
        <f t="shared" si="43"/>
        <v>1408225.2928160585</v>
      </c>
      <c r="FP24" s="263">
        <f t="shared" si="3"/>
        <v>12233.7</v>
      </c>
      <c r="FQ24" s="194">
        <f t="shared" si="3"/>
        <v>0</v>
      </c>
      <c r="FR24" s="194">
        <f t="shared" si="3"/>
        <v>2127.6</v>
      </c>
      <c r="FS24" s="194">
        <f t="shared" si="3"/>
        <v>0</v>
      </c>
      <c r="FT24" s="194">
        <f t="shared" si="3"/>
        <v>2127.6</v>
      </c>
      <c r="FU24" s="194">
        <f t="shared" si="3"/>
        <v>0</v>
      </c>
      <c r="FV24" s="257">
        <f t="shared" si="3"/>
        <v>0</v>
      </c>
      <c r="FW24" s="189">
        <f t="shared" si="4"/>
        <v>0</v>
      </c>
      <c r="FX24" s="189">
        <f t="shared" si="5"/>
        <v>0</v>
      </c>
      <c r="FY24" s="189">
        <f t="shared" si="6"/>
        <v>0</v>
      </c>
      <c r="FZ24" s="258">
        <f t="shared" si="7"/>
        <v>0</v>
      </c>
      <c r="GA24" s="1293">
        <f>(SUM(FP24:FV24)+SUM(GU24:HB24)/(1-Summary!$O$25))*CY24/1000</f>
        <v>202709.080752768</v>
      </c>
      <c r="GB24" s="1369">
        <f>IF($C24&lt;Summary!$M$81,+Summary!$O$81,VLOOKUP(C24,GasTable,19))</f>
        <v>2.4</v>
      </c>
      <c r="GC24" s="1370">
        <f>IF(H24&lt;=Summary!$N$84,MIN(GA24,Summary!$O$75*(H24-G24+1)),0)</f>
        <v>155000</v>
      </c>
      <c r="GD24" s="1371">
        <f>IF(Summary!$O$75*(H24-G24+1)*0.8&gt;GC24,1,0)</f>
        <v>0</v>
      </c>
      <c r="GE24" s="1372">
        <v>0</v>
      </c>
      <c r="GF24" s="1370">
        <f t="shared" si="8"/>
        <v>47709.080752768001</v>
      </c>
      <c r="GG24" s="1371">
        <f>GF24*(IF(Summary!$O$74=1,VLOOKUP($C24,GasTable,16)+Summary!$O$92+Summary!$O$93,VLOOKUP($C24,GasTable,19)+Summary!$O$92+Summary!$O$93))</f>
        <v>2485.6431072192131</v>
      </c>
      <c r="GH24" s="1373">
        <v>22382</v>
      </c>
      <c r="GI24" s="1466">
        <v>0</v>
      </c>
      <c r="GJ24" s="1374">
        <f t="shared" si="44"/>
        <v>396867.64310721919</v>
      </c>
      <c r="GK24" s="189">
        <f t="shared" si="9"/>
        <v>26035.973100000007</v>
      </c>
      <c r="GL24" s="266">
        <v>0.75452394224000008</v>
      </c>
      <c r="GM24" s="255">
        <f t="shared" si="10"/>
        <v>15221.000000000002</v>
      </c>
      <c r="GN24" s="189">
        <f>IF(SUM(GU24:HB24)=0,0,IF(Summary!$O$16="Yes",SUM(GX24:HB24),IF(Summary!$O$17="Yes",SUM(GY24:HB24),SUM(GU24:HB24))))</f>
        <v>9547.0730999999996</v>
      </c>
      <c r="GO24" s="203">
        <v>5.5522262773722622</v>
      </c>
      <c r="GP24" s="258">
        <f t="shared" si="45"/>
        <v>53007.510137813857</v>
      </c>
      <c r="GQ24" s="189"/>
      <c r="GR24" s="189"/>
      <c r="GS24" s="189"/>
      <c r="GT24" s="189"/>
      <c r="GU24" s="268">
        <v>3935.1734999999994</v>
      </c>
      <c r="GV24" s="189">
        <v>684.37800000000027</v>
      </c>
      <c r="GW24" s="189">
        <v>684.37800000000027</v>
      </c>
      <c r="GX24" s="189"/>
      <c r="GY24" s="254">
        <v>3148.1388000000002</v>
      </c>
      <c r="GZ24" s="189">
        <v>547.50239999999997</v>
      </c>
      <c r="HA24" s="189">
        <v>547.50239999999997</v>
      </c>
      <c r="HB24" s="255"/>
      <c r="HC24" s="189">
        <v>9547.0730999999996</v>
      </c>
      <c r="HD24" s="189"/>
      <c r="HE24" s="189">
        <v>9547.0730999999996</v>
      </c>
      <c r="HF24" s="189">
        <v>823772.92894987518</v>
      </c>
      <c r="HG24" s="189"/>
      <c r="HH24" s="203">
        <v>86.285390330767996</v>
      </c>
      <c r="HI24" s="189">
        <v>823772.92894987518</v>
      </c>
      <c r="HJ24" s="268">
        <f t="shared" si="11"/>
        <v>0</v>
      </c>
      <c r="HK24" s="189">
        <f t="shared" si="12"/>
        <v>0</v>
      </c>
      <c r="HL24" s="189">
        <f t="shared" si="13"/>
        <v>0</v>
      </c>
      <c r="HM24" s="255">
        <f t="shared" si="14"/>
        <v>0</v>
      </c>
      <c r="HN24" s="189">
        <f t="shared" si="15"/>
        <v>0</v>
      </c>
      <c r="HO24" s="203">
        <f t="shared" si="46"/>
        <v>0</v>
      </c>
      <c r="HP24" s="258">
        <f t="shared" si="16"/>
        <v>0</v>
      </c>
      <c r="HQ24" s="804">
        <v>2006</v>
      </c>
      <c r="HR24" s="268">
        <f t="shared" si="47"/>
        <v>203540.4</v>
      </c>
      <c r="HS24" s="38">
        <f t="shared" si="48"/>
        <v>76.921674796960545</v>
      </c>
      <c r="HT24" s="255">
        <f t="shared" si="17"/>
        <v>15656668.456843268</v>
      </c>
      <c r="HU24" s="254">
        <v>98772.854850000003</v>
      </c>
      <c r="HV24" s="203">
        <v>39.771926351111645</v>
      </c>
      <c r="HW24" s="189">
        <v>3928386.7085832409</v>
      </c>
      <c r="HX24" s="1021">
        <v>0</v>
      </c>
      <c r="HY24" s="258">
        <f t="shared" si="49"/>
        <v>19585055.165426508</v>
      </c>
      <c r="HZ24" s="268">
        <v>2372972.5273314673</v>
      </c>
      <c r="IA24" s="203">
        <v>-2.6361249011858616</v>
      </c>
      <c r="IB24" s="255">
        <v>-6255451.969128429</v>
      </c>
      <c r="IC24" s="254">
        <v>302313.25485000003</v>
      </c>
      <c r="ID24" s="203">
        <f t="shared" si="50"/>
        <v>-0.59281224731254945</v>
      </c>
      <c r="IE24" s="255">
        <f t="shared" si="18"/>
        <v>-179215</v>
      </c>
      <c r="IF24" s="189">
        <f t="shared" si="19"/>
        <v>125412.26849999998</v>
      </c>
      <c r="IG24" s="203">
        <f t="shared" si="51"/>
        <v>-2.2377486458444413</v>
      </c>
      <c r="IH24" s="255">
        <v>-280641.13400815445</v>
      </c>
      <c r="II24" s="189">
        <f t="shared" si="20"/>
        <v>0</v>
      </c>
      <c r="IJ24" s="203">
        <f t="shared" si="52"/>
        <v>0</v>
      </c>
      <c r="IK24" s="189">
        <f t="shared" si="21"/>
        <v>0</v>
      </c>
      <c r="IL24" s="1182">
        <f t="shared" si="22"/>
        <v>12869747.062289923</v>
      </c>
      <c r="IN24" s="820"/>
      <c r="IO24" s="1307"/>
      <c r="IR24" s="223"/>
    </row>
    <row r="25" spans="1:252" ht="13.8" thickBot="1">
      <c r="A25" t="str">
        <f t="shared" si="23"/>
        <v>2000Q3</v>
      </c>
      <c r="B25">
        <f t="shared" si="24"/>
        <v>2000</v>
      </c>
      <c r="C25" s="49">
        <f t="shared" si="25"/>
        <v>36770</v>
      </c>
      <c r="D25" s="115">
        <f t="shared" si="26"/>
        <v>2000</v>
      </c>
      <c r="E25" s="10">
        <f t="shared" si="55"/>
        <v>9</v>
      </c>
      <c r="F25" s="248">
        <f t="shared" si="57"/>
        <v>36773</v>
      </c>
      <c r="G25" s="245">
        <v>36770</v>
      </c>
      <c r="H25" s="251">
        <v>36799</v>
      </c>
      <c r="I25" s="959">
        <f t="shared" si="53"/>
        <v>7.1499999999999994E-2</v>
      </c>
      <c r="J25" s="37">
        <f t="shared" si="27"/>
        <v>0.94211784927446651</v>
      </c>
      <c r="K25" s="1036" t="e">
        <f>IF(Summary!#REF!=1,+Summary!#REF!,I25+Summary!#REF!/10000)</f>
        <v>#REF!</v>
      </c>
      <c r="L25" s="37" t="e">
        <f t="shared" si="28"/>
        <v>#REF!</v>
      </c>
      <c r="M25" s="1004">
        <v>0</v>
      </c>
      <c r="N25" s="138">
        <v>0</v>
      </c>
      <c r="O25" s="139">
        <v>0</v>
      </c>
      <c r="P25" s="163">
        <v>0</v>
      </c>
      <c r="Q25" s="138">
        <v>0</v>
      </c>
      <c r="R25" s="139">
        <v>0</v>
      </c>
      <c r="S25" s="138">
        <v>0</v>
      </c>
      <c r="T25" s="138">
        <v>0</v>
      </c>
      <c r="U25" s="138">
        <v>0</v>
      </c>
      <c r="V25" s="163">
        <v>0</v>
      </c>
      <c r="W25" s="138">
        <v>0</v>
      </c>
      <c r="X25" s="1008">
        <v>0</v>
      </c>
      <c r="Y25" s="46">
        <v>0</v>
      </c>
      <c r="Z25" s="46">
        <v>0</v>
      </c>
      <c r="AA25" s="47">
        <v>0</v>
      </c>
      <c r="AB25" s="46">
        <v>0</v>
      </c>
      <c r="AC25" s="46">
        <v>0</v>
      </c>
      <c r="AD25" s="47">
        <v>0</v>
      </c>
      <c r="AE25" s="46">
        <v>0</v>
      </c>
      <c r="AF25" s="46">
        <v>0</v>
      </c>
      <c r="AG25" s="47">
        <v>0</v>
      </c>
      <c r="AH25" s="46">
        <v>0</v>
      </c>
      <c r="AI25" s="46">
        <v>0</v>
      </c>
      <c r="AJ25" s="47">
        <v>0</v>
      </c>
      <c r="AK25" s="46">
        <v>0</v>
      </c>
      <c r="AL25" s="46">
        <v>0</v>
      </c>
      <c r="AM25" s="47">
        <v>0</v>
      </c>
      <c r="AN25" s="46">
        <v>0</v>
      </c>
      <c r="AO25" s="46">
        <v>0</v>
      </c>
      <c r="AP25" s="47">
        <v>0</v>
      </c>
      <c r="AQ25" s="46">
        <v>0</v>
      </c>
      <c r="AR25" s="46">
        <v>0</v>
      </c>
      <c r="AS25" s="47">
        <v>0</v>
      </c>
      <c r="AT25" s="46">
        <v>0</v>
      </c>
      <c r="AU25" s="46">
        <v>0</v>
      </c>
      <c r="AV25" s="46">
        <v>0</v>
      </c>
      <c r="AW25" s="1545">
        <v>0</v>
      </c>
      <c r="AX25" s="10">
        <f t="shared" si="56"/>
        <v>20</v>
      </c>
      <c r="AY25" s="42">
        <f>IF(AND($E25=MONTH(Summary!$E$24),$D25=YEAR(Summary!$E$24)),Summary!$E$25,1)*IF(G25="",0,INT((H25-MOD(H25,7)-G25)/7)+1-IF(BA25,IF(WEEKDAY(F25)=7,1,0),0))</f>
        <v>5</v>
      </c>
      <c r="AZ25" s="42">
        <f>IF(AND($E25=MONTH(Summary!$E$24),$D25=YEAR(Summary!$E$24)),Summary!$E$25,1)*IF(G25="",0,INT((H25-MOD(H25-1,7)-G25)/7)+1-IF(BA25,IF(WEEKDAY(F25)=1,1,0),0))</f>
        <v>4</v>
      </c>
      <c r="BA25" s="42">
        <v>1</v>
      </c>
      <c r="BB25" s="10">
        <f>IF(AND($E25=MONTH(Summary!$E$24),$D25=YEAR(Summary!$E$24)),Summary!$E$25,1)*IF(G25="",0,H25-G25+1)</f>
        <v>30</v>
      </c>
      <c r="BC25" s="914">
        <f>Summary!$E$19</f>
        <v>1.4999999999999999E-2</v>
      </c>
      <c r="BD25" s="92">
        <v>14184</v>
      </c>
      <c r="BE25" s="97">
        <v>3546</v>
      </c>
      <c r="BF25" s="97">
        <v>3546</v>
      </c>
      <c r="BG25" s="173"/>
      <c r="BH25" s="1198">
        <v>1</v>
      </c>
      <c r="BI25" s="1198">
        <v>1</v>
      </c>
      <c r="BJ25" s="1198">
        <v>1</v>
      </c>
      <c r="BK25" s="1198">
        <v>1</v>
      </c>
      <c r="BL25" s="94">
        <v>2836.8</v>
      </c>
      <c r="BM25" s="97">
        <v>709.2</v>
      </c>
      <c r="BN25" s="97">
        <v>709.2</v>
      </c>
      <c r="BO25" s="173"/>
      <c r="BP25" s="1198">
        <v>1</v>
      </c>
      <c r="BQ25" s="1199">
        <v>1</v>
      </c>
      <c r="BR25" s="1199">
        <v>1</v>
      </c>
      <c r="BS25" s="1200">
        <v>1</v>
      </c>
      <c r="BT25" s="94">
        <f t="shared" si="29"/>
        <v>21276</v>
      </c>
      <c r="BU25" s="233">
        <f t="shared" si="30"/>
        <v>21276</v>
      </c>
      <c r="BV25" s="92">
        <f t="shared" si="31"/>
        <v>4255.2</v>
      </c>
      <c r="BW25" s="233">
        <f t="shared" si="32"/>
        <v>4255.2</v>
      </c>
      <c r="BX25" s="88">
        <v>0.71457905544147848</v>
      </c>
      <c r="BY25" s="90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100">
        <v>0</v>
      </c>
      <c r="CF25" s="88">
        <v>0</v>
      </c>
      <c r="CG25" s="88">
        <v>0</v>
      </c>
      <c r="CH25" s="88">
        <v>0</v>
      </c>
      <c r="CI25" s="88">
        <v>0</v>
      </c>
      <c r="CJ25" s="228">
        <v>0</v>
      </c>
      <c r="CK25" s="88">
        <v>0</v>
      </c>
      <c r="CL25" s="88">
        <v>0</v>
      </c>
      <c r="CM25" s="88">
        <v>0</v>
      </c>
      <c r="CN25" s="88">
        <v>0</v>
      </c>
      <c r="CO25" s="88">
        <v>0</v>
      </c>
      <c r="CP25" s="88">
        <v>0</v>
      </c>
      <c r="CQ25" s="229">
        <v>0</v>
      </c>
      <c r="CR25" s="91">
        <v>0</v>
      </c>
      <c r="CS25" s="91">
        <v>0</v>
      </c>
      <c r="CT25" s="91">
        <v>0</v>
      </c>
      <c r="CU25" s="91">
        <v>0</v>
      </c>
      <c r="CV25" s="91">
        <v>0</v>
      </c>
      <c r="CW25" s="91">
        <v>0</v>
      </c>
      <c r="CX25" s="225">
        <v>0</v>
      </c>
      <c r="CY25" s="1265">
        <v>7685.4975199999999</v>
      </c>
      <c r="CZ25" s="90">
        <v>0</v>
      </c>
      <c r="DA25" s="88">
        <v>0</v>
      </c>
      <c r="DB25" s="88">
        <v>0</v>
      </c>
      <c r="DC25" s="88">
        <v>0</v>
      </c>
      <c r="DD25" s="88">
        <v>0</v>
      </c>
      <c r="DE25" s="152">
        <v>0</v>
      </c>
      <c r="DF25" s="230">
        <v>0</v>
      </c>
      <c r="DG25" s="38">
        <v>0</v>
      </c>
      <c r="DH25" s="1237">
        <v>0</v>
      </c>
      <c r="DI25" s="956">
        <v>0</v>
      </c>
      <c r="DJ25" s="956">
        <v>0</v>
      </c>
      <c r="DK25" s="956">
        <v>0</v>
      </c>
      <c r="DL25" s="152">
        <v>0</v>
      </c>
      <c r="DM25" s="160">
        <v>0</v>
      </c>
      <c r="DN25" s="160">
        <v>0</v>
      </c>
      <c r="DO25" s="160">
        <v>0</v>
      </c>
      <c r="DP25" s="160">
        <v>0</v>
      </c>
      <c r="DQ25" s="160">
        <v>0</v>
      </c>
      <c r="DR25" s="230">
        <v>0</v>
      </c>
      <c r="DS25" s="88">
        <v>0</v>
      </c>
      <c r="DT25" s="88">
        <v>0</v>
      </c>
      <c r="DU25" s="88">
        <v>0</v>
      </c>
      <c r="DV25" s="88">
        <v>0</v>
      </c>
      <c r="DW25" s="88">
        <v>0</v>
      </c>
      <c r="DX25" s="88">
        <v>0</v>
      </c>
      <c r="DY25" s="88">
        <v>0</v>
      </c>
      <c r="DZ25" s="88">
        <v>0</v>
      </c>
      <c r="EA25" s="88">
        <v>0</v>
      </c>
      <c r="EB25" s="152">
        <v>0</v>
      </c>
      <c r="EC25" s="52">
        <f t="shared" si="33"/>
        <v>0</v>
      </c>
      <c r="ED25" s="52">
        <f t="shared" si="33"/>
        <v>0</v>
      </c>
      <c r="EE25" s="52">
        <f t="shared" si="33"/>
        <v>0</v>
      </c>
      <c r="EF25" s="52">
        <f t="shared" si="33"/>
        <v>0</v>
      </c>
      <c r="EG25" s="52">
        <f t="shared" si="34"/>
        <v>0</v>
      </c>
      <c r="EH25" s="238">
        <v>0</v>
      </c>
      <c r="EI25" s="211">
        <v>0</v>
      </c>
      <c r="EJ25" s="211">
        <v>0</v>
      </c>
      <c r="EK25" s="211">
        <v>0</v>
      </c>
      <c r="EL25" s="217">
        <f>IF(C25&gt;=Summary!$E$26,MAX(0,SUM(EH25:EK25)),0)</f>
        <v>0</v>
      </c>
      <c r="EM25" s="52">
        <f>IF(C25&gt;=Summary!$E$26,DX25*BL25,0)</f>
        <v>0</v>
      </c>
      <c r="EN25" s="52">
        <f>IF(C25&gt;=Summary!$E$26,DY25*BM25,0)</f>
        <v>0</v>
      </c>
      <c r="EO25" s="52">
        <f>IF(C25&gt;=Summary!$E$26,DZ25*BN25,0)</f>
        <v>0</v>
      </c>
      <c r="EP25" s="52">
        <f>IF(C25&gt;=Summary!$E$26,EA25*BO25,0)</f>
        <v>0</v>
      </c>
      <c r="EQ25" s="52">
        <f>IF(C25&gt;=Summary!$E$26,DX25*BL25+DY25*BM25+DZ25*BN25+EA25*BO25,0)</f>
        <v>0</v>
      </c>
      <c r="ER25" s="826">
        <v>0</v>
      </c>
      <c r="ES25" s="278">
        <v>0</v>
      </c>
      <c r="ET25" s="278">
        <v>0</v>
      </c>
      <c r="EU25" s="278">
        <v>0</v>
      </c>
      <c r="EV25" s="212">
        <f>IF(C25&gt;=Summary!$E$26,MAX(0,SUM(ER25:EU25)),0)</f>
        <v>0</v>
      </c>
      <c r="EW25" s="52"/>
      <c r="EX25" s="1049">
        <f t="shared" si="35"/>
        <v>0</v>
      </c>
      <c r="EY25" s="1045" t="str">
        <f t="shared" si="36"/>
        <v/>
      </c>
      <c r="EZ25" s="1684" t="s">
        <v>525</v>
      </c>
      <c r="FA25" s="1046">
        <f t="shared" si="54"/>
        <v>45</v>
      </c>
      <c r="FB25" s="256">
        <f t="shared" si="37"/>
        <v>10638</v>
      </c>
      <c r="FC25" s="194">
        <f t="shared" si="38"/>
        <v>0</v>
      </c>
      <c r="FD25" s="194">
        <f t="shared" si="39"/>
        <v>2659.5</v>
      </c>
      <c r="FE25" s="194">
        <f t="shared" si="40"/>
        <v>0</v>
      </c>
      <c r="FF25" s="194">
        <f t="shared" si="41"/>
        <v>2659.5</v>
      </c>
      <c r="FG25" s="194">
        <f t="shared" si="42"/>
        <v>0</v>
      </c>
      <c r="FH25" s="257">
        <f>IF(EZ25="No",IF((OR(MONTH(C25)=5,MONTH(C25)=6,MONTH(C25)=7,MONTH(C25)=8,MONTH(C25)=9)),Summary!$O$15*12*(AX25+AY25+AZ25+BA25)*(1-$BC25),Summary!$O$15*13*(AX25+AY25+AZ25+BA25)*(1-$BC25)+IF(Summary!$O$16="Yes",(CALC!FA25+Summary!$O$15)*6*(AX25+AY25+AZ25+BA25)*(1-$BC25),0)),0)</f>
        <v>0</v>
      </c>
      <c r="FI25" s="1412">
        <f>IF(MONTH(C25)=5,FI24*(IF(Summary!$E$70="no",(1+(Summary!$E$71*0.8)),1+HLOOKUP(YEAR(C25)-1,CCFMODEL!$I$127:$AF$128,2)*0.8)),+FI24)</f>
        <v>27.241036496350365</v>
      </c>
      <c r="FJ25" s="1411">
        <f>IF(MONTH(C25)=5,FJ24*(IF(Summary!$E$70="no",(1+(Summary!$E$71*0.8)),1+HLOOKUP(YEAR(CALC!C25)-1,CCFMODEL!$I$127:$AF$128,2)*0.8)),FJ24)</f>
        <v>23.809094890510945</v>
      </c>
      <c r="FK25" s="832">
        <f t="shared" si="1"/>
        <v>434685.21937226277</v>
      </c>
      <c r="FL25" s="1412">
        <f>IF(MONTH(C25)=5,FL24*(IF(Summary!$E$70="no",(1+(Summary!$E$71*0.8)),1+HLOOKUP(YEAR(CALC!C25)-1,CCFMODEL!$I$127:$AF$128,2)*0.8)),+FL24)</f>
        <v>57.290953771289537</v>
      </c>
      <c r="FM25" s="1411">
        <f>IF(MONTH(C25)=5,FM24*(IF(Summary!$E$70="no",(1+(Summary!$E$71*0.8)),1+HLOOKUP(YEAR(CALC!C25)-1,CCFMODEL!$I$127:$AF$128,2)*0.8)),+FM24)</f>
        <v>27.343177615571772</v>
      </c>
      <c r="FN25" s="832">
        <f t="shared" si="2"/>
        <v>928113.45109489048</v>
      </c>
      <c r="FO25" s="194">
        <f t="shared" si="43"/>
        <v>1362798.6704671532</v>
      </c>
      <c r="FP25" s="263">
        <f t="shared" si="3"/>
        <v>10638</v>
      </c>
      <c r="FQ25" s="194">
        <f t="shared" si="3"/>
        <v>0</v>
      </c>
      <c r="FR25" s="194">
        <f t="shared" si="3"/>
        <v>2659.5</v>
      </c>
      <c r="FS25" s="194">
        <f t="shared" si="3"/>
        <v>0</v>
      </c>
      <c r="FT25" s="194">
        <f t="shared" si="3"/>
        <v>2659.5</v>
      </c>
      <c r="FU25" s="194">
        <f t="shared" si="3"/>
        <v>0</v>
      </c>
      <c r="FV25" s="257">
        <f t="shared" si="3"/>
        <v>0</v>
      </c>
      <c r="FW25" s="189">
        <f t="shared" si="4"/>
        <v>0</v>
      </c>
      <c r="FX25" s="189">
        <f t="shared" si="5"/>
        <v>0</v>
      </c>
      <c r="FY25" s="189">
        <f t="shared" si="6"/>
        <v>0</v>
      </c>
      <c r="FZ25" s="258">
        <f t="shared" si="7"/>
        <v>0</v>
      </c>
      <c r="GA25" s="1293">
        <f>(SUM(FP25:FV25)+SUM(GU25:HB25)/(1-Summary!$O$25))*CY25/1000</f>
        <v>196219.974282624</v>
      </c>
      <c r="GB25" s="1369">
        <f>IF($C25&lt;Summary!$M$81,+Summary!$O$81,VLOOKUP(C25,GasTable,19))</f>
        <v>2.4</v>
      </c>
      <c r="GC25" s="1370">
        <f>IF(H25&lt;=Summary!$N$84,MIN(GA25,Summary!$O$75*(H25-G25+1)),0)</f>
        <v>150000</v>
      </c>
      <c r="GD25" s="1371">
        <f>IF(Summary!$O$75*(H25-G25+1)*0.8&gt;GC25,1,0)</f>
        <v>0</v>
      </c>
      <c r="GE25" s="1372">
        <v>0</v>
      </c>
      <c r="GF25" s="1370">
        <f t="shared" si="8"/>
        <v>46219.974282623996</v>
      </c>
      <c r="GG25" s="1371">
        <f>GF25*(IF(Summary!$O$74=1,VLOOKUP($C25,GasTable,16)+Summary!$O$92+Summary!$O$93,VLOOKUP($C25,GasTable,19)+Summary!$O$92+Summary!$O$93))</f>
        <v>2408.0606601247105</v>
      </c>
      <c r="GH25" s="1373">
        <v>24000</v>
      </c>
      <c r="GI25" s="1466">
        <v>0</v>
      </c>
      <c r="GJ25" s="1374">
        <f t="shared" si="44"/>
        <v>386408.0606601247</v>
      </c>
      <c r="GK25" s="189">
        <f t="shared" si="9"/>
        <v>25196.102999999999</v>
      </c>
      <c r="GL25" s="266">
        <v>0.75471585646400008</v>
      </c>
      <c r="GM25" s="255">
        <f t="shared" si="10"/>
        <v>14730</v>
      </c>
      <c r="GN25" s="189">
        <f>IF(SUM(GU25:HB25)=0,0,IF(Summary!$O$16="Yes",SUM(GX25:HB25),IF(Summary!$O$17="Yes",SUM(GY25:HB25),SUM(GU25:HB25))))</f>
        <v>9239.103000000001</v>
      </c>
      <c r="GO25" s="203">
        <v>5.5522262773722622</v>
      </c>
      <c r="GP25" s="258">
        <f t="shared" si="45"/>
        <v>51297.590455948906</v>
      </c>
      <c r="GQ25" s="189"/>
      <c r="GR25" s="189"/>
      <c r="GS25" s="189"/>
      <c r="GT25" s="189"/>
      <c r="GU25" s="268">
        <v>3421.89</v>
      </c>
      <c r="GV25" s="189">
        <v>855.47249999999997</v>
      </c>
      <c r="GW25" s="189">
        <v>855.47249999999997</v>
      </c>
      <c r="GX25" s="189"/>
      <c r="GY25" s="254">
        <v>2737.5120000000002</v>
      </c>
      <c r="GZ25" s="189">
        <v>684.37800000000004</v>
      </c>
      <c r="HA25" s="189">
        <v>684.37800000000004</v>
      </c>
      <c r="HB25" s="255"/>
      <c r="HC25" s="189">
        <v>9239.103000000001</v>
      </c>
      <c r="HD25" s="189"/>
      <c r="HE25" s="189">
        <v>9239.103000000001</v>
      </c>
      <c r="HF25" s="189">
        <v>866897.13873937493</v>
      </c>
      <c r="HG25" s="189"/>
      <c r="HH25" s="203">
        <v>93.829145398571143</v>
      </c>
      <c r="HI25" s="189">
        <v>866897.13873937493</v>
      </c>
      <c r="HJ25" s="268">
        <f t="shared" si="11"/>
        <v>0</v>
      </c>
      <c r="HK25" s="189">
        <f t="shared" si="12"/>
        <v>0</v>
      </c>
      <c r="HL25" s="189">
        <f t="shared" si="13"/>
        <v>0</v>
      </c>
      <c r="HM25" s="255">
        <f t="shared" si="14"/>
        <v>0</v>
      </c>
      <c r="HN25" s="189">
        <f t="shared" si="15"/>
        <v>0</v>
      </c>
      <c r="HO25" s="203">
        <f t="shared" si="46"/>
        <v>0</v>
      </c>
      <c r="HP25" s="258">
        <f t="shared" si="16"/>
        <v>0</v>
      </c>
      <c r="HQ25" s="804">
        <v>2007</v>
      </c>
      <c r="HR25" s="268">
        <f t="shared" si="47"/>
        <v>203540.4</v>
      </c>
      <c r="HS25" s="38">
        <f t="shared" si="48"/>
        <v>78.767794992087588</v>
      </c>
      <c r="HT25" s="255">
        <f t="shared" si="17"/>
        <v>16032428.499807503</v>
      </c>
      <c r="HU25" s="254">
        <v>99730.984049999985</v>
      </c>
      <c r="HV25" s="203">
        <v>41.53442507454006</v>
      </c>
      <c r="HW25" s="189">
        <v>4142269.0846348745</v>
      </c>
      <c r="HX25" s="1021">
        <v>0</v>
      </c>
      <c r="HY25" s="258">
        <f t="shared" si="49"/>
        <v>20174697.584442377</v>
      </c>
      <c r="HZ25" s="268">
        <v>2382449.0779068628</v>
      </c>
      <c r="IA25" s="203">
        <v>-2.6594342641434401</v>
      </c>
      <c r="IB25" s="255">
        <v>-6335966.7103624549</v>
      </c>
      <c r="IC25" s="254">
        <v>303271.38404999999</v>
      </c>
      <c r="ID25" s="203">
        <f t="shared" si="50"/>
        <v>-0.59093936792418578</v>
      </c>
      <c r="IE25" s="255">
        <f t="shared" si="18"/>
        <v>-179215</v>
      </c>
      <c r="IF25" s="189">
        <f t="shared" si="19"/>
        <v>125412.26849999998</v>
      </c>
      <c r="IG25" s="203">
        <f t="shared" si="51"/>
        <v>-2.3272392105189783</v>
      </c>
      <c r="IH25" s="255">
        <v>-291864.3487333341</v>
      </c>
      <c r="II25" s="189">
        <f t="shared" si="20"/>
        <v>0</v>
      </c>
      <c r="IJ25" s="203">
        <f t="shared" si="52"/>
        <v>0</v>
      </c>
      <c r="IK25" s="189">
        <f t="shared" si="21"/>
        <v>0</v>
      </c>
      <c r="IL25" s="1182">
        <f t="shared" si="22"/>
        <v>13367651.525346588</v>
      </c>
      <c r="IN25" s="820"/>
      <c r="IO25" s="1307"/>
      <c r="IR25" s="223"/>
    </row>
    <row r="26" spans="1:252" ht="13.8" thickBot="1">
      <c r="A26" t="str">
        <f t="shared" si="23"/>
        <v>2000Q4</v>
      </c>
      <c r="B26">
        <f t="shared" si="24"/>
        <v>2000</v>
      </c>
      <c r="C26" s="49">
        <f t="shared" si="25"/>
        <v>36800</v>
      </c>
      <c r="D26" s="115">
        <f t="shared" si="26"/>
        <v>2000</v>
      </c>
      <c r="E26" s="10">
        <f t="shared" si="55"/>
        <v>10</v>
      </c>
      <c r="F26" s="248" t="str">
        <f t="shared" si="57"/>
        <v/>
      </c>
      <c r="G26" s="245">
        <v>36800</v>
      </c>
      <c r="H26" s="251">
        <v>36830</v>
      </c>
      <c r="I26" s="959">
        <f t="shared" si="53"/>
        <v>7.1499999999999994E-2</v>
      </c>
      <c r="J26" s="37">
        <f t="shared" si="27"/>
        <v>0.93651719389487065</v>
      </c>
      <c r="K26" s="1036" t="e">
        <f>IF(Summary!#REF!=1,+Summary!#REF!,I26+Summary!#REF!/10000)</f>
        <v>#REF!</v>
      </c>
      <c r="L26" s="37" t="e">
        <f t="shared" si="28"/>
        <v>#REF!</v>
      </c>
      <c r="M26" s="1004">
        <v>0</v>
      </c>
      <c r="N26" s="138">
        <v>0</v>
      </c>
      <c r="O26" s="139">
        <v>0</v>
      </c>
      <c r="P26" s="163">
        <v>0</v>
      </c>
      <c r="Q26" s="138">
        <v>0</v>
      </c>
      <c r="R26" s="139">
        <v>0</v>
      </c>
      <c r="S26" s="138">
        <v>0</v>
      </c>
      <c r="T26" s="138">
        <v>0</v>
      </c>
      <c r="U26" s="138">
        <v>0</v>
      </c>
      <c r="V26" s="163">
        <v>0</v>
      </c>
      <c r="W26" s="138">
        <v>0</v>
      </c>
      <c r="X26" s="1008">
        <v>0</v>
      </c>
      <c r="Y26" s="46">
        <v>0</v>
      </c>
      <c r="Z26" s="46">
        <v>0</v>
      </c>
      <c r="AA26" s="47">
        <v>0</v>
      </c>
      <c r="AB26" s="46">
        <v>0</v>
      </c>
      <c r="AC26" s="46">
        <v>0</v>
      </c>
      <c r="AD26" s="47">
        <v>0</v>
      </c>
      <c r="AE26" s="46">
        <v>0</v>
      </c>
      <c r="AF26" s="46">
        <v>0</v>
      </c>
      <c r="AG26" s="47">
        <v>0</v>
      </c>
      <c r="AH26" s="46">
        <v>0</v>
      </c>
      <c r="AI26" s="46">
        <v>0</v>
      </c>
      <c r="AJ26" s="47">
        <v>0</v>
      </c>
      <c r="AK26" s="46">
        <v>0</v>
      </c>
      <c r="AL26" s="46">
        <v>0</v>
      </c>
      <c r="AM26" s="47">
        <v>0</v>
      </c>
      <c r="AN26" s="46">
        <v>0</v>
      </c>
      <c r="AO26" s="46">
        <v>0</v>
      </c>
      <c r="AP26" s="47">
        <v>0</v>
      </c>
      <c r="AQ26" s="46">
        <v>0</v>
      </c>
      <c r="AR26" s="46">
        <v>0</v>
      </c>
      <c r="AS26" s="47">
        <v>0</v>
      </c>
      <c r="AT26" s="46">
        <v>0</v>
      </c>
      <c r="AU26" s="46">
        <v>0</v>
      </c>
      <c r="AV26" s="46">
        <v>0</v>
      </c>
      <c r="AW26" s="1545">
        <v>0</v>
      </c>
      <c r="AX26" s="10">
        <f t="shared" si="56"/>
        <v>22</v>
      </c>
      <c r="AY26" s="42">
        <f>IF(AND($E26=MONTH(Summary!$E$24),$D26=YEAR(Summary!$E$24)),Summary!$E$25,1)*IF(G26="",0,INT((H26-MOD(H26,7)-G26)/7)+1-IF(BA26,IF(WEEKDAY(F26)=7,1,0),0))</f>
        <v>4</v>
      </c>
      <c r="AZ26" s="42">
        <f>IF(AND($E26=MONTH(Summary!$E$24),$D26=YEAR(Summary!$E$24)),Summary!$E$25,1)*IF(G26="",0,INT((H26-MOD(H26-1,7)-G26)/7)+1-IF(BA26,IF(WEEKDAY(F26)=1,1,0),0))</f>
        <v>5</v>
      </c>
      <c r="BA26" s="42">
        <v>0</v>
      </c>
      <c r="BB26" s="10">
        <f>IF(AND($E26=MONTH(Summary!$E$24),$D26=YEAR(Summary!$E$24)),Summary!$E$25,1)*IF(G26="",0,H26-G26+1)</f>
        <v>31</v>
      </c>
      <c r="BC26" s="914">
        <f>Summary!$E$19</f>
        <v>1.4999999999999999E-2</v>
      </c>
      <c r="BD26" s="92">
        <v>15602.4</v>
      </c>
      <c r="BE26" s="97">
        <v>2836.8</v>
      </c>
      <c r="BF26" s="97">
        <v>3546</v>
      </c>
      <c r="BG26" s="173"/>
      <c r="BH26" s="1198">
        <v>1</v>
      </c>
      <c r="BI26" s="1198">
        <v>1</v>
      </c>
      <c r="BJ26" s="1198">
        <v>1</v>
      </c>
      <c r="BK26" s="1198">
        <v>1</v>
      </c>
      <c r="BL26" s="94">
        <v>3120.48</v>
      </c>
      <c r="BM26" s="97">
        <v>567.36</v>
      </c>
      <c r="BN26" s="97">
        <v>709.2</v>
      </c>
      <c r="BO26" s="173"/>
      <c r="BP26" s="1198">
        <v>1</v>
      </c>
      <c r="BQ26" s="1199">
        <v>1</v>
      </c>
      <c r="BR26" s="1199">
        <v>1</v>
      </c>
      <c r="BS26" s="1200">
        <v>1</v>
      </c>
      <c r="BT26" s="94">
        <f t="shared" si="29"/>
        <v>21985.200000000001</v>
      </c>
      <c r="BU26" s="233">
        <f t="shared" si="30"/>
        <v>21985.200000000001</v>
      </c>
      <c r="BV26" s="92">
        <f t="shared" si="31"/>
        <v>4397.04</v>
      </c>
      <c r="BW26" s="233">
        <f t="shared" si="32"/>
        <v>4397.04</v>
      </c>
      <c r="BX26" s="88">
        <v>0.79671457905544152</v>
      </c>
      <c r="BY26" s="90">
        <v>0</v>
      </c>
      <c r="BZ26" s="88">
        <v>0</v>
      </c>
      <c r="CA26" s="88">
        <v>0</v>
      </c>
      <c r="CB26" s="88">
        <v>0</v>
      </c>
      <c r="CC26" s="88">
        <v>0</v>
      </c>
      <c r="CD26" s="88">
        <v>0</v>
      </c>
      <c r="CE26" s="100">
        <v>0</v>
      </c>
      <c r="CF26" s="88">
        <v>0</v>
      </c>
      <c r="CG26" s="88">
        <v>0</v>
      </c>
      <c r="CH26" s="88">
        <v>0</v>
      </c>
      <c r="CI26" s="88">
        <v>0</v>
      </c>
      <c r="CJ26" s="228">
        <v>0</v>
      </c>
      <c r="CK26" s="88">
        <v>0</v>
      </c>
      <c r="CL26" s="88">
        <v>0</v>
      </c>
      <c r="CM26" s="88">
        <v>0</v>
      </c>
      <c r="CN26" s="88">
        <v>0</v>
      </c>
      <c r="CO26" s="88">
        <v>0</v>
      </c>
      <c r="CP26" s="88">
        <v>0</v>
      </c>
      <c r="CQ26" s="229">
        <v>0</v>
      </c>
      <c r="CR26" s="91">
        <v>0</v>
      </c>
      <c r="CS26" s="91">
        <v>0</v>
      </c>
      <c r="CT26" s="91">
        <v>0</v>
      </c>
      <c r="CU26" s="91">
        <v>0</v>
      </c>
      <c r="CV26" s="91">
        <v>0</v>
      </c>
      <c r="CW26" s="91">
        <v>0</v>
      </c>
      <c r="CX26" s="225">
        <v>0</v>
      </c>
      <c r="CY26" s="1265">
        <v>7687.4518400000006</v>
      </c>
      <c r="CZ26" s="90">
        <v>0</v>
      </c>
      <c r="DA26" s="88">
        <v>0</v>
      </c>
      <c r="DB26" s="88">
        <v>0</v>
      </c>
      <c r="DC26" s="88">
        <v>0</v>
      </c>
      <c r="DD26" s="88">
        <v>0</v>
      </c>
      <c r="DE26" s="152">
        <v>0</v>
      </c>
      <c r="DF26" s="230">
        <v>0</v>
      </c>
      <c r="DG26" s="38">
        <v>0</v>
      </c>
      <c r="DH26" s="1237">
        <v>0</v>
      </c>
      <c r="DI26" s="956">
        <v>0</v>
      </c>
      <c r="DJ26" s="956">
        <v>0</v>
      </c>
      <c r="DK26" s="956">
        <v>0</v>
      </c>
      <c r="DL26" s="152">
        <v>0</v>
      </c>
      <c r="DM26" s="160">
        <v>0</v>
      </c>
      <c r="DN26" s="160">
        <v>0</v>
      </c>
      <c r="DO26" s="160">
        <v>0</v>
      </c>
      <c r="DP26" s="160">
        <v>0</v>
      </c>
      <c r="DQ26" s="160">
        <v>0</v>
      </c>
      <c r="DR26" s="230">
        <v>0</v>
      </c>
      <c r="DS26" s="88">
        <v>0</v>
      </c>
      <c r="DT26" s="88">
        <v>0</v>
      </c>
      <c r="DU26" s="88">
        <v>0</v>
      </c>
      <c r="DV26" s="88">
        <v>0</v>
      </c>
      <c r="DW26" s="88">
        <v>0</v>
      </c>
      <c r="DX26" s="88">
        <v>0</v>
      </c>
      <c r="DY26" s="88">
        <v>0</v>
      </c>
      <c r="DZ26" s="88">
        <v>0</v>
      </c>
      <c r="EA26" s="88">
        <v>0</v>
      </c>
      <c r="EB26" s="152">
        <v>0</v>
      </c>
      <c r="EC26" s="52">
        <f t="shared" si="33"/>
        <v>0</v>
      </c>
      <c r="ED26" s="52">
        <f t="shared" si="33"/>
        <v>0</v>
      </c>
      <c r="EE26" s="52">
        <f t="shared" si="33"/>
        <v>0</v>
      </c>
      <c r="EF26" s="52">
        <f t="shared" si="33"/>
        <v>0</v>
      </c>
      <c r="EG26" s="52">
        <f t="shared" si="34"/>
        <v>0</v>
      </c>
      <c r="EH26" s="238">
        <v>0</v>
      </c>
      <c r="EI26" s="211">
        <v>0</v>
      </c>
      <c r="EJ26" s="211">
        <v>0</v>
      </c>
      <c r="EK26" s="211">
        <v>0</v>
      </c>
      <c r="EL26" s="217">
        <f>IF(C26&gt;=Summary!$E$26,MAX(0,SUM(EH26:EK26)),0)</f>
        <v>0</v>
      </c>
      <c r="EM26" s="52">
        <f>IF(C26&gt;=Summary!$E$26,DX26*BL26,0)</f>
        <v>0</v>
      </c>
      <c r="EN26" s="52">
        <f>IF(C26&gt;=Summary!$E$26,DY26*BM26,0)</f>
        <v>0</v>
      </c>
      <c r="EO26" s="52">
        <f>IF(C26&gt;=Summary!$E$26,DZ26*BN26,0)</f>
        <v>0</v>
      </c>
      <c r="EP26" s="52">
        <f>IF(C26&gt;=Summary!$E$26,EA26*BO26,0)</f>
        <v>0</v>
      </c>
      <c r="EQ26" s="52">
        <f>IF(C26&gt;=Summary!$E$26,DX26*BL26+DY26*BM26+DZ26*BN26+EA26*BO26,0)</f>
        <v>0</v>
      </c>
      <c r="ER26" s="826">
        <v>0</v>
      </c>
      <c r="ES26" s="278">
        <v>0</v>
      </c>
      <c r="ET26" s="278">
        <v>0</v>
      </c>
      <c r="EU26" s="278">
        <v>0</v>
      </c>
      <c r="EV26" s="212">
        <f>IF(C26&gt;=Summary!$E$26,MAX(0,SUM(ER26:EU26)),0)</f>
        <v>0</v>
      </c>
      <c r="EW26" s="52"/>
      <c r="EX26" s="1049">
        <f t="shared" si="35"/>
        <v>0</v>
      </c>
      <c r="EY26" s="1045" t="str">
        <f t="shared" si="36"/>
        <v/>
      </c>
      <c r="EZ26" s="1684" t="s">
        <v>525</v>
      </c>
      <c r="FA26" s="1046">
        <f t="shared" si="54"/>
        <v>45</v>
      </c>
      <c r="FB26" s="256">
        <f t="shared" si="37"/>
        <v>9751.5</v>
      </c>
      <c r="FC26" s="194">
        <f t="shared" si="38"/>
        <v>2925.45</v>
      </c>
      <c r="FD26" s="194">
        <f t="shared" si="39"/>
        <v>1773</v>
      </c>
      <c r="FE26" s="194">
        <f t="shared" si="40"/>
        <v>531.9</v>
      </c>
      <c r="FF26" s="194">
        <f t="shared" si="41"/>
        <v>2216.25</v>
      </c>
      <c r="FG26" s="194">
        <f t="shared" si="42"/>
        <v>664.875</v>
      </c>
      <c r="FH26" s="257">
        <f>IF(EZ26="No",IF((OR(MONTH(C26)=5,MONTH(C26)=6,MONTH(C26)=7,MONTH(C26)=8,MONTH(C26)=9)),Summary!$O$15*12*(AX26+AY26+AZ26+BA26)*(1-$BC26),Summary!$O$15*13*(AX26+AY26+AZ26+BA26)*(1-$BC26)+IF(Summary!$O$16="Yes",(CALC!FA26+Summary!$O$15)*6*(AX26+AY26+AZ26+BA26)*(1-$BC26),0)),0)</f>
        <v>0</v>
      </c>
      <c r="FI26" s="1412">
        <f>IF(MONTH(C26)=5,FI25*(IF(Summary!$E$70="no",(1+(Summary!$E$71*0.8)),1+HLOOKUP(YEAR(C26)-1,CCFMODEL!$I$127:$AF$128,2)*0.8)),+FI25)</f>
        <v>27.241036496350365</v>
      </c>
      <c r="FJ26" s="1411">
        <f>IF(MONTH(C26)=5,FJ25*(IF(Summary!$E$70="no",(1+(Summary!$E$71*0.8)),1+HLOOKUP(YEAR(CALC!C26)-1,CCFMODEL!$I$127:$AF$128,2)*0.8)),FJ25)</f>
        <v>23.809094890510945</v>
      </c>
      <c r="FK26" s="832">
        <f t="shared" si="1"/>
        <v>486605.95390839409</v>
      </c>
      <c r="FL26" s="1412">
        <f>IF(MONTH(C26)=5,FL25*(IF(Summary!$E$70="no",(1+(Summary!$E$71*0.8)),1+HLOOKUP(YEAR(CALC!C26)-1,CCFMODEL!$I$127:$AF$128,2)*0.8)),+FL25)</f>
        <v>57.290953771289537</v>
      </c>
      <c r="FM26" s="1411">
        <f>IF(MONTH(C26)=5,FM25*(IF(Summary!$E$70="no",(1+(Summary!$E$71*0.8)),1+HLOOKUP(YEAR(CALC!C26)-1,CCFMODEL!$I$127:$AF$128,2)*0.8)),+FM25)</f>
        <v>27.343177615571772</v>
      </c>
      <c r="FN26" s="832">
        <f t="shared" si="2"/>
        <v>495868.52605839411</v>
      </c>
      <c r="FO26" s="194">
        <f t="shared" si="43"/>
        <v>982474.4799667882</v>
      </c>
      <c r="FP26" s="263">
        <f t="shared" si="3"/>
        <v>9751.5</v>
      </c>
      <c r="FQ26" s="194">
        <f t="shared" si="3"/>
        <v>2925.45</v>
      </c>
      <c r="FR26" s="194">
        <f t="shared" si="3"/>
        <v>1773</v>
      </c>
      <c r="FS26" s="194">
        <f t="shared" si="3"/>
        <v>531.9</v>
      </c>
      <c r="FT26" s="194">
        <f t="shared" si="3"/>
        <v>2216.25</v>
      </c>
      <c r="FU26" s="194">
        <f t="shared" si="3"/>
        <v>664.875</v>
      </c>
      <c r="FV26" s="257">
        <f t="shared" si="3"/>
        <v>0</v>
      </c>
      <c r="FW26" s="189">
        <f t="shared" si="4"/>
        <v>0</v>
      </c>
      <c r="FX26" s="189">
        <f t="shared" si="5"/>
        <v>0</v>
      </c>
      <c r="FY26" s="189">
        <f t="shared" si="6"/>
        <v>0</v>
      </c>
      <c r="FZ26" s="258">
        <f t="shared" si="7"/>
        <v>0</v>
      </c>
      <c r="GA26" s="1293">
        <f>(SUM(FP26:FV26)+SUM(GU26:HB26)/(1-Summary!$O$25))*CY26/1000</f>
        <v>234501.60559246558</v>
      </c>
      <c r="GB26" s="1369">
        <f>IF($C26&lt;Summary!$M$81,+Summary!$O$81,VLOOKUP(C26,GasTable,19))</f>
        <v>2.4</v>
      </c>
      <c r="GC26" s="1370">
        <f>IF(H26&lt;=Summary!$N$84,MIN(GA26,Summary!$O$75*(H26-G26+1)),0)</f>
        <v>155000</v>
      </c>
      <c r="GD26" s="1371">
        <f>IF(Summary!$O$75*(H26-G26+1)*0.8&gt;GC26,1,0)</f>
        <v>0</v>
      </c>
      <c r="GE26" s="1372">
        <v>0</v>
      </c>
      <c r="GF26" s="1370">
        <f t="shared" si="8"/>
        <v>79501.605592465581</v>
      </c>
      <c r="GG26" s="1371">
        <f>GF26*(IF(Summary!$O$74=1,VLOOKUP($C26,GasTable,16)+Summary!$O$92+Summary!$O$93,VLOOKUP($C26,GasTable,19)+Summary!$O$92+Summary!$O$93))</f>
        <v>4142.0336513674574</v>
      </c>
      <c r="GH26" s="1373">
        <v>24812.400000000001</v>
      </c>
      <c r="GI26" s="1466">
        <v>0</v>
      </c>
      <c r="GJ26" s="1374">
        <f t="shared" si="44"/>
        <v>400954.43365136749</v>
      </c>
      <c r="GK26" s="189">
        <f t="shared" si="9"/>
        <v>30062.012850000003</v>
      </c>
      <c r="GL26" s="266">
        <v>0.75490777068800019</v>
      </c>
      <c r="GM26" s="255">
        <f t="shared" si="10"/>
        <v>15221.000000000004</v>
      </c>
      <c r="GN26" s="189">
        <f>IF(SUM(GU26:HB26)=0,0,IF(Summary!$O$16="Yes",SUM(GX26:HB26),IF(Summary!$O$17="Yes",SUM(GY26:HB26),SUM(GU26:HB26))))</f>
        <v>12199.037849999999</v>
      </c>
      <c r="GO26" s="203">
        <v>5.5522262773722622</v>
      </c>
      <c r="GP26" s="258">
        <f t="shared" si="45"/>
        <v>67731.81850942882</v>
      </c>
      <c r="GQ26" s="189"/>
      <c r="GR26" s="189"/>
      <c r="GS26" s="189"/>
      <c r="GT26" s="189"/>
      <c r="GU26" s="268">
        <v>5646.1184999999996</v>
      </c>
      <c r="GV26" s="189">
        <v>1026.5670000000002</v>
      </c>
      <c r="GW26" s="189">
        <v>1283.20875</v>
      </c>
      <c r="GX26" s="189"/>
      <c r="GY26" s="254">
        <v>3011.2631999999999</v>
      </c>
      <c r="GZ26" s="189">
        <v>547.50239999999997</v>
      </c>
      <c r="HA26" s="189">
        <v>684.37800000000004</v>
      </c>
      <c r="HB26" s="255"/>
      <c r="HC26" s="189">
        <v>12199.037849999999</v>
      </c>
      <c r="HD26" s="189"/>
      <c r="HE26" s="189">
        <v>12199.037849999999</v>
      </c>
      <c r="HF26" s="189">
        <v>979658.44649999985</v>
      </c>
      <c r="HG26" s="189"/>
      <c r="HH26" s="203">
        <v>80.306205993122646</v>
      </c>
      <c r="HI26" s="189">
        <v>979658.44649999985</v>
      </c>
      <c r="HJ26" s="268">
        <f t="shared" si="11"/>
        <v>0</v>
      </c>
      <c r="HK26" s="189">
        <f t="shared" si="12"/>
        <v>0</v>
      </c>
      <c r="HL26" s="189">
        <f t="shared" si="13"/>
        <v>0</v>
      </c>
      <c r="HM26" s="255">
        <f t="shared" si="14"/>
        <v>0</v>
      </c>
      <c r="HN26" s="189">
        <f t="shared" si="15"/>
        <v>0</v>
      </c>
      <c r="HO26" s="203">
        <f t="shared" si="46"/>
        <v>0</v>
      </c>
      <c r="HP26" s="258">
        <f t="shared" si="16"/>
        <v>0</v>
      </c>
      <c r="HQ26" s="804">
        <v>2008</v>
      </c>
      <c r="HR26" s="268">
        <f t="shared" si="47"/>
        <v>204116.62499999997</v>
      </c>
      <c r="HS26" s="38">
        <f t="shared" si="48"/>
        <v>80.613830204005879</v>
      </c>
      <c r="HT26" s="255">
        <f t="shared" si="17"/>
        <v>16454622.949564738</v>
      </c>
      <c r="HU26" s="254">
        <v>103101.5457</v>
      </c>
      <c r="HV26" s="203">
        <v>42.527117072392741</v>
      </c>
      <c r="HW26" s="189">
        <v>4384611.5043285508</v>
      </c>
      <c r="HX26" s="1021">
        <v>0</v>
      </c>
      <c r="HY26" s="258">
        <f t="shared" si="49"/>
        <v>20839234.453893289</v>
      </c>
      <c r="HZ26" s="268">
        <v>2387307.8315700069</v>
      </c>
      <c r="IA26" s="203">
        <v>-2.680036733161439</v>
      </c>
      <c r="IB26" s="255">
        <v>-6398072.6819716003</v>
      </c>
      <c r="IC26" s="254">
        <v>307218.17070000002</v>
      </c>
      <c r="ID26" s="203">
        <f t="shared" si="50"/>
        <v>-0.58494586954455807</v>
      </c>
      <c r="IE26" s="255">
        <f t="shared" si="18"/>
        <v>-179706</v>
      </c>
      <c r="IF26" s="189">
        <f t="shared" si="19"/>
        <v>130938.62084999999</v>
      </c>
      <c r="IG26" s="203">
        <f t="shared" si="51"/>
        <v>-2.3734800384768406</v>
      </c>
      <c r="IH26" s="255">
        <v>-310780.20285316242</v>
      </c>
      <c r="II26" s="189">
        <f t="shared" si="20"/>
        <v>0</v>
      </c>
      <c r="IJ26" s="203">
        <f t="shared" si="52"/>
        <v>0</v>
      </c>
      <c r="IK26" s="189">
        <f t="shared" si="21"/>
        <v>0</v>
      </c>
      <c r="IL26" s="1182">
        <f t="shared" si="22"/>
        <v>13950675.569068527</v>
      </c>
      <c r="IN26" s="820"/>
      <c r="IO26" s="1307"/>
      <c r="IR26" s="223"/>
    </row>
    <row r="27" spans="1:252" ht="13.8" thickBot="1">
      <c r="A27" t="str">
        <f t="shared" si="23"/>
        <v>2000Q4</v>
      </c>
      <c r="B27">
        <f t="shared" si="24"/>
        <v>2000</v>
      </c>
      <c r="C27" s="49">
        <f t="shared" si="25"/>
        <v>36831</v>
      </c>
      <c r="D27" s="115">
        <f t="shared" si="26"/>
        <v>2000</v>
      </c>
      <c r="E27" s="10">
        <f t="shared" si="55"/>
        <v>11</v>
      </c>
      <c r="F27" s="248">
        <f t="shared" si="57"/>
        <v>36853</v>
      </c>
      <c r="G27" s="245">
        <v>36831</v>
      </c>
      <c r="H27" s="251">
        <v>36860</v>
      </c>
      <c r="I27" s="959">
        <f t="shared" si="53"/>
        <v>7.1499999999999994E-2</v>
      </c>
      <c r="J27" s="37">
        <f t="shared" si="27"/>
        <v>0.93112890764391198</v>
      </c>
      <c r="K27" s="1036" t="e">
        <f>IF(Summary!#REF!=1,+Summary!#REF!,I27+Summary!#REF!/10000)</f>
        <v>#REF!</v>
      </c>
      <c r="L27" s="37" t="e">
        <f t="shared" si="28"/>
        <v>#REF!</v>
      </c>
      <c r="M27" s="1004">
        <v>0</v>
      </c>
      <c r="N27" s="138">
        <v>0</v>
      </c>
      <c r="O27" s="139">
        <v>0</v>
      </c>
      <c r="P27" s="163">
        <v>0</v>
      </c>
      <c r="Q27" s="138">
        <v>0</v>
      </c>
      <c r="R27" s="139">
        <v>0</v>
      </c>
      <c r="S27" s="138">
        <v>0</v>
      </c>
      <c r="T27" s="138">
        <v>0</v>
      </c>
      <c r="U27" s="138">
        <v>0</v>
      </c>
      <c r="V27" s="163">
        <v>0</v>
      </c>
      <c r="W27" s="138">
        <v>0</v>
      </c>
      <c r="X27" s="1008">
        <v>0</v>
      </c>
      <c r="Y27" s="46">
        <v>0</v>
      </c>
      <c r="Z27" s="46">
        <v>0</v>
      </c>
      <c r="AA27" s="47">
        <v>0</v>
      </c>
      <c r="AB27" s="46">
        <v>0</v>
      </c>
      <c r="AC27" s="46">
        <v>0</v>
      </c>
      <c r="AD27" s="47">
        <v>0</v>
      </c>
      <c r="AE27" s="46">
        <v>0</v>
      </c>
      <c r="AF27" s="46">
        <v>0</v>
      </c>
      <c r="AG27" s="47">
        <v>0</v>
      </c>
      <c r="AH27" s="46">
        <v>0</v>
      </c>
      <c r="AI27" s="46">
        <v>0</v>
      </c>
      <c r="AJ27" s="47">
        <v>0</v>
      </c>
      <c r="AK27" s="46">
        <v>0</v>
      </c>
      <c r="AL27" s="46">
        <v>0</v>
      </c>
      <c r="AM27" s="47">
        <v>0</v>
      </c>
      <c r="AN27" s="46">
        <v>0</v>
      </c>
      <c r="AO27" s="46">
        <v>0</v>
      </c>
      <c r="AP27" s="47">
        <v>0</v>
      </c>
      <c r="AQ27" s="46">
        <v>0</v>
      </c>
      <c r="AR27" s="46">
        <v>0</v>
      </c>
      <c r="AS27" s="47">
        <v>0</v>
      </c>
      <c r="AT27" s="46">
        <v>0</v>
      </c>
      <c r="AU27" s="46">
        <v>0</v>
      </c>
      <c r="AV27" s="46">
        <v>0</v>
      </c>
      <c r="AW27" s="1545">
        <v>0</v>
      </c>
      <c r="AX27" s="10">
        <f t="shared" si="56"/>
        <v>21</v>
      </c>
      <c r="AY27" s="42">
        <f>IF(AND($E27=MONTH(Summary!$E$24),$D27=YEAR(Summary!$E$24)),Summary!$E$25,1)*IF(G27="",0,INT((H27-MOD(H27,7)-G27)/7)+1-IF(BA27,IF(WEEKDAY(F27)=7,1,0),0))</f>
        <v>4</v>
      </c>
      <c r="AZ27" s="42">
        <f>IF(AND($E27=MONTH(Summary!$E$24),$D27=YEAR(Summary!$E$24)),Summary!$E$25,1)*IF(G27="",0,INT((H27-MOD(H27-1,7)-G27)/7)+1-IF(BA27,IF(WEEKDAY(F27)=1,1,0),0))</f>
        <v>4</v>
      </c>
      <c r="BA27" s="42">
        <v>1</v>
      </c>
      <c r="BB27" s="10">
        <f>IF(AND($E27=MONTH(Summary!$E$24),$D27=YEAR(Summary!$E$24)),Summary!$E$25,1)*IF(G27="",0,H27-G27+1)</f>
        <v>30</v>
      </c>
      <c r="BC27" s="914">
        <f>Summary!$E$19</f>
        <v>1.4999999999999999E-2</v>
      </c>
      <c r="BD27" s="92">
        <v>14893.2</v>
      </c>
      <c r="BE27" s="97">
        <v>2836.8</v>
      </c>
      <c r="BF27" s="97">
        <v>3546</v>
      </c>
      <c r="BG27" s="173"/>
      <c r="BH27" s="1198">
        <v>1</v>
      </c>
      <c r="BI27" s="1198">
        <v>1</v>
      </c>
      <c r="BJ27" s="1198">
        <v>1</v>
      </c>
      <c r="BK27" s="1198">
        <v>1</v>
      </c>
      <c r="BL27" s="94">
        <v>2978.64</v>
      </c>
      <c r="BM27" s="97">
        <v>567.36</v>
      </c>
      <c r="BN27" s="97">
        <v>709.2</v>
      </c>
      <c r="BO27" s="173"/>
      <c r="BP27" s="1198">
        <v>1</v>
      </c>
      <c r="BQ27" s="1199">
        <v>1</v>
      </c>
      <c r="BR27" s="1199">
        <v>1</v>
      </c>
      <c r="BS27" s="1200">
        <v>1</v>
      </c>
      <c r="BT27" s="94">
        <f t="shared" si="29"/>
        <v>21276</v>
      </c>
      <c r="BU27" s="233">
        <f t="shared" si="30"/>
        <v>21276</v>
      </c>
      <c r="BV27" s="92">
        <f t="shared" si="31"/>
        <v>4255.2</v>
      </c>
      <c r="BW27" s="233">
        <f t="shared" si="32"/>
        <v>4255.2</v>
      </c>
      <c r="BX27" s="88">
        <v>0.88158795345653662</v>
      </c>
      <c r="BY27" s="90">
        <v>0</v>
      </c>
      <c r="BZ27" s="88">
        <v>0</v>
      </c>
      <c r="CA27" s="88">
        <v>0</v>
      </c>
      <c r="CB27" s="88">
        <v>0</v>
      </c>
      <c r="CC27" s="88">
        <v>0</v>
      </c>
      <c r="CD27" s="88">
        <v>0</v>
      </c>
      <c r="CE27" s="100">
        <v>0</v>
      </c>
      <c r="CF27" s="88">
        <v>0</v>
      </c>
      <c r="CG27" s="88">
        <v>0</v>
      </c>
      <c r="CH27" s="88">
        <v>0</v>
      </c>
      <c r="CI27" s="88">
        <v>0</v>
      </c>
      <c r="CJ27" s="228">
        <v>0</v>
      </c>
      <c r="CK27" s="88">
        <v>0</v>
      </c>
      <c r="CL27" s="88">
        <v>0</v>
      </c>
      <c r="CM27" s="88">
        <v>0</v>
      </c>
      <c r="CN27" s="88">
        <v>0</v>
      </c>
      <c r="CO27" s="88">
        <v>0</v>
      </c>
      <c r="CP27" s="88">
        <v>0</v>
      </c>
      <c r="CQ27" s="229">
        <v>0</v>
      </c>
      <c r="CR27" s="91">
        <v>0</v>
      </c>
      <c r="CS27" s="91">
        <v>0</v>
      </c>
      <c r="CT27" s="91">
        <v>0</v>
      </c>
      <c r="CU27" s="91">
        <v>0</v>
      </c>
      <c r="CV27" s="91">
        <v>0</v>
      </c>
      <c r="CW27" s="91">
        <v>0</v>
      </c>
      <c r="CX27" s="225">
        <v>0</v>
      </c>
      <c r="CY27" s="1265">
        <v>7689.4061599999995</v>
      </c>
      <c r="CZ27" s="90">
        <v>0</v>
      </c>
      <c r="DA27" s="88">
        <v>0</v>
      </c>
      <c r="DB27" s="88">
        <v>0</v>
      </c>
      <c r="DC27" s="88">
        <v>0</v>
      </c>
      <c r="DD27" s="88">
        <v>0</v>
      </c>
      <c r="DE27" s="152">
        <v>0</v>
      </c>
      <c r="DF27" s="230">
        <v>0</v>
      </c>
      <c r="DG27" s="38">
        <v>0</v>
      </c>
      <c r="DH27" s="1237">
        <v>0</v>
      </c>
      <c r="DI27" s="956">
        <v>0</v>
      </c>
      <c r="DJ27" s="956">
        <v>0</v>
      </c>
      <c r="DK27" s="956">
        <v>0</v>
      </c>
      <c r="DL27" s="152">
        <v>0</v>
      </c>
      <c r="DM27" s="160">
        <v>0</v>
      </c>
      <c r="DN27" s="160">
        <v>0</v>
      </c>
      <c r="DO27" s="160">
        <v>0</v>
      </c>
      <c r="DP27" s="160">
        <v>0</v>
      </c>
      <c r="DQ27" s="160">
        <v>0</v>
      </c>
      <c r="DR27" s="230">
        <v>0</v>
      </c>
      <c r="DS27" s="88">
        <v>0</v>
      </c>
      <c r="DT27" s="88">
        <v>0</v>
      </c>
      <c r="DU27" s="88">
        <v>0</v>
      </c>
      <c r="DV27" s="88">
        <v>0</v>
      </c>
      <c r="DW27" s="88">
        <v>0</v>
      </c>
      <c r="DX27" s="88">
        <v>0</v>
      </c>
      <c r="DY27" s="88">
        <v>0</v>
      </c>
      <c r="DZ27" s="88">
        <v>0</v>
      </c>
      <c r="EA27" s="88">
        <v>0</v>
      </c>
      <c r="EB27" s="152">
        <v>0</v>
      </c>
      <c r="EC27" s="52">
        <f t="shared" si="33"/>
        <v>0</v>
      </c>
      <c r="ED27" s="52">
        <f t="shared" si="33"/>
        <v>0</v>
      </c>
      <c r="EE27" s="52">
        <f t="shared" si="33"/>
        <v>0</v>
      </c>
      <c r="EF27" s="52">
        <f t="shared" si="33"/>
        <v>0</v>
      </c>
      <c r="EG27" s="52">
        <f t="shared" si="34"/>
        <v>0</v>
      </c>
      <c r="EH27" s="238">
        <v>0</v>
      </c>
      <c r="EI27" s="211">
        <v>0</v>
      </c>
      <c r="EJ27" s="211">
        <v>0</v>
      </c>
      <c r="EK27" s="211">
        <v>0</v>
      </c>
      <c r="EL27" s="217">
        <f>IF(C27&gt;=Summary!$E$26,MAX(0,SUM(EH27:EK27)),0)</f>
        <v>0</v>
      </c>
      <c r="EM27" s="52">
        <f>IF(C27&gt;=Summary!$E$26,DX27*BL27,0)</f>
        <v>0</v>
      </c>
      <c r="EN27" s="52">
        <f>IF(C27&gt;=Summary!$E$26,DY27*BM27,0)</f>
        <v>0</v>
      </c>
      <c r="EO27" s="52">
        <f>IF(C27&gt;=Summary!$E$26,DZ27*BN27,0)</f>
        <v>0</v>
      </c>
      <c r="EP27" s="52">
        <f>IF(C27&gt;=Summary!$E$26,EA27*BO27,0)</f>
        <v>0</v>
      </c>
      <c r="EQ27" s="52">
        <f>IF(C27&gt;=Summary!$E$26,DX27*BL27+DY27*BM27+DZ27*BN27+EA27*BO27,0)</f>
        <v>0</v>
      </c>
      <c r="ER27" s="826">
        <v>0</v>
      </c>
      <c r="ES27" s="278">
        <v>0</v>
      </c>
      <c r="ET27" s="278">
        <v>0</v>
      </c>
      <c r="EU27" s="278">
        <v>0</v>
      </c>
      <c r="EV27" s="212">
        <f>IF(C27&gt;=Summary!$E$26,MAX(0,SUM(ER27:EU27)),0)</f>
        <v>0</v>
      </c>
      <c r="EW27" s="52"/>
      <c r="EX27" s="1049">
        <f t="shared" si="35"/>
        <v>0</v>
      </c>
      <c r="EY27" s="1045" t="str">
        <f t="shared" si="36"/>
        <v/>
      </c>
      <c r="EZ27" s="1684" t="s">
        <v>525</v>
      </c>
      <c r="FA27" s="1046">
        <f t="shared" si="54"/>
        <v>45</v>
      </c>
      <c r="FB27" s="256">
        <f t="shared" si="37"/>
        <v>9308.25</v>
      </c>
      <c r="FC27" s="194">
        <f t="shared" si="38"/>
        <v>2792.4749999999999</v>
      </c>
      <c r="FD27" s="194">
        <f t="shared" si="39"/>
        <v>1773</v>
      </c>
      <c r="FE27" s="194">
        <f t="shared" si="40"/>
        <v>531.9</v>
      </c>
      <c r="FF27" s="194">
        <f t="shared" si="41"/>
        <v>2216.25</v>
      </c>
      <c r="FG27" s="194">
        <f t="shared" si="42"/>
        <v>664.875</v>
      </c>
      <c r="FH27" s="257">
        <f>IF(EZ27="No",IF((OR(MONTH(C27)=5,MONTH(C27)=6,MONTH(C27)=7,MONTH(C27)=8,MONTH(C27)=9)),Summary!$O$15*12*(AX27+AY27+AZ27+BA27)*(1-$BC27),Summary!$O$15*13*(AX27+AY27+AZ27+BA27)*(1-$BC27)+IF(Summary!$O$16="Yes",(CALC!FA27+Summary!$O$15)*6*(AX27+AY27+AZ27+BA27)*(1-$BC27),0)),0)</f>
        <v>0</v>
      </c>
      <c r="FI27" s="1412">
        <f>IF(MONTH(C27)=5,FI26*(IF(Summary!$E$70="no",(1+(Summary!$E$71*0.8)),1+HLOOKUP(YEAR(C27)-1,CCFMODEL!$I$127:$AF$128,2)*0.8)),+FI26)</f>
        <v>27.241036496350365</v>
      </c>
      <c r="FJ27" s="1411">
        <f>IF(MONTH(C27)=5,FJ26*(IF(Summary!$E$70="no",(1+(Summary!$E$71*0.8)),1+HLOOKUP(YEAR(CALC!C27)-1,CCFMODEL!$I$127:$AF$128,2)*0.8)),FJ26)</f>
        <v>23.809094890510945</v>
      </c>
      <c r="FK27" s="832">
        <f t="shared" si="1"/>
        <v>470908.98765328468</v>
      </c>
      <c r="FL27" s="1412">
        <f>IF(MONTH(C27)=5,FL26*(IF(Summary!$E$70="no",(1+(Summary!$E$71*0.8)),1+HLOOKUP(YEAR(CALC!C27)-1,CCFMODEL!$I$127:$AF$128,2)*0.8)),+FL26)</f>
        <v>57.290953771289537</v>
      </c>
      <c r="FM27" s="1411">
        <f>IF(MONTH(C27)=5,FM26*(IF(Summary!$E$70="no",(1+(Summary!$E$71*0.8)),1+HLOOKUP(YEAR(CALC!C27)-1,CCFMODEL!$I$127:$AF$128,2)*0.8)),+FM26)</f>
        <v>27.343177615571772</v>
      </c>
      <c r="FN27" s="832">
        <f t="shared" si="2"/>
        <v>479872.76715328457</v>
      </c>
      <c r="FO27" s="194">
        <f t="shared" si="43"/>
        <v>950781.75480656931</v>
      </c>
      <c r="FP27" s="263">
        <f t="shared" si="3"/>
        <v>9308.25</v>
      </c>
      <c r="FQ27" s="194">
        <f t="shared" si="3"/>
        <v>2792.4749999999999</v>
      </c>
      <c r="FR27" s="194">
        <f t="shared" si="3"/>
        <v>1773</v>
      </c>
      <c r="FS27" s="194">
        <f t="shared" si="3"/>
        <v>531.9</v>
      </c>
      <c r="FT27" s="194">
        <f t="shared" si="3"/>
        <v>2216.25</v>
      </c>
      <c r="FU27" s="194">
        <f t="shared" si="3"/>
        <v>664.875</v>
      </c>
      <c r="FV27" s="257">
        <f t="shared" si="3"/>
        <v>0</v>
      </c>
      <c r="FW27" s="189">
        <f t="shared" si="4"/>
        <v>0</v>
      </c>
      <c r="FX27" s="189">
        <f t="shared" si="5"/>
        <v>0</v>
      </c>
      <c r="FY27" s="189">
        <f t="shared" si="6"/>
        <v>0</v>
      </c>
      <c r="FZ27" s="258">
        <f t="shared" si="7"/>
        <v>0</v>
      </c>
      <c r="GA27" s="1293">
        <f>(SUM(FP27:FV27)+SUM(GU27:HB27)/(1-Summary!$O$25))*CY27/1000</f>
        <v>211316.41538604</v>
      </c>
      <c r="GB27" s="1369">
        <f>IF($C27&lt;Summary!$M$81,+Summary!$O$81,VLOOKUP(C27,GasTable,19))</f>
        <v>2.4</v>
      </c>
      <c r="GC27" s="1370">
        <f>IF(H27&lt;=Summary!$N$84,MIN(GA27,Summary!$O$75*(H27-G27+1)),0)</f>
        <v>150000</v>
      </c>
      <c r="GD27" s="1371">
        <f>IF(Summary!$O$75*(H27-G27+1)*0.8&gt;GC27,1,0)</f>
        <v>0</v>
      </c>
      <c r="GE27" s="1372">
        <v>0</v>
      </c>
      <c r="GF27" s="1370">
        <f t="shared" si="8"/>
        <v>61316.415386039997</v>
      </c>
      <c r="GG27" s="1371">
        <f>GF27*(IF(Summary!$O$74=1,VLOOKUP($C27,GasTable,16)+Summary!$O$92+Summary!$O$93,VLOOKUP($C27,GasTable,19)+Summary!$O$92+Summary!$O$93))</f>
        <v>3194.5852416126841</v>
      </c>
      <c r="GH27" s="1373">
        <v>24552</v>
      </c>
      <c r="GI27" s="1466">
        <v>0</v>
      </c>
      <c r="GJ27" s="1374">
        <f t="shared" si="44"/>
        <v>387746.58524161269</v>
      </c>
      <c r="GK27" s="189">
        <f t="shared" si="9"/>
        <v>27124.68375</v>
      </c>
      <c r="GL27" s="266">
        <v>0.75509968491199997</v>
      </c>
      <c r="GM27" s="255">
        <f t="shared" si="10"/>
        <v>14730</v>
      </c>
      <c r="GN27" s="189">
        <f>IF(SUM(GU27:HB27)=0,0,IF(Summary!$O$16="Yes",SUM(GX27:HB27),IF(Summary!$O$17="Yes",SUM(GY27:HB27),SUM(GU27:HB27))))</f>
        <v>9837.9337500000001</v>
      </c>
      <c r="GO27" s="203">
        <v>5.5522262773722622</v>
      </c>
      <c r="GP27" s="258">
        <f t="shared" si="45"/>
        <v>54622.434281797439</v>
      </c>
      <c r="GQ27" s="189"/>
      <c r="GR27" s="189"/>
      <c r="GS27" s="189"/>
      <c r="GT27" s="189"/>
      <c r="GU27" s="268">
        <v>5389.4767500000007</v>
      </c>
      <c r="GV27" s="189">
        <v>1026.5670000000002</v>
      </c>
      <c r="GW27" s="189">
        <v>0</v>
      </c>
      <c r="GX27" s="189"/>
      <c r="GY27" s="254">
        <v>2874.3875999999996</v>
      </c>
      <c r="GZ27" s="189">
        <v>547.50239999999997</v>
      </c>
      <c r="HA27" s="189">
        <v>0</v>
      </c>
      <c r="HB27" s="255"/>
      <c r="HC27" s="189">
        <v>9837.9337500000001</v>
      </c>
      <c r="HD27" s="189"/>
      <c r="HE27" s="189">
        <v>9837.9337500000001</v>
      </c>
      <c r="HF27" s="189">
        <v>580426.6259643751</v>
      </c>
      <c r="HG27" s="189"/>
      <c r="HH27" s="203">
        <v>58.998834583977057</v>
      </c>
      <c r="HI27" s="189">
        <v>580426.6259643751</v>
      </c>
      <c r="HJ27" s="268">
        <f t="shared" si="11"/>
        <v>0</v>
      </c>
      <c r="HK27" s="189">
        <f t="shared" si="12"/>
        <v>0</v>
      </c>
      <c r="HL27" s="189">
        <f t="shared" si="13"/>
        <v>0</v>
      </c>
      <c r="HM27" s="255">
        <f t="shared" si="14"/>
        <v>0</v>
      </c>
      <c r="HN27" s="189">
        <f t="shared" si="15"/>
        <v>0</v>
      </c>
      <c r="HO27" s="203">
        <f t="shared" si="46"/>
        <v>0</v>
      </c>
      <c r="HP27" s="258">
        <f t="shared" si="16"/>
        <v>0</v>
      </c>
      <c r="HQ27" s="804">
        <v>2009</v>
      </c>
      <c r="HR27" s="268">
        <f t="shared" si="47"/>
        <v>203540.39999999997</v>
      </c>
      <c r="HS27" s="38">
        <f t="shared" si="48"/>
        <v>82.594019401623257</v>
      </c>
      <c r="HT27" s="255">
        <f t="shared" si="17"/>
        <v>16811219.746614154</v>
      </c>
      <c r="HU27" s="254">
        <v>98653.088699999993</v>
      </c>
      <c r="HV27" s="203">
        <v>44.028801229713608</v>
      </c>
      <c r="HW27" s="189">
        <v>4343577.2330696052</v>
      </c>
      <c r="HX27" s="1021">
        <v>0</v>
      </c>
      <c r="HY27" s="258">
        <f t="shared" si="49"/>
        <v>21154796.979683761</v>
      </c>
      <c r="HZ27" s="268">
        <v>2354965.4980686456</v>
      </c>
      <c r="IA27" s="203">
        <v>-2.6995581612596933</v>
      </c>
      <c r="IB27" s="255">
        <v>-6357366.3297962109</v>
      </c>
      <c r="IC27" s="254">
        <v>302193.48870000005</v>
      </c>
      <c r="ID27" s="203">
        <f t="shared" si="50"/>
        <v>-0.59304719228386193</v>
      </c>
      <c r="IE27" s="255">
        <f t="shared" si="18"/>
        <v>-179215</v>
      </c>
      <c r="IF27" s="189">
        <f t="shared" si="19"/>
        <v>130545.10349999998</v>
      </c>
      <c r="IG27" s="203">
        <f t="shared" si="51"/>
        <v>-2.3462565300283007</v>
      </c>
      <c r="IH27" s="255">
        <v>-306292.30155009532</v>
      </c>
      <c r="II27" s="189">
        <f t="shared" si="20"/>
        <v>0</v>
      </c>
      <c r="IJ27" s="203">
        <f t="shared" si="52"/>
        <v>0</v>
      </c>
      <c r="IK27" s="189">
        <f t="shared" si="21"/>
        <v>0</v>
      </c>
      <c r="IL27" s="1182">
        <f t="shared" si="22"/>
        <v>14311923.348337455</v>
      </c>
      <c r="IN27" s="820"/>
      <c r="IO27" s="1307"/>
      <c r="IR27" s="223"/>
    </row>
    <row r="28" spans="1:252" ht="13.8" thickBot="1">
      <c r="A28" t="str">
        <f t="shared" si="23"/>
        <v>2000Q4</v>
      </c>
      <c r="B28">
        <f t="shared" si="24"/>
        <v>2000</v>
      </c>
      <c r="C28" s="49">
        <f t="shared" si="25"/>
        <v>36861</v>
      </c>
      <c r="D28" s="115">
        <f t="shared" si="26"/>
        <v>2000</v>
      </c>
      <c r="E28" s="10">
        <f t="shared" si="55"/>
        <v>12</v>
      </c>
      <c r="F28" s="248">
        <f t="shared" si="57"/>
        <v>36885</v>
      </c>
      <c r="G28" s="245">
        <v>36861</v>
      </c>
      <c r="H28" s="251">
        <v>36891</v>
      </c>
      <c r="I28" s="959">
        <f t="shared" si="53"/>
        <v>7.1499999999999994E-2</v>
      </c>
      <c r="J28" s="37">
        <f t="shared" si="27"/>
        <v>0.92559357877851645</v>
      </c>
      <c r="K28" s="1036" t="e">
        <f>IF(Summary!#REF!=1,+Summary!#REF!,I28+Summary!#REF!/10000)</f>
        <v>#REF!</v>
      </c>
      <c r="L28" s="37" t="e">
        <f t="shared" si="28"/>
        <v>#REF!</v>
      </c>
      <c r="M28" s="1004">
        <v>0</v>
      </c>
      <c r="N28" s="138">
        <v>0</v>
      </c>
      <c r="O28" s="139">
        <v>0</v>
      </c>
      <c r="P28" s="163">
        <v>0</v>
      </c>
      <c r="Q28" s="138">
        <v>0</v>
      </c>
      <c r="R28" s="139">
        <v>0</v>
      </c>
      <c r="S28" s="138">
        <v>0</v>
      </c>
      <c r="T28" s="138">
        <v>0</v>
      </c>
      <c r="U28" s="138">
        <v>0</v>
      </c>
      <c r="V28" s="163">
        <v>0</v>
      </c>
      <c r="W28" s="138">
        <v>0</v>
      </c>
      <c r="X28" s="1008">
        <v>0</v>
      </c>
      <c r="Y28" s="46">
        <v>0</v>
      </c>
      <c r="Z28" s="46">
        <v>0</v>
      </c>
      <c r="AA28" s="47">
        <v>0</v>
      </c>
      <c r="AB28" s="46">
        <v>0</v>
      </c>
      <c r="AC28" s="46">
        <v>0</v>
      </c>
      <c r="AD28" s="47">
        <v>0</v>
      </c>
      <c r="AE28" s="46">
        <v>0</v>
      </c>
      <c r="AF28" s="46">
        <v>0</v>
      </c>
      <c r="AG28" s="47">
        <v>0</v>
      </c>
      <c r="AH28" s="46">
        <v>0</v>
      </c>
      <c r="AI28" s="46">
        <v>0</v>
      </c>
      <c r="AJ28" s="47">
        <v>0</v>
      </c>
      <c r="AK28" s="46">
        <v>0</v>
      </c>
      <c r="AL28" s="46">
        <v>0</v>
      </c>
      <c r="AM28" s="47">
        <v>0</v>
      </c>
      <c r="AN28" s="46">
        <v>0</v>
      </c>
      <c r="AO28" s="46">
        <v>0</v>
      </c>
      <c r="AP28" s="47">
        <v>0</v>
      </c>
      <c r="AQ28" s="46">
        <v>0</v>
      </c>
      <c r="AR28" s="46">
        <v>0</v>
      </c>
      <c r="AS28" s="47">
        <v>0</v>
      </c>
      <c r="AT28" s="46">
        <v>0</v>
      </c>
      <c r="AU28" s="46">
        <v>0</v>
      </c>
      <c r="AV28" s="46">
        <v>0</v>
      </c>
      <c r="AW28" s="1545">
        <v>0</v>
      </c>
      <c r="AX28" s="10">
        <f t="shared" si="56"/>
        <v>20</v>
      </c>
      <c r="AY28" s="42">
        <f>IF(AND($E28=MONTH(Summary!$E$24),$D28=YEAR(Summary!$E$24)),Summary!$E$25,1)*IF(G28="",0,INT((H28-MOD(H28,7)-G28)/7)+1-IF(BA28,IF(WEEKDAY(F28)=7,1,0),0))</f>
        <v>5</v>
      </c>
      <c r="AZ28" s="42">
        <f>IF(AND($E28=MONTH(Summary!$E$24),$D28=YEAR(Summary!$E$24)),Summary!$E$25,1)*IF(G28="",0,INT((H28-MOD(H28-1,7)-G28)/7)+1-IF(BA28,IF(WEEKDAY(F28)=1,1,0),0))</f>
        <v>5</v>
      </c>
      <c r="BA28" s="42">
        <v>1</v>
      </c>
      <c r="BB28" s="10">
        <f>IF(AND($E28=MONTH(Summary!$E$24),$D28=YEAR(Summary!$E$24)),Summary!$E$25,1)*IF(G28="",0,H28-G28+1)</f>
        <v>31</v>
      </c>
      <c r="BC28" s="914">
        <f>Summary!$E$19</f>
        <v>1.4999999999999999E-2</v>
      </c>
      <c r="BD28" s="92">
        <v>14184</v>
      </c>
      <c r="BE28" s="97">
        <v>3546</v>
      </c>
      <c r="BF28" s="97">
        <v>4255.2</v>
      </c>
      <c r="BG28" s="173"/>
      <c r="BH28" s="1198">
        <v>1</v>
      </c>
      <c r="BI28" s="1198">
        <v>1</v>
      </c>
      <c r="BJ28" s="1198">
        <v>1</v>
      </c>
      <c r="BK28" s="1198">
        <v>1</v>
      </c>
      <c r="BL28" s="94">
        <v>2836.8</v>
      </c>
      <c r="BM28" s="97">
        <v>709.2</v>
      </c>
      <c r="BN28" s="97">
        <v>851.04</v>
      </c>
      <c r="BO28" s="173"/>
      <c r="BP28" s="1198">
        <v>1</v>
      </c>
      <c r="BQ28" s="1199">
        <v>1</v>
      </c>
      <c r="BR28" s="1199">
        <v>1</v>
      </c>
      <c r="BS28" s="1200">
        <v>1</v>
      </c>
      <c r="BT28" s="94">
        <f t="shared" si="29"/>
        <v>21985.200000000001</v>
      </c>
      <c r="BU28" s="233">
        <f t="shared" si="30"/>
        <v>21985.200000000001</v>
      </c>
      <c r="BV28" s="92">
        <f t="shared" si="31"/>
        <v>4397.04</v>
      </c>
      <c r="BW28" s="233">
        <f t="shared" si="32"/>
        <v>4397.04</v>
      </c>
      <c r="BX28" s="88">
        <v>0.96372347707049966</v>
      </c>
      <c r="BY28" s="90">
        <v>0</v>
      </c>
      <c r="BZ28" s="88">
        <v>0</v>
      </c>
      <c r="CA28" s="88">
        <v>0</v>
      </c>
      <c r="CB28" s="88">
        <v>0</v>
      </c>
      <c r="CC28" s="88">
        <v>0</v>
      </c>
      <c r="CD28" s="88">
        <v>0</v>
      </c>
      <c r="CE28" s="100">
        <v>0</v>
      </c>
      <c r="CF28" s="88">
        <v>0</v>
      </c>
      <c r="CG28" s="88">
        <v>0</v>
      </c>
      <c r="CH28" s="88">
        <v>0</v>
      </c>
      <c r="CI28" s="88">
        <v>0</v>
      </c>
      <c r="CJ28" s="228">
        <v>0</v>
      </c>
      <c r="CK28" s="88">
        <v>0</v>
      </c>
      <c r="CL28" s="88">
        <v>0</v>
      </c>
      <c r="CM28" s="88">
        <v>0</v>
      </c>
      <c r="CN28" s="88">
        <v>0</v>
      </c>
      <c r="CO28" s="88">
        <v>0</v>
      </c>
      <c r="CP28" s="88">
        <v>0</v>
      </c>
      <c r="CQ28" s="229">
        <v>0</v>
      </c>
      <c r="CR28" s="91">
        <v>0</v>
      </c>
      <c r="CS28" s="91">
        <v>0</v>
      </c>
      <c r="CT28" s="91">
        <v>0</v>
      </c>
      <c r="CU28" s="91">
        <v>0</v>
      </c>
      <c r="CV28" s="91">
        <v>0</v>
      </c>
      <c r="CW28" s="91">
        <v>0</v>
      </c>
      <c r="CX28" s="225">
        <v>0</v>
      </c>
      <c r="CY28" s="1265">
        <v>7691.3604800000003</v>
      </c>
      <c r="CZ28" s="90">
        <v>0</v>
      </c>
      <c r="DA28" s="88">
        <v>0</v>
      </c>
      <c r="DB28" s="88">
        <v>0</v>
      </c>
      <c r="DC28" s="88">
        <v>0</v>
      </c>
      <c r="DD28" s="88">
        <v>0</v>
      </c>
      <c r="DE28" s="152">
        <v>0</v>
      </c>
      <c r="DF28" s="230">
        <v>0</v>
      </c>
      <c r="DG28" s="38">
        <v>0</v>
      </c>
      <c r="DH28" s="1237">
        <v>0</v>
      </c>
      <c r="DI28" s="956">
        <v>0</v>
      </c>
      <c r="DJ28" s="956">
        <v>0</v>
      </c>
      <c r="DK28" s="956">
        <v>0</v>
      </c>
      <c r="DL28" s="152">
        <v>0</v>
      </c>
      <c r="DM28" s="160">
        <v>0</v>
      </c>
      <c r="DN28" s="160">
        <v>0</v>
      </c>
      <c r="DO28" s="160">
        <v>0</v>
      </c>
      <c r="DP28" s="160">
        <v>0</v>
      </c>
      <c r="DQ28" s="160">
        <v>0</v>
      </c>
      <c r="DR28" s="230">
        <v>0</v>
      </c>
      <c r="DS28" s="88">
        <v>0</v>
      </c>
      <c r="DT28" s="88">
        <v>0</v>
      </c>
      <c r="DU28" s="88">
        <v>0</v>
      </c>
      <c r="DV28" s="88">
        <v>0</v>
      </c>
      <c r="DW28" s="88">
        <v>0</v>
      </c>
      <c r="DX28" s="88">
        <v>0</v>
      </c>
      <c r="DY28" s="88">
        <v>0</v>
      </c>
      <c r="DZ28" s="88">
        <v>0</v>
      </c>
      <c r="EA28" s="88">
        <v>0</v>
      </c>
      <c r="EB28" s="152">
        <v>0</v>
      </c>
      <c r="EC28" s="52">
        <f t="shared" si="33"/>
        <v>0</v>
      </c>
      <c r="ED28" s="52">
        <f t="shared" si="33"/>
        <v>0</v>
      </c>
      <c r="EE28" s="52">
        <f t="shared" si="33"/>
        <v>0</v>
      </c>
      <c r="EF28" s="52">
        <f t="shared" si="33"/>
        <v>0</v>
      </c>
      <c r="EG28" s="52">
        <f t="shared" si="34"/>
        <v>0</v>
      </c>
      <c r="EH28" s="238">
        <v>0</v>
      </c>
      <c r="EI28" s="211">
        <v>0</v>
      </c>
      <c r="EJ28" s="211">
        <v>0</v>
      </c>
      <c r="EK28" s="211">
        <v>0</v>
      </c>
      <c r="EL28" s="217">
        <f>IF(C28&gt;=Summary!$E$26,MAX(0,SUM(EH28:EK28)),0)</f>
        <v>0</v>
      </c>
      <c r="EM28" s="52">
        <f>IF(C28&gt;=Summary!$E$26,DX28*BL28,0)</f>
        <v>0</v>
      </c>
      <c r="EN28" s="52">
        <f>IF(C28&gt;=Summary!$E$26,DY28*BM28,0)</f>
        <v>0</v>
      </c>
      <c r="EO28" s="52">
        <f>IF(C28&gt;=Summary!$E$26,DZ28*BN28,0)</f>
        <v>0</v>
      </c>
      <c r="EP28" s="52">
        <f>IF(C28&gt;=Summary!$E$26,EA28*BO28,0)</f>
        <v>0</v>
      </c>
      <c r="EQ28" s="52">
        <f>IF(C28&gt;=Summary!$E$26,DX28*BL28+DY28*BM28+DZ28*BN28+EA28*BO28,0)</f>
        <v>0</v>
      </c>
      <c r="ER28" s="826">
        <v>0</v>
      </c>
      <c r="ES28" s="278">
        <v>0</v>
      </c>
      <c r="ET28" s="278">
        <v>0</v>
      </c>
      <c r="EU28" s="278">
        <v>0</v>
      </c>
      <c r="EV28" s="212">
        <f>IF(C28&gt;=Summary!$E$26,MAX(0,SUM(ER28:EU28)),0)</f>
        <v>0</v>
      </c>
      <c r="EW28" s="52"/>
      <c r="EX28" s="1049">
        <f t="shared" si="35"/>
        <v>0</v>
      </c>
      <c r="EY28" s="1045" t="str">
        <f t="shared" si="36"/>
        <v/>
      </c>
      <c r="EZ28" s="1684" t="s">
        <v>525</v>
      </c>
      <c r="FA28" s="1046">
        <f t="shared" si="54"/>
        <v>45</v>
      </c>
      <c r="FB28" s="256">
        <f t="shared" si="37"/>
        <v>8865</v>
      </c>
      <c r="FC28" s="194">
        <f t="shared" si="38"/>
        <v>2659.5</v>
      </c>
      <c r="FD28" s="194">
        <f t="shared" si="39"/>
        <v>2216.25</v>
      </c>
      <c r="FE28" s="194">
        <f t="shared" si="40"/>
        <v>664.875</v>
      </c>
      <c r="FF28" s="194">
        <f t="shared" si="41"/>
        <v>2659.5</v>
      </c>
      <c r="FG28" s="194">
        <f t="shared" si="42"/>
        <v>797.85</v>
      </c>
      <c r="FH28" s="257">
        <f>IF(EZ28="No",IF((OR(MONTH(C28)=5,MONTH(C28)=6,MONTH(C28)=7,MONTH(C28)=8,MONTH(C28)=9)),Summary!$O$15*12*(AX28+AY28+AZ28+BA28)*(1-$BC28),Summary!$O$15*13*(AX28+AY28+AZ28+BA28)*(1-$BC28)+IF(Summary!$O$16="Yes",(CALC!FA28+Summary!$O$15)*6*(AX28+AY28+AZ28+BA28)*(1-$BC28),0)),0)</f>
        <v>0</v>
      </c>
      <c r="FI28" s="1412">
        <f>IF(MONTH(C28)=5,FI27*(IF(Summary!$E$70="no",(1+(Summary!$E$71*0.8)),1+HLOOKUP(YEAR(C28)-1,CCFMODEL!$I$127:$AF$128,2)*0.8)),+FI27)</f>
        <v>27.241036496350365</v>
      </c>
      <c r="FJ28" s="1411">
        <f>IF(MONTH(C28)=5,FJ27*(IF(Summary!$E$70="no",(1+(Summary!$E$71*0.8)),1+HLOOKUP(YEAR(CALC!C28)-1,CCFMODEL!$I$127:$AF$128,2)*0.8)),FJ27)</f>
        <v>23.809094890510945</v>
      </c>
      <c r="FK28" s="832">
        <f t="shared" si="1"/>
        <v>486605.95390839409</v>
      </c>
      <c r="FL28" s="1412">
        <f>IF(MONTH(C28)=5,FL27*(IF(Summary!$E$70="no",(1+(Summary!$E$71*0.8)),1+HLOOKUP(YEAR(CALC!C28)-1,CCFMODEL!$I$127:$AF$128,2)*0.8)),+FL27)</f>
        <v>57.290953771289537</v>
      </c>
      <c r="FM28" s="1411">
        <f>IF(MONTH(C28)=5,FM27*(IF(Summary!$E$70="no",(1+(Summary!$E$71*0.8)),1+HLOOKUP(YEAR(CALC!C28)-1,CCFMODEL!$I$127:$AF$128,2)*0.8)),+FM27)</f>
        <v>27.343177615571772</v>
      </c>
      <c r="FN28" s="832">
        <f t="shared" si="2"/>
        <v>495868.52605839411</v>
      </c>
      <c r="FO28" s="194">
        <f t="shared" si="43"/>
        <v>982474.4799667882</v>
      </c>
      <c r="FP28" s="263">
        <f t="shared" si="3"/>
        <v>8865</v>
      </c>
      <c r="FQ28" s="194">
        <f t="shared" si="3"/>
        <v>2659.5</v>
      </c>
      <c r="FR28" s="194">
        <f t="shared" si="3"/>
        <v>2216.25</v>
      </c>
      <c r="FS28" s="194">
        <f t="shared" si="3"/>
        <v>664.875</v>
      </c>
      <c r="FT28" s="194">
        <f t="shared" si="3"/>
        <v>2659.5</v>
      </c>
      <c r="FU28" s="194">
        <f t="shared" si="3"/>
        <v>797.85</v>
      </c>
      <c r="FV28" s="257">
        <f t="shared" si="3"/>
        <v>0</v>
      </c>
      <c r="FW28" s="189">
        <f t="shared" si="4"/>
        <v>0</v>
      </c>
      <c r="FX28" s="189">
        <f t="shared" si="5"/>
        <v>0</v>
      </c>
      <c r="FY28" s="189">
        <f t="shared" si="6"/>
        <v>0</v>
      </c>
      <c r="FZ28" s="258">
        <f t="shared" si="7"/>
        <v>0</v>
      </c>
      <c r="GA28" s="1293">
        <f>(SUM(FP28:FV28)+SUM(GU28:HB28)/(1-Summary!$O$25))*CY28/1000</f>
        <v>215802.07722370801</v>
      </c>
      <c r="GB28" s="1369">
        <f>IF($C28&lt;Summary!$M$81,+Summary!$O$81,VLOOKUP(C28,GasTable,19))</f>
        <v>2.4</v>
      </c>
      <c r="GC28" s="1370">
        <f>IF(H28&lt;=Summary!$N$84,MIN(GA28,Summary!$O$75*(H28-G28+1)),0)</f>
        <v>155000</v>
      </c>
      <c r="GD28" s="1371">
        <f>IF(Summary!$O$75*(H28-G28+1)*0.8&gt;GC28,1,0)</f>
        <v>0</v>
      </c>
      <c r="GE28" s="1372">
        <v>0</v>
      </c>
      <c r="GF28" s="1370">
        <f t="shared" si="8"/>
        <v>60802.077223708009</v>
      </c>
      <c r="GG28" s="1371">
        <f>GF28*(IF(Summary!$O$74=1,VLOOKUP($C28,GasTable,16)+Summary!$O$92+Summary!$O$93,VLOOKUP($C28,GasTable,19)+Summary!$O$92+Summary!$O$93))</f>
        <v>3167.7882233551877</v>
      </c>
      <c r="GH28" s="1373">
        <v>25990.400000000001</v>
      </c>
      <c r="GI28" s="1466">
        <v>0</v>
      </c>
      <c r="GJ28" s="1374">
        <f t="shared" si="44"/>
        <v>401158.18822335522</v>
      </c>
      <c r="GK28" s="189">
        <f t="shared" si="9"/>
        <v>27700.908749999999</v>
      </c>
      <c r="GL28" s="266">
        <v>0.75529159913599997</v>
      </c>
      <c r="GM28" s="255">
        <f t="shared" si="10"/>
        <v>15221</v>
      </c>
      <c r="GN28" s="189">
        <f>IF(SUM(GU28:HB28)=0,0,IF(Summary!$O$16="Yes",SUM(GX28:HB28),IF(Summary!$O$17="Yes",SUM(GY28:HB28),SUM(GU28:HB28))))</f>
        <v>9837.9337500000001</v>
      </c>
      <c r="GO28" s="203">
        <v>5.5522262773722622</v>
      </c>
      <c r="GP28" s="258">
        <f t="shared" si="45"/>
        <v>54622.434281797439</v>
      </c>
      <c r="GQ28" s="189"/>
      <c r="GR28" s="189"/>
      <c r="GS28" s="189"/>
      <c r="GT28" s="189"/>
      <c r="GU28" s="268">
        <v>5132.835</v>
      </c>
      <c r="GV28" s="189">
        <v>1283.20875</v>
      </c>
      <c r="GW28" s="189">
        <v>0</v>
      </c>
      <c r="GX28" s="189"/>
      <c r="GY28" s="254">
        <v>2737.5120000000002</v>
      </c>
      <c r="GZ28" s="189">
        <v>684.37800000000004</v>
      </c>
      <c r="HA28" s="189">
        <v>0</v>
      </c>
      <c r="HB28" s="255"/>
      <c r="HC28" s="189">
        <v>9837.9337500000001</v>
      </c>
      <c r="HD28" s="189"/>
      <c r="HE28" s="189">
        <v>9837.9337500000001</v>
      </c>
      <c r="HF28" s="189">
        <v>464670.21670312504</v>
      </c>
      <c r="HG28" s="189"/>
      <c r="HH28" s="203">
        <v>47.232501103509165</v>
      </c>
      <c r="HI28" s="189">
        <v>464670.21670312504</v>
      </c>
      <c r="HJ28" s="268">
        <f t="shared" si="11"/>
        <v>0</v>
      </c>
      <c r="HK28" s="189">
        <f t="shared" si="12"/>
        <v>0</v>
      </c>
      <c r="HL28" s="189">
        <f t="shared" si="13"/>
        <v>0</v>
      </c>
      <c r="HM28" s="255">
        <f t="shared" si="14"/>
        <v>0</v>
      </c>
      <c r="HN28" s="189">
        <f t="shared" si="15"/>
        <v>0</v>
      </c>
      <c r="HO28" s="203">
        <f t="shared" si="46"/>
        <v>0</v>
      </c>
      <c r="HP28" s="258">
        <f t="shared" si="16"/>
        <v>0</v>
      </c>
      <c r="HQ28" s="804">
        <v>2010</v>
      </c>
      <c r="HR28" s="268">
        <f t="shared" si="47"/>
        <v>203540.39999999997</v>
      </c>
      <c r="HS28" s="38">
        <f t="shared" si="48"/>
        <v>84.576275867262197</v>
      </c>
      <c r="HT28" s="255">
        <f t="shared" si="17"/>
        <v>17214689.020532891</v>
      </c>
      <c r="HU28" s="254">
        <v>101955.21255</v>
      </c>
      <c r="HV28" s="203">
        <v>44.29827034437816</v>
      </c>
      <c r="HW28" s="189">
        <v>4516439.5685584368</v>
      </c>
      <c r="HX28" s="1021">
        <v>0</v>
      </c>
      <c r="HY28" s="258">
        <f t="shared" si="49"/>
        <v>21731128.589091327</v>
      </c>
      <c r="HZ28" s="268">
        <v>2388853.5253659645</v>
      </c>
      <c r="IA28" s="203">
        <v>-3.1285186161413328</v>
      </c>
      <c r="IB28" s="255">
        <v>-7473572.7253422709</v>
      </c>
      <c r="IC28" s="254">
        <v>305495.61254999996</v>
      </c>
      <c r="ID28" s="203">
        <f t="shared" si="50"/>
        <v>-0.19286692698526614</v>
      </c>
      <c r="IE28" s="255">
        <f t="shared" si="18"/>
        <v>-58920</v>
      </c>
      <c r="IF28" s="189">
        <f t="shared" si="19"/>
        <v>130545.1035</v>
      </c>
      <c r="IG28" s="203">
        <f t="shared" si="51"/>
        <v>-2.4975343292250787</v>
      </c>
      <c r="IH28" s="255">
        <v>-326040.87750349095</v>
      </c>
      <c r="II28" s="189">
        <f t="shared" si="20"/>
        <v>0</v>
      </c>
      <c r="IJ28" s="203">
        <f t="shared" si="52"/>
        <v>0</v>
      </c>
      <c r="IK28" s="189">
        <f t="shared" si="21"/>
        <v>0</v>
      </c>
      <c r="IL28" s="1182">
        <f t="shared" si="22"/>
        <v>13872594.986245567</v>
      </c>
      <c r="IN28" s="820"/>
      <c r="IO28" s="1307"/>
      <c r="IR28" s="223"/>
    </row>
    <row r="29" spans="1:252" ht="13.8" thickBot="1">
      <c r="A29" t="str">
        <f t="shared" si="23"/>
        <v>2001Q1</v>
      </c>
      <c r="B29">
        <f t="shared" si="24"/>
        <v>2001</v>
      </c>
      <c r="C29" s="49">
        <f t="shared" si="25"/>
        <v>36892</v>
      </c>
      <c r="D29" s="115">
        <f t="shared" si="26"/>
        <v>2001</v>
      </c>
      <c r="E29" s="10">
        <f t="shared" si="55"/>
        <v>1</v>
      </c>
      <c r="F29" s="248">
        <f t="shared" si="57"/>
        <v>36892</v>
      </c>
      <c r="G29" s="245">
        <v>36892</v>
      </c>
      <c r="H29" s="251">
        <v>36922</v>
      </c>
      <c r="I29" s="959">
        <f t="shared" si="53"/>
        <v>7.1499999999999994E-2</v>
      </c>
      <c r="J29" s="37">
        <f t="shared" si="27"/>
        <v>0.92009115606112757</v>
      </c>
      <c r="K29" s="1036" t="e">
        <f>IF(Summary!#REF!=1,+Summary!#REF!,I29+Summary!#REF!/10000)</f>
        <v>#REF!</v>
      </c>
      <c r="L29" s="37" t="e">
        <f t="shared" si="28"/>
        <v>#REF!</v>
      </c>
      <c r="M29" s="1004">
        <v>0</v>
      </c>
      <c r="N29" s="38">
        <f t="shared" ref="N29:O48" si="58">M29</f>
        <v>0</v>
      </c>
      <c r="O29" s="40">
        <f t="shared" si="58"/>
        <v>0</v>
      </c>
      <c r="P29" s="159">
        <f>M29</f>
        <v>0</v>
      </c>
      <c r="Q29" s="38">
        <f t="shared" ref="Q29:X38" si="59">P29</f>
        <v>0</v>
      </c>
      <c r="R29" s="40">
        <f t="shared" si="59"/>
        <v>0</v>
      </c>
      <c r="S29" s="38">
        <f t="shared" si="59"/>
        <v>0</v>
      </c>
      <c r="T29" s="38">
        <f t="shared" si="59"/>
        <v>0</v>
      </c>
      <c r="U29" s="38">
        <f t="shared" si="59"/>
        <v>0</v>
      </c>
      <c r="V29" s="159">
        <f t="shared" si="59"/>
        <v>0</v>
      </c>
      <c r="W29" s="38">
        <f t="shared" si="59"/>
        <v>0</v>
      </c>
      <c r="X29" s="39">
        <f t="shared" si="59"/>
        <v>0</v>
      </c>
      <c r="Y29" s="46">
        <v>0</v>
      </c>
      <c r="Z29" s="46">
        <v>0</v>
      </c>
      <c r="AA29" s="47">
        <v>0</v>
      </c>
      <c r="AB29" s="46">
        <v>0</v>
      </c>
      <c r="AC29" s="46">
        <v>0</v>
      </c>
      <c r="AD29" s="47">
        <v>0</v>
      </c>
      <c r="AE29" s="46">
        <v>0</v>
      </c>
      <c r="AF29" s="46">
        <v>0</v>
      </c>
      <c r="AG29" s="47">
        <v>0</v>
      </c>
      <c r="AH29" s="46">
        <v>0</v>
      </c>
      <c r="AI29" s="46">
        <v>0</v>
      </c>
      <c r="AJ29" s="47">
        <v>0</v>
      </c>
      <c r="AK29" s="46">
        <v>0</v>
      </c>
      <c r="AL29" s="46">
        <v>0</v>
      </c>
      <c r="AM29" s="47">
        <v>0</v>
      </c>
      <c r="AN29" s="46">
        <v>0</v>
      </c>
      <c r="AO29" s="46">
        <v>0</v>
      </c>
      <c r="AP29" s="47">
        <v>0</v>
      </c>
      <c r="AQ29" s="46">
        <v>0</v>
      </c>
      <c r="AR29" s="46">
        <v>0</v>
      </c>
      <c r="AS29" s="47">
        <v>0</v>
      </c>
      <c r="AT29" s="46">
        <v>0</v>
      </c>
      <c r="AU29" s="46">
        <v>0</v>
      </c>
      <c r="AV29" s="46">
        <v>0</v>
      </c>
      <c r="AW29" s="1545">
        <v>0</v>
      </c>
      <c r="AX29" s="10">
        <f t="shared" si="56"/>
        <v>22</v>
      </c>
      <c r="AY29" s="42">
        <f>IF(AND($E29=MONTH(Summary!$E$24),$D29=YEAR(Summary!$E$24)),Summary!$E$25,1)*IF(G29="",0,INT((H29-MOD(H29,7)-G29)/7)+1-IF(BA29,IF(WEEKDAY(F29)=7,1,0),0))</f>
        <v>4</v>
      </c>
      <c r="AZ29" s="42">
        <f>IF(AND($E29=MONTH(Summary!$E$24),$D29=YEAR(Summary!$E$24)),Summary!$E$25,1)*IF(G29="",0,INT((H29-MOD(H29-1,7)-G29)/7)+1-IF(BA29,IF(WEEKDAY(F29)=1,1,0),0))</f>
        <v>4</v>
      </c>
      <c r="BA29" s="42">
        <v>1</v>
      </c>
      <c r="BB29" s="10">
        <f>IF(AND($E29=MONTH(Summary!$E$24),$D29=YEAR(Summary!$E$24)),Summary!$E$25,1)*IF(G29="",0,H29-G29+1)</f>
        <v>31</v>
      </c>
      <c r="BC29" s="914">
        <f>Summary!$E$19</f>
        <v>1.4999999999999999E-2</v>
      </c>
      <c r="BD29" s="92">
        <v>15602.4</v>
      </c>
      <c r="BE29" s="97">
        <v>2836.8</v>
      </c>
      <c r="BF29" s="97">
        <v>3546</v>
      </c>
      <c r="BG29" s="173"/>
      <c r="BH29" s="1198">
        <v>1</v>
      </c>
      <c r="BI29" s="1198">
        <v>1</v>
      </c>
      <c r="BJ29" s="1198">
        <v>1</v>
      </c>
      <c r="BK29" s="1198">
        <v>1</v>
      </c>
      <c r="BL29" s="94">
        <v>3120.48</v>
      </c>
      <c r="BM29" s="97">
        <v>567.36</v>
      </c>
      <c r="BN29" s="97">
        <v>709.2</v>
      </c>
      <c r="BO29" s="173"/>
      <c r="BP29" s="1198">
        <v>1</v>
      </c>
      <c r="BQ29" s="1199">
        <v>1</v>
      </c>
      <c r="BR29" s="1199">
        <v>1</v>
      </c>
      <c r="BS29" s="1200">
        <v>1</v>
      </c>
      <c r="BT29" s="94">
        <f t="shared" si="29"/>
        <v>21985.200000000001</v>
      </c>
      <c r="BU29" s="233">
        <f t="shared" si="30"/>
        <v>21985.200000000001</v>
      </c>
      <c r="BV29" s="92">
        <f t="shared" si="31"/>
        <v>4397.04</v>
      </c>
      <c r="BW29" s="233">
        <f t="shared" si="32"/>
        <v>4397.04</v>
      </c>
      <c r="BX29" s="88">
        <v>1.0485968514715949</v>
      </c>
      <c r="BY29" s="90">
        <v>0</v>
      </c>
      <c r="BZ29" s="88">
        <v>0</v>
      </c>
      <c r="CA29" s="88">
        <v>0</v>
      </c>
      <c r="CB29" s="88">
        <v>0</v>
      </c>
      <c r="CC29" s="88">
        <v>0</v>
      </c>
      <c r="CD29" s="88">
        <v>0</v>
      </c>
      <c r="CE29" s="100">
        <v>0</v>
      </c>
      <c r="CF29" s="88">
        <v>0</v>
      </c>
      <c r="CG29" s="88">
        <v>0</v>
      </c>
      <c r="CH29" s="88">
        <v>0</v>
      </c>
      <c r="CI29" s="88">
        <v>0</v>
      </c>
      <c r="CJ29" s="228">
        <v>0</v>
      </c>
      <c r="CK29" s="88">
        <v>0</v>
      </c>
      <c r="CL29" s="88">
        <v>0</v>
      </c>
      <c r="CM29" s="88">
        <v>0</v>
      </c>
      <c r="CN29" s="88">
        <v>0</v>
      </c>
      <c r="CO29" s="88">
        <v>0</v>
      </c>
      <c r="CP29" s="88">
        <v>0</v>
      </c>
      <c r="CQ29" s="229">
        <v>0</v>
      </c>
      <c r="CR29" s="91">
        <v>0</v>
      </c>
      <c r="CS29" s="91">
        <v>0</v>
      </c>
      <c r="CT29" s="91">
        <v>0</v>
      </c>
      <c r="CU29" s="91">
        <v>0</v>
      </c>
      <c r="CV29" s="91">
        <v>0</v>
      </c>
      <c r="CW29" s="91">
        <v>0</v>
      </c>
      <c r="CX29" s="225">
        <v>0</v>
      </c>
      <c r="CY29" s="1265">
        <v>7693.3148000000001</v>
      </c>
      <c r="CZ29" s="90">
        <v>0</v>
      </c>
      <c r="DA29" s="88">
        <v>0</v>
      </c>
      <c r="DB29" s="88">
        <v>0</v>
      </c>
      <c r="DC29" s="88">
        <v>0</v>
      </c>
      <c r="DD29" s="88">
        <v>0</v>
      </c>
      <c r="DE29" s="152">
        <v>0</v>
      </c>
      <c r="DF29" s="230">
        <v>0</v>
      </c>
      <c r="DG29" s="38">
        <v>0</v>
      </c>
      <c r="DH29" s="1237">
        <v>0</v>
      </c>
      <c r="DI29" s="956">
        <v>0</v>
      </c>
      <c r="DJ29" s="956">
        <v>0</v>
      </c>
      <c r="DK29" s="956">
        <v>0</v>
      </c>
      <c r="DL29" s="152">
        <v>0</v>
      </c>
      <c r="DM29" s="160">
        <v>0</v>
      </c>
      <c r="DN29" s="160">
        <v>0</v>
      </c>
      <c r="DO29" s="160">
        <v>0</v>
      </c>
      <c r="DP29" s="160">
        <v>0</v>
      </c>
      <c r="DQ29" s="160">
        <v>0</v>
      </c>
      <c r="DR29" s="230">
        <v>0</v>
      </c>
      <c r="DS29" s="88">
        <v>0</v>
      </c>
      <c r="DT29" s="88">
        <v>0</v>
      </c>
      <c r="DU29" s="88">
        <v>0</v>
      </c>
      <c r="DV29" s="88">
        <v>0</v>
      </c>
      <c r="DW29" s="88">
        <v>0</v>
      </c>
      <c r="DX29" s="88">
        <v>0</v>
      </c>
      <c r="DY29" s="88">
        <v>0</v>
      </c>
      <c r="DZ29" s="88">
        <v>0</v>
      </c>
      <c r="EA29" s="88">
        <v>0</v>
      </c>
      <c r="EB29" s="152">
        <v>0</v>
      </c>
      <c r="EC29" s="52">
        <f t="shared" si="33"/>
        <v>0</v>
      </c>
      <c r="ED29" s="52">
        <f t="shared" si="33"/>
        <v>0</v>
      </c>
      <c r="EE29" s="52">
        <f t="shared" si="33"/>
        <v>0</v>
      </c>
      <c r="EF29" s="52">
        <f t="shared" si="33"/>
        <v>0</v>
      </c>
      <c r="EG29" s="52">
        <f t="shared" si="34"/>
        <v>0</v>
      </c>
      <c r="EH29" s="238">
        <v>0</v>
      </c>
      <c r="EI29" s="211">
        <v>0</v>
      </c>
      <c r="EJ29" s="211">
        <v>0</v>
      </c>
      <c r="EK29" s="211">
        <v>0</v>
      </c>
      <c r="EL29" s="217">
        <f>IF(C29&gt;=Summary!$E$26,MAX(0,SUM(EH29:EK29)),0)</f>
        <v>0</v>
      </c>
      <c r="EM29" s="52">
        <f>IF(C29&gt;=Summary!$E$26,DX29*BL29,0)</f>
        <v>0</v>
      </c>
      <c r="EN29" s="52">
        <f>IF(C29&gt;=Summary!$E$26,DY29*BM29,0)</f>
        <v>0</v>
      </c>
      <c r="EO29" s="52">
        <f>IF(C29&gt;=Summary!$E$26,DZ29*BN29,0)</f>
        <v>0</v>
      </c>
      <c r="EP29" s="52">
        <f>IF(C29&gt;=Summary!$E$26,EA29*BO29,0)</f>
        <v>0</v>
      </c>
      <c r="EQ29" s="52">
        <f>IF(C29&gt;=Summary!$E$26,DX29*BL29+DY29*BM29+DZ29*BN29+EA29*BO29,0)</f>
        <v>0</v>
      </c>
      <c r="ER29" s="826">
        <v>0</v>
      </c>
      <c r="ES29" s="278">
        <v>0</v>
      </c>
      <c r="ET29" s="278">
        <v>0</v>
      </c>
      <c r="EU29" s="278">
        <v>0</v>
      </c>
      <c r="EV29" s="212">
        <f>IF(C29&gt;=Summary!$E$26,MAX(0,SUM(ER29:EU29)),0)</f>
        <v>0</v>
      </c>
      <c r="EW29" s="52"/>
      <c r="EX29" s="1049">
        <f t="shared" si="35"/>
        <v>0</v>
      </c>
      <c r="EY29" s="1045" t="str">
        <f t="shared" si="36"/>
        <v/>
      </c>
      <c r="EZ29" s="1684" t="s">
        <v>525</v>
      </c>
      <c r="FA29" s="1046">
        <f t="shared" si="54"/>
        <v>45</v>
      </c>
      <c r="FB29" s="256">
        <f t="shared" si="37"/>
        <v>9751.5</v>
      </c>
      <c r="FC29" s="194">
        <f t="shared" si="38"/>
        <v>2925.45</v>
      </c>
      <c r="FD29" s="194">
        <f t="shared" si="39"/>
        <v>1773</v>
      </c>
      <c r="FE29" s="194">
        <f t="shared" si="40"/>
        <v>531.9</v>
      </c>
      <c r="FF29" s="194">
        <f t="shared" si="41"/>
        <v>2216.25</v>
      </c>
      <c r="FG29" s="194">
        <f t="shared" si="42"/>
        <v>664.875</v>
      </c>
      <c r="FH29" s="257">
        <f>IF(EZ29="No",IF((OR(MONTH(C29)=5,MONTH(C29)=6,MONTH(C29)=7,MONTH(C29)=8,MONTH(C29)=9)),Summary!$O$15*12*(AX29+AY29+AZ29+BA29)*(1-$BC29),Summary!$O$15*13*(AX29+AY29+AZ29+BA29)*(1-$BC29)+IF(Summary!$O$16="Yes",(CALC!FA29+Summary!$O$15)*6*(AX29+AY29+AZ29+BA29)*(1-$BC29),0)),0)</f>
        <v>0</v>
      </c>
      <c r="FI29" s="1412">
        <f>IF(MONTH(C29)=5,FI28*(IF(Summary!$E$70="no",(1+(Summary!$E$71*0.8)),1+HLOOKUP(YEAR(C29)-1,CCFMODEL!$I$127:$AF$128,2)*0.8)),+FI28)</f>
        <v>27.241036496350365</v>
      </c>
      <c r="FJ29" s="1411">
        <f>IF(MONTH(C29)=5,FJ28*(IF(Summary!$E$70="no",(1+(Summary!$E$71*0.8)),1+HLOOKUP(YEAR(CALC!C29)-1,CCFMODEL!$I$127:$AF$128,2)*0.8)),FJ28)</f>
        <v>23.809094890510945</v>
      </c>
      <c r="FK29" s="832">
        <f t="shared" si="1"/>
        <v>486605.95390839409</v>
      </c>
      <c r="FL29" s="1412">
        <f>IF(MONTH(C29)=5,FL28*(IF(Summary!$E$70="no",(1+(Summary!$E$71*0.8)),1+HLOOKUP(YEAR(CALC!C29)-1,CCFMODEL!$I$127:$AF$128,2)*0.8)),+FL28)</f>
        <v>57.290953771289537</v>
      </c>
      <c r="FM29" s="1411">
        <f>IF(MONTH(C29)=5,FM28*(IF(Summary!$E$70="no",(1+(Summary!$E$71*0.8)),1+HLOOKUP(YEAR(CALC!C29)-1,CCFMODEL!$I$127:$AF$128,2)*0.8)),+FM28)</f>
        <v>27.343177615571772</v>
      </c>
      <c r="FN29" s="832">
        <f t="shared" si="2"/>
        <v>495868.52605839411</v>
      </c>
      <c r="FO29" s="194">
        <f t="shared" si="43"/>
        <v>982474.4799667882</v>
      </c>
      <c r="FP29" s="263">
        <f t="shared" si="3"/>
        <v>9751.5</v>
      </c>
      <c r="FQ29" s="194">
        <f t="shared" si="3"/>
        <v>2925.45</v>
      </c>
      <c r="FR29" s="194">
        <f t="shared" si="3"/>
        <v>1773</v>
      </c>
      <c r="FS29" s="194">
        <f t="shared" si="3"/>
        <v>531.9</v>
      </c>
      <c r="FT29" s="194">
        <f t="shared" si="3"/>
        <v>2216.25</v>
      </c>
      <c r="FU29" s="194">
        <f t="shared" si="3"/>
        <v>664.875</v>
      </c>
      <c r="FV29" s="257">
        <f t="shared" si="3"/>
        <v>0</v>
      </c>
      <c r="FW29" s="189">
        <f t="shared" si="4"/>
        <v>0</v>
      </c>
      <c r="FX29" s="189">
        <f t="shared" si="5"/>
        <v>0</v>
      </c>
      <c r="FY29" s="189">
        <f t="shared" si="6"/>
        <v>0</v>
      </c>
      <c r="FZ29" s="258">
        <f t="shared" si="7"/>
        <v>0</v>
      </c>
      <c r="GA29" s="1293">
        <f>(SUM(FP29:FV29)+SUM(GU29:HB29)/(1-Summary!$O$25))*CY29/1000</f>
        <v>234680.45205058195</v>
      </c>
      <c r="GB29" s="1369">
        <f>IF($C29&lt;Summary!$M$81,+Summary!$O$81,VLOOKUP(C29,GasTable,19))</f>
        <v>2.4</v>
      </c>
      <c r="GC29" s="1370">
        <f>IF(H29&lt;=Summary!$N$84,MIN(GA29,Summary!$O$75*(H29-G29+1)),0)</f>
        <v>155000</v>
      </c>
      <c r="GD29" s="1371">
        <f>IF(Summary!$O$75*(H29-G29+1)*0.8&gt;GC29,1,0)</f>
        <v>0</v>
      </c>
      <c r="GE29" s="1372">
        <v>0</v>
      </c>
      <c r="GF29" s="1370">
        <f t="shared" si="8"/>
        <v>79680.452050581953</v>
      </c>
      <c r="GG29" s="1371">
        <f>GF29*(IF(Summary!$O$74=1,VLOOKUP($C29,GasTable,16)+Summary!$O$92+Summary!$O$93,VLOOKUP($C29,GasTable,19)+Summary!$O$92+Summary!$O$93))</f>
        <v>259592.01195882051</v>
      </c>
      <c r="GH29" s="1373">
        <v>25928.400000000001</v>
      </c>
      <c r="GI29" s="1466">
        <v>0</v>
      </c>
      <c r="GJ29" s="1374">
        <f t="shared" si="44"/>
        <v>657520.41195882054</v>
      </c>
      <c r="GK29" s="189">
        <f t="shared" si="9"/>
        <v>30062.012850000003</v>
      </c>
      <c r="GL29" s="266">
        <v>0.75548351336000008</v>
      </c>
      <c r="GM29" s="255">
        <f t="shared" si="10"/>
        <v>15221</v>
      </c>
      <c r="GN29" s="189">
        <f>IF(SUM(GU29:HB29)=0,0,IF(Summary!$O$16="Yes",SUM(GX29:HB29),IF(Summary!$O$17="Yes",SUM(GY29:HB29),SUM(GU29:HB29))))</f>
        <v>12199.037849999999</v>
      </c>
      <c r="GO29" s="203">
        <v>5.7187930656934309</v>
      </c>
      <c r="GP29" s="258">
        <f t="shared" si="45"/>
        <v>69763.773064711699</v>
      </c>
      <c r="GQ29" s="189"/>
      <c r="GR29" s="189"/>
      <c r="GS29" s="189"/>
      <c r="GT29" s="189"/>
      <c r="GU29" s="268">
        <v>5646.1184999999996</v>
      </c>
      <c r="GV29" s="189">
        <v>1026.5670000000002</v>
      </c>
      <c r="GW29" s="189">
        <v>1283.20875</v>
      </c>
      <c r="GX29" s="189"/>
      <c r="GY29" s="254">
        <v>3011.2631999999999</v>
      </c>
      <c r="GZ29" s="189">
        <v>547.50239999999997</v>
      </c>
      <c r="HA29" s="189">
        <v>684.37800000000004</v>
      </c>
      <c r="HB29" s="255"/>
      <c r="HC29" s="189">
        <v>12199.037849999999</v>
      </c>
      <c r="HD29" s="189"/>
      <c r="HE29" s="189">
        <v>20950.521524999996</v>
      </c>
      <c r="HF29" s="189">
        <v>528464.26274624106</v>
      </c>
      <c r="HG29" s="189"/>
      <c r="HH29" s="203">
        <v>42.988429605925447</v>
      </c>
      <c r="HI29" s="189">
        <v>900630.01978488814</v>
      </c>
      <c r="HJ29" s="268">
        <f t="shared" si="11"/>
        <v>0</v>
      </c>
      <c r="HK29" s="189">
        <f t="shared" si="12"/>
        <v>0</v>
      </c>
      <c r="HL29" s="189">
        <f t="shared" si="13"/>
        <v>0</v>
      </c>
      <c r="HM29" s="255">
        <f t="shared" si="14"/>
        <v>0</v>
      </c>
      <c r="HN29" s="189">
        <f t="shared" si="15"/>
        <v>0</v>
      </c>
      <c r="HO29" s="203">
        <f t="shared" si="46"/>
        <v>0</v>
      </c>
      <c r="HP29" s="258">
        <f t="shared" si="16"/>
        <v>0</v>
      </c>
      <c r="HQ29" s="804">
        <v>2011</v>
      </c>
      <c r="HR29" s="268">
        <f t="shared" si="47"/>
        <v>203540.39999999997</v>
      </c>
      <c r="HS29" s="38">
        <f t="shared" si="48"/>
        <v>86.606106488076492</v>
      </c>
      <c r="HT29" s="255">
        <f t="shared" si="17"/>
        <v>17627841.557025682</v>
      </c>
      <c r="HU29" s="254">
        <v>98481.994200000001</v>
      </c>
      <c r="HV29" s="203">
        <v>45.456414031894496</v>
      </c>
      <c r="HW29" s="189">
        <v>4476638.3030418325</v>
      </c>
      <c r="HX29" s="1021">
        <v>0</v>
      </c>
      <c r="HY29" s="258">
        <f t="shared" si="49"/>
        <v>22104479.860067517</v>
      </c>
      <c r="HZ29" s="268">
        <v>2367307.5502375364</v>
      </c>
      <c r="IA29" s="203">
        <v>-3.4398488829239691</v>
      </c>
      <c r="IB29" s="255">
        <v>-8143180.2322220672</v>
      </c>
      <c r="IC29" s="254">
        <v>302022.39419999998</v>
      </c>
      <c r="ID29" s="203">
        <f t="shared" si="50"/>
        <v>0</v>
      </c>
      <c r="IE29" s="255">
        <f t="shared" si="18"/>
        <v>0</v>
      </c>
      <c r="IF29" s="189">
        <f t="shared" si="19"/>
        <v>130545.1035</v>
      </c>
      <c r="IG29" s="203">
        <f t="shared" si="51"/>
        <v>-2.4848266197331994</v>
      </c>
      <c r="IH29" s="255">
        <v>-324381.94825262565</v>
      </c>
      <c r="II29" s="189">
        <f t="shared" si="20"/>
        <v>0</v>
      </c>
      <c r="IJ29" s="203">
        <f t="shared" si="52"/>
        <v>0</v>
      </c>
      <c r="IK29" s="189">
        <f t="shared" si="21"/>
        <v>0</v>
      </c>
      <c r="IL29" s="1182">
        <f t="shared" si="22"/>
        <v>13636917.679592824</v>
      </c>
      <c r="IN29" s="820"/>
      <c r="IO29" s="1307"/>
      <c r="IR29" s="223"/>
    </row>
    <row r="30" spans="1:252" ht="13.8" thickBot="1">
      <c r="A30" t="str">
        <f t="shared" si="23"/>
        <v>2001Q1</v>
      </c>
      <c r="B30">
        <f t="shared" si="24"/>
        <v>2001</v>
      </c>
      <c r="C30" s="49">
        <f t="shared" si="25"/>
        <v>36923</v>
      </c>
      <c r="D30" s="115">
        <f t="shared" si="26"/>
        <v>2001</v>
      </c>
      <c r="E30" s="10">
        <f t="shared" si="55"/>
        <v>2</v>
      </c>
      <c r="F30" s="248" t="str">
        <f t="shared" si="57"/>
        <v/>
      </c>
      <c r="G30" s="245">
        <v>36923</v>
      </c>
      <c r="H30" s="251">
        <v>36950</v>
      </c>
      <c r="I30" s="959">
        <f t="shared" si="53"/>
        <v>7.1499999999999994E-2</v>
      </c>
      <c r="J30" s="37">
        <f t="shared" si="27"/>
        <v>0.91514934666277126</v>
      </c>
      <c r="K30" s="1036" t="e">
        <f>IF(Summary!#REF!=1,+Summary!#REF!,I30+Summary!#REF!/10000)</f>
        <v>#REF!</v>
      </c>
      <c r="L30" s="37" t="e">
        <f t="shared" si="28"/>
        <v>#REF!</v>
      </c>
      <c r="M30" s="1004">
        <v>0</v>
      </c>
      <c r="N30" s="38">
        <f t="shared" si="58"/>
        <v>0</v>
      </c>
      <c r="O30" s="40">
        <f t="shared" si="58"/>
        <v>0</v>
      </c>
      <c r="P30" s="159">
        <f t="shared" ref="P30:P93" si="60">M30</f>
        <v>0</v>
      </c>
      <c r="Q30" s="38">
        <f t="shared" si="59"/>
        <v>0</v>
      </c>
      <c r="R30" s="40">
        <f t="shared" si="59"/>
        <v>0</v>
      </c>
      <c r="S30" s="38">
        <f t="shared" si="59"/>
        <v>0</v>
      </c>
      <c r="T30" s="38">
        <f t="shared" si="59"/>
        <v>0</v>
      </c>
      <c r="U30" s="38">
        <f t="shared" si="59"/>
        <v>0</v>
      </c>
      <c r="V30" s="159">
        <f t="shared" si="59"/>
        <v>0</v>
      </c>
      <c r="W30" s="38">
        <f t="shared" si="59"/>
        <v>0</v>
      </c>
      <c r="X30" s="39">
        <f t="shared" si="59"/>
        <v>0</v>
      </c>
      <c r="Y30" s="46">
        <v>0</v>
      </c>
      <c r="Z30" s="46">
        <v>0</v>
      </c>
      <c r="AA30" s="47">
        <v>0</v>
      </c>
      <c r="AB30" s="46">
        <v>0</v>
      </c>
      <c r="AC30" s="46">
        <v>0</v>
      </c>
      <c r="AD30" s="47">
        <v>0</v>
      </c>
      <c r="AE30" s="46">
        <v>0</v>
      </c>
      <c r="AF30" s="46">
        <v>0</v>
      </c>
      <c r="AG30" s="47">
        <v>0</v>
      </c>
      <c r="AH30" s="46">
        <v>0</v>
      </c>
      <c r="AI30" s="46">
        <v>0</v>
      </c>
      <c r="AJ30" s="47">
        <v>0</v>
      </c>
      <c r="AK30" s="46">
        <v>0</v>
      </c>
      <c r="AL30" s="46">
        <v>0</v>
      </c>
      <c r="AM30" s="47">
        <v>0</v>
      </c>
      <c r="AN30" s="46">
        <v>0</v>
      </c>
      <c r="AO30" s="46">
        <v>0</v>
      </c>
      <c r="AP30" s="47">
        <v>0</v>
      </c>
      <c r="AQ30" s="46">
        <v>0</v>
      </c>
      <c r="AR30" s="46">
        <v>0</v>
      </c>
      <c r="AS30" s="47">
        <v>0</v>
      </c>
      <c r="AT30" s="46">
        <v>0</v>
      </c>
      <c r="AU30" s="46">
        <v>0</v>
      </c>
      <c r="AV30" s="46">
        <v>0</v>
      </c>
      <c r="AW30" s="1545">
        <v>0</v>
      </c>
      <c r="AX30" s="10">
        <f t="shared" si="56"/>
        <v>20</v>
      </c>
      <c r="AY30" s="42">
        <f>IF(AND($E30=MONTH(Summary!$E$24),$D30=YEAR(Summary!$E$24)),Summary!$E$25,1)*IF(G30="",0,INT((H30-MOD(H30,7)-G30)/7)+1-IF(BA30,IF(WEEKDAY(F30)=7,1,0),0))</f>
        <v>4</v>
      </c>
      <c r="AZ30" s="42">
        <f>IF(AND($E30=MONTH(Summary!$E$24),$D30=YEAR(Summary!$E$24)),Summary!$E$25,1)*IF(G30="",0,INT((H30-MOD(H30-1,7)-G30)/7)+1-IF(BA30,IF(WEEKDAY(F30)=1,1,0),0))</f>
        <v>4</v>
      </c>
      <c r="BA30" s="42">
        <v>0</v>
      </c>
      <c r="BB30" s="10">
        <f>IF(AND($E30=MONTH(Summary!$E$24),$D30=YEAR(Summary!$E$24)),Summary!$E$25,1)*IF(G30="",0,H30-G30+1)</f>
        <v>28</v>
      </c>
      <c r="BC30" s="914">
        <f>Summary!$E$19</f>
        <v>1.4999999999999999E-2</v>
      </c>
      <c r="BD30" s="92">
        <v>14184</v>
      </c>
      <c r="BE30" s="97">
        <v>2836.8</v>
      </c>
      <c r="BF30" s="97">
        <v>2836.8</v>
      </c>
      <c r="BG30" s="173"/>
      <c r="BH30" s="1198">
        <v>1</v>
      </c>
      <c r="BI30" s="1198">
        <v>1</v>
      </c>
      <c r="BJ30" s="1198">
        <v>1</v>
      </c>
      <c r="BK30" s="1198">
        <v>1</v>
      </c>
      <c r="BL30" s="94">
        <v>2836.8</v>
      </c>
      <c r="BM30" s="97">
        <v>567.36</v>
      </c>
      <c r="BN30" s="97">
        <v>567.36</v>
      </c>
      <c r="BO30" s="173"/>
      <c r="BP30" s="1198">
        <v>1</v>
      </c>
      <c r="BQ30" s="1199">
        <v>1</v>
      </c>
      <c r="BR30" s="1199">
        <v>1</v>
      </c>
      <c r="BS30" s="1200">
        <v>1</v>
      </c>
      <c r="BT30" s="94">
        <f t="shared" si="29"/>
        <v>19857.599999999999</v>
      </c>
      <c r="BU30" s="233">
        <f t="shared" si="30"/>
        <v>19857.599999999999</v>
      </c>
      <c r="BV30" s="92">
        <f t="shared" si="31"/>
        <v>3971.5200000000004</v>
      </c>
      <c r="BW30" s="233">
        <f t="shared" si="32"/>
        <v>3971.5200000000004</v>
      </c>
      <c r="BX30" s="88">
        <v>1.1334702258726899</v>
      </c>
      <c r="BY30" s="90">
        <v>0</v>
      </c>
      <c r="BZ30" s="88">
        <v>0</v>
      </c>
      <c r="CA30" s="88">
        <v>0</v>
      </c>
      <c r="CB30" s="88">
        <v>0</v>
      </c>
      <c r="CC30" s="88">
        <v>0</v>
      </c>
      <c r="CD30" s="88">
        <v>0</v>
      </c>
      <c r="CE30" s="100">
        <v>0</v>
      </c>
      <c r="CF30" s="88">
        <v>0</v>
      </c>
      <c r="CG30" s="88">
        <v>0</v>
      </c>
      <c r="CH30" s="88">
        <v>0</v>
      </c>
      <c r="CI30" s="88">
        <v>0</v>
      </c>
      <c r="CJ30" s="228">
        <v>0</v>
      </c>
      <c r="CK30" s="88">
        <v>0</v>
      </c>
      <c r="CL30" s="88">
        <v>0</v>
      </c>
      <c r="CM30" s="88">
        <v>0</v>
      </c>
      <c r="CN30" s="88">
        <v>0</v>
      </c>
      <c r="CO30" s="88">
        <v>0</v>
      </c>
      <c r="CP30" s="88">
        <v>0</v>
      </c>
      <c r="CQ30" s="229">
        <v>0</v>
      </c>
      <c r="CR30" s="91">
        <v>0</v>
      </c>
      <c r="CS30" s="91">
        <v>0</v>
      </c>
      <c r="CT30" s="91">
        <v>0</v>
      </c>
      <c r="CU30" s="91">
        <v>0</v>
      </c>
      <c r="CV30" s="91">
        <v>0</v>
      </c>
      <c r="CW30" s="91">
        <v>0</v>
      </c>
      <c r="CX30" s="225">
        <v>0</v>
      </c>
      <c r="CY30" s="1265">
        <v>7695.2691200000008</v>
      </c>
      <c r="CZ30" s="90">
        <v>0</v>
      </c>
      <c r="DA30" s="88">
        <v>0</v>
      </c>
      <c r="DB30" s="88">
        <v>0</v>
      </c>
      <c r="DC30" s="88">
        <v>0</v>
      </c>
      <c r="DD30" s="88">
        <v>0</v>
      </c>
      <c r="DE30" s="152">
        <v>0</v>
      </c>
      <c r="DF30" s="230">
        <v>0</v>
      </c>
      <c r="DG30" s="38">
        <v>0</v>
      </c>
      <c r="DH30" s="1237">
        <v>0</v>
      </c>
      <c r="DI30" s="956">
        <v>0</v>
      </c>
      <c r="DJ30" s="956">
        <v>0</v>
      </c>
      <c r="DK30" s="956">
        <v>0</v>
      </c>
      <c r="DL30" s="152">
        <v>0</v>
      </c>
      <c r="DM30" s="160">
        <v>0</v>
      </c>
      <c r="DN30" s="160">
        <v>0</v>
      </c>
      <c r="DO30" s="160">
        <v>0</v>
      </c>
      <c r="DP30" s="160">
        <v>0</v>
      </c>
      <c r="DQ30" s="160">
        <v>0</v>
      </c>
      <c r="DR30" s="230">
        <v>0</v>
      </c>
      <c r="DS30" s="88">
        <v>0</v>
      </c>
      <c r="DT30" s="88">
        <v>0</v>
      </c>
      <c r="DU30" s="88">
        <v>0</v>
      </c>
      <c r="DV30" s="88">
        <v>0</v>
      </c>
      <c r="DW30" s="88">
        <v>0</v>
      </c>
      <c r="DX30" s="88">
        <v>0</v>
      </c>
      <c r="DY30" s="88">
        <v>0</v>
      </c>
      <c r="DZ30" s="88">
        <v>0</v>
      </c>
      <c r="EA30" s="88">
        <v>0</v>
      </c>
      <c r="EB30" s="152">
        <v>0</v>
      </c>
      <c r="EC30" s="52">
        <f t="shared" si="33"/>
        <v>0</v>
      </c>
      <c r="ED30" s="52">
        <f t="shared" si="33"/>
        <v>0</v>
      </c>
      <c r="EE30" s="52">
        <f t="shared" si="33"/>
        <v>0</v>
      </c>
      <c r="EF30" s="52">
        <f t="shared" si="33"/>
        <v>0</v>
      </c>
      <c r="EG30" s="52">
        <f t="shared" si="34"/>
        <v>0</v>
      </c>
      <c r="EH30" s="238">
        <v>0</v>
      </c>
      <c r="EI30" s="211">
        <v>0</v>
      </c>
      <c r="EJ30" s="211">
        <v>0</v>
      </c>
      <c r="EK30" s="211">
        <v>0</v>
      </c>
      <c r="EL30" s="217">
        <f>IF(C30&gt;=Summary!$E$26,MAX(0,SUM(EH30:EK30)),0)</f>
        <v>0</v>
      </c>
      <c r="EM30" s="52">
        <f>IF(C30&gt;=Summary!$E$26,DX30*BL30,0)</f>
        <v>0</v>
      </c>
      <c r="EN30" s="52">
        <f>IF(C30&gt;=Summary!$E$26,DY30*BM30,0)</f>
        <v>0</v>
      </c>
      <c r="EO30" s="52">
        <f>IF(C30&gt;=Summary!$E$26,DZ30*BN30,0)</f>
        <v>0</v>
      </c>
      <c r="EP30" s="52">
        <f>IF(C30&gt;=Summary!$E$26,EA30*BO30,0)</f>
        <v>0</v>
      </c>
      <c r="EQ30" s="52">
        <f>IF(C30&gt;=Summary!$E$26,DX30*BL30+DY30*BM30+DZ30*BN30+EA30*BO30,0)</f>
        <v>0</v>
      </c>
      <c r="ER30" s="826">
        <v>0</v>
      </c>
      <c r="ES30" s="278">
        <v>0</v>
      </c>
      <c r="ET30" s="278">
        <v>0</v>
      </c>
      <c r="EU30" s="278">
        <v>0</v>
      </c>
      <c r="EV30" s="212">
        <f>IF(C30&gt;=Summary!$E$26,MAX(0,SUM(ER30:EU30)),0)</f>
        <v>0</v>
      </c>
      <c r="EW30" s="52"/>
      <c r="EX30" s="1049">
        <f t="shared" si="35"/>
        <v>0</v>
      </c>
      <c r="EY30" s="1045" t="str">
        <f t="shared" si="36"/>
        <v/>
      </c>
      <c r="EZ30" s="1684" t="s">
        <v>525</v>
      </c>
      <c r="FA30" s="1046">
        <f t="shared" si="54"/>
        <v>45</v>
      </c>
      <c r="FB30" s="256">
        <f t="shared" si="37"/>
        <v>8865</v>
      </c>
      <c r="FC30" s="194">
        <f t="shared" si="38"/>
        <v>2659.5</v>
      </c>
      <c r="FD30" s="194">
        <f t="shared" si="39"/>
        <v>1773</v>
      </c>
      <c r="FE30" s="194">
        <f t="shared" si="40"/>
        <v>531.9</v>
      </c>
      <c r="FF30" s="194">
        <f t="shared" si="41"/>
        <v>1773</v>
      </c>
      <c r="FG30" s="194">
        <f t="shared" si="42"/>
        <v>531.9</v>
      </c>
      <c r="FH30" s="257">
        <f>IF(EZ30="No",IF((OR(MONTH(C30)=5,MONTH(C30)=6,MONTH(C30)=7,MONTH(C30)=8,MONTH(C30)=9)),Summary!$O$15*12*(AX30+AY30+AZ30+BA30)*(1-$BC30),Summary!$O$15*13*(AX30+AY30+AZ30+BA30)*(1-$BC30)+IF(Summary!$O$16="Yes",(CALC!FA30+Summary!$O$15)*6*(AX30+AY30+AZ30+BA30)*(1-$BC30),0)),0)</f>
        <v>0</v>
      </c>
      <c r="FI30" s="1412">
        <f>IF(MONTH(C30)=5,FI29*(IF(Summary!$E$70="no",(1+(Summary!$E$71*0.8)),1+HLOOKUP(YEAR(C30)-1,CCFMODEL!$I$127:$AF$128,2)*0.8)),+FI29)</f>
        <v>27.241036496350365</v>
      </c>
      <c r="FJ30" s="1411">
        <f>IF(MONTH(C30)=5,FJ29*(IF(Summary!$E$70="no",(1+(Summary!$E$71*0.8)),1+HLOOKUP(YEAR(CALC!C30)-1,CCFMODEL!$I$127:$AF$128,2)*0.8)),FJ29)</f>
        <v>23.809094890510945</v>
      </c>
      <c r="FK30" s="832">
        <f t="shared" si="1"/>
        <v>439515.05514306569</v>
      </c>
      <c r="FL30" s="1412">
        <f>IF(MONTH(C30)=5,FL29*(IF(Summary!$E$70="no",(1+(Summary!$E$71*0.8)),1+HLOOKUP(YEAR(CALC!C30)-1,CCFMODEL!$I$127:$AF$128,2)*0.8)),+FL29)</f>
        <v>57.290953771289537</v>
      </c>
      <c r="FM30" s="1411">
        <f>IF(MONTH(C30)=5,FM29*(IF(Summary!$E$70="no",(1+(Summary!$E$71*0.8)),1+HLOOKUP(YEAR(CALC!C30)-1,CCFMODEL!$I$127:$AF$128,2)*0.8)),+FM29)</f>
        <v>27.343177615571772</v>
      </c>
      <c r="FN30" s="832">
        <f t="shared" si="2"/>
        <v>447881.2493430656</v>
      </c>
      <c r="FO30" s="194">
        <f t="shared" si="43"/>
        <v>887396.3044861313</v>
      </c>
      <c r="FP30" s="263">
        <f t="shared" si="3"/>
        <v>8865</v>
      </c>
      <c r="FQ30" s="194">
        <f t="shared" si="3"/>
        <v>2659.5</v>
      </c>
      <c r="FR30" s="194">
        <f t="shared" si="3"/>
        <v>1773</v>
      </c>
      <c r="FS30" s="194">
        <f t="shared" si="3"/>
        <v>531.9</v>
      </c>
      <c r="FT30" s="194">
        <f t="shared" si="3"/>
        <v>1773</v>
      </c>
      <c r="FU30" s="194">
        <f t="shared" si="3"/>
        <v>531.9</v>
      </c>
      <c r="FV30" s="257">
        <f t="shared" si="3"/>
        <v>0</v>
      </c>
      <c r="FW30" s="189">
        <f t="shared" si="4"/>
        <v>0</v>
      </c>
      <c r="FX30" s="189">
        <f t="shared" si="5"/>
        <v>0</v>
      </c>
      <c r="FY30" s="189">
        <f t="shared" si="6"/>
        <v>0</v>
      </c>
      <c r="FZ30" s="258">
        <f t="shared" si="7"/>
        <v>0</v>
      </c>
      <c r="GA30" s="1293">
        <f>(SUM(FP30:FV30)+SUM(GU30:HB30)/(1-Summary!$O$25))*CY30/1000</f>
        <v>212023.2868072704</v>
      </c>
      <c r="GB30" s="1369">
        <f>IF($C30&lt;Summary!$M$81,+Summary!$O$81,VLOOKUP(C30,GasTable,19))</f>
        <v>2.4</v>
      </c>
      <c r="GC30" s="1370">
        <f>IF(H30&lt;=Summary!$N$84,MIN(GA30,Summary!$O$75*(H30-G30+1)),0)</f>
        <v>140000</v>
      </c>
      <c r="GD30" s="1371">
        <f>IF(Summary!$O$75*(H30-G30+1)*0.8&gt;GC30,1,0)</f>
        <v>0</v>
      </c>
      <c r="GE30" s="1372">
        <v>0</v>
      </c>
      <c r="GF30" s="1370">
        <f t="shared" si="8"/>
        <v>72023.2868072704</v>
      </c>
      <c r="GG30" s="1371">
        <f>GF30*(IF(Summary!$O$74=1,VLOOKUP($C30,GasTable,16)+Summary!$O$92+Summary!$O$93,VLOOKUP($C30,GasTable,19)+Summary!$O$92+Summary!$O$93))</f>
        <v>222772.31449036117</v>
      </c>
      <c r="GH30" s="1373">
        <v>22271.200000000001</v>
      </c>
      <c r="GI30" s="1466">
        <v>0</v>
      </c>
      <c r="GJ30" s="1374">
        <f t="shared" si="44"/>
        <v>581043.51449036109</v>
      </c>
      <c r="GK30" s="189">
        <f t="shared" si="9"/>
        <v>27152.785799999998</v>
      </c>
      <c r="GL30" s="266">
        <v>0.75567542758400008</v>
      </c>
      <c r="GM30" s="255">
        <f t="shared" si="10"/>
        <v>13747.999999999998</v>
      </c>
      <c r="GN30" s="189">
        <f>IF(SUM(GU30:HB30)=0,0,IF(Summary!$O$16="Yes",SUM(GX30:HB30),IF(Summary!$O$17="Yes",SUM(GY30:HB30),SUM(GU30:HB30))))</f>
        <v>11018.485799999999</v>
      </c>
      <c r="GO30" s="203">
        <v>5.7187930656934309</v>
      </c>
      <c r="GP30" s="258">
        <f t="shared" si="45"/>
        <v>63012.44018748153</v>
      </c>
      <c r="GQ30" s="189"/>
      <c r="GR30" s="189"/>
      <c r="GS30" s="189"/>
      <c r="GT30" s="189"/>
      <c r="GU30" s="268">
        <v>5132.835</v>
      </c>
      <c r="GV30" s="189">
        <v>1026.5670000000002</v>
      </c>
      <c r="GW30" s="189">
        <v>1026.5670000000002</v>
      </c>
      <c r="GX30" s="189"/>
      <c r="GY30" s="254">
        <v>2737.5120000000002</v>
      </c>
      <c r="GZ30" s="189">
        <v>547.50239999999997</v>
      </c>
      <c r="HA30" s="189">
        <v>547.50239999999997</v>
      </c>
      <c r="HB30" s="255"/>
      <c r="HC30" s="189">
        <v>11018.485799999999</v>
      </c>
      <c r="HD30" s="189"/>
      <c r="HE30" s="189">
        <v>18923.051699999996</v>
      </c>
      <c r="HF30" s="189">
        <v>429181.95353687665</v>
      </c>
      <c r="HG30" s="189"/>
      <c r="HH30" s="203">
        <v>38.660277609341001</v>
      </c>
      <c r="HI30" s="189">
        <v>731570.43193791201</v>
      </c>
      <c r="HJ30" s="268">
        <f t="shared" si="11"/>
        <v>0</v>
      </c>
      <c r="HK30" s="189">
        <f t="shared" si="12"/>
        <v>0</v>
      </c>
      <c r="HL30" s="189">
        <f t="shared" si="13"/>
        <v>0</v>
      </c>
      <c r="HM30" s="255">
        <f t="shared" si="14"/>
        <v>0</v>
      </c>
      <c r="HN30" s="189">
        <f t="shared" si="15"/>
        <v>0</v>
      </c>
      <c r="HO30" s="203">
        <f t="shared" si="46"/>
        <v>0</v>
      </c>
      <c r="HP30" s="258">
        <f t="shared" si="16"/>
        <v>0</v>
      </c>
      <c r="HQ30" s="804">
        <v>2012</v>
      </c>
      <c r="HR30" s="268">
        <f t="shared" si="47"/>
        <v>204116.625</v>
      </c>
      <c r="HS30" s="38">
        <f t="shared" si="48"/>
        <v>88.635843668864553</v>
      </c>
      <c r="HT30" s="255">
        <f t="shared" si="17"/>
        <v>18092049.263716251</v>
      </c>
      <c r="HU30" s="254">
        <v>98841.292649999988</v>
      </c>
      <c r="HV30" s="203">
        <v>46.369673800654738</v>
      </c>
      <c r="HW30" s="189">
        <v>4583238.4982155524</v>
      </c>
      <c r="HX30" s="1021">
        <v>0</v>
      </c>
      <c r="HY30" s="258">
        <f t="shared" si="49"/>
        <v>22675287.761931803</v>
      </c>
      <c r="HZ30" s="268">
        <v>2368390.4179773843</v>
      </c>
      <c r="IA30" s="203">
        <v>-3.5204537233705766</v>
      </c>
      <c r="IB30" s="255">
        <v>-8337808.8653636789</v>
      </c>
      <c r="IC30" s="254">
        <v>302957.91764999996</v>
      </c>
      <c r="ID30" s="203">
        <f t="shared" si="50"/>
        <v>0</v>
      </c>
      <c r="IE30" s="255">
        <f t="shared" si="18"/>
        <v>0</v>
      </c>
      <c r="IF30" s="189">
        <f t="shared" si="19"/>
        <v>130938.62084999998</v>
      </c>
      <c r="IG30" s="203">
        <f t="shared" si="51"/>
        <v>-2.560989055974392</v>
      </c>
      <c r="IH30" s="255">
        <v>-335332.37500123028</v>
      </c>
      <c r="II30" s="189">
        <f t="shared" si="20"/>
        <v>0</v>
      </c>
      <c r="IJ30" s="203">
        <f t="shared" si="52"/>
        <v>0</v>
      </c>
      <c r="IK30" s="189">
        <f t="shared" si="21"/>
        <v>0</v>
      </c>
      <c r="IL30" s="1182">
        <f t="shared" si="22"/>
        <v>14002146.521566894</v>
      </c>
      <c r="IN30" s="820"/>
      <c r="IO30" s="1307"/>
      <c r="IR30" s="223"/>
    </row>
    <row r="31" spans="1:252" ht="13.8" thickBot="1">
      <c r="A31" t="str">
        <f t="shared" si="23"/>
        <v>2001Q1</v>
      </c>
      <c r="B31">
        <f t="shared" si="24"/>
        <v>2001</v>
      </c>
      <c r="C31" s="49">
        <f t="shared" si="25"/>
        <v>36951</v>
      </c>
      <c r="D31" s="115">
        <f t="shared" si="26"/>
        <v>2001</v>
      </c>
      <c r="E31" s="10">
        <f t="shared" si="55"/>
        <v>3</v>
      </c>
      <c r="F31" s="248" t="str">
        <f t="shared" si="57"/>
        <v/>
      </c>
      <c r="G31" s="245">
        <v>36951</v>
      </c>
      <c r="H31" s="251">
        <v>36981</v>
      </c>
      <c r="I31" s="959">
        <f t="shared" si="53"/>
        <v>7.1499999999999994E-2</v>
      </c>
      <c r="J31" s="37">
        <f t="shared" si="27"/>
        <v>0.90970901229752399</v>
      </c>
      <c r="K31" s="1036" t="e">
        <f>IF(Summary!#REF!=1,+Summary!#REF!,I31+Summary!#REF!/10000)</f>
        <v>#REF!</v>
      </c>
      <c r="L31" s="37" t="e">
        <f t="shared" si="28"/>
        <v>#REF!</v>
      </c>
      <c r="M31" s="1004">
        <v>0</v>
      </c>
      <c r="N31" s="38">
        <f t="shared" si="58"/>
        <v>0</v>
      </c>
      <c r="O31" s="40">
        <f t="shared" si="58"/>
        <v>0</v>
      </c>
      <c r="P31" s="159">
        <f t="shared" si="60"/>
        <v>0</v>
      </c>
      <c r="Q31" s="38">
        <f t="shared" si="59"/>
        <v>0</v>
      </c>
      <c r="R31" s="40">
        <f t="shared" si="59"/>
        <v>0</v>
      </c>
      <c r="S31" s="38">
        <f t="shared" si="59"/>
        <v>0</v>
      </c>
      <c r="T31" s="38">
        <f t="shared" si="59"/>
        <v>0</v>
      </c>
      <c r="U31" s="38">
        <f t="shared" si="59"/>
        <v>0</v>
      </c>
      <c r="V31" s="159">
        <f t="shared" si="59"/>
        <v>0</v>
      </c>
      <c r="W31" s="38">
        <f t="shared" si="59"/>
        <v>0</v>
      </c>
      <c r="X31" s="39">
        <f t="shared" si="59"/>
        <v>0</v>
      </c>
      <c r="Y31" s="46">
        <v>0</v>
      </c>
      <c r="Z31" s="46">
        <v>0</v>
      </c>
      <c r="AA31" s="47">
        <v>0</v>
      </c>
      <c r="AB31" s="46">
        <v>0</v>
      </c>
      <c r="AC31" s="46">
        <v>0</v>
      </c>
      <c r="AD31" s="47">
        <v>0</v>
      </c>
      <c r="AE31" s="46">
        <v>0</v>
      </c>
      <c r="AF31" s="46">
        <v>0</v>
      </c>
      <c r="AG31" s="47">
        <v>0</v>
      </c>
      <c r="AH31" s="46">
        <v>0</v>
      </c>
      <c r="AI31" s="46">
        <v>0</v>
      </c>
      <c r="AJ31" s="47">
        <v>0</v>
      </c>
      <c r="AK31" s="46">
        <v>0</v>
      </c>
      <c r="AL31" s="46">
        <v>0</v>
      </c>
      <c r="AM31" s="47">
        <v>0</v>
      </c>
      <c r="AN31" s="46">
        <v>0</v>
      </c>
      <c r="AO31" s="46">
        <v>0</v>
      </c>
      <c r="AP31" s="47">
        <v>0</v>
      </c>
      <c r="AQ31" s="46">
        <v>0</v>
      </c>
      <c r="AR31" s="46">
        <v>0</v>
      </c>
      <c r="AS31" s="47">
        <v>0</v>
      </c>
      <c r="AT31" s="46">
        <v>0</v>
      </c>
      <c r="AU31" s="46">
        <v>0</v>
      </c>
      <c r="AV31" s="46">
        <v>0</v>
      </c>
      <c r="AW31" s="1545">
        <v>0</v>
      </c>
      <c r="AX31" s="10">
        <f t="shared" si="56"/>
        <v>22</v>
      </c>
      <c r="AY31" s="42">
        <f>IF(AND($E31=MONTH(Summary!$E$24),$D31=YEAR(Summary!$E$24)),Summary!$E$25,1)*IF(G31="",0,INT((H31-MOD(H31,7)-G31)/7)+1-IF(BA31,IF(WEEKDAY(F31)=7,1,0),0))</f>
        <v>5</v>
      </c>
      <c r="AZ31" s="42">
        <f>IF(AND($E31=MONTH(Summary!$E$24),$D31=YEAR(Summary!$E$24)),Summary!$E$25,1)*IF(G31="",0,INT((H31-MOD(H31-1,7)-G31)/7)+1-IF(BA31,IF(WEEKDAY(F31)=1,1,0),0))</f>
        <v>4</v>
      </c>
      <c r="BA31" s="42">
        <v>0</v>
      </c>
      <c r="BB31" s="10">
        <f>IF(AND($E31=MONTH(Summary!$E$24),$D31=YEAR(Summary!$E$24)),Summary!$E$25,1)*IF(G31="",0,H31-G31+1)</f>
        <v>31</v>
      </c>
      <c r="BC31" s="914">
        <f>Summary!$E$19</f>
        <v>1.4999999999999999E-2</v>
      </c>
      <c r="BD31" s="92">
        <v>15602.4</v>
      </c>
      <c r="BE31" s="97">
        <v>3546</v>
      </c>
      <c r="BF31" s="97">
        <v>2836.8</v>
      </c>
      <c r="BG31" s="173"/>
      <c r="BH31" s="1198">
        <v>1</v>
      </c>
      <c r="BI31" s="1198">
        <v>1</v>
      </c>
      <c r="BJ31" s="1198">
        <v>1</v>
      </c>
      <c r="BK31" s="1198">
        <v>1</v>
      </c>
      <c r="BL31" s="94">
        <v>3120.48</v>
      </c>
      <c r="BM31" s="97">
        <v>709.2</v>
      </c>
      <c r="BN31" s="97">
        <v>567.36</v>
      </c>
      <c r="BO31" s="173"/>
      <c r="BP31" s="1198">
        <v>1</v>
      </c>
      <c r="BQ31" s="1199">
        <v>1</v>
      </c>
      <c r="BR31" s="1199">
        <v>1</v>
      </c>
      <c r="BS31" s="1200">
        <v>1</v>
      </c>
      <c r="BT31" s="94">
        <f t="shared" si="29"/>
        <v>21985.200000000001</v>
      </c>
      <c r="BU31" s="233">
        <f t="shared" si="30"/>
        <v>21985.200000000001</v>
      </c>
      <c r="BV31" s="92">
        <f t="shared" si="31"/>
        <v>4397.04</v>
      </c>
      <c r="BW31" s="233">
        <f t="shared" si="32"/>
        <v>4397.04</v>
      </c>
      <c r="BX31" s="88">
        <v>1.2101300479123889</v>
      </c>
      <c r="BY31" s="90">
        <v>0</v>
      </c>
      <c r="BZ31" s="88">
        <v>0</v>
      </c>
      <c r="CA31" s="88">
        <v>0</v>
      </c>
      <c r="CB31" s="88">
        <v>0</v>
      </c>
      <c r="CC31" s="88">
        <v>0</v>
      </c>
      <c r="CD31" s="88">
        <v>0</v>
      </c>
      <c r="CE31" s="100">
        <v>0</v>
      </c>
      <c r="CF31" s="88">
        <v>0</v>
      </c>
      <c r="CG31" s="88">
        <v>0</v>
      </c>
      <c r="CH31" s="88">
        <v>0</v>
      </c>
      <c r="CI31" s="88">
        <v>0</v>
      </c>
      <c r="CJ31" s="228">
        <v>0</v>
      </c>
      <c r="CK31" s="88">
        <v>0</v>
      </c>
      <c r="CL31" s="88">
        <v>0</v>
      </c>
      <c r="CM31" s="88">
        <v>0</v>
      </c>
      <c r="CN31" s="88">
        <v>0</v>
      </c>
      <c r="CO31" s="88">
        <v>0</v>
      </c>
      <c r="CP31" s="88">
        <v>0</v>
      </c>
      <c r="CQ31" s="229">
        <v>0</v>
      </c>
      <c r="CR31" s="91">
        <v>0</v>
      </c>
      <c r="CS31" s="91">
        <v>0</v>
      </c>
      <c r="CT31" s="91">
        <v>0</v>
      </c>
      <c r="CU31" s="91">
        <v>0</v>
      </c>
      <c r="CV31" s="91">
        <v>0</v>
      </c>
      <c r="CW31" s="91">
        <v>0</v>
      </c>
      <c r="CX31" s="225">
        <v>0</v>
      </c>
      <c r="CY31" s="1265">
        <v>7697.2234399999998</v>
      </c>
      <c r="CZ31" s="90">
        <v>0</v>
      </c>
      <c r="DA31" s="88">
        <v>0</v>
      </c>
      <c r="DB31" s="88">
        <v>0</v>
      </c>
      <c r="DC31" s="88">
        <v>0</v>
      </c>
      <c r="DD31" s="88">
        <v>0</v>
      </c>
      <c r="DE31" s="152">
        <v>0</v>
      </c>
      <c r="DF31" s="230">
        <v>0</v>
      </c>
      <c r="DG31" s="38">
        <v>0</v>
      </c>
      <c r="DH31" s="1237">
        <v>0</v>
      </c>
      <c r="DI31" s="956">
        <v>0</v>
      </c>
      <c r="DJ31" s="956">
        <v>0</v>
      </c>
      <c r="DK31" s="956">
        <v>0</v>
      </c>
      <c r="DL31" s="152">
        <v>0</v>
      </c>
      <c r="DM31" s="160">
        <v>0</v>
      </c>
      <c r="DN31" s="160">
        <v>0</v>
      </c>
      <c r="DO31" s="160">
        <v>0</v>
      </c>
      <c r="DP31" s="160">
        <v>0</v>
      </c>
      <c r="DQ31" s="160">
        <v>0</v>
      </c>
      <c r="DR31" s="230">
        <v>0</v>
      </c>
      <c r="DS31" s="88">
        <v>0</v>
      </c>
      <c r="DT31" s="88">
        <v>0</v>
      </c>
      <c r="DU31" s="88">
        <v>0</v>
      </c>
      <c r="DV31" s="88">
        <v>0</v>
      </c>
      <c r="DW31" s="88">
        <v>0</v>
      </c>
      <c r="DX31" s="88">
        <v>0</v>
      </c>
      <c r="DY31" s="88">
        <v>0</v>
      </c>
      <c r="DZ31" s="88">
        <v>0</v>
      </c>
      <c r="EA31" s="88">
        <v>0</v>
      </c>
      <c r="EB31" s="152">
        <v>0</v>
      </c>
      <c r="EC31" s="52">
        <f t="shared" si="33"/>
        <v>0</v>
      </c>
      <c r="ED31" s="52">
        <f t="shared" si="33"/>
        <v>0</v>
      </c>
      <c r="EE31" s="52">
        <f t="shared" si="33"/>
        <v>0</v>
      </c>
      <c r="EF31" s="52">
        <f t="shared" si="33"/>
        <v>0</v>
      </c>
      <c r="EG31" s="52">
        <f t="shared" si="34"/>
        <v>0</v>
      </c>
      <c r="EH31" s="238">
        <v>0</v>
      </c>
      <c r="EI31" s="211">
        <v>0</v>
      </c>
      <c r="EJ31" s="211">
        <v>0</v>
      </c>
      <c r="EK31" s="211">
        <v>0</v>
      </c>
      <c r="EL31" s="217">
        <f>IF(C31&gt;=Summary!$E$26,MAX(0,SUM(EH31:EK31)),0)</f>
        <v>0</v>
      </c>
      <c r="EM31" s="52">
        <f>IF(C31&gt;=Summary!$E$26,DX31*BL31,0)</f>
        <v>0</v>
      </c>
      <c r="EN31" s="52">
        <f>IF(C31&gt;=Summary!$E$26,DY31*BM31,0)</f>
        <v>0</v>
      </c>
      <c r="EO31" s="52">
        <f>IF(C31&gt;=Summary!$E$26,DZ31*BN31,0)</f>
        <v>0</v>
      </c>
      <c r="EP31" s="52">
        <f>IF(C31&gt;=Summary!$E$26,EA31*BO31,0)</f>
        <v>0</v>
      </c>
      <c r="EQ31" s="52">
        <f>IF(C31&gt;=Summary!$E$26,DX31*BL31+DY31*BM31+DZ31*BN31+EA31*BO31,0)</f>
        <v>0</v>
      </c>
      <c r="ER31" s="826">
        <v>0</v>
      </c>
      <c r="ES31" s="278">
        <v>0</v>
      </c>
      <c r="ET31" s="278">
        <v>0</v>
      </c>
      <c r="EU31" s="278">
        <v>0</v>
      </c>
      <c r="EV31" s="212">
        <f>IF(C31&gt;=Summary!$E$26,MAX(0,SUM(ER31:EU31)),0)</f>
        <v>0</v>
      </c>
      <c r="EW31" s="52"/>
      <c r="EX31" s="1049">
        <f t="shared" si="35"/>
        <v>0</v>
      </c>
      <c r="EY31" s="1045" t="str">
        <f t="shared" si="36"/>
        <v/>
      </c>
      <c r="EZ31" s="1684" t="s">
        <v>525</v>
      </c>
      <c r="FA31" s="1046">
        <f t="shared" si="54"/>
        <v>45</v>
      </c>
      <c r="FB31" s="256">
        <f t="shared" si="37"/>
        <v>9751.5</v>
      </c>
      <c r="FC31" s="194">
        <f t="shared" si="38"/>
        <v>2925.45</v>
      </c>
      <c r="FD31" s="194">
        <f t="shared" si="39"/>
        <v>2216.25</v>
      </c>
      <c r="FE31" s="194">
        <f t="shared" si="40"/>
        <v>664.875</v>
      </c>
      <c r="FF31" s="194">
        <f t="shared" si="41"/>
        <v>1773</v>
      </c>
      <c r="FG31" s="194">
        <f t="shared" si="42"/>
        <v>531.9</v>
      </c>
      <c r="FH31" s="257">
        <f>IF(EZ31="No",IF((OR(MONTH(C31)=5,MONTH(C31)=6,MONTH(C31)=7,MONTH(C31)=8,MONTH(C31)=9)),Summary!$O$15*12*(AX31+AY31+AZ31+BA31)*(1-$BC31),Summary!$O$15*13*(AX31+AY31+AZ31+BA31)*(1-$BC31)+IF(Summary!$O$16="Yes",(CALC!FA31+Summary!$O$15)*6*(AX31+AY31+AZ31+BA31)*(1-$BC31),0)),0)</f>
        <v>0</v>
      </c>
      <c r="FI31" s="1412">
        <f>IF(MONTH(C31)=5,FI30*(IF(Summary!$E$70="no",(1+(Summary!$E$71*0.8)),1+HLOOKUP(YEAR(C31)-1,CCFMODEL!$I$127:$AF$128,2)*0.8)),+FI30)</f>
        <v>27.241036496350365</v>
      </c>
      <c r="FJ31" s="1411">
        <f>IF(MONTH(C31)=5,FJ30*(IF(Summary!$E$70="no",(1+(Summary!$E$71*0.8)),1+HLOOKUP(YEAR(CALC!C31)-1,CCFMODEL!$I$127:$AF$128,2)*0.8)),FJ30)</f>
        <v>23.809094890510945</v>
      </c>
      <c r="FK31" s="832">
        <f t="shared" si="1"/>
        <v>486605.95390839421</v>
      </c>
      <c r="FL31" s="1412">
        <f>IF(MONTH(C31)=5,FL30*(IF(Summary!$E$70="no",(1+(Summary!$E$71*0.8)),1+HLOOKUP(YEAR(CALC!C31)-1,CCFMODEL!$I$127:$AF$128,2)*0.8)),+FL30)</f>
        <v>57.290953771289537</v>
      </c>
      <c r="FM31" s="1411">
        <f>IF(MONTH(C31)=5,FM30*(IF(Summary!$E$70="no",(1+(Summary!$E$71*0.8)),1+HLOOKUP(YEAR(CALC!C31)-1,CCFMODEL!$I$127:$AF$128,2)*0.8)),+FM30)</f>
        <v>27.343177615571772</v>
      </c>
      <c r="FN31" s="832">
        <f t="shared" si="2"/>
        <v>495868.52605839417</v>
      </c>
      <c r="FO31" s="194">
        <f t="shared" si="43"/>
        <v>982474.47996678832</v>
      </c>
      <c r="FP31" s="263">
        <f t="shared" si="3"/>
        <v>9751.5</v>
      </c>
      <c r="FQ31" s="194">
        <f t="shared" si="3"/>
        <v>2925.45</v>
      </c>
      <c r="FR31" s="194">
        <f t="shared" si="3"/>
        <v>2216.25</v>
      </c>
      <c r="FS31" s="194">
        <f t="shared" si="3"/>
        <v>664.875</v>
      </c>
      <c r="FT31" s="194">
        <f t="shared" si="3"/>
        <v>1773</v>
      </c>
      <c r="FU31" s="194">
        <f t="shared" si="3"/>
        <v>531.9</v>
      </c>
      <c r="FV31" s="257">
        <f t="shared" si="3"/>
        <v>0</v>
      </c>
      <c r="FW31" s="189">
        <f t="shared" si="4"/>
        <v>0</v>
      </c>
      <c r="FX31" s="189">
        <f t="shared" si="5"/>
        <v>0</v>
      </c>
      <c r="FY31" s="189">
        <f t="shared" si="6"/>
        <v>0</v>
      </c>
      <c r="FZ31" s="258">
        <f t="shared" si="7"/>
        <v>0</v>
      </c>
      <c r="GA31" s="1293">
        <f>(SUM(FP31:FV31)+SUM(GU31:HB31)/(1-Summary!$O$25))*CY31/1000</f>
        <v>234799.68302265962</v>
      </c>
      <c r="GB31" s="1369">
        <f>IF($C31&lt;Summary!$M$81,+Summary!$O$81,VLOOKUP(C31,GasTable,19))</f>
        <v>2.4</v>
      </c>
      <c r="GC31" s="1370">
        <f>IF(H31&lt;=Summary!$N$84,MIN(GA31,Summary!$O$75*(H31-G31+1)),0)</f>
        <v>155000</v>
      </c>
      <c r="GD31" s="1371">
        <f>IF(Summary!$O$75*(H31-G31+1)*0.8&gt;GC31,1,0)</f>
        <v>0</v>
      </c>
      <c r="GE31" s="1372">
        <v>0</v>
      </c>
      <c r="GF31" s="1370">
        <f t="shared" si="8"/>
        <v>79799.683022659621</v>
      </c>
      <c r="GG31" s="1371">
        <f>GF31*(IF(Summary!$O$74=1,VLOOKUP($C31,GasTable,16)+Summary!$O$92+Summary!$O$93,VLOOKUP($C31,GasTable,19)+Summary!$O$92+Summary!$O$93))</f>
        <v>235450.34508021074</v>
      </c>
      <c r="GH31" s="1373">
        <v>23386.400000000001</v>
      </c>
      <c r="GI31" s="1466">
        <v>0</v>
      </c>
      <c r="GJ31" s="1374">
        <f t="shared" si="44"/>
        <v>630836.74508021073</v>
      </c>
      <c r="GK31" s="189">
        <f t="shared" si="9"/>
        <v>30062.012850000006</v>
      </c>
      <c r="GL31" s="266">
        <v>0.75586734180799997</v>
      </c>
      <c r="GM31" s="255">
        <f t="shared" si="10"/>
        <v>15220.999999999998</v>
      </c>
      <c r="GN31" s="189">
        <f>IF(SUM(GU31:HB31)=0,0,IF(Summary!$O$16="Yes",SUM(GX31:HB31),IF(Summary!$O$17="Yes",SUM(GY31:HB31),SUM(GU31:HB31))))</f>
        <v>12199.037849999999</v>
      </c>
      <c r="GO31" s="203">
        <v>5.7187930656934309</v>
      </c>
      <c r="GP31" s="258">
        <f t="shared" si="45"/>
        <v>69763.773064711699</v>
      </c>
      <c r="GQ31" s="189"/>
      <c r="GR31" s="189"/>
      <c r="GS31" s="189"/>
      <c r="GT31" s="189"/>
      <c r="GU31" s="268">
        <v>5646.1184999999996</v>
      </c>
      <c r="GV31" s="189">
        <v>1283.20875</v>
      </c>
      <c r="GW31" s="189">
        <v>1026.5670000000002</v>
      </c>
      <c r="GX31" s="189"/>
      <c r="GY31" s="254">
        <v>3011.2631999999999</v>
      </c>
      <c r="GZ31" s="189">
        <v>684.37800000000004</v>
      </c>
      <c r="HA31" s="189">
        <v>547.50239999999997</v>
      </c>
      <c r="HB31" s="255"/>
      <c r="HC31" s="189">
        <v>12199.037849999999</v>
      </c>
      <c r="HD31" s="189"/>
      <c r="HE31" s="189">
        <v>20950.521524999996</v>
      </c>
      <c r="HF31" s="189">
        <v>444776.54948860261</v>
      </c>
      <c r="HG31" s="189"/>
      <c r="HH31" s="203">
        <v>35.861646583350961</v>
      </c>
      <c r="HI31" s="189">
        <v>751320.19866643695</v>
      </c>
      <c r="HJ31" s="268">
        <f t="shared" si="11"/>
        <v>0</v>
      </c>
      <c r="HK31" s="189">
        <f t="shared" si="12"/>
        <v>0</v>
      </c>
      <c r="HL31" s="189">
        <f t="shared" si="13"/>
        <v>0</v>
      </c>
      <c r="HM31" s="255">
        <f t="shared" si="14"/>
        <v>0</v>
      </c>
      <c r="HN31" s="189">
        <f t="shared" si="15"/>
        <v>0</v>
      </c>
      <c r="HO31" s="203">
        <f t="shared" si="46"/>
        <v>0</v>
      </c>
      <c r="HP31" s="258">
        <f t="shared" si="16"/>
        <v>0</v>
      </c>
      <c r="HQ31" s="804">
        <v>2013</v>
      </c>
      <c r="HR31" s="268">
        <f t="shared" si="47"/>
        <v>203540.4</v>
      </c>
      <c r="HS31" s="38">
        <f t="shared" si="48"/>
        <v>90.813084716841288</v>
      </c>
      <c r="HT31" s="255">
        <f t="shared" si="17"/>
        <v>18484131.588499762</v>
      </c>
      <c r="HU31" s="254">
        <v>97198.785449999996</v>
      </c>
      <c r="HV31" s="203">
        <v>47.607787428684134</v>
      </c>
      <c r="HW31" s="189">
        <v>4627419.1160298763</v>
      </c>
      <c r="HX31" s="1021">
        <v>0</v>
      </c>
      <c r="HY31" s="258">
        <f t="shared" si="49"/>
        <v>23111550.704529639</v>
      </c>
      <c r="HZ31" s="268">
        <v>2355546.932753976</v>
      </c>
      <c r="IA31" s="203">
        <v>-3.5973461867964267</v>
      </c>
      <c r="IB31" s="255">
        <v>-8473717.7763625346</v>
      </c>
      <c r="IC31" s="254">
        <v>300739.18544999999</v>
      </c>
      <c r="ID31" s="203">
        <f t="shared" si="50"/>
        <v>0</v>
      </c>
      <c r="IE31" s="255">
        <f t="shared" si="18"/>
        <v>0</v>
      </c>
      <c r="IF31" s="189">
        <f t="shared" si="19"/>
        <v>130545.10349999998</v>
      </c>
      <c r="IG31" s="203">
        <f t="shared" si="51"/>
        <v>-2.6018038044354763</v>
      </c>
      <c r="IH31" s="255">
        <v>-339652.74693672295</v>
      </c>
      <c r="II31" s="189">
        <f t="shared" si="20"/>
        <v>0</v>
      </c>
      <c r="IJ31" s="203">
        <f t="shared" si="52"/>
        <v>0</v>
      </c>
      <c r="IK31" s="189">
        <f t="shared" si="21"/>
        <v>0</v>
      </c>
      <c r="IL31" s="1182">
        <f t="shared" si="22"/>
        <v>14298180.181230381</v>
      </c>
      <c r="IN31" s="820"/>
      <c r="IO31" s="1307"/>
      <c r="IR31" s="223"/>
    </row>
    <row r="32" spans="1:252" ht="13.8" thickBot="1">
      <c r="A32" t="str">
        <f t="shared" si="23"/>
        <v>2001Q2</v>
      </c>
      <c r="B32">
        <f t="shared" si="24"/>
        <v>2001</v>
      </c>
      <c r="C32" s="49">
        <f t="shared" si="25"/>
        <v>36982</v>
      </c>
      <c r="D32" s="115">
        <f t="shared" si="26"/>
        <v>2001</v>
      </c>
      <c r="E32" s="10">
        <f t="shared" si="55"/>
        <v>4</v>
      </c>
      <c r="F32" s="248" t="str">
        <f t="shared" si="57"/>
        <v/>
      </c>
      <c r="G32" s="245">
        <v>36982</v>
      </c>
      <c r="H32" s="251">
        <v>37011</v>
      </c>
      <c r="I32" s="959">
        <f t="shared" si="53"/>
        <v>7.1499999999999994E-2</v>
      </c>
      <c r="J32" s="37">
        <f t="shared" si="27"/>
        <v>0.90447496790913429</v>
      </c>
      <c r="K32" s="1036" t="e">
        <f>IF(Summary!#REF!=1,+Summary!#REF!,I32+Summary!#REF!/10000)</f>
        <v>#REF!</v>
      </c>
      <c r="L32" s="37" t="e">
        <f t="shared" si="28"/>
        <v>#REF!</v>
      </c>
      <c r="M32" s="1004">
        <v>0</v>
      </c>
      <c r="N32" s="38">
        <f t="shared" si="58"/>
        <v>0</v>
      </c>
      <c r="O32" s="40">
        <f t="shared" si="58"/>
        <v>0</v>
      </c>
      <c r="P32" s="159">
        <f t="shared" si="60"/>
        <v>0</v>
      </c>
      <c r="Q32" s="38">
        <f t="shared" si="59"/>
        <v>0</v>
      </c>
      <c r="R32" s="40">
        <f t="shared" si="59"/>
        <v>0</v>
      </c>
      <c r="S32" s="38">
        <f t="shared" si="59"/>
        <v>0</v>
      </c>
      <c r="T32" s="38">
        <f t="shared" si="59"/>
        <v>0</v>
      </c>
      <c r="U32" s="38">
        <f t="shared" si="59"/>
        <v>0</v>
      </c>
      <c r="V32" s="159">
        <f t="shared" si="59"/>
        <v>0</v>
      </c>
      <c r="W32" s="38">
        <f t="shared" si="59"/>
        <v>0</v>
      </c>
      <c r="X32" s="39">
        <f t="shared" si="59"/>
        <v>0</v>
      </c>
      <c r="Y32" s="46">
        <v>0</v>
      </c>
      <c r="Z32" s="46">
        <v>0</v>
      </c>
      <c r="AA32" s="47">
        <v>0</v>
      </c>
      <c r="AB32" s="46">
        <v>0</v>
      </c>
      <c r="AC32" s="46">
        <v>0</v>
      </c>
      <c r="AD32" s="47">
        <v>0</v>
      </c>
      <c r="AE32" s="46">
        <v>0</v>
      </c>
      <c r="AF32" s="46">
        <v>0</v>
      </c>
      <c r="AG32" s="47">
        <v>0</v>
      </c>
      <c r="AH32" s="46">
        <v>0</v>
      </c>
      <c r="AI32" s="46">
        <v>0</v>
      </c>
      <c r="AJ32" s="47">
        <v>0</v>
      </c>
      <c r="AK32" s="46">
        <v>0</v>
      </c>
      <c r="AL32" s="46">
        <v>0</v>
      </c>
      <c r="AM32" s="47">
        <v>0</v>
      </c>
      <c r="AN32" s="46">
        <v>0</v>
      </c>
      <c r="AO32" s="46">
        <v>0</v>
      </c>
      <c r="AP32" s="47">
        <v>0</v>
      </c>
      <c r="AQ32" s="46">
        <v>0</v>
      </c>
      <c r="AR32" s="46">
        <v>0</v>
      </c>
      <c r="AS32" s="47">
        <v>0</v>
      </c>
      <c r="AT32" s="46">
        <v>0</v>
      </c>
      <c r="AU32" s="46">
        <v>0</v>
      </c>
      <c r="AV32" s="46">
        <v>0</v>
      </c>
      <c r="AW32" s="1545">
        <v>0</v>
      </c>
      <c r="AX32" s="10">
        <f t="shared" si="56"/>
        <v>21</v>
      </c>
      <c r="AY32" s="42">
        <f>IF(AND($E32=MONTH(Summary!$E$24),$D32=YEAR(Summary!$E$24)),Summary!$E$25,1)*IF(G32="",0,INT((H32-MOD(H32,7)-G32)/7)+1-IF(BA32,IF(WEEKDAY(F32)=7,1,0),0))</f>
        <v>4</v>
      </c>
      <c r="AZ32" s="42">
        <f>IF(AND($E32=MONTH(Summary!$E$24),$D32=YEAR(Summary!$E$24)),Summary!$E$25,1)*IF(G32="",0,INT((H32-MOD(H32-1,7)-G32)/7)+1-IF(BA32,IF(WEEKDAY(F32)=1,1,0),0))</f>
        <v>5</v>
      </c>
      <c r="BA32" s="42">
        <v>0</v>
      </c>
      <c r="BB32" s="10">
        <f>IF(AND($E32=MONTH(Summary!$E$24),$D32=YEAR(Summary!$E$24)),Summary!$E$25,1)*IF(G32="",0,H32-G32+1)</f>
        <v>30</v>
      </c>
      <c r="BC32" s="914">
        <f>Summary!$E$19</f>
        <v>1.4999999999999999E-2</v>
      </c>
      <c r="BD32" s="92">
        <v>14893.2</v>
      </c>
      <c r="BE32" s="97">
        <v>2836.8</v>
      </c>
      <c r="BF32" s="97">
        <v>3546</v>
      </c>
      <c r="BG32" s="173"/>
      <c r="BH32" s="1198">
        <v>1</v>
      </c>
      <c r="BI32" s="1198">
        <v>1</v>
      </c>
      <c r="BJ32" s="1198">
        <v>1</v>
      </c>
      <c r="BK32" s="1198">
        <v>1</v>
      </c>
      <c r="BL32" s="94">
        <v>2978.64</v>
      </c>
      <c r="BM32" s="97">
        <v>567.36</v>
      </c>
      <c r="BN32" s="97">
        <v>709.2</v>
      </c>
      <c r="BO32" s="173"/>
      <c r="BP32" s="1198">
        <v>1</v>
      </c>
      <c r="BQ32" s="1199">
        <v>1</v>
      </c>
      <c r="BR32" s="1199">
        <v>1</v>
      </c>
      <c r="BS32" s="1200">
        <v>1</v>
      </c>
      <c r="BT32" s="94">
        <f t="shared" si="29"/>
        <v>21276</v>
      </c>
      <c r="BU32" s="233">
        <f t="shared" si="30"/>
        <v>21276</v>
      </c>
      <c r="BV32" s="92">
        <f t="shared" si="31"/>
        <v>4255.2</v>
      </c>
      <c r="BW32" s="233">
        <f t="shared" si="32"/>
        <v>4255.2</v>
      </c>
      <c r="BX32" s="88">
        <v>1.2950034223134839</v>
      </c>
      <c r="BY32" s="90">
        <v>0</v>
      </c>
      <c r="BZ32" s="88">
        <v>0</v>
      </c>
      <c r="CA32" s="88">
        <v>0</v>
      </c>
      <c r="CB32" s="88">
        <v>0</v>
      </c>
      <c r="CC32" s="88">
        <v>0</v>
      </c>
      <c r="CD32" s="88">
        <v>0</v>
      </c>
      <c r="CE32" s="100">
        <v>0</v>
      </c>
      <c r="CF32" s="88">
        <v>0</v>
      </c>
      <c r="CG32" s="88">
        <v>0</v>
      </c>
      <c r="CH32" s="88">
        <v>0</v>
      </c>
      <c r="CI32" s="88">
        <v>0</v>
      </c>
      <c r="CJ32" s="228">
        <v>0</v>
      </c>
      <c r="CK32" s="88">
        <v>0</v>
      </c>
      <c r="CL32" s="88">
        <v>0</v>
      </c>
      <c r="CM32" s="88">
        <v>0</v>
      </c>
      <c r="CN32" s="88">
        <v>0</v>
      </c>
      <c r="CO32" s="88">
        <v>0</v>
      </c>
      <c r="CP32" s="88">
        <v>0</v>
      </c>
      <c r="CQ32" s="229">
        <v>0</v>
      </c>
      <c r="CR32" s="91">
        <v>0</v>
      </c>
      <c r="CS32" s="91">
        <v>0</v>
      </c>
      <c r="CT32" s="91">
        <v>0</v>
      </c>
      <c r="CU32" s="91">
        <v>0</v>
      </c>
      <c r="CV32" s="91">
        <v>0</v>
      </c>
      <c r="CW32" s="91">
        <v>0</v>
      </c>
      <c r="CX32" s="225">
        <v>0</v>
      </c>
      <c r="CY32" s="1265">
        <v>7699.1777600000005</v>
      </c>
      <c r="CZ32" s="90">
        <v>0</v>
      </c>
      <c r="DA32" s="88">
        <v>0</v>
      </c>
      <c r="DB32" s="88">
        <v>0</v>
      </c>
      <c r="DC32" s="88">
        <v>0</v>
      </c>
      <c r="DD32" s="88">
        <v>0</v>
      </c>
      <c r="DE32" s="152">
        <v>0</v>
      </c>
      <c r="DF32" s="230">
        <v>0</v>
      </c>
      <c r="DG32" s="38">
        <v>0</v>
      </c>
      <c r="DH32" s="1237">
        <v>0</v>
      </c>
      <c r="DI32" s="956">
        <v>0</v>
      </c>
      <c r="DJ32" s="956">
        <v>0</v>
      </c>
      <c r="DK32" s="956">
        <v>0</v>
      </c>
      <c r="DL32" s="152">
        <v>0</v>
      </c>
      <c r="DM32" s="160">
        <v>0</v>
      </c>
      <c r="DN32" s="160">
        <v>0</v>
      </c>
      <c r="DO32" s="160">
        <v>0</v>
      </c>
      <c r="DP32" s="160">
        <v>0</v>
      </c>
      <c r="DQ32" s="160">
        <v>0</v>
      </c>
      <c r="DR32" s="230">
        <v>0</v>
      </c>
      <c r="DS32" s="88">
        <v>0</v>
      </c>
      <c r="DT32" s="88">
        <v>0</v>
      </c>
      <c r="DU32" s="88">
        <v>0</v>
      </c>
      <c r="DV32" s="88">
        <v>0</v>
      </c>
      <c r="DW32" s="88">
        <v>0</v>
      </c>
      <c r="DX32" s="88">
        <v>0</v>
      </c>
      <c r="DY32" s="88">
        <v>0</v>
      </c>
      <c r="DZ32" s="88">
        <v>0</v>
      </c>
      <c r="EA32" s="88">
        <v>0</v>
      </c>
      <c r="EB32" s="152">
        <v>0</v>
      </c>
      <c r="EC32" s="52">
        <f t="shared" si="33"/>
        <v>0</v>
      </c>
      <c r="ED32" s="52">
        <f t="shared" si="33"/>
        <v>0</v>
      </c>
      <c r="EE32" s="52">
        <f t="shared" si="33"/>
        <v>0</v>
      </c>
      <c r="EF32" s="52">
        <f t="shared" si="33"/>
        <v>0</v>
      </c>
      <c r="EG32" s="52">
        <f t="shared" si="34"/>
        <v>0</v>
      </c>
      <c r="EH32" s="238">
        <v>0</v>
      </c>
      <c r="EI32" s="211">
        <v>0</v>
      </c>
      <c r="EJ32" s="211">
        <v>0</v>
      </c>
      <c r="EK32" s="211">
        <v>0</v>
      </c>
      <c r="EL32" s="217">
        <f>IF(C32&gt;=Summary!$E$26,MAX(0,SUM(EH32:EK32)),0)</f>
        <v>0</v>
      </c>
      <c r="EM32" s="52">
        <f>IF(C32&gt;=Summary!$E$26,DX32*BL32,0)</f>
        <v>0</v>
      </c>
      <c r="EN32" s="52">
        <f>IF(C32&gt;=Summary!$E$26,DY32*BM32,0)</f>
        <v>0</v>
      </c>
      <c r="EO32" s="52">
        <f>IF(C32&gt;=Summary!$E$26,DZ32*BN32,0)</f>
        <v>0</v>
      </c>
      <c r="EP32" s="52">
        <f>IF(C32&gt;=Summary!$E$26,EA32*BO32,0)</f>
        <v>0</v>
      </c>
      <c r="EQ32" s="52">
        <f>IF(C32&gt;=Summary!$E$26,DX32*BL32+DY32*BM32+DZ32*BN32+EA32*BO32,0)</f>
        <v>0</v>
      </c>
      <c r="ER32" s="826">
        <v>0</v>
      </c>
      <c r="ES32" s="278">
        <v>0</v>
      </c>
      <c r="ET32" s="278">
        <v>0</v>
      </c>
      <c r="EU32" s="278">
        <v>0</v>
      </c>
      <c r="EV32" s="212">
        <f>IF(C32&gt;=Summary!$E$26,MAX(0,SUM(ER32:EU32)),0)</f>
        <v>0</v>
      </c>
      <c r="EW32" s="52"/>
      <c r="EX32" s="1049">
        <f t="shared" si="35"/>
        <v>0</v>
      </c>
      <c r="EY32" s="1045" t="str">
        <f t="shared" si="36"/>
        <v/>
      </c>
      <c r="EZ32" s="1684" t="s">
        <v>525</v>
      </c>
      <c r="FA32" s="1046">
        <f t="shared" si="54"/>
        <v>45</v>
      </c>
      <c r="FB32" s="256">
        <f t="shared" si="37"/>
        <v>9308.25</v>
      </c>
      <c r="FC32" s="194">
        <f t="shared" si="38"/>
        <v>2792.4749999999999</v>
      </c>
      <c r="FD32" s="194">
        <f t="shared" si="39"/>
        <v>1773</v>
      </c>
      <c r="FE32" s="194">
        <f t="shared" si="40"/>
        <v>531.9</v>
      </c>
      <c r="FF32" s="194">
        <f t="shared" si="41"/>
        <v>2216.25</v>
      </c>
      <c r="FG32" s="194">
        <f t="shared" si="42"/>
        <v>664.875</v>
      </c>
      <c r="FH32" s="257">
        <f>IF(EZ32="No",IF((OR(MONTH(C32)=5,MONTH(C32)=6,MONTH(C32)=7,MONTH(C32)=8,MONTH(C32)=9)),Summary!$O$15*12*(AX32+AY32+AZ32+BA32)*(1-$BC32),Summary!$O$15*13*(AX32+AY32+AZ32+BA32)*(1-$BC32)+IF(Summary!$O$16="Yes",(CALC!FA32+Summary!$O$15)*6*(AX32+AY32+AZ32+BA32)*(1-$BC32),0)),0)</f>
        <v>0</v>
      </c>
      <c r="FI32" s="1412">
        <f>IF(MONTH(C32)=5,FI31*(IF(Summary!$E$70="no",(1+(Summary!$E$71*0.8)),1+HLOOKUP(YEAR(C32)-1,CCFMODEL!$I$127:$AF$128,2)*0.8)),+FI31)</f>
        <v>27.241036496350365</v>
      </c>
      <c r="FJ32" s="1411">
        <f>IF(MONTH(C32)=5,FJ31*(IF(Summary!$E$70="no",(1+(Summary!$E$71*0.8)),1+HLOOKUP(YEAR(CALC!C32)-1,CCFMODEL!$I$127:$AF$128,2)*0.8)),FJ31)</f>
        <v>23.809094890510945</v>
      </c>
      <c r="FK32" s="832">
        <f t="shared" si="1"/>
        <v>470908.98765328468</v>
      </c>
      <c r="FL32" s="1412">
        <f>IF(MONTH(C32)=5,FL31*(IF(Summary!$E$70="no",(1+(Summary!$E$71*0.8)),1+HLOOKUP(YEAR(CALC!C32)-1,CCFMODEL!$I$127:$AF$128,2)*0.8)),+FL31)</f>
        <v>57.290953771289537</v>
      </c>
      <c r="FM32" s="1411">
        <f>IF(MONTH(C32)=5,FM31*(IF(Summary!$E$70="no",(1+(Summary!$E$71*0.8)),1+HLOOKUP(YEAR(CALC!C32)-1,CCFMODEL!$I$127:$AF$128,2)*0.8)),+FM31)</f>
        <v>27.343177615571772</v>
      </c>
      <c r="FN32" s="832">
        <f t="shared" si="2"/>
        <v>479872.76715328457</v>
      </c>
      <c r="FO32" s="194">
        <f t="shared" si="43"/>
        <v>950781.75480656931</v>
      </c>
      <c r="FP32" s="263">
        <f t="shared" si="3"/>
        <v>9308.25</v>
      </c>
      <c r="FQ32" s="194">
        <f t="shared" si="3"/>
        <v>2792.4749999999999</v>
      </c>
      <c r="FR32" s="194">
        <f t="shared" si="3"/>
        <v>1773</v>
      </c>
      <c r="FS32" s="194">
        <f t="shared" si="3"/>
        <v>531.9</v>
      </c>
      <c r="FT32" s="194">
        <f t="shared" si="3"/>
        <v>2216.25</v>
      </c>
      <c r="FU32" s="194">
        <f t="shared" si="3"/>
        <v>664.875</v>
      </c>
      <c r="FV32" s="257">
        <f t="shared" si="3"/>
        <v>0</v>
      </c>
      <c r="FW32" s="189">
        <f t="shared" si="4"/>
        <v>0</v>
      </c>
      <c r="FX32" s="189">
        <f t="shared" si="5"/>
        <v>0</v>
      </c>
      <c r="FY32" s="189">
        <f t="shared" si="6"/>
        <v>0</v>
      </c>
      <c r="FZ32" s="258">
        <f t="shared" si="7"/>
        <v>0</v>
      </c>
      <c r="GA32" s="1293">
        <f>(SUM(FP32:FV32)+SUM(GU32:HB32)/(1-Summary!$O$25))*CY32/1000</f>
        <v>227283.19210519199</v>
      </c>
      <c r="GB32" s="1369">
        <f>IF($C32&lt;Summary!$M$81,+Summary!$O$81,VLOOKUP(C32,GasTable,19))</f>
        <v>2.4</v>
      </c>
      <c r="GC32" s="1370">
        <f>IF(H32&lt;=Summary!$N$84,MIN(GA32,Summary!$O$75*(H32-G32+1)),0)</f>
        <v>150000</v>
      </c>
      <c r="GD32" s="1371">
        <f>IF(Summary!$O$75*(H32-G32+1)*0.8&gt;GC32,1,0)</f>
        <v>0</v>
      </c>
      <c r="GE32" s="1372">
        <v>0</v>
      </c>
      <c r="GF32" s="1370">
        <f t="shared" si="8"/>
        <v>77283.192105191993</v>
      </c>
      <c r="GG32" s="1371">
        <f>GF32*(IF(Summary!$O$74=1,VLOOKUP($C32,GasTable,16)+Summary!$O$92+Summary!$O$93,VLOOKUP($C32,GasTable,19)+Summary!$O$92+Summary!$O$93))</f>
        <v>218581.25050296204</v>
      </c>
      <c r="GH32" s="1373">
        <v>21552</v>
      </c>
      <c r="GI32" s="1466">
        <v>0</v>
      </c>
      <c r="GJ32" s="1374">
        <f t="shared" si="44"/>
        <v>600133.25050296204</v>
      </c>
      <c r="GK32" s="189">
        <f t="shared" si="9"/>
        <v>29092.270500000002</v>
      </c>
      <c r="GL32" s="266">
        <v>0.75605925603200008</v>
      </c>
      <c r="GM32" s="255">
        <f t="shared" si="10"/>
        <v>14730</v>
      </c>
      <c r="GN32" s="189">
        <f>IF(SUM(GU32:HB32)=0,0,IF(Summary!$O$16="Yes",SUM(GX32:HB32),IF(Summary!$O$17="Yes",SUM(GY32:HB32),SUM(GU32:HB32))))</f>
        <v>11805.520500000001</v>
      </c>
      <c r="GO32" s="203">
        <v>5.7187930656934309</v>
      </c>
      <c r="GP32" s="258">
        <f t="shared" si="45"/>
        <v>67513.328772301655</v>
      </c>
      <c r="GQ32" s="189"/>
      <c r="GR32" s="189"/>
      <c r="GS32" s="189"/>
      <c r="GT32" s="189"/>
      <c r="GU32" s="268">
        <v>5389.4767500000007</v>
      </c>
      <c r="GV32" s="189">
        <v>1026.5670000000002</v>
      </c>
      <c r="GW32" s="189">
        <v>1283.20875</v>
      </c>
      <c r="GX32" s="189"/>
      <c r="GY32" s="254">
        <v>2874.3875999999996</v>
      </c>
      <c r="GZ32" s="189">
        <v>547.50239999999997</v>
      </c>
      <c r="HA32" s="189">
        <v>684.37800000000004</v>
      </c>
      <c r="HB32" s="255"/>
      <c r="HC32" s="189">
        <v>11805.520500000001</v>
      </c>
      <c r="HD32" s="189"/>
      <c r="HE32" s="189">
        <v>20274.698250000001</v>
      </c>
      <c r="HF32" s="189">
        <v>414012.68553690775</v>
      </c>
      <c r="HG32" s="189"/>
      <c r="HH32" s="203">
        <v>34.435722976319681</v>
      </c>
      <c r="HI32" s="189">
        <v>698173.89236547344</v>
      </c>
      <c r="HJ32" s="268">
        <f t="shared" si="11"/>
        <v>0</v>
      </c>
      <c r="HK32" s="189">
        <f t="shared" si="12"/>
        <v>0</v>
      </c>
      <c r="HL32" s="189">
        <f t="shared" si="13"/>
        <v>0</v>
      </c>
      <c r="HM32" s="255">
        <f t="shared" si="14"/>
        <v>0</v>
      </c>
      <c r="HN32" s="189">
        <f t="shared" si="15"/>
        <v>0</v>
      </c>
      <c r="HO32" s="203">
        <f t="shared" si="46"/>
        <v>0</v>
      </c>
      <c r="HP32" s="258">
        <f t="shared" si="16"/>
        <v>0</v>
      </c>
      <c r="HQ32" s="804">
        <v>2014</v>
      </c>
      <c r="HR32" s="268">
        <f t="shared" si="47"/>
        <v>203540.39999999997</v>
      </c>
      <c r="HS32" s="38">
        <f t="shared" si="48"/>
        <v>92.992598750045502</v>
      </c>
      <c r="HT32" s="255">
        <f t="shared" si="17"/>
        <v>18927750.746623758</v>
      </c>
      <c r="HU32" s="254">
        <v>97506.755550000002</v>
      </c>
      <c r="HV32" s="203">
        <v>48.257896671697502</v>
      </c>
      <c r="HW32" s="189">
        <v>4705470.9341243673</v>
      </c>
      <c r="HX32" s="1021">
        <v>0</v>
      </c>
      <c r="HY32" s="258">
        <f t="shared" si="49"/>
        <v>23633221.680748127</v>
      </c>
      <c r="HZ32" s="268">
        <v>2362781.6535264766</v>
      </c>
      <c r="IA32" s="203">
        <v>-3.6689179579821052</v>
      </c>
      <c r="IB32" s="255">
        <v>-8668852.039413942</v>
      </c>
      <c r="IC32" s="254">
        <v>301047.15555000002</v>
      </c>
      <c r="ID32" s="203">
        <f t="shared" si="50"/>
        <v>0</v>
      </c>
      <c r="IE32" s="255">
        <f t="shared" si="18"/>
        <v>0</v>
      </c>
      <c r="IF32" s="189">
        <f t="shared" si="19"/>
        <v>130545.10349999998</v>
      </c>
      <c r="IG32" s="203">
        <f t="shared" si="51"/>
        <v>-2.688348931160379</v>
      </c>
      <c r="IH32" s="255">
        <v>-350950.789462446</v>
      </c>
      <c r="II32" s="189">
        <f t="shared" si="20"/>
        <v>0</v>
      </c>
      <c r="IJ32" s="203">
        <f t="shared" si="52"/>
        <v>0</v>
      </c>
      <c r="IK32" s="189">
        <f t="shared" si="21"/>
        <v>0</v>
      </c>
      <c r="IL32" s="1182">
        <f t="shared" si="22"/>
        <v>14613418.85187174</v>
      </c>
      <c r="IN32" s="820"/>
      <c r="IO32" s="1307"/>
      <c r="IR32" s="223"/>
    </row>
    <row r="33" spans="1:252" ht="13.8" thickBot="1">
      <c r="A33" t="str">
        <f t="shared" si="23"/>
        <v>2001Q2</v>
      </c>
      <c r="B33">
        <f t="shared" si="24"/>
        <v>2001</v>
      </c>
      <c r="C33" s="49">
        <f t="shared" si="25"/>
        <v>37012</v>
      </c>
      <c r="D33" s="115">
        <f t="shared" si="26"/>
        <v>2001</v>
      </c>
      <c r="E33" s="10">
        <f t="shared" si="55"/>
        <v>5</v>
      </c>
      <c r="F33" s="248">
        <f t="shared" si="57"/>
        <v>37039</v>
      </c>
      <c r="G33" s="245">
        <v>37012</v>
      </c>
      <c r="H33" s="251">
        <v>37042</v>
      </c>
      <c r="I33" s="959">
        <f t="shared" si="53"/>
        <v>7.1499999999999994E-2</v>
      </c>
      <c r="J33" s="37">
        <f t="shared" si="27"/>
        <v>0.89909809006032659</v>
      </c>
      <c r="K33" s="1036" t="e">
        <f>IF(Summary!#REF!=1,+Summary!#REF!,I33+Summary!#REF!/10000)</f>
        <v>#REF!</v>
      </c>
      <c r="L33" s="37" t="e">
        <f t="shared" si="28"/>
        <v>#REF!</v>
      </c>
      <c r="M33" s="1004">
        <v>0</v>
      </c>
      <c r="N33" s="38">
        <f t="shared" si="58"/>
        <v>0</v>
      </c>
      <c r="O33" s="40">
        <f t="shared" si="58"/>
        <v>0</v>
      </c>
      <c r="P33" s="159">
        <f t="shared" si="60"/>
        <v>0</v>
      </c>
      <c r="Q33" s="38">
        <f t="shared" si="59"/>
        <v>0</v>
      </c>
      <c r="R33" s="40">
        <f t="shared" si="59"/>
        <v>0</v>
      </c>
      <c r="S33" s="38">
        <f t="shared" si="59"/>
        <v>0</v>
      </c>
      <c r="T33" s="38">
        <f t="shared" si="59"/>
        <v>0</v>
      </c>
      <c r="U33" s="38">
        <f t="shared" si="59"/>
        <v>0</v>
      </c>
      <c r="V33" s="159">
        <f t="shared" si="59"/>
        <v>0</v>
      </c>
      <c r="W33" s="38">
        <f t="shared" si="59"/>
        <v>0</v>
      </c>
      <c r="X33" s="39">
        <f t="shared" si="59"/>
        <v>0</v>
      </c>
      <c r="Y33" s="46">
        <v>0</v>
      </c>
      <c r="Z33" s="46">
        <v>0</v>
      </c>
      <c r="AA33" s="47">
        <v>0</v>
      </c>
      <c r="AB33" s="46">
        <v>0</v>
      </c>
      <c r="AC33" s="46">
        <v>0</v>
      </c>
      <c r="AD33" s="47">
        <v>0</v>
      </c>
      <c r="AE33" s="46">
        <v>0</v>
      </c>
      <c r="AF33" s="46">
        <v>0</v>
      </c>
      <c r="AG33" s="47">
        <v>0</v>
      </c>
      <c r="AH33" s="46">
        <v>0</v>
      </c>
      <c r="AI33" s="46">
        <v>0</v>
      </c>
      <c r="AJ33" s="47">
        <v>0</v>
      </c>
      <c r="AK33" s="46">
        <v>0</v>
      </c>
      <c r="AL33" s="46">
        <v>0</v>
      </c>
      <c r="AM33" s="47">
        <v>0</v>
      </c>
      <c r="AN33" s="46">
        <v>0</v>
      </c>
      <c r="AO33" s="46">
        <v>0</v>
      </c>
      <c r="AP33" s="47">
        <v>0</v>
      </c>
      <c r="AQ33" s="46">
        <v>0</v>
      </c>
      <c r="AR33" s="46">
        <v>0</v>
      </c>
      <c r="AS33" s="47">
        <v>0</v>
      </c>
      <c r="AT33" s="46">
        <v>0</v>
      </c>
      <c r="AU33" s="46">
        <v>0</v>
      </c>
      <c r="AV33" s="46">
        <v>0</v>
      </c>
      <c r="AW33" s="1545">
        <v>0</v>
      </c>
      <c r="AX33" s="10">
        <f t="shared" si="56"/>
        <v>22</v>
      </c>
      <c r="AY33" s="42">
        <f>IF(AND($E33=MONTH(Summary!$E$24),$D33=YEAR(Summary!$E$24)),Summary!$E$25,1)*IF(G33="",0,INT((H33-MOD(H33,7)-G33)/7)+1-IF(BA33,IF(WEEKDAY(F33)=7,1,0),0))</f>
        <v>4</v>
      </c>
      <c r="AZ33" s="42">
        <f>IF(AND($E33=MONTH(Summary!$E$24),$D33=YEAR(Summary!$E$24)),Summary!$E$25,1)*IF(G33="",0,INT((H33-MOD(H33-1,7)-G33)/7)+1-IF(BA33,IF(WEEKDAY(F33)=1,1,0),0))</f>
        <v>4</v>
      </c>
      <c r="BA33" s="42">
        <v>1</v>
      </c>
      <c r="BB33" s="10">
        <f>IF(AND($E33=MONTH(Summary!$E$24),$D33=YEAR(Summary!$E$24)),Summary!$E$25,1)*IF(G33="",0,H33-G33+1)</f>
        <v>31</v>
      </c>
      <c r="BC33" s="914">
        <f>Summary!$E$19</f>
        <v>1.4999999999999999E-2</v>
      </c>
      <c r="BD33" s="92">
        <v>15602.4</v>
      </c>
      <c r="BE33" s="97">
        <v>2836.8</v>
      </c>
      <c r="BF33" s="97">
        <v>3546</v>
      </c>
      <c r="BG33" s="173"/>
      <c r="BH33" s="1198">
        <v>1</v>
      </c>
      <c r="BI33" s="1198">
        <v>1</v>
      </c>
      <c r="BJ33" s="1198">
        <v>1</v>
      </c>
      <c r="BK33" s="1198">
        <v>1</v>
      </c>
      <c r="BL33" s="94">
        <v>3120.48</v>
      </c>
      <c r="BM33" s="97">
        <v>567.36</v>
      </c>
      <c r="BN33" s="97">
        <v>709.2</v>
      </c>
      <c r="BO33" s="173"/>
      <c r="BP33" s="1198">
        <v>1</v>
      </c>
      <c r="BQ33" s="1199">
        <v>1</v>
      </c>
      <c r="BR33" s="1199">
        <v>1</v>
      </c>
      <c r="BS33" s="1200">
        <v>1</v>
      </c>
      <c r="BT33" s="94">
        <f t="shared" si="29"/>
        <v>21985.200000000001</v>
      </c>
      <c r="BU33" s="233">
        <f t="shared" si="30"/>
        <v>21985.200000000001</v>
      </c>
      <c r="BV33" s="92">
        <f t="shared" si="31"/>
        <v>4397.04</v>
      </c>
      <c r="BW33" s="233">
        <f t="shared" si="32"/>
        <v>4397.04</v>
      </c>
      <c r="BX33" s="88">
        <v>1.377138945927447</v>
      </c>
      <c r="BY33" s="90">
        <v>0</v>
      </c>
      <c r="BZ33" s="88">
        <v>0</v>
      </c>
      <c r="CA33" s="88">
        <v>0</v>
      </c>
      <c r="CB33" s="88">
        <v>0</v>
      </c>
      <c r="CC33" s="88">
        <v>0</v>
      </c>
      <c r="CD33" s="88">
        <v>0</v>
      </c>
      <c r="CE33" s="100">
        <v>0</v>
      </c>
      <c r="CF33" s="88">
        <v>0</v>
      </c>
      <c r="CG33" s="88">
        <v>0</v>
      </c>
      <c r="CH33" s="88">
        <v>0</v>
      </c>
      <c r="CI33" s="88">
        <v>0</v>
      </c>
      <c r="CJ33" s="228">
        <v>0</v>
      </c>
      <c r="CK33" s="88">
        <v>0</v>
      </c>
      <c r="CL33" s="88">
        <v>0</v>
      </c>
      <c r="CM33" s="88">
        <v>0</v>
      </c>
      <c r="CN33" s="88">
        <v>0</v>
      </c>
      <c r="CO33" s="88">
        <v>0</v>
      </c>
      <c r="CP33" s="88">
        <v>0</v>
      </c>
      <c r="CQ33" s="229">
        <v>0</v>
      </c>
      <c r="CR33" s="91">
        <v>0</v>
      </c>
      <c r="CS33" s="91">
        <v>0</v>
      </c>
      <c r="CT33" s="91">
        <v>0</v>
      </c>
      <c r="CU33" s="91">
        <v>0</v>
      </c>
      <c r="CV33" s="91">
        <v>0</v>
      </c>
      <c r="CW33" s="91">
        <v>0</v>
      </c>
      <c r="CX33" s="225">
        <v>0</v>
      </c>
      <c r="CY33" s="1265">
        <v>7701.1320800000003</v>
      </c>
      <c r="CZ33" s="90">
        <v>0</v>
      </c>
      <c r="DA33" s="88">
        <v>0</v>
      </c>
      <c r="DB33" s="88">
        <v>0</v>
      </c>
      <c r="DC33" s="88">
        <v>0</v>
      </c>
      <c r="DD33" s="88">
        <v>0</v>
      </c>
      <c r="DE33" s="152">
        <v>0</v>
      </c>
      <c r="DF33" s="230">
        <v>0</v>
      </c>
      <c r="DG33" s="38">
        <v>0</v>
      </c>
      <c r="DH33" s="1237">
        <v>0</v>
      </c>
      <c r="DI33" s="956">
        <v>0</v>
      </c>
      <c r="DJ33" s="956">
        <v>0</v>
      </c>
      <c r="DK33" s="956">
        <v>0</v>
      </c>
      <c r="DL33" s="152">
        <v>0</v>
      </c>
      <c r="DM33" s="160">
        <v>0</v>
      </c>
      <c r="DN33" s="160">
        <v>0</v>
      </c>
      <c r="DO33" s="160">
        <v>0</v>
      </c>
      <c r="DP33" s="160">
        <v>0</v>
      </c>
      <c r="DQ33" s="160">
        <v>0</v>
      </c>
      <c r="DR33" s="230">
        <v>0</v>
      </c>
      <c r="DS33" s="88">
        <v>0</v>
      </c>
      <c r="DT33" s="88">
        <v>0</v>
      </c>
      <c r="DU33" s="88">
        <v>0</v>
      </c>
      <c r="DV33" s="88">
        <v>0</v>
      </c>
      <c r="DW33" s="88">
        <v>0</v>
      </c>
      <c r="DX33" s="88">
        <v>0</v>
      </c>
      <c r="DY33" s="88">
        <v>0</v>
      </c>
      <c r="DZ33" s="88">
        <v>0</v>
      </c>
      <c r="EA33" s="88">
        <v>0</v>
      </c>
      <c r="EB33" s="152">
        <v>0</v>
      </c>
      <c r="EC33" s="52">
        <f t="shared" si="33"/>
        <v>0</v>
      </c>
      <c r="ED33" s="52">
        <f t="shared" si="33"/>
        <v>0</v>
      </c>
      <c r="EE33" s="52">
        <f t="shared" si="33"/>
        <v>0</v>
      </c>
      <c r="EF33" s="52">
        <f t="shared" si="33"/>
        <v>0</v>
      </c>
      <c r="EG33" s="52">
        <f t="shared" si="34"/>
        <v>0</v>
      </c>
      <c r="EH33" s="238">
        <v>0</v>
      </c>
      <c r="EI33" s="211">
        <v>0</v>
      </c>
      <c r="EJ33" s="211">
        <v>0</v>
      </c>
      <c r="EK33" s="211">
        <v>0</v>
      </c>
      <c r="EL33" s="217">
        <f>IF(C33&gt;=Summary!$E$26,MAX(0,SUM(EH33:EK33)),0)</f>
        <v>0</v>
      </c>
      <c r="EM33" s="52">
        <f>IF(C33&gt;=Summary!$E$26,DX33*BL33,0)</f>
        <v>0</v>
      </c>
      <c r="EN33" s="52">
        <f>IF(C33&gt;=Summary!$E$26,DY33*BM33,0)</f>
        <v>0</v>
      </c>
      <c r="EO33" s="52">
        <f>IF(C33&gt;=Summary!$E$26,DZ33*BN33,0)</f>
        <v>0</v>
      </c>
      <c r="EP33" s="52">
        <f>IF(C33&gt;=Summary!$E$26,EA33*BO33,0)</f>
        <v>0</v>
      </c>
      <c r="EQ33" s="52">
        <f>IF(C33&gt;=Summary!$E$26,DX33*BL33+DY33*BM33+DZ33*BN33+EA33*BO33,0)</f>
        <v>0</v>
      </c>
      <c r="ER33" s="826">
        <v>0</v>
      </c>
      <c r="ES33" s="278">
        <v>0</v>
      </c>
      <c r="ET33" s="278">
        <v>0</v>
      </c>
      <c r="EU33" s="278">
        <v>0</v>
      </c>
      <c r="EV33" s="212">
        <f>IF(C33&gt;=Summary!$E$26,MAX(0,SUM(ER33:EU33)),0)</f>
        <v>0</v>
      </c>
      <c r="EW33" s="52"/>
      <c r="EX33" s="1049">
        <f t="shared" si="35"/>
        <v>0</v>
      </c>
      <c r="EY33" s="1045" t="str">
        <f t="shared" si="36"/>
        <v/>
      </c>
      <c r="EZ33" s="1684" t="s">
        <v>525</v>
      </c>
      <c r="FA33" s="1046">
        <f t="shared" si="54"/>
        <v>45</v>
      </c>
      <c r="FB33" s="256">
        <f t="shared" si="37"/>
        <v>11701.8</v>
      </c>
      <c r="FC33" s="194">
        <f t="shared" si="38"/>
        <v>0</v>
      </c>
      <c r="FD33" s="194">
        <f t="shared" si="39"/>
        <v>2127.6</v>
      </c>
      <c r="FE33" s="194">
        <f t="shared" si="40"/>
        <v>0</v>
      </c>
      <c r="FF33" s="194">
        <f t="shared" si="41"/>
        <v>2659.5</v>
      </c>
      <c r="FG33" s="194">
        <f t="shared" si="42"/>
        <v>0</v>
      </c>
      <c r="FH33" s="257">
        <f>IF(EZ33="No",IF((OR(MONTH(C33)=5,MONTH(C33)=6,MONTH(C33)=7,MONTH(C33)=8,MONTH(C33)=9)),Summary!$O$15*12*(AX33+AY33+AZ33+BA33)*(1-$BC33),Summary!$O$15*13*(AX33+AY33+AZ33+BA33)*(1-$BC33)+IF(Summary!$O$16="Yes",(CALC!FA33+Summary!$O$15)*6*(AX33+AY33+AZ33+BA33)*(1-$BC33),0)),0)</f>
        <v>0</v>
      </c>
      <c r="FI33" s="1412">
        <f>IF(MONTH(C33)=5,FI32*(IF(Summary!$E$70="no",(1+(Summary!$E$71*0.8)),1+HLOOKUP(YEAR(C33)-1,CCFMODEL!$I$127:$AF$128,2)*0.8)),+FI32)</f>
        <v>27.894821372262776</v>
      </c>
      <c r="FJ33" s="1411">
        <f>IF(MONTH(C33)=5,FJ32*(IF(Summary!$E$70="no",(1+(Summary!$E$71*0.8)),1+HLOOKUP(YEAR(CALC!C33)-1,CCFMODEL!$I$127:$AF$128,2)*0.8)),FJ32)</f>
        <v>24.380513167883208</v>
      </c>
      <c r="FK33" s="832">
        <f t="shared" si="1"/>
        <v>459954.92012510373</v>
      </c>
      <c r="FL33" s="1412">
        <f>IF(MONTH(C33)=5,FL32*(IF(Summary!$E$70="no",(1+(Summary!$E$71*0.8)),1+HLOOKUP(YEAR(CALC!C33)-1,CCFMODEL!$I$127:$AF$128,2)*0.8)),+FL32)</f>
        <v>58.665936661800487</v>
      </c>
      <c r="FM33" s="1411">
        <f>IF(MONTH(C33)=5,FM32*(IF(Summary!$E$70="no",(1+(Summary!$E$71*0.8)),1+HLOOKUP(YEAR(CALC!C33)-1,CCFMODEL!$I$127:$AF$128,2)*0.8)),+FM32)</f>
        <v>27.999413878345496</v>
      </c>
      <c r="FN33" s="832">
        <f t="shared" si="2"/>
        <v>982067.77971854014</v>
      </c>
      <c r="FO33" s="194">
        <f t="shared" si="43"/>
        <v>1442022.6998436439</v>
      </c>
      <c r="FP33" s="263">
        <f t="shared" ref="FP33:FV69" si="61">FB33</f>
        <v>11701.8</v>
      </c>
      <c r="FQ33" s="194">
        <f t="shared" si="61"/>
        <v>0</v>
      </c>
      <c r="FR33" s="194">
        <f t="shared" si="61"/>
        <v>2127.6</v>
      </c>
      <c r="FS33" s="194">
        <f t="shared" si="61"/>
        <v>0</v>
      </c>
      <c r="FT33" s="194">
        <f t="shared" si="61"/>
        <v>2659.5</v>
      </c>
      <c r="FU33" s="194">
        <f t="shared" si="61"/>
        <v>0</v>
      </c>
      <c r="FV33" s="257">
        <f t="shared" si="61"/>
        <v>0</v>
      </c>
      <c r="FW33" s="189">
        <f t="shared" si="4"/>
        <v>0</v>
      </c>
      <c r="FX33" s="189">
        <f t="shared" si="5"/>
        <v>0</v>
      </c>
      <c r="FY33" s="189">
        <f t="shared" si="6"/>
        <v>0</v>
      </c>
      <c r="FZ33" s="258">
        <f t="shared" si="7"/>
        <v>0</v>
      </c>
      <c r="GA33" s="1293">
        <f>(SUM(FP33:FV33)+SUM(GU33:HB33)/(1-Summary!$O$25))*CY33/1000</f>
        <v>203173.11480625923</v>
      </c>
      <c r="GB33" s="1369">
        <f>IF($C33&lt;Summary!$M$81,+Summary!$O$81,VLOOKUP(C33,GasTable,19))</f>
        <v>2.4</v>
      </c>
      <c r="GC33" s="1370">
        <f>IF(H33&lt;=Summary!$N$84,MIN(GA33,Summary!$O$75*(H33-G33+1)),0)</f>
        <v>155000</v>
      </c>
      <c r="GD33" s="1371">
        <f>IF(Summary!$O$75*(H33-G33+1)*0.8&gt;GC33,1,0)</f>
        <v>0</v>
      </c>
      <c r="GE33" s="1372">
        <v>0</v>
      </c>
      <c r="GF33" s="1370">
        <f t="shared" si="8"/>
        <v>48173.114806259226</v>
      </c>
      <c r="GG33" s="1371">
        <f>GF33*(IF(Summary!$O$74=1,VLOOKUP($C33,GasTable,16)+Summary!$O$92+Summary!$O$93,VLOOKUP($C33,GasTable,19)+Summary!$O$92+Summary!$O$93))</f>
        <v>134259.06795129032</v>
      </c>
      <c r="GH33" s="1373">
        <v>21879.8</v>
      </c>
      <c r="GI33" s="1466">
        <v>0</v>
      </c>
      <c r="GJ33" s="1374">
        <f t="shared" si="44"/>
        <v>528138.86795129033</v>
      </c>
      <c r="GK33" s="189">
        <f t="shared" si="9"/>
        <v>26035.973100000007</v>
      </c>
      <c r="GL33" s="266">
        <v>0.75625117025600008</v>
      </c>
      <c r="GM33" s="255">
        <f t="shared" si="10"/>
        <v>15221</v>
      </c>
      <c r="GN33" s="189">
        <f>IF(SUM(GU33:HB33)=0,0,IF(Summary!$O$16="Yes",SUM(GX33:HB33),IF(Summary!$O$17="Yes",SUM(GY33:HB33),SUM(GU33:HB33))))</f>
        <v>9547.0730999999996</v>
      </c>
      <c r="GO33" s="203">
        <v>5.7187930656934309</v>
      </c>
      <c r="GP33" s="258">
        <f t="shared" si="45"/>
        <v>54597.735441948287</v>
      </c>
      <c r="GQ33" s="189"/>
      <c r="GR33" s="189"/>
      <c r="GS33" s="189"/>
      <c r="GT33" s="189"/>
      <c r="GU33" s="268">
        <v>3764.0790000000002</v>
      </c>
      <c r="GV33" s="189">
        <v>684.37800000000027</v>
      </c>
      <c r="GW33" s="189">
        <v>855.47249999999997</v>
      </c>
      <c r="GX33" s="189"/>
      <c r="GY33" s="254">
        <v>3011.2631999999999</v>
      </c>
      <c r="GZ33" s="189">
        <v>547.50239999999997</v>
      </c>
      <c r="HA33" s="189">
        <v>684.37800000000004</v>
      </c>
      <c r="HB33" s="255"/>
      <c r="HC33" s="189">
        <v>9547.0730999999996</v>
      </c>
      <c r="HD33" s="189"/>
      <c r="HE33" s="189">
        <v>22276.5039</v>
      </c>
      <c r="HF33" s="189">
        <v>341521.63421031256</v>
      </c>
      <c r="HG33" s="189"/>
      <c r="HH33" s="203">
        <v>36.24439438083656</v>
      </c>
      <c r="HI33" s="189">
        <v>807398.39277784363</v>
      </c>
      <c r="HJ33" s="268">
        <f t="shared" si="11"/>
        <v>0</v>
      </c>
      <c r="HK33" s="189">
        <f t="shared" si="12"/>
        <v>0</v>
      </c>
      <c r="HL33" s="189">
        <f t="shared" si="13"/>
        <v>0</v>
      </c>
      <c r="HM33" s="255">
        <f t="shared" si="14"/>
        <v>0</v>
      </c>
      <c r="HN33" s="189">
        <f t="shared" si="15"/>
        <v>0</v>
      </c>
      <c r="HO33" s="203">
        <f t="shared" si="46"/>
        <v>0</v>
      </c>
      <c r="HP33" s="258">
        <f t="shared" si="16"/>
        <v>0</v>
      </c>
      <c r="HQ33" s="804">
        <v>2015</v>
      </c>
      <c r="HR33" s="268">
        <f t="shared" si="47"/>
        <v>203540.39999999997</v>
      </c>
      <c r="HS33" s="38">
        <f t="shared" si="48"/>
        <v>95.224421120046571</v>
      </c>
      <c r="HT33" s="255">
        <f t="shared" si="17"/>
        <v>19382016.764542725</v>
      </c>
      <c r="HU33" s="254">
        <v>97506.755549999987</v>
      </c>
      <c r="HV33" s="203">
        <v>49.823097344226881</v>
      </c>
      <c r="HW33" s="189">
        <v>4858088.5734873842</v>
      </c>
      <c r="HX33" s="1021">
        <v>0</v>
      </c>
      <c r="HY33" s="258">
        <f t="shared" si="49"/>
        <v>24240105.338030107</v>
      </c>
      <c r="HZ33" s="268">
        <v>2364427.9120852659</v>
      </c>
      <c r="IA33" s="203">
        <v>-3.7315816159329267</v>
      </c>
      <c r="IB33" s="255">
        <v>-8823055.7289360519</v>
      </c>
      <c r="IC33" s="254">
        <v>301047.15555000002</v>
      </c>
      <c r="ID33" s="203">
        <f t="shared" si="50"/>
        <v>0</v>
      </c>
      <c r="IE33" s="255">
        <f t="shared" si="18"/>
        <v>0</v>
      </c>
      <c r="IF33" s="189">
        <f t="shared" si="19"/>
        <v>130545.10349999998</v>
      </c>
      <c r="IG33" s="203">
        <f t="shared" si="51"/>
        <v>-2.7689993990951907</v>
      </c>
      <c r="IH33" s="255">
        <v>-361479.31314631941</v>
      </c>
      <c r="II33" s="189">
        <f t="shared" si="20"/>
        <v>0</v>
      </c>
      <c r="IJ33" s="203">
        <f t="shared" si="52"/>
        <v>0</v>
      </c>
      <c r="IK33" s="189">
        <f t="shared" si="21"/>
        <v>0</v>
      </c>
      <c r="IL33" s="1182">
        <f t="shared" si="22"/>
        <v>15055570.295947736</v>
      </c>
      <c r="IN33" s="820"/>
      <c r="IO33" s="1307"/>
      <c r="IR33" s="223"/>
    </row>
    <row r="34" spans="1:252" ht="13.8" thickBot="1">
      <c r="A34" t="str">
        <f t="shared" si="23"/>
        <v>2001Q2</v>
      </c>
      <c r="B34">
        <f t="shared" si="24"/>
        <v>2001</v>
      </c>
      <c r="C34" s="49">
        <f t="shared" si="25"/>
        <v>37043</v>
      </c>
      <c r="D34" s="115">
        <f t="shared" si="26"/>
        <v>2001</v>
      </c>
      <c r="E34" s="10">
        <f t="shared" si="55"/>
        <v>6</v>
      </c>
      <c r="F34" s="248" t="str">
        <f t="shared" si="57"/>
        <v/>
      </c>
      <c r="G34" s="245">
        <v>37043</v>
      </c>
      <c r="H34" s="251">
        <v>37072</v>
      </c>
      <c r="I34" s="959">
        <f t="shared" si="53"/>
        <v>7.1499999999999994E-2</v>
      </c>
      <c r="J34" s="37">
        <f t="shared" si="27"/>
        <v>0.89392509600478021</v>
      </c>
      <c r="K34" s="1036" t="e">
        <f>IF(Summary!#REF!=1,+Summary!#REF!,I34+Summary!#REF!/10000)</f>
        <v>#REF!</v>
      </c>
      <c r="L34" s="37" t="e">
        <f t="shared" si="28"/>
        <v>#REF!</v>
      </c>
      <c r="M34" s="1004">
        <v>0</v>
      </c>
      <c r="N34" s="38">
        <f t="shared" si="58"/>
        <v>0</v>
      </c>
      <c r="O34" s="40">
        <f t="shared" si="58"/>
        <v>0</v>
      </c>
      <c r="P34" s="159">
        <f t="shared" si="60"/>
        <v>0</v>
      </c>
      <c r="Q34" s="38">
        <f t="shared" si="59"/>
        <v>0</v>
      </c>
      <c r="R34" s="40">
        <f t="shared" si="59"/>
        <v>0</v>
      </c>
      <c r="S34" s="38">
        <f t="shared" si="59"/>
        <v>0</v>
      </c>
      <c r="T34" s="38">
        <f t="shared" si="59"/>
        <v>0</v>
      </c>
      <c r="U34" s="38">
        <f t="shared" si="59"/>
        <v>0</v>
      </c>
      <c r="V34" s="159">
        <f t="shared" si="59"/>
        <v>0</v>
      </c>
      <c r="W34" s="38">
        <f t="shared" si="59"/>
        <v>0</v>
      </c>
      <c r="X34" s="39">
        <f t="shared" si="59"/>
        <v>0</v>
      </c>
      <c r="Y34" s="46">
        <v>0</v>
      </c>
      <c r="Z34" s="46">
        <v>0</v>
      </c>
      <c r="AA34" s="47">
        <v>0</v>
      </c>
      <c r="AB34" s="46">
        <v>0</v>
      </c>
      <c r="AC34" s="46">
        <v>0</v>
      </c>
      <c r="AD34" s="47">
        <v>0</v>
      </c>
      <c r="AE34" s="46">
        <v>0</v>
      </c>
      <c r="AF34" s="46">
        <v>0</v>
      </c>
      <c r="AG34" s="47">
        <v>0</v>
      </c>
      <c r="AH34" s="46">
        <v>0</v>
      </c>
      <c r="AI34" s="46">
        <v>0</v>
      </c>
      <c r="AJ34" s="47">
        <v>0</v>
      </c>
      <c r="AK34" s="46">
        <v>0</v>
      </c>
      <c r="AL34" s="46">
        <v>0</v>
      </c>
      <c r="AM34" s="47">
        <v>0</v>
      </c>
      <c r="AN34" s="46">
        <v>0</v>
      </c>
      <c r="AO34" s="46">
        <v>0</v>
      </c>
      <c r="AP34" s="47">
        <v>0</v>
      </c>
      <c r="AQ34" s="46">
        <v>0</v>
      </c>
      <c r="AR34" s="46">
        <v>0</v>
      </c>
      <c r="AS34" s="47">
        <v>0</v>
      </c>
      <c r="AT34" s="46">
        <v>0</v>
      </c>
      <c r="AU34" s="46">
        <v>0</v>
      </c>
      <c r="AV34" s="46">
        <v>0</v>
      </c>
      <c r="AW34" s="1545">
        <v>0</v>
      </c>
      <c r="AX34" s="10">
        <f t="shared" si="56"/>
        <v>21</v>
      </c>
      <c r="AY34" s="42">
        <f>IF(AND($E34=MONTH(Summary!$E$24),$D34=YEAR(Summary!$E$24)),Summary!$E$25,1)*IF(G34="",0,INT((H34-MOD(H34,7)-G34)/7)+1-IF(BA34,IF(WEEKDAY(F34)=7,1,0),0))</f>
        <v>5</v>
      </c>
      <c r="AZ34" s="42">
        <f>IF(AND($E34=MONTH(Summary!$E$24),$D34=YEAR(Summary!$E$24)),Summary!$E$25,1)*IF(G34="",0,INT((H34-MOD(H34-1,7)-G34)/7)+1-IF(BA34,IF(WEEKDAY(F34)=1,1,0),0))</f>
        <v>4</v>
      </c>
      <c r="BA34" s="42">
        <v>0</v>
      </c>
      <c r="BB34" s="10">
        <f>IF(AND($E34=MONTH(Summary!$E$24),$D34=YEAR(Summary!$E$24)),Summary!$E$25,1)*IF(G34="",0,H34-G34+1)</f>
        <v>30</v>
      </c>
      <c r="BC34" s="914">
        <f>Summary!$E$19</f>
        <v>1.4999999999999999E-2</v>
      </c>
      <c r="BD34" s="92">
        <v>14893.2</v>
      </c>
      <c r="BE34" s="97">
        <v>3546</v>
      </c>
      <c r="BF34" s="97">
        <v>2836.8</v>
      </c>
      <c r="BG34" s="173"/>
      <c r="BH34" s="1198">
        <v>1</v>
      </c>
      <c r="BI34" s="1198">
        <v>1</v>
      </c>
      <c r="BJ34" s="1198">
        <v>1</v>
      </c>
      <c r="BK34" s="1198">
        <v>1</v>
      </c>
      <c r="BL34" s="94">
        <v>2978.64</v>
      </c>
      <c r="BM34" s="97">
        <v>709.2</v>
      </c>
      <c r="BN34" s="97">
        <v>567.36</v>
      </c>
      <c r="BO34" s="173"/>
      <c r="BP34" s="1198">
        <v>1</v>
      </c>
      <c r="BQ34" s="1199">
        <v>1</v>
      </c>
      <c r="BR34" s="1199">
        <v>1</v>
      </c>
      <c r="BS34" s="1200">
        <v>1</v>
      </c>
      <c r="BT34" s="94">
        <f t="shared" si="29"/>
        <v>21276</v>
      </c>
      <c r="BU34" s="233">
        <f t="shared" si="30"/>
        <v>21276</v>
      </c>
      <c r="BV34" s="92">
        <f t="shared" si="31"/>
        <v>4255.2</v>
      </c>
      <c r="BW34" s="233">
        <f t="shared" si="32"/>
        <v>4255.2</v>
      </c>
      <c r="BX34" s="88">
        <v>1.462012320328542</v>
      </c>
      <c r="BY34" s="90">
        <v>0</v>
      </c>
      <c r="BZ34" s="88">
        <v>0</v>
      </c>
      <c r="CA34" s="88">
        <v>0</v>
      </c>
      <c r="CB34" s="88">
        <v>0</v>
      </c>
      <c r="CC34" s="88">
        <v>0</v>
      </c>
      <c r="CD34" s="88">
        <v>0</v>
      </c>
      <c r="CE34" s="100">
        <v>0</v>
      </c>
      <c r="CF34" s="88">
        <v>0</v>
      </c>
      <c r="CG34" s="88">
        <v>0</v>
      </c>
      <c r="CH34" s="88">
        <v>0</v>
      </c>
      <c r="CI34" s="88">
        <v>0</v>
      </c>
      <c r="CJ34" s="228">
        <v>0</v>
      </c>
      <c r="CK34" s="88">
        <v>0</v>
      </c>
      <c r="CL34" s="88">
        <v>0</v>
      </c>
      <c r="CM34" s="88">
        <v>0</v>
      </c>
      <c r="CN34" s="88">
        <v>0</v>
      </c>
      <c r="CO34" s="88">
        <v>0</v>
      </c>
      <c r="CP34" s="88">
        <v>0</v>
      </c>
      <c r="CQ34" s="229">
        <v>0</v>
      </c>
      <c r="CR34" s="91">
        <v>0</v>
      </c>
      <c r="CS34" s="91">
        <v>0</v>
      </c>
      <c r="CT34" s="91">
        <v>0</v>
      </c>
      <c r="CU34" s="91">
        <v>0</v>
      </c>
      <c r="CV34" s="91">
        <v>0</v>
      </c>
      <c r="CW34" s="91">
        <v>0</v>
      </c>
      <c r="CX34" s="225">
        <v>0</v>
      </c>
      <c r="CY34" s="1265">
        <v>7703.086400000001</v>
      </c>
      <c r="CZ34" s="90">
        <v>0</v>
      </c>
      <c r="DA34" s="88">
        <v>0</v>
      </c>
      <c r="DB34" s="88">
        <v>0</v>
      </c>
      <c r="DC34" s="88">
        <v>0</v>
      </c>
      <c r="DD34" s="88">
        <v>0</v>
      </c>
      <c r="DE34" s="152">
        <v>0</v>
      </c>
      <c r="DF34" s="230">
        <v>0</v>
      </c>
      <c r="DG34" s="38">
        <v>0</v>
      </c>
      <c r="DH34" s="1237">
        <v>0</v>
      </c>
      <c r="DI34" s="956">
        <v>0</v>
      </c>
      <c r="DJ34" s="956">
        <v>0</v>
      </c>
      <c r="DK34" s="956">
        <v>0</v>
      </c>
      <c r="DL34" s="152">
        <v>0</v>
      </c>
      <c r="DM34" s="160">
        <v>0</v>
      </c>
      <c r="DN34" s="160">
        <v>0</v>
      </c>
      <c r="DO34" s="160">
        <v>0</v>
      </c>
      <c r="DP34" s="160">
        <v>0</v>
      </c>
      <c r="DQ34" s="160">
        <v>0</v>
      </c>
      <c r="DR34" s="230">
        <v>0</v>
      </c>
      <c r="DS34" s="88">
        <v>0</v>
      </c>
      <c r="DT34" s="88">
        <v>0</v>
      </c>
      <c r="DU34" s="88">
        <v>0</v>
      </c>
      <c r="DV34" s="88">
        <v>0</v>
      </c>
      <c r="DW34" s="88">
        <v>0</v>
      </c>
      <c r="DX34" s="88">
        <v>0</v>
      </c>
      <c r="DY34" s="88">
        <v>0</v>
      </c>
      <c r="DZ34" s="88">
        <v>0</v>
      </c>
      <c r="EA34" s="88">
        <v>0</v>
      </c>
      <c r="EB34" s="152">
        <v>0</v>
      </c>
      <c r="EC34" s="52">
        <f t="shared" si="33"/>
        <v>0</v>
      </c>
      <c r="ED34" s="52">
        <f t="shared" si="33"/>
        <v>0</v>
      </c>
      <c r="EE34" s="52">
        <f t="shared" si="33"/>
        <v>0</v>
      </c>
      <c r="EF34" s="52">
        <f t="shared" si="33"/>
        <v>0</v>
      </c>
      <c r="EG34" s="52">
        <f t="shared" si="34"/>
        <v>0</v>
      </c>
      <c r="EH34" s="238">
        <v>0</v>
      </c>
      <c r="EI34" s="211">
        <v>0</v>
      </c>
      <c r="EJ34" s="211">
        <v>0</v>
      </c>
      <c r="EK34" s="211">
        <v>0</v>
      </c>
      <c r="EL34" s="217">
        <f>IF(C34&gt;=Summary!$E$26,MAX(0,SUM(EH34:EK34)),0)</f>
        <v>0</v>
      </c>
      <c r="EM34" s="52">
        <f>IF(C34&gt;=Summary!$E$26,DX34*BL34,0)</f>
        <v>0</v>
      </c>
      <c r="EN34" s="52">
        <f>IF(C34&gt;=Summary!$E$26,DY34*BM34,0)</f>
        <v>0</v>
      </c>
      <c r="EO34" s="52">
        <f>IF(C34&gt;=Summary!$E$26,DZ34*BN34,0)</f>
        <v>0</v>
      </c>
      <c r="EP34" s="52">
        <f>IF(C34&gt;=Summary!$E$26,EA34*BO34,0)</f>
        <v>0</v>
      </c>
      <c r="EQ34" s="52">
        <f>IF(C34&gt;=Summary!$E$26,DX34*BL34+DY34*BM34+DZ34*BN34+EA34*BO34,0)</f>
        <v>0</v>
      </c>
      <c r="ER34" s="826">
        <v>0</v>
      </c>
      <c r="ES34" s="278">
        <v>0</v>
      </c>
      <c r="ET34" s="278">
        <v>0</v>
      </c>
      <c r="EU34" s="278">
        <v>0</v>
      </c>
      <c r="EV34" s="212">
        <f>IF(C34&gt;=Summary!$E$26,MAX(0,SUM(ER34:EU34)),0)</f>
        <v>0</v>
      </c>
      <c r="EW34" s="52"/>
      <c r="EX34" s="1049">
        <f t="shared" si="35"/>
        <v>0</v>
      </c>
      <c r="EY34" s="1045" t="str">
        <f t="shared" si="36"/>
        <v/>
      </c>
      <c r="EZ34" s="1684" t="s">
        <v>525</v>
      </c>
      <c r="FA34" s="1046">
        <f t="shared" si="54"/>
        <v>45</v>
      </c>
      <c r="FB34" s="256">
        <f t="shared" si="37"/>
        <v>11169.9</v>
      </c>
      <c r="FC34" s="194">
        <f t="shared" si="38"/>
        <v>0</v>
      </c>
      <c r="FD34" s="194">
        <f t="shared" si="39"/>
        <v>2659.5</v>
      </c>
      <c r="FE34" s="194">
        <f t="shared" si="40"/>
        <v>0</v>
      </c>
      <c r="FF34" s="194">
        <f t="shared" si="41"/>
        <v>2127.6</v>
      </c>
      <c r="FG34" s="194">
        <f t="shared" si="42"/>
        <v>0</v>
      </c>
      <c r="FH34" s="257">
        <f>IF(EZ34="No",IF((OR(MONTH(C34)=5,MONTH(C34)=6,MONTH(C34)=7,MONTH(C34)=8,MONTH(C34)=9)),Summary!$O$15*12*(AX34+AY34+AZ34+BA34)*(1-$BC34),Summary!$O$15*13*(AX34+AY34+AZ34+BA34)*(1-$BC34)+IF(Summary!$O$16="Yes",(CALC!FA34+Summary!$O$15)*6*(AX34+AY34+AZ34+BA34)*(1-$BC34),0)),0)</f>
        <v>0</v>
      </c>
      <c r="FI34" s="1412">
        <f>IF(MONTH(C34)=5,FI33*(IF(Summary!$E$70="no",(1+(Summary!$E$71*0.8)),1+HLOOKUP(YEAR(C34)-1,CCFMODEL!$I$127:$AF$128,2)*0.8)),+FI33)</f>
        <v>27.894821372262776</v>
      </c>
      <c r="FJ34" s="1411">
        <f>IF(MONTH(C34)=5,FJ33*(IF(Summary!$E$70="no",(1+(Summary!$E$71*0.8)),1+HLOOKUP(YEAR(CALC!C34)-1,CCFMODEL!$I$127:$AF$128,2)*0.8)),FJ33)</f>
        <v>24.380513167883208</v>
      </c>
      <c r="FK34" s="832">
        <f t="shared" si="1"/>
        <v>445117.6646371971</v>
      </c>
      <c r="FL34" s="1412">
        <f>IF(MONTH(C34)=5,FL33*(IF(Summary!$E$70="no",(1+(Summary!$E$71*0.8)),1+HLOOKUP(YEAR(CALC!C34)-1,CCFMODEL!$I$127:$AF$128,2)*0.8)),+FL33)</f>
        <v>58.665936661800487</v>
      </c>
      <c r="FM34" s="1411">
        <f>IF(MONTH(C34)=5,FM33*(IF(Summary!$E$70="no",(1+(Summary!$E$71*0.8)),1+HLOOKUP(YEAR(CALC!C34)-1,CCFMODEL!$I$127:$AF$128,2)*0.8)),+FM33)</f>
        <v>27.999413878345496</v>
      </c>
      <c r="FN34" s="832">
        <f t="shared" si="2"/>
        <v>950388.17392116785</v>
      </c>
      <c r="FO34" s="194">
        <f t="shared" si="43"/>
        <v>1395505.8385583649</v>
      </c>
      <c r="FP34" s="263">
        <f t="shared" si="61"/>
        <v>11169.9</v>
      </c>
      <c r="FQ34" s="194">
        <f t="shared" si="61"/>
        <v>0</v>
      </c>
      <c r="FR34" s="194">
        <f t="shared" si="61"/>
        <v>2659.5</v>
      </c>
      <c r="FS34" s="194">
        <f t="shared" si="61"/>
        <v>0</v>
      </c>
      <c r="FT34" s="194">
        <f t="shared" si="61"/>
        <v>2127.6</v>
      </c>
      <c r="FU34" s="194">
        <f t="shared" si="61"/>
        <v>0</v>
      </c>
      <c r="FV34" s="257">
        <f t="shared" si="61"/>
        <v>0</v>
      </c>
      <c r="FW34" s="189">
        <f t="shared" si="4"/>
        <v>0</v>
      </c>
      <c r="FX34" s="189">
        <f t="shared" si="5"/>
        <v>0</v>
      </c>
      <c r="FY34" s="189">
        <f t="shared" si="6"/>
        <v>0</v>
      </c>
      <c r="FZ34" s="258">
        <f t="shared" si="7"/>
        <v>0</v>
      </c>
      <c r="GA34" s="1293">
        <f>(SUM(FP34:FV34)+SUM(GU34:HB34)/(1-Summary!$O$25))*CY34/1000</f>
        <v>196669.03949568004</v>
      </c>
      <c r="GB34" s="1369">
        <f>IF($C34&lt;Summary!$M$81,+Summary!$O$81,VLOOKUP(C34,GasTable,19))</f>
        <v>2.4</v>
      </c>
      <c r="GC34" s="1370">
        <f>IF(H34&lt;=Summary!$N$84,MIN(GA34,Summary!$O$75*(H34-G34+1)),0)</f>
        <v>150000</v>
      </c>
      <c r="GD34" s="1371">
        <f>IF(Summary!$O$75*(H34-G34+1)*0.8&gt;GC34,1,0)</f>
        <v>0</v>
      </c>
      <c r="GE34" s="1372">
        <v>0</v>
      </c>
      <c r="GF34" s="1370">
        <f t="shared" si="8"/>
        <v>46669.039495680045</v>
      </c>
      <c r="GG34" s="1371">
        <f>GF34*(IF(Summary!$O$74=1,VLOOKUP($C34,GasTable,16)+Summary!$O$92+Summary!$O$93,VLOOKUP($C34,GasTable,19)+Summary!$O$92+Summary!$O$93))</f>
        <v>130377.09474132833</v>
      </c>
      <c r="GH34" s="1373">
        <v>21084</v>
      </c>
      <c r="GI34" s="1466">
        <v>0</v>
      </c>
      <c r="GJ34" s="1374">
        <f t="shared" si="44"/>
        <v>511461.09474132833</v>
      </c>
      <c r="GK34" s="189">
        <f t="shared" si="9"/>
        <v>25196.103000000003</v>
      </c>
      <c r="GL34" s="266">
        <v>0.75644308448000019</v>
      </c>
      <c r="GM34" s="255">
        <f t="shared" si="10"/>
        <v>14730.000000000002</v>
      </c>
      <c r="GN34" s="189">
        <f>IF(SUM(GU34:HB34)=0,0,IF(Summary!$O$16="Yes",SUM(GX34:HB34),IF(Summary!$O$17="Yes",SUM(GY34:HB34),SUM(GU34:HB34))))</f>
        <v>9239.103000000001</v>
      </c>
      <c r="GO34" s="203">
        <v>5.7187930656934309</v>
      </c>
      <c r="GP34" s="258">
        <f t="shared" si="45"/>
        <v>52836.518169627379</v>
      </c>
      <c r="GQ34" s="189"/>
      <c r="GR34" s="189"/>
      <c r="GS34" s="189"/>
      <c r="GT34" s="189"/>
      <c r="GU34" s="268">
        <v>3592.9845000000009</v>
      </c>
      <c r="GV34" s="189">
        <v>855.47249999999997</v>
      </c>
      <c r="GW34" s="189">
        <v>684.37800000000027</v>
      </c>
      <c r="GX34" s="189"/>
      <c r="GY34" s="254">
        <v>2874.3875999999996</v>
      </c>
      <c r="GZ34" s="189">
        <v>684.37800000000004</v>
      </c>
      <c r="HA34" s="189">
        <v>547.50239999999997</v>
      </c>
      <c r="HB34" s="255"/>
      <c r="HC34" s="189">
        <v>9239.103000000001</v>
      </c>
      <c r="HD34" s="189"/>
      <c r="HE34" s="189">
        <v>21557.906999999999</v>
      </c>
      <c r="HF34" s="189">
        <v>280617.04304013576</v>
      </c>
      <c r="HG34" s="189"/>
      <c r="HH34" s="203">
        <v>31.421026978610517</v>
      </c>
      <c r="HI34" s="189">
        <v>677371.57744937646</v>
      </c>
      <c r="HJ34" s="268">
        <f t="shared" si="11"/>
        <v>0</v>
      </c>
      <c r="HK34" s="189">
        <f t="shared" si="12"/>
        <v>0</v>
      </c>
      <c r="HL34" s="189">
        <f t="shared" si="13"/>
        <v>0</v>
      </c>
      <c r="HM34" s="255">
        <f t="shared" si="14"/>
        <v>0</v>
      </c>
      <c r="HN34" s="189">
        <f t="shared" si="15"/>
        <v>0</v>
      </c>
      <c r="HO34" s="203">
        <f t="shared" si="46"/>
        <v>0</v>
      </c>
      <c r="HP34" s="258">
        <f t="shared" si="16"/>
        <v>0</v>
      </c>
      <c r="HQ34" s="804">
        <v>2016</v>
      </c>
      <c r="HR34" s="268">
        <f t="shared" si="47"/>
        <v>204116.62499999997</v>
      </c>
      <c r="HS34" s="38">
        <f t="shared" si="48"/>
        <v>97.456140751652342</v>
      </c>
      <c r="HT34" s="255">
        <f t="shared" si="17"/>
        <v>19892418.535752237</v>
      </c>
      <c r="HU34" s="254">
        <v>97250.113800000006</v>
      </c>
      <c r="HV34" s="203">
        <v>50.995820140839626</v>
      </c>
      <c r="HW34" s="189">
        <v>4959349.3120209863</v>
      </c>
      <c r="HX34" s="1021">
        <v>0</v>
      </c>
      <c r="HY34" s="258">
        <f t="shared" si="49"/>
        <v>24851767.847773224</v>
      </c>
      <c r="HZ34" s="268">
        <v>2340738.573208164</v>
      </c>
      <c r="IA34" s="203">
        <v>-3.7986002867053239</v>
      </c>
      <c r="IB34" s="255">
        <v>-8891530.215290742</v>
      </c>
      <c r="IC34" s="254">
        <v>301366.73880000005</v>
      </c>
      <c r="ID34" s="203">
        <f t="shared" si="50"/>
        <v>0</v>
      </c>
      <c r="IE34" s="255">
        <f t="shared" si="18"/>
        <v>0</v>
      </c>
      <c r="IF34" s="189">
        <f t="shared" si="19"/>
        <v>130938.62085000001</v>
      </c>
      <c r="IG34" s="203">
        <f t="shared" si="51"/>
        <v>-2.8360136911053706</v>
      </c>
      <c r="IH34" s="255">
        <v>-371343.72142505518</v>
      </c>
      <c r="II34" s="189">
        <f t="shared" si="20"/>
        <v>0</v>
      </c>
      <c r="IJ34" s="203">
        <f t="shared" si="52"/>
        <v>0</v>
      </c>
      <c r="IK34" s="189">
        <f t="shared" si="21"/>
        <v>0</v>
      </c>
      <c r="IL34" s="1182">
        <f t="shared" si="22"/>
        <v>15588893.911057428</v>
      </c>
      <c r="IN34" s="820"/>
      <c r="IO34" s="1307"/>
      <c r="IR34" s="223"/>
    </row>
    <row r="35" spans="1:252" ht="13.8" thickBot="1">
      <c r="A35" t="str">
        <f t="shared" si="23"/>
        <v>2001Q3</v>
      </c>
      <c r="B35">
        <f t="shared" si="24"/>
        <v>2001</v>
      </c>
      <c r="C35" s="49">
        <f t="shared" si="25"/>
        <v>37073</v>
      </c>
      <c r="D35" s="115">
        <f t="shared" si="26"/>
        <v>2001</v>
      </c>
      <c r="E35" s="10">
        <f t="shared" si="55"/>
        <v>7</v>
      </c>
      <c r="F35" s="248">
        <f t="shared" si="57"/>
        <v>37076</v>
      </c>
      <c r="G35" s="245">
        <v>37073</v>
      </c>
      <c r="H35" s="251">
        <v>37103</v>
      </c>
      <c r="I35" s="959">
        <f t="shared" si="53"/>
        <v>7.1499999999999994E-2</v>
      </c>
      <c r="J35" s="37">
        <f t="shared" si="27"/>
        <v>0.88861093451028061</v>
      </c>
      <c r="K35" s="1036" t="e">
        <f>IF(Summary!#REF!=1,+Summary!#REF!,I35+Summary!#REF!/10000)</f>
        <v>#REF!</v>
      </c>
      <c r="L35" s="37" t="e">
        <f t="shared" si="28"/>
        <v>#REF!</v>
      </c>
      <c r="M35" s="1004">
        <v>0</v>
      </c>
      <c r="N35" s="38">
        <f t="shared" si="58"/>
        <v>0</v>
      </c>
      <c r="O35" s="40">
        <f t="shared" si="58"/>
        <v>0</v>
      </c>
      <c r="P35" s="159">
        <f t="shared" si="60"/>
        <v>0</v>
      </c>
      <c r="Q35" s="38">
        <f t="shared" si="59"/>
        <v>0</v>
      </c>
      <c r="R35" s="40">
        <f t="shared" si="59"/>
        <v>0</v>
      </c>
      <c r="S35" s="38">
        <f t="shared" si="59"/>
        <v>0</v>
      </c>
      <c r="T35" s="38">
        <f t="shared" si="59"/>
        <v>0</v>
      </c>
      <c r="U35" s="38">
        <f t="shared" si="59"/>
        <v>0</v>
      </c>
      <c r="V35" s="159">
        <f t="shared" si="59"/>
        <v>0</v>
      </c>
      <c r="W35" s="38">
        <f t="shared" si="59"/>
        <v>0</v>
      </c>
      <c r="X35" s="39">
        <f t="shared" si="59"/>
        <v>0</v>
      </c>
      <c r="Y35" s="46">
        <v>0</v>
      </c>
      <c r="Z35" s="46">
        <v>0</v>
      </c>
      <c r="AA35" s="47">
        <v>0</v>
      </c>
      <c r="AB35" s="46">
        <v>0</v>
      </c>
      <c r="AC35" s="46">
        <v>0</v>
      </c>
      <c r="AD35" s="47">
        <v>0</v>
      </c>
      <c r="AE35" s="46">
        <v>0</v>
      </c>
      <c r="AF35" s="46">
        <v>0</v>
      </c>
      <c r="AG35" s="47">
        <v>0</v>
      </c>
      <c r="AH35" s="46">
        <v>0</v>
      </c>
      <c r="AI35" s="46">
        <v>0</v>
      </c>
      <c r="AJ35" s="47">
        <v>0</v>
      </c>
      <c r="AK35" s="46">
        <v>0</v>
      </c>
      <c r="AL35" s="46">
        <v>0</v>
      </c>
      <c r="AM35" s="47">
        <v>0</v>
      </c>
      <c r="AN35" s="46">
        <v>0</v>
      </c>
      <c r="AO35" s="46">
        <v>0</v>
      </c>
      <c r="AP35" s="47">
        <v>0</v>
      </c>
      <c r="AQ35" s="46">
        <v>0</v>
      </c>
      <c r="AR35" s="46">
        <v>0</v>
      </c>
      <c r="AS35" s="47">
        <v>0</v>
      </c>
      <c r="AT35" s="46">
        <v>0</v>
      </c>
      <c r="AU35" s="46">
        <v>0</v>
      </c>
      <c r="AV35" s="46">
        <v>0</v>
      </c>
      <c r="AW35" s="1545">
        <v>0</v>
      </c>
      <c r="AX35" s="10">
        <f t="shared" si="56"/>
        <v>21</v>
      </c>
      <c r="AY35" s="42">
        <f>IF(AND($E35=MONTH(Summary!$E$24),$D35=YEAR(Summary!$E$24)),Summary!$E$25,1)*IF(G35="",0,INT((H35-MOD(H35,7)-G35)/7)+1-IF(BA35,IF(WEEKDAY(F35)=7,1,0),0))</f>
        <v>4</v>
      </c>
      <c r="AZ35" s="42">
        <f>IF(AND($E35=MONTH(Summary!$E$24),$D35=YEAR(Summary!$E$24)),Summary!$E$25,1)*IF(G35="",0,INT((H35-MOD(H35-1,7)-G35)/7)+1-IF(BA35,IF(WEEKDAY(F35)=1,1,0),0))</f>
        <v>5</v>
      </c>
      <c r="BA35" s="42">
        <v>1</v>
      </c>
      <c r="BB35" s="10">
        <f>IF(AND($E35=MONTH(Summary!$E$24),$D35=YEAR(Summary!$E$24)),Summary!$E$25,1)*IF(G35="",0,H35-G35+1)</f>
        <v>31</v>
      </c>
      <c r="BC35" s="914">
        <f>Summary!$E$19</f>
        <v>1.4999999999999999E-2</v>
      </c>
      <c r="BD35" s="92">
        <v>14893.2</v>
      </c>
      <c r="BE35" s="97">
        <v>2836.8</v>
      </c>
      <c r="BF35" s="97">
        <v>4255.2</v>
      </c>
      <c r="BG35" s="173"/>
      <c r="BH35" s="1198">
        <v>1</v>
      </c>
      <c r="BI35" s="1198">
        <v>1</v>
      </c>
      <c r="BJ35" s="1198">
        <v>1</v>
      </c>
      <c r="BK35" s="1198">
        <v>1</v>
      </c>
      <c r="BL35" s="94">
        <v>2978.64</v>
      </c>
      <c r="BM35" s="97">
        <v>567.36</v>
      </c>
      <c r="BN35" s="97">
        <v>851.04</v>
      </c>
      <c r="BO35" s="173"/>
      <c r="BP35" s="1198">
        <v>1</v>
      </c>
      <c r="BQ35" s="1199">
        <v>1</v>
      </c>
      <c r="BR35" s="1199">
        <v>1</v>
      </c>
      <c r="BS35" s="1200">
        <v>1</v>
      </c>
      <c r="BT35" s="94">
        <f t="shared" si="29"/>
        <v>21985.200000000001</v>
      </c>
      <c r="BU35" s="233">
        <f t="shared" si="30"/>
        <v>21985.200000000001</v>
      </c>
      <c r="BV35" s="92">
        <f t="shared" si="31"/>
        <v>4397.04</v>
      </c>
      <c r="BW35" s="233">
        <f t="shared" si="32"/>
        <v>4397.04</v>
      </c>
      <c r="BX35" s="88">
        <v>1.5441478439425051</v>
      </c>
      <c r="BY35" s="90">
        <v>0</v>
      </c>
      <c r="BZ35" s="88">
        <v>0</v>
      </c>
      <c r="CA35" s="88">
        <v>0</v>
      </c>
      <c r="CB35" s="88">
        <v>0</v>
      </c>
      <c r="CC35" s="88">
        <v>0</v>
      </c>
      <c r="CD35" s="88">
        <v>0</v>
      </c>
      <c r="CE35" s="100">
        <v>0</v>
      </c>
      <c r="CF35" s="88">
        <v>0</v>
      </c>
      <c r="CG35" s="88">
        <v>0</v>
      </c>
      <c r="CH35" s="88">
        <v>0</v>
      </c>
      <c r="CI35" s="88">
        <v>0</v>
      </c>
      <c r="CJ35" s="228">
        <v>0</v>
      </c>
      <c r="CK35" s="88">
        <v>0</v>
      </c>
      <c r="CL35" s="88">
        <v>0</v>
      </c>
      <c r="CM35" s="88">
        <v>0</v>
      </c>
      <c r="CN35" s="88">
        <v>0</v>
      </c>
      <c r="CO35" s="88">
        <v>0</v>
      </c>
      <c r="CP35" s="88">
        <v>0</v>
      </c>
      <c r="CQ35" s="229">
        <v>0</v>
      </c>
      <c r="CR35" s="91">
        <v>0</v>
      </c>
      <c r="CS35" s="91">
        <v>0</v>
      </c>
      <c r="CT35" s="91">
        <v>0</v>
      </c>
      <c r="CU35" s="91">
        <v>0</v>
      </c>
      <c r="CV35" s="91">
        <v>0</v>
      </c>
      <c r="CW35" s="91">
        <v>0</v>
      </c>
      <c r="CX35" s="225">
        <v>0</v>
      </c>
      <c r="CY35" s="1265">
        <v>7705.04072</v>
      </c>
      <c r="CZ35" s="90">
        <v>0</v>
      </c>
      <c r="DA35" s="88">
        <v>0</v>
      </c>
      <c r="DB35" s="88">
        <v>0</v>
      </c>
      <c r="DC35" s="88">
        <v>0</v>
      </c>
      <c r="DD35" s="88">
        <v>0</v>
      </c>
      <c r="DE35" s="152">
        <v>0</v>
      </c>
      <c r="DF35" s="230">
        <v>0</v>
      </c>
      <c r="DG35" s="38">
        <v>0</v>
      </c>
      <c r="DH35" s="1237">
        <v>0</v>
      </c>
      <c r="DI35" s="956">
        <v>0</v>
      </c>
      <c r="DJ35" s="956">
        <v>0</v>
      </c>
      <c r="DK35" s="956">
        <v>0</v>
      </c>
      <c r="DL35" s="152">
        <v>0</v>
      </c>
      <c r="DM35" s="160">
        <v>0</v>
      </c>
      <c r="DN35" s="160">
        <v>0</v>
      </c>
      <c r="DO35" s="160">
        <v>0</v>
      </c>
      <c r="DP35" s="160">
        <v>0</v>
      </c>
      <c r="DQ35" s="160">
        <v>0</v>
      </c>
      <c r="DR35" s="230">
        <v>0</v>
      </c>
      <c r="DS35" s="88">
        <v>0</v>
      </c>
      <c r="DT35" s="88">
        <v>0</v>
      </c>
      <c r="DU35" s="88">
        <v>0</v>
      </c>
      <c r="DV35" s="88">
        <v>0</v>
      </c>
      <c r="DW35" s="88">
        <v>0</v>
      </c>
      <c r="DX35" s="88">
        <v>0</v>
      </c>
      <c r="DY35" s="88">
        <v>0</v>
      </c>
      <c r="DZ35" s="88">
        <v>0</v>
      </c>
      <c r="EA35" s="88">
        <v>0</v>
      </c>
      <c r="EB35" s="152">
        <v>0</v>
      </c>
      <c r="EC35" s="52">
        <f t="shared" si="33"/>
        <v>0</v>
      </c>
      <c r="ED35" s="52">
        <f t="shared" si="33"/>
        <v>0</v>
      </c>
      <c r="EE35" s="52">
        <f t="shared" si="33"/>
        <v>0</v>
      </c>
      <c r="EF35" s="52">
        <f t="shared" si="33"/>
        <v>0</v>
      </c>
      <c r="EG35" s="52">
        <f t="shared" si="34"/>
        <v>0</v>
      </c>
      <c r="EH35" s="238">
        <v>0</v>
      </c>
      <c r="EI35" s="211">
        <v>0</v>
      </c>
      <c r="EJ35" s="211">
        <v>0</v>
      </c>
      <c r="EK35" s="211">
        <v>0</v>
      </c>
      <c r="EL35" s="217">
        <f>IF(C35&gt;=Summary!$E$26,MAX(0,SUM(EH35:EK35)),0)</f>
        <v>0</v>
      </c>
      <c r="EM35" s="52">
        <f>IF(C35&gt;=Summary!$E$26,DX35*BL35,0)</f>
        <v>0</v>
      </c>
      <c r="EN35" s="52">
        <f>IF(C35&gt;=Summary!$E$26,DY35*BM35,0)</f>
        <v>0</v>
      </c>
      <c r="EO35" s="52">
        <f>IF(C35&gt;=Summary!$E$26,DZ35*BN35,0)</f>
        <v>0</v>
      </c>
      <c r="EP35" s="52">
        <f>IF(C35&gt;=Summary!$E$26,EA35*BO35,0)</f>
        <v>0</v>
      </c>
      <c r="EQ35" s="52">
        <f>IF(C35&gt;=Summary!$E$26,DX35*BL35+DY35*BM35+DZ35*BN35+EA35*BO35,0)</f>
        <v>0</v>
      </c>
      <c r="ER35" s="826">
        <v>0</v>
      </c>
      <c r="ES35" s="278">
        <v>0</v>
      </c>
      <c r="ET35" s="278">
        <v>0</v>
      </c>
      <c r="EU35" s="278">
        <v>0</v>
      </c>
      <c r="EV35" s="212">
        <f>IF(C35&gt;=Summary!$E$26,MAX(0,SUM(ER35:EU35)),0)</f>
        <v>0</v>
      </c>
      <c r="EW35" s="52"/>
      <c r="EX35" s="1049">
        <f t="shared" si="35"/>
        <v>0</v>
      </c>
      <c r="EY35" s="1045" t="str">
        <f t="shared" si="36"/>
        <v/>
      </c>
      <c r="EZ35" s="1684" t="s">
        <v>525</v>
      </c>
      <c r="FA35" s="1046">
        <f t="shared" si="54"/>
        <v>45</v>
      </c>
      <c r="FB35" s="256">
        <f t="shared" si="37"/>
        <v>11169.9</v>
      </c>
      <c r="FC35" s="194">
        <f t="shared" si="38"/>
        <v>0</v>
      </c>
      <c r="FD35" s="194">
        <f t="shared" si="39"/>
        <v>2127.6</v>
      </c>
      <c r="FE35" s="194">
        <f t="shared" si="40"/>
        <v>0</v>
      </c>
      <c r="FF35" s="194">
        <f t="shared" si="41"/>
        <v>3191.4</v>
      </c>
      <c r="FG35" s="194">
        <f t="shared" si="42"/>
        <v>0</v>
      </c>
      <c r="FH35" s="257">
        <f>IF(EZ35="No",IF((OR(MONTH(C35)=5,MONTH(C35)=6,MONTH(C35)=7,MONTH(C35)=8,MONTH(C35)=9)),Summary!$O$15*12*(AX35+AY35+AZ35+BA35)*(1-$BC35),Summary!$O$15*13*(AX35+AY35+AZ35+BA35)*(1-$BC35)+IF(Summary!$O$16="Yes",(CALC!FA35+Summary!$O$15)*6*(AX35+AY35+AZ35+BA35)*(1-$BC35),0)),0)</f>
        <v>0</v>
      </c>
      <c r="FI35" s="1412">
        <f>IF(MONTH(C35)=5,FI34*(IF(Summary!$E$70="no",(1+(Summary!$E$71*0.8)),1+HLOOKUP(YEAR(C35)-1,CCFMODEL!$I$127:$AF$128,2)*0.8)),+FI34)</f>
        <v>27.894821372262776</v>
      </c>
      <c r="FJ35" s="1411">
        <f>IF(MONTH(C35)=5,FJ34*(IF(Summary!$E$70="no",(1+(Summary!$E$71*0.8)),1+HLOOKUP(YEAR(CALC!C35)-1,CCFMODEL!$I$127:$AF$128,2)*0.8)),FJ34)</f>
        <v>24.380513167883208</v>
      </c>
      <c r="FK35" s="832">
        <f t="shared" si="1"/>
        <v>459954.92012510373</v>
      </c>
      <c r="FL35" s="1412">
        <f>IF(MONTH(C35)=5,FL34*(IF(Summary!$E$70="no",(1+(Summary!$E$71*0.8)),1+HLOOKUP(YEAR(CALC!C35)-1,CCFMODEL!$I$127:$AF$128,2)*0.8)),+FL34)</f>
        <v>58.665936661800487</v>
      </c>
      <c r="FM35" s="1411">
        <f>IF(MONTH(C35)=5,FM34*(IF(Summary!$E$70="no",(1+(Summary!$E$71*0.8)),1+HLOOKUP(YEAR(CALC!C35)-1,CCFMODEL!$I$127:$AF$128,2)*0.8)),+FM34)</f>
        <v>27.999413878345496</v>
      </c>
      <c r="FN35" s="832">
        <f t="shared" si="2"/>
        <v>982067.77971854014</v>
      </c>
      <c r="FO35" s="194">
        <f t="shared" si="43"/>
        <v>1442022.6998436439</v>
      </c>
      <c r="FP35" s="263">
        <f t="shared" si="61"/>
        <v>11169.9</v>
      </c>
      <c r="FQ35" s="194">
        <f t="shared" si="61"/>
        <v>0</v>
      </c>
      <c r="FR35" s="194">
        <f t="shared" si="61"/>
        <v>2127.6</v>
      </c>
      <c r="FS35" s="194">
        <f t="shared" si="61"/>
        <v>0</v>
      </c>
      <c r="FT35" s="194">
        <f t="shared" si="61"/>
        <v>3191.4</v>
      </c>
      <c r="FU35" s="194">
        <f t="shared" si="61"/>
        <v>0</v>
      </c>
      <c r="FV35" s="257">
        <f t="shared" si="61"/>
        <v>0</v>
      </c>
      <c r="FW35" s="189">
        <f t="shared" si="4"/>
        <v>0</v>
      </c>
      <c r="FX35" s="189">
        <f t="shared" si="5"/>
        <v>0</v>
      </c>
      <c r="FY35" s="189">
        <f t="shared" si="6"/>
        <v>0</v>
      </c>
      <c r="FZ35" s="258">
        <f t="shared" si="7"/>
        <v>0</v>
      </c>
      <c r="GA35" s="1293">
        <f>(SUM(FP35:FV35)+SUM(GU35:HB35)/(1-Summary!$O$25))*CY35/1000</f>
        <v>203276.23348481284</v>
      </c>
      <c r="GB35" s="1369">
        <f>IF($C35&lt;Summary!$M$81,+Summary!$O$81,VLOOKUP(C35,GasTable,19))</f>
        <v>2.4</v>
      </c>
      <c r="GC35" s="1370">
        <f>IF(H35&lt;=Summary!$N$84,MIN(GA35,Summary!$O$75*(H35-G35+1)),0)</f>
        <v>155000</v>
      </c>
      <c r="GD35" s="1371">
        <f>IF(Summary!$O$75*(H35-G35+1)*0.8&gt;GC35,1,0)</f>
        <v>0</v>
      </c>
      <c r="GE35" s="1372">
        <v>0</v>
      </c>
      <c r="GF35" s="1370">
        <f t="shared" si="8"/>
        <v>48276.233484812838</v>
      </c>
      <c r="GG35" s="1371">
        <f>GF35*(IF(Summary!$O$74=1,VLOOKUP($C35,GasTable,16)+Summary!$O$92+Summary!$O$93,VLOOKUP($C35,GasTable,19)+Summary!$O$92+Summary!$O$93))</f>
        <v>135674.33708021228</v>
      </c>
      <c r="GH35" s="1373">
        <v>21662.799999999999</v>
      </c>
      <c r="GI35" s="1466">
        <v>0</v>
      </c>
      <c r="GJ35" s="1374">
        <f t="shared" si="44"/>
        <v>529337.13708021236</v>
      </c>
      <c r="GK35" s="189">
        <f t="shared" si="9"/>
        <v>26035.973100000003</v>
      </c>
      <c r="GL35" s="266">
        <v>0.75663499870399997</v>
      </c>
      <c r="GM35" s="255">
        <f t="shared" si="10"/>
        <v>15221</v>
      </c>
      <c r="GN35" s="189">
        <f>IF(SUM(GU35:HB35)=0,0,IF(Summary!$O$16="Yes",SUM(GX35:HB35),IF(Summary!$O$17="Yes",SUM(GY35:HB35),SUM(GU35:HB35))))</f>
        <v>9547.0730999999996</v>
      </c>
      <c r="GO35" s="203">
        <v>5.7187930656934309</v>
      </c>
      <c r="GP35" s="258">
        <f t="shared" si="45"/>
        <v>54597.735441948287</v>
      </c>
      <c r="GQ35" s="189"/>
      <c r="GR35" s="189"/>
      <c r="GS35" s="189"/>
      <c r="GT35" s="189"/>
      <c r="GU35" s="268">
        <v>3592.9845000000009</v>
      </c>
      <c r="GV35" s="189">
        <v>684.37800000000027</v>
      </c>
      <c r="GW35" s="189">
        <v>1026.5669999999998</v>
      </c>
      <c r="GX35" s="189"/>
      <c r="GY35" s="254">
        <v>2874.3875999999996</v>
      </c>
      <c r="GZ35" s="189">
        <v>547.50239999999997</v>
      </c>
      <c r="HA35" s="189">
        <v>821.25359999999989</v>
      </c>
      <c r="HB35" s="255"/>
      <c r="HC35" s="189">
        <v>9547.0730999999996</v>
      </c>
      <c r="HD35" s="189"/>
      <c r="HE35" s="189">
        <v>22276.5039</v>
      </c>
      <c r="HF35" s="189">
        <v>400569.86558357731</v>
      </c>
      <c r="HG35" s="189"/>
      <c r="HH35" s="203">
        <v>44.4317801119591</v>
      </c>
      <c r="HI35" s="189">
        <v>989784.72294799937</v>
      </c>
      <c r="HJ35" s="268">
        <f t="shared" si="11"/>
        <v>0</v>
      </c>
      <c r="HK35" s="189">
        <f t="shared" si="12"/>
        <v>0</v>
      </c>
      <c r="HL35" s="189">
        <f t="shared" si="13"/>
        <v>0</v>
      </c>
      <c r="HM35" s="255">
        <f t="shared" si="14"/>
        <v>0</v>
      </c>
      <c r="HN35" s="189">
        <f t="shared" si="15"/>
        <v>0</v>
      </c>
      <c r="HO35" s="203">
        <f t="shared" si="46"/>
        <v>0</v>
      </c>
      <c r="HP35" s="258">
        <f t="shared" si="16"/>
        <v>0</v>
      </c>
      <c r="HQ35" s="804">
        <v>2017</v>
      </c>
      <c r="HR35" s="268">
        <f t="shared" si="47"/>
        <v>203540.4</v>
      </c>
      <c r="HS35" s="38">
        <f t="shared" si="48"/>
        <v>99.850042600373953</v>
      </c>
      <c r="HT35" s="255">
        <f t="shared" si="17"/>
        <v>20323517.610897154</v>
      </c>
      <c r="HU35" s="254">
        <v>97164.566549999989</v>
      </c>
      <c r="HV35" s="203">
        <v>51.520247924443261</v>
      </c>
      <c r="HW35" s="189">
        <v>5005942.5581270661</v>
      </c>
      <c r="HX35" s="1021">
        <v>0</v>
      </c>
      <c r="HY35" s="258">
        <f t="shared" si="49"/>
        <v>25329460.169024222</v>
      </c>
      <c r="HZ35" s="268">
        <v>2343052.5988590214</v>
      </c>
      <c r="IA35" s="203">
        <v>-3.8757798626206283</v>
      </c>
      <c r="IB35" s="255">
        <v>-9081156.0797187239</v>
      </c>
      <c r="IC35" s="254">
        <v>300704.96655000001</v>
      </c>
      <c r="ID35" s="203">
        <f t="shared" si="50"/>
        <v>0</v>
      </c>
      <c r="IE35" s="255">
        <f t="shared" si="18"/>
        <v>0</v>
      </c>
      <c r="IF35" s="189">
        <f t="shared" si="19"/>
        <v>130545.10349999997</v>
      </c>
      <c r="IG35" s="203">
        <f t="shared" si="51"/>
        <v>-2.9273221750373746</v>
      </c>
      <c r="IH35" s="255">
        <v>-382147.57631809911</v>
      </c>
      <c r="II35" s="189">
        <f t="shared" si="20"/>
        <v>0</v>
      </c>
      <c r="IJ35" s="203">
        <f t="shared" si="52"/>
        <v>0</v>
      </c>
      <c r="IK35" s="189">
        <f t="shared" si="21"/>
        <v>0</v>
      </c>
      <c r="IL35" s="1182">
        <f t="shared" si="22"/>
        <v>15866156.512987399</v>
      </c>
      <c r="IN35" s="820"/>
      <c r="IO35" s="1307"/>
      <c r="IR35" s="223"/>
    </row>
    <row r="36" spans="1:252" ht="13.8" thickBot="1">
      <c r="A36" t="str">
        <f t="shared" si="23"/>
        <v>2001Q3</v>
      </c>
      <c r="B36">
        <f t="shared" si="24"/>
        <v>2001</v>
      </c>
      <c r="C36" s="49">
        <f t="shared" si="25"/>
        <v>37104</v>
      </c>
      <c r="D36" s="115">
        <f t="shared" si="26"/>
        <v>2001</v>
      </c>
      <c r="E36" s="10">
        <f t="shared" si="55"/>
        <v>8</v>
      </c>
      <c r="F36" s="248" t="str">
        <f t="shared" si="57"/>
        <v/>
      </c>
      <c r="G36" s="245">
        <v>37104</v>
      </c>
      <c r="H36" s="251">
        <v>37134</v>
      </c>
      <c r="I36" s="959">
        <f t="shared" si="53"/>
        <v>7.1499999999999994E-2</v>
      </c>
      <c r="J36" s="37">
        <f t="shared" si="27"/>
        <v>0.88332836437899032</v>
      </c>
      <c r="K36" s="1036" t="e">
        <f>IF(Summary!#REF!=1,+Summary!#REF!,I36+Summary!#REF!/10000)</f>
        <v>#REF!</v>
      </c>
      <c r="L36" s="37" t="e">
        <f t="shared" si="28"/>
        <v>#REF!</v>
      </c>
      <c r="M36" s="1004">
        <v>0</v>
      </c>
      <c r="N36" s="38">
        <f t="shared" si="58"/>
        <v>0</v>
      </c>
      <c r="O36" s="40">
        <f t="shared" si="58"/>
        <v>0</v>
      </c>
      <c r="P36" s="159">
        <f t="shared" si="60"/>
        <v>0</v>
      </c>
      <c r="Q36" s="38">
        <f t="shared" si="59"/>
        <v>0</v>
      </c>
      <c r="R36" s="40">
        <f t="shared" si="59"/>
        <v>0</v>
      </c>
      <c r="S36" s="38">
        <f t="shared" si="59"/>
        <v>0</v>
      </c>
      <c r="T36" s="38">
        <f t="shared" si="59"/>
        <v>0</v>
      </c>
      <c r="U36" s="38">
        <f t="shared" si="59"/>
        <v>0</v>
      </c>
      <c r="V36" s="159">
        <f t="shared" si="59"/>
        <v>0</v>
      </c>
      <c r="W36" s="38">
        <f t="shared" si="59"/>
        <v>0</v>
      </c>
      <c r="X36" s="39">
        <f t="shared" si="59"/>
        <v>0</v>
      </c>
      <c r="Y36" s="46">
        <v>0</v>
      </c>
      <c r="Z36" s="46">
        <v>0</v>
      </c>
      <c r="AA36" s="47">
        <v>0</v>
      </c>
      <c r="AB36" s="46">
        <v>0</v>
      </c>
      <c r="AC36" s="46">
        <v>0</v>
      </c>
      <c r="AD36" s="47">
        <v>0</v>
      </c>
      <c r="AE36" s="46">
        <v>0</v>
      </c>
      <c r="AF36" s="46">
        <v>0</v>
      </c>
      <c r="AG36" s="47">
        <v>0</v>
      </c>
      <c r="AH36" s="46">
        <v>0</v>
      </c>
      <c r="AI36" s="46">
        <v>0</v>
      </c>
      <c r="AJ36" s="47">
        <v>0</v>
      </c>
      <c r="AK36" s="46">
        <v>0</v>
      </c>
      <c r="AL36" s="46">
        <v>0</v>
      </c>
      <c r="AM36" s="47">
        <v>0</v>
      </c>
      <c r="AN36" s="46">
        <v>0</v>
      </c>
      <c r="AO36" s="46">
        <v>0</v>
      </c>
      <c r="AP36" s="47">
        <v>0</v>
      </c>
      <c r="AQ36" s="46">
        <v>0</v>
      </c>
      <c r="AR36" s="46">
        <v>0</v>
      </c>
      <c r="AS36" s="47">
        <v>0</v>
      </c>
      <c r="AT36" s="46">
        <v>0</v>
      </c>
      <c r="AU36" s="46">
        <v>0</v>
      </c>
      <c r="AV36" s="46">
        <v>0</v>
      </c>
      <c r="AW36" s="1545">
        <v>0</v>
      </c>
      <c r="AX36" s="10">
        <f t="shared" si="56"/>
        <v>23</v>
      </c>
      <c r="AY36" s="42">
        <f>IF(AND($E36=MONTH(Summary!$E$24),$D36=YEAR(Summary!$E$24)),Summary!$E$25,1)*IF(G36="",0,INT((H36-MOD(H36,7)-G36)/7)+1-IF(BA36,IF(WEEKDAY(F36)=7,1,0),0))</f>
        <v>4</v>
      </c>
      <c r="AZ36" s="42">
        <f>IF(AND($E36=MONTH(Summary!$E$24),$D36=YEAR(Summary!$E$24)),Summary!$E$25,1)*IF(G36="",0,INT((H36-MOD(H36-1,7)-G36)/7)+1-IF(BA36,IF(WEEKDAY(F36)=1,1,0),0))</f>
        <v>4</v>
      </c>
      <c r="BA36" s="42">
        <v>0</v>
      </c>
      <c r="BB36" s="10">
        <f>IF(AND($E36=MONTH(Summary!$E$24),$D36=YEAR(Summary!$E$24)),Summary!$E$25,1)*IF(G36="",0,H36-G36+1)</f>
        <v>31</v>
      </c>
      <c r="BC36" s="914">
        <f>Summary!$E$19</f>
        <v>1.4999999999999999E-2</v>
      </c>
      <c r="BD36" s="92">
        <v>16311.6</v>
      </c>
      <c r="BE36" s="97">
        <v>2836.8</v>
      </c>
      <c r="BF36" s="97">
        <v>2836.8</v>
      </c>
      <c r="BG36" s="173"/>
      <c r="BH36" s="1198">
        <v>1</v>
      </c>
      <c r="BI36" s="1198">
        <v>1</v>
      </c>
      <c r="BJ36" s="1198">
        <v>1</v>
      </c>
      <c r="BK36" s="1198">
        <v>1</v>
      </c>
      <c r="BL36" s="94">
        <v>3262.32</v>
      </c>
      <c r="BM36" s="97">
        <v>567.36</v>
      </c>
      <c r="BN36" s="97">
        <v>567.36</v>
      </c>
      <c r="BO36" s="173"/>
      <c r="BP36" s="1198">
        <v>1</v>
      </c>
      <c r="BQ36" s="1199">
        <v>1</v>
      </c>
      <c r="BR36" s="1199">
        <v>1</v>
      </c>
      <c r="BS36" s="1200">
        <v>1</v>
      </c>
      <c r="BT36" s="94">
        <f t="shared" si="29"/>
        <v>21985.200000000001</v>
      </c>
      <c r="BU36" s="233">
        <f t="shared" si="30"/>
        <v>21985.200000000001</v>
      </c>
      <c r="BV36" s="92">
        <f t="shared" si="31"/>
        <v>4397.04</v>
      </c>
      <c r="BW36" s="233">
        <f t="shared" si="32"/>
        <v>4397.04</v>
      </c>
      <c r="BX36" s="88">
        <v>1.6290212183436004</v>
      </c>
      <c r="BY36" s="90">
        <v>0</v>
      </c>
      <c r="BZ36" s="88">
        <v>0</v>
      </c>
      <c r="CA36" s="88">
        <v>0</v>
      </c>
      <c r="CB36" s="88">
        <v>0</v>
      </c>
      <c r="CC36" s="88">
        <v>0</v>
      </c>
      <c r="CD36" s="88">
        <v>0</v>
      </c>
      <c r="CE36" s="100">
        <v>0</v>
      </c>
      <c r="CF36" s="88">
        <v>0</v>
      </c>
      <c r="CG36" s="88">
        <v>0</v>
      </c>
      <c r="CH36" s="88">
        <v>0</v>
      </c>
      <c r="CI36" s="88">
        <v>0</v>
      </c>
      <c r="CJ36" s="228">
        <v>0</v>
      </c>
      <c r="CK36" s="88">
        <v>0</v>
      </c>
      <c r="CL36" s="88">
        <v>0</v>
      </c>
      <c r="CM36" s="88">
        <v>0</v>
      </c>
      <c r="CN36" s="88">
        <v>0</v>
      </c>
      <c r="CO36" s="88">
        <v>0</v>
      </c>
      <c r="CP36" s="88">
        <v>0</v>
      </c>
      <c r="CQ36" s="229">
        <v>0</v>
      </c>
      <c r="CR36" s="91">
        <v>0</v>
      </c>
      <c r="CS36" s="91">
        <v>0</v>
      </c>
      <c r="CT36" s="91">
        <v>0</v>
      </c>
      <c r="CU36" s="91">
        <v>0</v>
      </c>
      <c r="CV36" s="91">
        <v>0</v>
      </c>
      <c r="CW36" s="91">
        <v>0</v>
      </c>
      <c r="CX36" s="225">
        <v>0</v>
      </c>
      <c r="CY36" s="1265">
        <v>7706.9950399999989</v>
      </c>
      <c r="CZ36" s="90">
        <v>0</v>
      </c>
      <c r="DA36" s="88">
        <v>0</v>
      </c>
      <c r="DB36" s="88">
        <v>0</v>
      </c>
      <c r="DC36" s="88">
        <v>0</v>
      </c>
      <c r="DD36" s="88">
        <v>0</v>
      </c>
      <c r="DE36" s="152">
        <v>0</v>
      </c>
      <c r="DF36" s="230">
        <v>0</v>
      </c>
      <c r="DG36" s="38">
        <v>0</v>
      </c>
      <c r="DH36" s="1237">
        <v>0</v>
      </c>
      <c r="DI36" s="956">
        <v>0</v>
      </c>
      <c r="DJ36" s="956">
        <v>0</v>
      </c>
      <c r="DK36" s="956">
        <v>0</v>
      </c>
      <c r="DL36" s="152">
        <v>0</v>
      </c>
      <c r="DM36" s="160">
        <v>0</v>
      </c>
      <c r="DN36" s="160">
        <v>0</v>
      </c>
      <c r="DO36" s="160">
        <v>0</v>
      </c>
      <c r="DP36" s="160">
        <v>0</v>
      </c>
      <c r="DQ36" s="160">
        <v>0</v>
      </c>
      <c r="DR36" s="230">
        <v>0</v>
      </c>
      <c r="DS36" s="88">
        <v>0</v>
      </c>
      <c r="DT36" s="88">
        <v>0</v>
      </c>
      <c r="DU36" s="88">
        <v>0</v>
      </c>
      <c r="DV36" s="88">
        <v>0</v>
      </c>
      <c r="DW36" s="88">
        <v>0</v>
      </c>
      <c r="DX36" s="88">
        <v>0</v>
      </c>
      <c r="DY36" s="88">
        <v>0</v>
      </c>
      <c r="DZ36" s="88">
        <v>0</v>
      </c>
      <c r="EA36" s="88">
        <v>0</v>
      </c>
      <c r="EB36" s="152">
        <v>0</v>
      </c>
      <c r="EC36" s="52">
        <f t="shared" si="33"/>
        <v>0</v>
      </c>
      <c r="ED36" s="52">
        <f t="shared" si="33"/>
        <v>0</v>
      </c>
      <c r="EE36" s="52">
        <f t="shared" si="33"/>
        <v>0</v>
      </c>
      <c r="EF36" s="52">
        <f t="shared" si="33"/>
        <v>0</v>
      </c>
      <c r="EG36" s="52">
        <f t="shared" si="34"/>
        <v>0</v>
      </c>
      <c r="EH36" s="238">
        <v>0</v>
      </c>
      <c r="EI36" s="211">
        <v>0</v>
      </c>
      <c r="EJ36" s="211">
        <v>0</v>
      </c>
      <c r="EK36" s="211">
        <v>0</v>
      </c>
      <c r="EL36" s="217">
        <f>IF(C36&gt;=Summary!$E$26,MAX(0,SUM(EH36:EK36)),0)</f>
        <v>0</v>
      </c>
      <c r="EM36" s="52">
        <f>IF(C36&gt;=Summary!$E$26,DX36*BL36,0)</f>
        <v>0</v>
      </c>
      <c r="EN36" s="52">
        <f>IF(C36&gt;=Summary!$E$26,DY36*BM36,0)</f>
        <v>0</v>
      </c>
      <c r="EO36" s="52">
        <f>IF(C36&gt;=Summary!$E$26,DZ36*BN36,0)</f>
        <v>0</v>
      </c>
      <c r="EP36" s="52">
        <f>IF(C36&gt;=Summary!$E$26,EA36*BO36,0)</f>
        <v>0</v>
      </c>
      <c r="EQ36" s="52">
        <f>IF(C36&gt;=Summary!$E$26,DX36*BL36+DY36*BM36+DZ36*BN36+EA36*BO36,0)</f>
        <v>0</v>
      </c>
      <c r="ER36" s="826">
        <v>0</v>
      </c>
      <c r="ES36" s="278">
        <v>0</v>
      </c>
      <c r="ET36" s="278">
        <v>0</v>
      </c>
      <c r="EU36" s="278">
        <v>0</v>
      </c>
      <c r="EV36" s="212">
        <f>IF(C36&gt;=Summary!$E$26,MAX(0,SUM(ER36:EU36)),0)</f>
        <v>0</v>
      </c>
      <c r="EW36" s="52"/>
      <c r="EX36" s="1049">
        <f t="shared" si="35"/>
        <v>0</v>
      </c>
      <c r="EY36" s="1045" t="str">
        <f t="shared" si="36"/>
        <v/>
      </c>
      <c r="EZ36" s="1684" t="s">
        <v>525</v>
      </c>
      <c r="FA36" s="1046">
        <f t="shared" si="54"/>
        <v>45</v>
      </c>
      <c r="FB36" s="256">
        <f t="shared" si="37"/>
        <v>12233.7</v>
      </c>
      <c r="FC36" s="194">
        <f t="shared" si="38"/>
        <v>0</v>
      </c>
      <c r="FD36" s="194">
        <f t="shared" si="39"/>
        <v>2127.6</v>
      </c>
      <c r="FE36" s="194">
        <f t="shared" si="40"/>
        <v>0</v>
      </c>
      <c r="FF36" s="194">
        <f t="shared" si="41"/>
        <v>2127.6</v>
      </c>
      <c r="FG36" s="194">
        <f t="shared" si="42"/>
        <v>0</v>
      </c>
      <c r="FH36" s="257">
        <f>IF(EZ36="No",IF((OR(MONTH(C36)=5,MONTH(C36)=6,MONTH(C36)=7,MONTH(C36)=8,MONTH(C36)=9)),Summary!$O$15*12*(AX36+AY36+AZ36+BA36)*(1-$BC36),Summary!$O$15*13*(AX36+AY36+AZ36+BA36)*(1-$BC36)+IF(Summary!$O$16="Yes",(CALC!FA36+Summary!$O$15)*6*(AX36+AY36+AZ36+BA36)*(1-$BC36),0)),0)</f>
        <v>0</v>
      </c>
      <c r="FI36" s="1412">
        <f>IF(MONTH(C36)=5,FI35*(IF(Summary!$E$70="no",(1+(Summary!$E$71*0.8)),1+HLOOKUP(YEAR(C36)-1,CCFMODEL!$I$127:$AF$128,2)*0.8)),+FI35)</f>
        <v>27.894821372262776</v>
      </c>
      <c r="FJ36" s="1411">
        <f>IF(MONTH(C36)=5,FJ35*(IF(Summary!$E$70="no",(1+(Summary!$E$71*0.8)),1+HLOOKUP(YEAR(CALC!C36)-1,CCFMODEL!$I$127:$AF$128,2)*0.8)),FJ35)</f>
        <v>24.380513167883208</v>
      </c>
      <c r="FK36" s="832">
        <f t="shared" si="1"/>
        <v>459954.92012510373</v>
      </c>
      <c r="FL36" s="1412">
        <f>IF(MONTH(C36)=5,FL35*(IF(Summary!$E$70="no",(1+(Summary!$E$71*0.8)),1+HLOOKUP(YEAR(CALC!C36)-1,CCFMODEL!$I$127:$AF$128,2)*0.8)),+FL35)</f>
        <v>58.665936661800487</v>
      </c>
      <c r="FM36" s="1411">
        <f>IF(MONTH(C36)=5,FM35*(IF(Summary!$E$70="no",(1+(Summary!$E$71*0.8)),1+HLOOKUP(YEAR(CALC!C36)-1,CCFMODEL!$I$127:$AF$128,2)*0.8)),+FM35)</f>
        <v>27.999413878345496</v>
      </c>
      <c r="FN36" s="832">
        <f t="shared" si="2"/>
        <v>982067.77971854014</v>
      </c>
      <c r="FO36" s="194">
        <f t="shared" si="43"/>
        <v>1442022.6998436439</v>
      </c>
      <c r="FP36" s="263">
        <f t="shared" si="61"/>
        <v>12233.7</v>
      </c>
      <c r="FQ36" s="194">
        <f t="shared" si="61"/>
        <v>0</v>
      </c>
      <c r="FR36" s="194">
        <f t="shared" si="61"/>
        <v>2127.6</v>
      </c>
      <c r="FS36" s="194">
        <f t="shared" si="61"/>
        <v>0</v>
      </c>
      <c r="FT36" s="194">
        <f t="shared" si="61"/>
        <v>2127.6</v>
      </c>
      <c r="FU36" s="194">
        <f t="shared" si="61"/>
        <v>0</v>
      </c>
      <c r="FV36" s="257">
        <f t="shared" si="61"/>
        <v>0</v>
      </c>
      <c r="FW36" s="189">
        <f t="shared" si="4"/>
        <v>0</v>
      </c>
      <c r="FX36" s="189">
        <f t="shared" si="5"/>
        <v>0</v>
      </c>
      <c r="FY36" s="189">
        <f t="shared" si="6"/>
        <v>0</v>
      </c>
      <c r="FZ36" s="258">
        <f t="shared" si="7"/>
        <v>0</v>
      </c>
      <c r="GA36" s="1293">
        <f>(SUM(FP36:FV36)+SUM(GU36:HB36)/(1-Summary!$O$25))*CY36/1000</f>
        <v>203327.79282408959</v>
      </c>
      <c r="GB36" s="1369">
        <f>IF($C36&lt;Summary!$M$81,+Summary!$O$81,VLOOKUP(C36,GasTable,19))</f>
        <v>2.4</v>
      </c>
      <c r="GC36" s="1370">
        <f>IF(H36&lt;=Summary!$N$84,MIN(GA36,Summary!$O$75*(H36-G36+1)),0)</f>
        <v>155000</v>
      </c>
      <c r="GD36" s="1371">
        <f>IF(Summary!$O$75*(H36-G36+1)*0.8&gt;GC36,1,0)</f>
        <v>0</v>
      </c>
      <c r="GE36" s="1372">
        <v>0</v>
      </c>
      <c r="GF36" s="1370">
        <f t="shared" si="8"/>
        <v>48327.792824089585</v>
      </c>
      <c r="GG36" s="1371">
        <f>GF36*(IF(Summary!$O$74=1,VLOOKUP($C36,GasTable,16)+Summary!$O$92+Summary!$O$93,VLOOKUP($C36,GasTable,19)+Summary!$O$92+Summary!$O$93))</f>
        <v>136439.12406166617</v>
      </c>
      <c r="GH36" s="1373">
        <v>21669</v>
      </c>
      <c r="GI36" s="1466">
        <v>0</v>
      </c>
      <c r="GJ36" s="1374">
        <f t="shared" si="44"/>
        <v>530108.1240616662</v>
      </c>
      <c r="GK36" s="189">
        <f t="shared" si="9"/>
        <v>26035.973100000007</v>
      </c>
      <c r="GL36" s="266">
        <v>0.75682691292799986</v>
      </c>
      <c r="GM36" s="255">
        <f t="shared" si="10"/>
        <v>15221</v>
      </c>
      <c r="GN36" s="189">
        <f>IF(SUM(GU36:HB36)=0,0,IF(Summary!$O$16="Yes",SUM(GX36:HB36),IF(Summary!$O$17="Yes",SUM(GY36:HB36),SUM(GU36:HB36))))</f>
        <v>9547.0730999999996</v>
      </c>
      <c r="GO36" s="203">
        <v>5.7187930656934309</v>
      </c>
      <c r="GP36" s="258">
        <f t="shared" si="45"/>
        <v>54597.735441948287</v>
      </c>
      <c r="GQ36" s="189"/>
      <c r="GR36" s="189"/>
      <c r="GS36" s="189"/>
      <c r="GT36" s="189"/>
      <c r="GU36" s="268">
        <v>3935.1734999999994</v>
      </c>
      <c r="GV36" s="189">
        <v>684.37800000000027</v>
      </c>
      <c r="GW36" s="189">
        <v>684.37800000000027</v>
      </c>
      <c r="GX36" s="189"/>
      <c r="GY36" s="254">
        <v>3148.1388000000002</v>
      </c>
      <c r="GZ36" s="189">
        <v>547.50239999999997</v>
      </c>
      <c r="HA36" s="189">
        <v>547.50239999999997</v>
      </c>
      <c r="HB36" s="255"/>
      <c r="HC36" s="189">
        <v>9547.0730999999996</v>
      </c>
      <c r="HD36" s="189"/>
      <c r="HE36" s="189">
        <v>22276.5039</v>
      </c>
      <c r="HF36" s="189">
        <v>688227.90327080886</v>
      </c>
      <c r="HG36" s="189"/>
      <c r="HH36" s="203">
        <v>75.901539596225106</v>
      </c>
      <c r="HI36" s="189">
        <v>1690820.942831313</v>
      </c>
      <c r="HJ36" s="268">
        <f t="shared" si="11"/>
        <v>0</v>
      </c>
      <c r="HK36" s="189">
        <f t="shared" si="12"/>
        <v>0</v>
      </c>
      <c r="HL36" s="189">
        <f t="shared" si="13"/>
        <v>0</v>
      </c>
      <c r="HM36" s="255">
        <f t="shared" si="14"/>
        <v>0</v>
      </c>
      <c r="HN36" s="189">
        <f t="shared" si="15"/>
        <v>0</v>
      </c>
      <c r="HO36" s="203">
        <f t="shared" si="46"/>
        <v>0</v>
      </c>
      <c r="HP36" s="258">
        <f t="shared" si="16"/>
        <v>0</v>
      </c>
      <c r="HQ36" s="804">
        <v>2018</v>
      </c>
      <c r="HR36" s="268">
        <f t="shared" si="47"/>
        <v>203540.4</v>
      </c>
      <c r="HS36" s="38">
        <f t="shared" si="48"/>
        <v>102.24644362278295</v>
      </c>
      <c r="HT36" s="255">
        <f t="shared" si="17"/>
        <v>20811282.033558689</v>
      </c>
      <c r="HU36" s="254">
        <v>96514.407449999999</v>
      </c>
      <c r="HV36" s="203">
        <v>51.641955193038356</v>
      </c>
      <c r="HW36" s="189">
        <v>4984192.7050155476</v>
      </c>
      <c r="HX36" s="1021">
        <v>0</v>
      </c>
      <c r="HY36" s="258">
        <f t="shared" si="49"/>
        <v>25795474.738574237</v>
      </c>
      <c r="HZ36" s="268">
        <v>2345258.8572834744</v>
      </c>
      <c r="IA36" s="203">
        <v>-3.9554560021392531</v>
      </c>
      <c r="IB36" s="255">
        <v>-9276568.2236121651</v>
      </c>
      <c r="IC36" s="254">
        <v>300054.80744999996</v>
      </c>
      <c r="ID36" s="203">
        <f t="shared" si="50"/>
        <v>0</v>
      </c>
      <c r="IE36" s="255">
        <f t="shared" si="18"/>
        <v>0</v>
      </c>
      <c r="IF36" s="189">
        <f t="shared" si="19"/>
        <v>130545.10349999997</v>
      </c>
      <c r="IG36" s="203">
        <f t="shared" si="51"/>
        <v>-2.9949665647239678</v>
      </c>
      <c r="IH36" s="255">
        <v>-390978.22017092974</v>
      </c>
      <c r="II36" s="189">
        <f t="shared" si="20"/>
        <v>0</v>
      </c>
      <c r="IJ36" s="203">
        <f t="shared" si="52"/>
        <v>0</v>
      </c>
      <c r="IK36" s="189">
        <f t="shared" si="21"/>
        <v>0</v>
      </c>
      <c r="IL36" s="1182">
        <f t="shared" si="22"/>
        <v>16127928.294791142</v>
      </c>
      <c r="IN36" s="820"/>
      <c r="IO36" s="1307"/>
      <c r="IR36" s="223"/>
    </row>
    <row r="37" spans="1:252" ht="13.8" thickBot="1">
      <c r="A37" t="str">
        <f t="shared" si="23"/>
        <v>2001Q3</v>
      </c>
      <c r="B37">
        <f t="shared" si="24"/>
        <v>2001</v>
      </c>
      <c r="C37" s="49">
        <f t="shared" si="25"/>
        <v>37135</v>
      </c>
      <c r="D37" s="115">
        <f t="shared" si="26"/>
        <v>2001</v>
      </c>
      <c r="E37" s="10">
        <f t="shared" si="55"/>
        <v>9</v>
      </c>
      <c r="F37" s="248">
        <f t="shared" si="57"/>
        <v>37137</v>
      </c>
      <c r="G37" s="245">
        <v>37135</v>
      </c>
      <c r="H37" s="251">
        <v>37164</v>
      </c>
      <c r="I37" s="959">
        <f t="shared" si="53"/>
        <v>7.1499999999999994E-2</v>
      </c>
      <c r="J37" s="37">
        <f t="shared" si="27"/>
        <v>0.87824610202236397</v>
      </c>
      <c r="K37" s="1036" t="e">
        <f>IF(Summary!#REF!=1,+Summary!#REF!,I37+Summary!#REF!/10000)</f>
        <v>#REF!</v>
      </c>
      <c r="L37" s="37" t="e">
        <f t="shared" si="28"/>
        <v>#REF!</v>
      </c>
      <c r="M37" s="1004">
        <v>0</v>
      </c>
      <c r="N37" s="38">
        <f t="shared" si="58"/>
        <v>0</v>
      </c>
      <c r="O37" s="40">
        <f t="shared" si="58"/>
        <v>0</v>
      </c>
      <c r="P37" s="159">
        <f t="shared" si="60"/>
        <v>0</v>
      </c>
      <c r="Q37" s="38">
        <f t="shared" si="59"/>
        <v>0</v>
      </c>
      <c r="R37" s="40">
        <f t="shared" si="59"/>
        <v>0</v>
      </c>
      <c r="S37" s="38">
        <f t="shared" si="59"/>
        <v>0</v>
      </c>
      <c r="T37" s="38">
        <f t="shared" si="59"/>
        <v>0</v>
      </c>
      <c r="U37" s="38">
        <f t="shared" si="59"/>
        <v>0</v>
      </c>
      <c r="V37" s="159">
        <f t="shared" si="59"/>
        <v>0</v>
      </c>
      <c r="W37" s="38">
        <f t="shared" si="59"/>
        <v>0</v>
      </c>
      <c r="X37" s="39">
        <f t="shared" si="59"/>
        <v>0</v>
      </c>
      <c r="Y37" s="46">
        <v>0</v>
      </c>
      <c r="Z37" s="46">
        <v>0</v>
      </c>
      <c r="AA37" s="47">
        <v>0</v>
      </c>
      <c r="AB37" s="46">
        <v>0</v>
      </c>
      <c r="AC37" s="46">
        <v>0</v>
      </c>
      <c r="AD37" s="47">
        <v>0</v>
      </c>
      <c r="AE37" s="46">
        <v>0</v>
      </c>
      <c r="AF37" s="46">
        <v>0</v>
      </c>
      <c r="AG37" s="47">
        <v>0</v>
      </c>
      <c r="AH37" s="46">
        <v>0</v>
      </c>
      <c r="AI37" s="46">
        <v>0</v>
      </c>
      <c r="AJ37" s="47">
        <v>0</v>
      </c>
      <c r="AK37" s="46">
        <v>0</v>
      </c>
      <c r="AL37" s="46">
        <v>0</v>
      </c>
      <c r="AM37" s="47">
        <v>0</v>
      </c>
      <c r="AN37" s="46">
        <v>0</v>
      </c>
      <c r="AO37" s="46">
        <v>0</v>
      </c>
      <c r="AP37" s="47">
        <v>0</v>
      </c>
      <c r="AQ37" s="46">
        <v>0</v>
      </c>
      <c r="AR37" s="46">
        <v>0</v>
      </c>
      <c r="AS37" s="47">
        <v>0</v>
      </c>
      <c r="AT37" s="46">
        <v>0</v>
      </c>
      <c r="AU37" s="46">
        <v>0</v>
      </c>
      <c r="AV37" s="46">
        <v>0</v>
      </c>
      <c r="AW37" s="1545">
        <v>0</v>
      </c>
      <c r="AX37" s="10">
        <f t="shared" si="56"/>
        <v>19</v>
      </c>
      <c r="AY37" s="42">
        <f>IF(AND($E37=MONTH(Summary!$E$24),$D37=YEAR(Summary!$E$24)),Summary!$E$25,1)*IF(G37="",0,INT((H37-MOD(H37,7)-G37)/7)+1-IF(BA37,IF(WEEKDAY(F37)=7,1,0),0))</f>
        <v>5</v>
      </c>
      <c r="AZ37" s="42">
        <f>IF(AND($E37=MONTH(Summary!$E$24),$D37=YEAR(Summary!$E$24)),Summary!$E$25,1)*IF(G37="",0,INT((H37-MOD(H37-1,7)-G37)/7)+1-IF(BA37,IF(WEEKDAY(F37)=1,1,0),0))</f>
        <v>5</v>
      </c>
      <c r="BA37" s="42">
        <v>1</v>
      </c>
      <c r="BB37" s="10">
        <f>IF(AND($E37=MONTH(Summary!$E$24),$D37=YEAR(Summary!$E$24)),Summary!$E$25,1)*IF(G37="",0,H37-G37+1)</f>
        <v>30</v>
      </c>
      <c r="BC37" s="914">
        <f>Summary!$E$19</f>
        <v>1.4999999999999999E-2</v>
      </c>
      <c r="BD37" s="92">
        <v>13474.8</v>
      </c>
      <c r="BE37" s="97">
        <v>3546</v>
      </c>
      <c r="BF37" s="97">
        <v>4255.2</v>
      </c>
      <c r="BG37" s="173"/>
      <c r="BH37" s="1198">
        <v>1</v>
      </c>
      <c r="BI37" s="1198">
        <v>1</v>
      </c>
      <c r="BJ37" s="1198">
        <v>1</v>
      </c>
      <c r="BK37" s="1198">
        <v>1</v>
      </c>
      <c r="BL37" s="94">
        <v>2694.96</v>
      </c>
      <c r="BM37" s="97">
        <v>709.2</v>
      </c>
      <c r="BN37" s="97">
        <v>851.04</v>
      </c>
      <c r="BO37" s="173"/>
      <c r="BP37" s="1198">
        <v>1</v>
      </c>
      <c r="BQ37" s="1199">
        <v>1</v>
      </c>
      <c r="BR37" s="1199">
        <v>1</v>
      </c>
      <c r="BS37" s="1200">
        <v>1</v>
      </c>
      <c r="BT37" s="94">
        <f t="shared" si="29"/>
        <v>21276</v>
      </c>
      <c r="BU37" s="233">
        <f t="shared" si="30"/>
        <v>21276</v>
      </c>
      <c r="BV37" s="92">
        <f t="shared" si="31"/>
        <v>4255.2</v>
      </c>
      <c r="BW37" s="233">
        <f t="shared" si="32"/>
        <v>4255.2</v>
      </c>
      <c r="BX37" s="88">
        <v>1.7138945927446954</v>
      </c>
      <c r="BY37" s="90">
        <v>0</v>
      </c>
      <c r="BZ37" s="88">
        <v>0</v>
      </c>
      <c r="CA37" s="88">
        <v>0</v>
      </c>
      <c r="CB37" s="88">
        <v>0</v>
      </c>
      <c r="CC37" s="88">
        <v>0</v>
      </c>
      <c r="CD37" s="88">
        <v>0</v>
      </c>
      <c r="CE37" s="100">
        <v>0</v>
      </c>
      <c r="CF37" s="88">
        <v>0</v>
      </c>
      <c r="CG37" s="88">
        <v>0</v>
      </c>
      <c r="CH37" s="88">
        <v>0</v>
      </c>
      <c r="CI37" s="88">
        <v>0</v>
      </c>
      <c r="CJ37" s="228">
        <v>0</v>
      </c>
      <c r="CK37" s="88">
        <v>0</v>
      </c>
      <c r="CL37" s="88">
        <v>0</v>
      </c>
      <c r="CM37" s="88">
        <v>0</v>
      </c>
      <c r="CN37" s="88">
        <v>0</v>
      </c>
      <c r="CO37" s="88">
        <v>0</v>
      </c>
      <c r="CP37" s="88">
        <v>0</v>
      </c>
      <c r="CQ37" s="229">
        <v>0</v>
      </c>
      <c r="CR37" s="91">
        <v>0</v>
      </c>
      <c r="CS37" s="91">
        <v>0</v>
      </c>
      <c r="CT37" s="91">
        <v>0</v>
      </c>
      <c r="CU37" s="91">
        <v>0</v>
      </c>
      <c r="CV37" s="91">
        <v>0</v>
      </c>
      <c r="CW37" s="91">
        <v>0</v>
      </c>
      <c r="CX37" s="225">
        <v>0</v>
      </c>
      <c r="CY37" s="1265">
        <v>7708.9493600000005</v>
      </c>
      <c r="CZ37" s="90">
        <v>0</v>
      </c>
      <c r="DA37" s="88">
        <v>0</v>
      </c>
      <c r="DB37" s="88">
        <v>0</v>
      </c>
      <c r="DC37" s="88">
        <v>0</v>
      </c>
      <c r="DD37" s="88">
        <v>0</v>
      </c>
      <c r="DE37" s="152">
        <v>0</v>
      </c>
      <c r="DF37" s="230">
        <v>0</v>
      </c>
      <c r="DG37" s="38">
        <v>0</v>
      </c>
      <c r="DH37" s="1237">
        <v>0</v>
      </c>
      <c r="DI37" s="956">
        <v>0</v>
      </c>
      <c r="DJ37" s="956">
        <v>0</v>
      </c>
      <c r="DK37" s="956">
        <v>0</v>
      </c>
      <c r="DL37" s="152">
        <v>0</v>
      </c>
      <c r="DM37" s="160">
        <v>0</v>
      </c>
      <c r="DN37" s="160">
        <v>0</v>
      </c>
      <c r="DO37" s="160">
        <v>0</v>
      </c>
      <c r="DP37" s="160">
        <v>0</v>
      </c>
      <c r="DQ37" s="160">
        <v>0</v>
      </c>
      <c r="DR37" s="230">
        <v>0</v>
      </c>
      <c r="DS37" s="88">
        <v>0</v>
      </c>
      <c r="DT37" s="88">
        <v>0</v>
      </c>
      <c r="DU37" s="88">
        <v>0</v>
      </c>
      <c r="DV37" s="88">
        <v>0</v>
      </c>
      <c r="DW37" s="88">
        <v>0</v>
      </c>
      <c r="DX37" s="88">
        <v>0</v>
      </c>
      <c r="DY37" s="88">
        <v>0</v>
      </c>
      <c r="DZ37" s="88">
        <v>0</v>
      </c>
      <c r="EA37" s="88">
        <v>0</v>
      </c>
      <c r="EB37" s="152">
        <v>0</v>
      </c>
      <c r="EC37" s="52">
        <f t="shared" si="33"/>
        <v>0</v>
      </c>
      <c r="ED37" s="52">
        <f t="shared" si="33"/>
        <v>0</v>
      </c>
      <c r="EE37" s="52">
        <f t="shared" si="33"/>
        <v>0</v>
      </c>
      <c r="EF37" s="52">
        <f t="shared" si="33"/>
        <v>0</v>
      </c>
      <c r="EG37" s="52">
        <f t="shared" si="34"/>
        <v>0</v>
      </c>
      <c r="EH37" s="238">
        <v>0</v>
      </c>
      <c r="EI37" s="211">
        <v>0</v>
      </c>
      <c r="EJ37" s="211">
        <v>0</v>
      </c>
      <c r="EK37" s="211">
        <v>0</v>
      </c>
      <c r="EL37" s="217">
        <f>IF(C37&gt;=Summary!$E$26,MAX(0,SUM(EH37:EK37)),0)</f>
        <v>0</v>
      </c>
      <c r="EM37" s="52">
        <f>IF(C37&gt;=Summary!$E$26,DX37*BL37,0)</f>
        <v>0</v>
      </c>
      <c r="EN37" s="52">
        <f>IF(C37&gt;=Summary!$E$26,DY37*BM37,0)</f>
        <v>0</v>
      </c>
      <c r="EO37" s="52">
        <f>IF(C37&gt;=Summary!$E$26,DZ37*BN37,0)</f>
        <v>0</v>
      </c>
      <c r="EP37" s="52">
        <f>IF(C37&gt;=Summary!$E$26,EA37*BO37,0)</f>
        <v>0</v>
      </c>
      <c r="EQ37" s="52">
        <f>IF(C37&gt;=Summary!$E$26,DX37*BL37+DY37*BM37+DZ37*BN37+EA37*BO37,0)</f>
        <v>0</v>
      </c>
      <c r="ER37" s="826">
        <v>0</v>
      </c>
      <c r="ES37" s="278">
        <v>0</v>
      </c>
      <c r="ET37" s="278">
        <v>0</v>
      </c>
      <c r="EU37" s="278">
        <v>0</v>
      </c>
      <c r="EV37" s="212">
        <f>IF(C37&gt;=Summary!$E$26,MAX(0,SUM(ER37:EU37)),0)</f>
        <v>0</v>
      </c>
      <c r="EW37" s="52"/>
      <c r="EX37" s="1049">
        <f t="shared" si="35"/>
        <v>0</v>
      </c>
      <c r="EY37" s="1045" t="str">
        <f t="shared" si="36"/>
        <v/>
      </c>
      <c r="EZ37" s="1684" t="s">
        <v>525</v>
      </c>
      <c r="FA37" s="1046">
        <f t="shared" si="54"/>
        <v>45</v>
      </c>
      <c r="FB37" s="256">
        <f t="shared" si="37"/>
        <v>10106.1</v>
      </c>
      <c r="FC37" s="194">
        <f t="shared" si="38"/>
        <v>0</v>
      </c>
      <c r="FD37" s="194">
        <f t="shared" si="39"/>
        <v>2659.5</v>
      </c>
      <c r="FE37" s="194">
        <f t="shared" si="40"/>
        <v>0</v>
      </c>
      <c r="FF37" s="194">
        <f t="shared" si="41"/>
        <v>3191.4</v>
      </c>
      <c r="FG37" s="194">
        <f t="shared" si="42"/>
        <v>0</v>
      </c>
      <c r="FH37" s="257">
        <f>IF(EZ37="No",IF((OR(MONTH(C37)=5,MONTH(C37)=6,MONTH(C37)=7,MONTH(C37)=8,MONTH(C37)=9)),Summary!$O$15*12*(AX37+AY37+AZ37+BA37)*(1-$BC37),Summary!$O$15*13*(AX37+AY37+AZ37+BA37)*(1-$BC37)+IF(Summary!$O$16="Yes",(CALC!FA37+Summary!$O$15)*6*(AX37+AY37+AZ37+BA37)*(1-$BC37),0)),0)</f>
        <v>0</v>
      </c>
      <c r="FI37" s="1412">
        <f>IF(MONTH(C37)=5,FI36*(IF(Summary!$E$70="no",(1+(Summary!$E$71*0.8)),1+HLOOKUP(YEAR(C37)-1,CCFMODEL!$I$127:$AF$128,2)*0.8)),+FI36)</f>
        <v>27.894821372262776</v>
      </c>
      <c r="FJ37" s="1411">
        <f>IF(MONTH(C37)=5,FJ36*(IF(Summary!$E$70="no",(1+(Summary!$E$71*0.8)),1+HLOOKUP(YEAR(CALC!C37)-1,CCFMODEL!$I$127:$AF$128,2)*0.8)),FJ36)</f>
        <v>24.380513167883208</v>
      </c>
      <c r="FK37" s="832">
        <f t="shared" si="1"/>
        <v>445117.6646371971</v>
      </c>
      <c r="FL37" s="1412">
        <f>IF(MONTH(C37)=5,FL36*(IF(Summary!$E$70="no",(1+(Summary!$E$71*0.8)),1+HLOOKUP(YEAR(CALC!C37)-1,CCFMODEL!$I$127:$AF$128,2)*0.8)),+FL36)</f>
        <v>58.665936661800487</v>
      </c>
      <c r="FM37" s="1411">
        <f>IF(MONTH(C37)=5,FM36*(IF(Summary!$E$70="no",(1+(Summary!$E$71*0.8)),1+HLOOKUP(YEAR(CALC!C37)-1,CCFMODEL!$I$127:$AF$128,2)*0.8)),+FM36)</f>
        <v>27.999413878345496</v>
      </c>
      <c r="FN37" s="832">
        <f t="shared" si="2"/>
        <v>950388.17392116785</v>
      </c>
      <c r="FO37" s="194">
        <f t="shared" si="43"/>
        <v>1395505.8385583649</v>
      </c>
      <c r="FP37" s="263">
        <f t="shared" si="61"/>
        <v>10106.1</v>
      </c>
      <c r="FQ37" s="194">
        <f t="shared" si="61"/>
        <v>0</v>
      </c>
      <c r="FR37" s="194">
        <f t="shared" si="61"/>
        <v>2659.5</v>
      </c>
      <c r="FS37" s="194">
        <f t="shared" si="61"/>
        <v>0</v>
      </c>
      <c r="FT37" s="194">
        <f t="shared" si="61"/>
        <v>3191.4</v>
      </c>
      <c r="FU37" s="194">
        <f t="shared" si="61"/>
        <v>0</v>
      </c>
      <c r="FV37" s="257">
        <f t="shared" si="61"/>
        <v>0</v>
      </c>
      <c r="FW37" s="189">
        <f t="shared" si="4"/>
        <v>0</v>
      </c>
      <c r="FX37" s="189">
        <f t="shared" si="5"/>
        <v>0</v>
      </c>
      <c r="FY37" s="189">
        <f t="shared" si="6"/>
        <v>0</v>
      </c>
      <c r="FZ37" s="258">
        <f t="shared" si="7"/>
        <v>0</v>
      </c>
      <c r="GA37" s="1293">
        <f>(SUM(FP37:FV37)+SUM(GU37:HB37)/(1-Summary!$O$25))*CY37/1000</f>
        <v>196818.72790003198</v>
      </c>
      <c r="GB37" s="1369">
        <f>IF($C37&lt;Summary!$M$81,+Summary!$O$81,VLOOKUP(C37,GasTable,19))</f>
        <v>2.4</v>
      </c>
      <c r="GC37" s="1370">
        <f>IF(H37&lt;=Summary!$N$84,MIN(GA37,Summary!$O$75*(H37-G37+1)),0)</f>
        <v>150000</v>
      </c>
      <c r="GD37" s="1371">
        <f>IF(Summary!$O$75*(H37-G37+1)*0.8&gt;GC37,1,0)</f>
        <v>0</v>
      </c>
      <c r="GE37" s="1372">
        <v>0</v>
      </c>
      <c r="GF37" s="1370">
        <f t="shared" si="8"/>
        <v>46818.727900031983</v>
      </c>
      <c r="GG37" s="1371">
        <f>GF37*(IF(Summary!$O$74=1,VLOOKUP($C37,GasTable,16)+Summary!$O$92+Summary!$O$93,VLOOKUP($C37,GasTable,19)+Summary!$O$92+Summary!$O$93))</f>
        <v>132780.91336415883</v>
      </c>
      <c r="GH37" s="1373">
        <v>20790</v>
      </c>
      <c r="GI37" s="1466">
        <v>0</v>
      </c>
      <c r="GJ37" s="1374">
        <f t="shared" si="44"/>
        <v>513570.91336415883</v>
      </c>
      <c r="GK37" s="189">
        <f t="shared" si="9"/>
        <v>25196.102999999999</v>
      </c>
      <c r="GL37" s="266">
        <v>0.75701882715200008</v>
      </c>
      <c r="GM37" s="255">
        <f t="shared" si="10"/>
        <v>14730</v>
      </c>
      <c r="GN37" s="189">
        <f>IF(SUM(GU37:HB37)=0,0,IF(Summary!$O$16="Yes",SUM(GX37:HB37),IF(Summary!$O$17="Yes",SUM(GY37:HB37),SUM(GU37:HB37))))</f>
        <v>9239.1029999999992</v>
      </c>
      <c r="GO37" s="203">
        <v>5.7187930656934309</v>
      </c>
      <c r="GP37" s="258">
        <f t="shared" si="45"/>
        <v>52836.518169627372</v>
      </c>
      <c r="GQ37" s="189"/>
      <c r="GR37" s="189"/>
      <c r="GS37" s="189"/>
      <c r="GT37" s="189"/>
      <c r="GU37" s="268">
        <v>3250.7954999999988</v>
      </c>
      <c r="GV37" s="189">
        <v>855.47249999999997</v>
      </c>
      <c r="GW37" s="189">
        <v>1026.5669999999998</v>
      </c>
      <c r="GX37" s="189"/>
      <c r="GY37" s="254">
        <v>2600.6363999999999</v>
      </c>
      <c r="GZ37" s="189">
        <v>684.37800000000004</v>
      </c>
      <c r="HA37" s="189">
        <v>821.25359999999989</v>
      </c>
      <c r="HB37" s="255"/>
      <c r="HC37" s="189">
        <v>9239.1029999999992</v>
      </c>
      <c r="HD37" s="189"/>
      <c r="HE37" s="189">
        <v>21557.906999999999</v>
      </c>
      <c r="HF37" s="189">
        <v>540131.19104948605</v>
      </c>
      <c r="HG37" s="189"/>
      <c r="HH37" s="203">
        <v>60.679561952618165</v>
      </c>
      <c r="HI37" s="189">
        <v>1308124.3533752807</v>
      </c>
      <c r="HJ37" s="268">
        <f t="shared" si="11"/>
        <v>0</v>
      </c>
      <c r="HK37" s="189">
        <f t="shared" si="12"/>
        <v>0</v>
      </c>
      <c r="HL37" s="189">
        <f t="shared" si="13"/>
        <v>0</v>
      </c>
      <c r="HM37" s="255">
        <f t="shared" si="14"/>
        <v>0</v>
      </c>
      <c r="HN37" s="189">
        <f t="shared" si="15"/>
        <v>0</v>
      </c>
      <c r="HO37" s="203">
        <f t="shared" si="46"/>
        <v>0</v>
      </c>
      <c r="HP37" s="258">
        <f t="shared" si="16"/>
        <v>0</v>
      </c>
      <c r="HQ37" s="804">
        <v>2019</v>
      </c>
      <c r="HR37" s="268">
        <f t="shared" si="47"/>
        <v>203540.4</v>
      </c>
      <c r="HS37" s="38">
        <f t="shared" si="48"/>
        <v>104.70035826972973</v>
      </c>
      <c r="HT37" s="255">
        <f t="shared" si="17"/>
        <v>21310752.802364096</v>
      </c>
      <c r="HU37" s="254">
        <v>96514.407449999999</v>
      </c>
      <c r="HV37" s="203">
        <v>53.845878198015136</v>
      </c>
      <c r="HW37" s="189">
        <v>5196903.0279063042</v>
      </c>
      <c r="HX37" s="1021">
        <v>0</v>
      </c>
      <c r="HY37" s="258">
        <f t="shared" si="49"/>
        <v>26507655.830270402</v>
      </c>
      <c r="HZ37" s="268">
        <v>2352659.2666506069</v>
      </c>
      <c r="IA37" s="203">
        <v>-4.0502057166556149</v>
      </c>
      <c r="IB37" s="255">
        <v>-9528754.0111310948</v>
      </c>
      <c r="IC37" s="254">
        <v>300054.80744999996</v>
      </c>
      <c r="ID37" s="203">
        <f t="shared" si="50"/>
        <v>0</v>
      </c>
      <c r="IE37" s="255">
        <f t="shared" si="18"/>
        <v>0</v>
      </c>
      <c r="IF37" s="189">
        <f t="shared" si="19"/>
        <v>130545.10349999998</v>
      </c>
      <c r="IG37" s="203">
        <f t="shared" si="51"/>
        <v>-3.0848155616656863</v>
      </c>
      <c r="IH37" s="255">
        <v>-402707.56677605759</v>
      </c>
      <c r="II37" s="189">
        <f t="shared" si="20"/>
        <v>0</v>
      </c>
      <c r="IJ37" s="203">
        <f t="shared" si="52"/>
        <v>0</v>
      </c>
      <c r="IK37" s="189">
        <f t="shared" si="21"/>
        <v>0</v>
      </c>
      <c r="IL37" s="1182">
        <f t="shared" si="22"/>
        <v>16576194.252363252</v>
      </c>
      <c r="IN37" s="820"/>
      <c r="IO37" s="1307"/>
      <c r="IR37" s="223"/>
    </row>
    <row r="38" spans="1:252" ht="13.8" thickBot="1">
      <c r="A38" t="str">
        <f t="shared" si="23"/>
        <v>2001Q4</v>
      </c>
      <c r="B38">
        <f t="shared" si="24"/>
        <v>2001</v>
      </c>
      <c r="C38" s="49">
        <f t="shared" si="25"/>
        <v>37165</v>
      </c>
      <c r="D38" s="115">
        <f t="shared" si="26"/>
        <v>2001</v>
      </c>
      <c r="E38" s="10">
        <f t="shared" si="55"/>
        <v>10</v>
      </c>
      <c r="F38" s="248" t="str">
        <f t="shared" si="57"/>
        <v/>
      </c>
      <c r="G38" s="245">
        <v>37165</v>
      </c>
      <c r="H38" s="251">
        <v>37195</v>
      </c>
      <c r="I38" s="959">
        <f t="shared" si="53"/>
        <v>7.1499999999999994E-2</v>
      </c>
      <c r="J38" s="37">
        <f t="shared" si="27"/>
        <v>0.87302514823225308</v>
      </c>
      <c r="K38" s="1036" t="e">
        <f>IF(Summary!#REF!=1,+Summary!#REF!,I38+Summary!#REF!/10000)</f>
        <v>#REF!</v>
      </c>
      <c r="L38" s="37" t="e">
        <f t="shared" si="28"/>
        <v>#REF!</v>
      </c>
      <c r="M38" s="1004">
        <v>0</v>
      </c>
      <c r="N38" s="38">
        <f t="shared" si="58"/>
        <v>0</v>
      </c>
      <c r="O38" s="40">
        <f t="shared" si="58"/>
        <v>0</v>
      </c>
      <c r="P38" s="159">
        <f t="shared" si="60"/>
        <v>0</v>
      </c>
      <c r="Q38" s="38">
        <f t="shared" si="59"/>
        <v>0</v>
      </c>
      <c r="R38" s="40">
        <f t="shared" si="59"/>
        <v>0</v>
      </c>
      <c r="S38" s="38">
        <f t="shared" si="59"/>
        <v>0</v>
      </c>
      <c r="T38" s="38">
        <f t="shared" si="59"/>
        <v>0</v>
      </c>
      <c r="U38" s="38">
        <f t="shared" si="59"/>
        <v>0</v>
      </c>
      <c r="V38" s="159">
        <f t="shared" si="59"/>
        <v>0</v>
      </c>
      <c r="W38" s="38">
        <f t="shared" si="59"/>
        <v>0</v>
      </c>
      <c r="X38" s="39">
        <f t="shared" si="59"/>
        <v>0</v>
      </c>
      <c r="Y38" s="46">
        <v>0</v>
      </c>
      <c r="Z38" s="46">
        <v>0</v>
      </c>
      <c r="AA38" s="47">
        <v>0</v>
      </c>
      <c r="AB38" s="46">
        <v>0</v>
      </c>
      <c r="AC38" s="46">
        <v>0</v>
      </c>
      <c r="AD38" s="47">
        <v>0</v>
      </c>
      <c r="AE38" s="46">
        <v>0</v>
      </c>
      <c r="AF38" s="46">
        <v>0</v>
      </c>
      <c r="AG38" s="47">
        <v>0</v>
      </c>
      <c r="AH38" s="46">
        <v>0</v>
      </c>
      <c r="AI38" s="46">
        <v>0</v>
      </c>
      <c r="AJ38" s="47">
        <v>0</v>
      </c>
      <c r="AK38" s="46">
        <v>0</v>
      </c>
      <c r="AL38" s="46">
        <v>0</v>
      </c>
      <c r="AM38" s="47">
        <v>0</v>
      </c>
      <c r="AN38" s="46">
        <v>0</v>
      </c>
      <c r="AO38" s="46">
        <v>0</v>
      </c>
      <c r="AP38" s="47">
        <v>0</v>
      </c>
      <c r="AQ38" s="46">
        <v>0</v>
      </c>
      <c r="AR38" s="46">
        <v>0</v>
      </c>
      <c r="AS38" s="47">
        <v>0</v>
      </c>
      <c r="AT38" s="46">
        <v>0</v>
      </c>
      <c r="AU38" s="46">
        <v>0</v>
      </c>
      <c r="AV38" s="46">
        <v>0</v>
      </c>
      <c r="AW38" s="1545">
        <v>0</v>
      </c>
      <c r="AX38" s="10">
        <f t="shared" si="56"/>
        <v>23</v>
      </c>
      <c r="AY38" s="42">
        <f>IF(AND($E38=MONTH(Summary!$E$24),$D38=YEAR(Summary!$E$24)),Summary!$E$25,1)*IF(G38="",0,INT((H38-MOD(H38,7)-G38)/7)+1-IF(BA38,IF(WEEKDAY(F38)=7,1,0),0))</f>
        <v>4</v>
      </c>
      <c r="AZ38" s="42">
        <f>IF(AND($E38=MONTH(Summary!$E$24),$D38=YEAR(Summary!$E$24)),Summary!$E$25,1)*IF(G38="",0,INT((H38-MOD(H38-1,7)-G38)/7)+1-IF(BA38,IF(WEEKDAY(F38)=1,1,0),0))</f>
        <v>4</v>
      </c>
      <c r="BA38" s="42">
        <v>0</v>
      </c>
      <c r="BB38" s="10">
        <f>IF(AND($E38=MONTH(Summary!$E$24),$D38=YEAR(Summary!$E$24)),Summary!$E$25,1)*IF(G38="",0,H38-G38+1)</f>
        <v>31</v>
      </c>
      <c r="BC38" s="914">
        <f>Summary!$E$19</f>
        <v>1.4999999999999999E-2</v>
      </c>
      <c r="BD38" s="92">
        <v>16311.6</v>
      </c>
      <c r="BE38" s="97">
        <v>2836.8</v>
      </c>
      <c r="BF38" s="97">
        <v>2836.8</v>
      </c>
      <c r="BG38" s="173"/>
      <c r="BH38" s="1198">
        <v>1</v>
      </c>
      <c r="BI38" s="1198">
        <v>1</v>
      </c>
      <c r="BJ38" s="1198">
        <v>1</v>
      </c>
      <c r="BK38" s="1198">
        <v>1</v>
      </c>
      <c r="BL38" s="94">
        <v>3262.32</v>
      </c>
      <c r="BM38" s="97">
        <v>567.36</v>
      </c>
      <c r="BN38" s="97">
        <v>567.36</v>
      </c>
      <c r="BO38" s="173"/>
      <c r="BP38" s="1198">
        <v>1</v>
      </c>
      <c r="BQ38" s="1199">
        <v>1</v>
      </c>
      <c r="BR38" s="1199">
        <v>1</v>
      </c>
      <c r="BS38" s="1200">
        <v>1</v>
      </c>
      <c r="BT38" s="94">
        <f t="shared" si="29"/>
        <v>21985.200000000001</v>
      </c>
      <c r="BU38" s="233">
        <f t="shared" si="30"/>
        <v>21985.200000000001</v>
      </c>
      <c r="BV38" s="92">
        <f t="shared" si="31"/>
        <v>4397.04</v>
      </c>
      <c r="BW38" s="233">
        <f t="shared" si="32"/>
        <v>4397.04</v>
      </c>
      <c r="BX38" s="88">
        <v>1.7960301163586585</v>
      </c>
      <c r="BY38" s="90">
        <v>0</v>
      </c>
      <c r="BZ38" s="88">
        <v>0</v>
      </c>
      <c r="CA38" s="88">
        <v>0</v>
      </c>
      <c r="CB38" s="88">
        <v>0</v>
      </c>
      <c r="CC38" s="88">
        <v>0</v>
      </c>
      <c r="CD38" s="88">
        <v>0</v>
      </c>
      <c r="CE38" s="100">
        <v>0</v>
      </c>
      <c r="CF38" s="88">
        <v>0</v>
      </c>
      <c r="CG38" s="88">
        <v>0</v>
      </c>
      <c r="CH38" s="88">
        <v>0</v>
      </c>
      <c r="CI38" s="88">
        <v>0</v>
      </c>
      <c r="CJ38" s="228">
        <v>0</v>
      </c>
      <c r="CK38" s="88">
        <v>0</v>
      </c>
      <c r="CL38" s="88">
        <v>0</v>
      </c>
      <c r="CM38" s="88">
        <v>0</v>
      </c>
      <c r="CN38" s="88">
        <v>0</v>
      </c>
      <c r="CO38" s="88">
        <v>0</v>
      </c>
      <c r="CP38" s="88">
        <v>0</v>
      </c>
      <c r="CQ38" s="229">
        <v>0</v>
      </c>
      <c r="CR38" s="91">
        <v>0</v>
      </c>
      <c r="CS38" s="91">
        <v>0</v>
      </c>
      <c r="CT38" s="91">
        <v>0</v>
      </c>
      <c r="CU38" s="91">
        <v>0</v>
      </c>
      <c r="CV38" s="91">
        <v>0</v>
      </c>
      <c r="CW38" s="91">
        <v>0</v>
      </c>
      <c r="CX38" s="225">
        <v>0</v>
      </c>
      <c r="CY38" s="1265">
        <v>7710.9036799999994</v>
      </c>
      <c r="CZ38" s="90">
        <v>0</v>
      </c>
      <c r="DA38" s="88">
        <v>0</v>
      </c>
      <c r="DB38" s="88">
        <v>0</v>
      </c>
      <c r="DC38" s="88">
        <v>0</v>
      </c>
      <c r="DD38" s="88">
        <v>0</v>
      </c>
      <c r="DE38" s="152">
        <v>0</v>
      </c>
      <c r="DF38" s="230">
        <v>0</v>
      </c>
      <c r="DG38" s="38">
        <v>0</v>
      </c>
      <c r="DH38" s="1237">
        <v>0</v>
      </c>
      <c r="DI38" s="956">
        <v>0</v>
      </c>
      <c r="DJ38" s="956">
        <v>0</v>
      </c>
      <c r="DK38" s="956">
        <v>0</v>
      </c>
      <c r="DL38" s="152">
        <v>0</v>
      </c>
      <c r="DM38" s="160">
        <v>0</v>
      </c>
      <c r="DN38" s="160">
        <v>0</v>
      </c>
      <c r="DO38" s="160">
        <v>0</v>
      </c>
      <c r="DP38" s="160">
        <v>0</v>
      </c>
      <c r="DQ38" s="160">
        <v>0</v>
      </c>
      <c r="DR38" s="230">
        <v>0</v>
      </c>
      <c r="DS38" s="88">
        <v>0</v>
      </c>
      <c r="DT38" s="88">
        <v>0</v>
      </c>
      <c r="DU38" s="88">
        <v>0</v>
      </c>
      <c r="DV38" s="88">
        <v>0</v>
      </c>
      <c r="DW38" s="88">
        <v>0</v>
      </c>
      <c r="DX38" s="88">
        <v>0</v>
      </c>
      <c r="DY38" s="88">
        <v>0</v>
      </c>
      <c r="DZ38" s="88">
        <v>0</v>
      </c>
      <c r="EA38" s="88">
        <v>0</v>
      </c>
      <c r="EB38" s="152">
        <v>0</v>
      </c>
      <c r="EC38" s="52">
        <f t="shared" si="33"/>
        <v>0</v>
      </c>
      <c r="ED38" s="52">
        <f t="shared" si="33"/>
        <v>0</v>
      </c>
      <c r="EE38" s="52">
        <f t="shared" si="33"/>
        <v>0</v>
      </c>
      <c r="EF38" s="52">
        <f t="shared" si="33"/>
        <v>0</v>
      </c>
      <c r="EG38" s="52">
        <f t="shared" si="34"/>
        <v>0</v>
      </c>
      <c r="EH38" s="238">
        <v>0</v>
      </c>
      <c r="EI38" s="211">
        <v>0</v>
      </c>
      <c r="EJ38" s="211">
        <v>0</v>
      </c>
      <c r="EK38" s="211">
        <v>0</v>
      </c>
      <c r="EL38" s="217">
        <f>IF(C38&gt;=Summary!$E$26,MAX(0,SUM(EH38:EK38)),0)</f>
        <v>0</v>
      </c>
      <c r="EM38" s="52">
        <f>IF(C38&gt;=Summary!$E$26,DX38*BL38,0)</f>
        <v>0</v>
      </c>
      <c r="EN38" s="52">
        <f>IF(C38&gt;=Summary!$E$26,DY38*BM38,0)</f>
        <v>0</v>
      </c>
      <c r="EO38" s="52">
        <f>IF(C38&gt;=Summary!$E$26,DZ38*BN38,0)</f>
        <v>0</v>
      </c>
      <c r="EP38" s="52">
        <f>IF(C38&gt;=Summary!$E$26,EA38*BO38,0)</f>
        <v>0</v>
      </c>
      <c r="EQ38" s="52">
        <f>IF(C38&gt;=Summary!$E$26,DX38*BL38+DY38*BM38+DZ38*BN38+EA38*BO38,0)</f>
        <v>0</v>
      </c>
      <c r="ER38" s="826">
        <v>0</v>
      </c>
      <c r="ES38" s="278">
        <v>0</v>
      </c>
      <c r="ET38" s="278">
        <v>0</v>
      </c>
      <c r="EU38" s="278">
        <v>0</v>
      </c>
      <c r="EV38" s="212">
        <f>IF(C38&gt;=Summary!$E$26,MAX(0,SUM(ER38:EU38)),0)</f>
        <v>0</v>
      </c>
      <c r="EW38" s="52"/>
      <c r="EX38" s="1049">
        <f t="shared" si="35"/>
        <v>0</v>
      </c>
      <c r="EY38" s="1045" t="str">
        <f t="shared" si="36"/>
        <v/>
      </c>
      <c r="EZ38" s="1684" t="s">
        <v>525</v>
      </c>
      <c r="FA38" s="1046">
        <f t="shared" si="54"/>
        <v>45</v>
      </c>
      <c r="FB38" s="256">
        <f t="shared" si="37"/>
        <v>10194.75</v>
      </c>
      <c r="FC38" s="194">
        <f t="shared" si="38"/>
        <v>3058.4250000000002</v>
      </c>
      <c r="FD38" s="194">
        <f t="shared" si="39"/>
        <v>1773</v>
      </c>
      <c r="FE38" s="194">
        <f t="shared" si="40"/>
        <v>531.9</v>
      </c>
      <c r="FF38" s="194">
        <f t="shared" si="41"/>
        <v>1773</v>
      </c>
      <c r="FG38" s="194">
        <f t="shared" si="42"/>
        <v>531.9</v>
      </c>
      <c r="FH38" s="257">
        <f>IF(EZ38="No",IF((OR(MONTH(C38)=5,MONTH(C38)=6,MONTH(C38)=7,MONTH(C38)=8,MONTH(C38)=9)),Summary!$O$15*12*(AX38+AY38+AZ38+BA38)*(1-$BC38),Summary!$O$15*13*(AX38+AY38+AZ38+BA38)*(1-$BC38)+IF(Summary!$O$16="Yes",(CALC!FA38+Summary!$O$15)*6*(AX38+AY38+AZ38+BA38)*(1-$BC38),0)),0)</f>
        <v>0</v>
      </c>
      <c r="FI38" s="1412">
        <f>IF(MONTH(C38)=5,FI37*(IF(Summary!$E$70="no",(1+(Summary!$E$71*0.8)),1+HLOOKUP(YEAR(C38)-1,CCFMODEL!$I$127:$AF$128,2)*0.8)),+FI37)</f>
        <v>27.894821372262776</v>
      </c>
      <c r="FJ38" s="1411">
        <f>IF(MONTH(C38)=5,FJ37*(IF(Summary!$E$70="no",(1+(Summary!$E$71*0.8)),1+HLOOKUP(YEAR(CALC!C38)-1,CCFMODEL!$I$127:$AF$128,2)*0.8)),FJ37)</f>
        <v>24.380513167883208</v>
      </c>
      <c r="FK38" s="832">
        <f t="shared" si="1"/>
        <v>498284.49680219562</v>
      </c>
      <c r="FL38" s="1412">
        <f>IF(MONTH(C38)=5,FL37*(IF(Summary!$E$70="no",(1+(Summary!$E$71*0.8)),1+HLOOKUP(YEAR(CALC!C38)-1,CCFMODEL!$I$127:$AF$128,2)*0.8)),+FL37)</f>
        <v>58.665936661800487</v>
      </c>
      <c r="FM38" s="1411">
        <f>IF(MONTH(C38)=5,FM37*(IF(Summary!$E$70="no",(1+(Summary!$E$71*0.8)),1+HLOOKUP(YEAR(CALC!C38)-1,CCFMODEL!$I$127:$AF$128,2)*0.8)),+FM37)</f>
        <v>27.999413878345496</v>
      </c>
      <c r="FN38" s="832">
        <f t="shared" si="2"/>
        <v>507769.3706837956</v>
      </c>
      <c r="FO38" s="194">
        <f t="shared" si="43"/>
        <v>1006053.8674859912</v>
      </c>
      <c r="FP38" s="263">
        <f t="shared" si="61"/>
        <v>10194.75</v>
      </c>
      <c r="FQ38" s="194">
        <f t="shared" si="61"/>
        <v>3058.4250000000002</v>
      </c>
      <c r="FR38" s="194">
        <f t="shared" si="61"/>
        <v>1773</v>
      </c>
      <c r="FS38" s="194">
        <f t="shared" si="61"/>
        <v>531.9</v>
      </c>
      <c r="FT38" s="194">
        <f t="shared" si="61"/>
        <v>1773</v>
      </c>
      <c r="FU38" s="194">
        <f t="shared" si="61"/>
        <v>531.9</v>
      </c>
      <c r="FV38" s="257">
        <f t="shared" si="61"/>
        <v>0</v>
      </c>
      <c r="FW38" s="189">
        <f t="shared" si="4"/>
        <v>0</v>
      </c>
      <c r="FX38" s="189">
        <f t="shared" si="5"/>
        <v>0</v>
      </c>
      <c r="FY38" s="189">
        <f t="shared" si="6"/>
        <v>0</v>
      </c>
      <c r="FZ38" s="258">
        <f t="shared" si="7"/>
        <v>0</v>
      </c>
      <c r="GA38" s="1293">
        <f>(SUM(FP38:FV38)+SUM(GU38:HB38)/(1-Summary!$O$25))*CY38/1000</f>
        <v>235216.99142493116</v>
      </c>
      <c r="GB38" s="1369">
        <f>IF($C38&lt;Summary!$M$81,+Summary!$O$81,VLOOKUP(C38,GasTable,19))</f>
        <v>2.4</v>
      </c>
      <c r="GC38" s="1370">
        <f>IF(H38&lt;=Summary!$N$84,MIN(GA38,Summary!$O$75*(H38-G38+1)),0)</f>
        <v>155000</v>
      </c>
      <c r="GD38" s="1371">
        <f>IF(Summary!$O$75*(H38-G38+1)*0.8&gt;GC38,1,0)</f>
        <v>0</v>
      </c>
      <c r="GE38" s="1372">
        <v>0</v>
      </c>
      <c r="GF38" s="1370">
        <f t="shared" si="8"/>
        <v>80216.991424931155</v>
      </c>
      <c r="GG38" s="1371">
        <f>GF38*(IF(Summary!$O$74=1,VLOOKUP($C38,GasTable,16)+Summary!$O$92+Summary!$O$93,VLOOKUP($C38,GasTable,19)+Summary!$O$92+Summary!$O$93))</f>
        <v>235612.32338434891</v>
      </c>
      <c r="GH38" s="1373">
        <v>21421</v>
      </c>
      <c r="GI38" s="1466">
        <v>0</v>
      </c>
      <c r="GJ38" s="1374">
        <f t="shared" si="44"/>
        <v>629033.32338434889</v>
      </c>
      <c r="GK38" s="189">
        <f t="shared" si="9"/>
        <v>30062.012849999999</v>
      </c>
      <c r="GL38" s="266">
        <v>0.75721074137599997</v>
      </c>
      <c r="GM38" s="255">
        <f t="shared" si="10"/>
        <v>15221</v>
      </c>
      <c r="GN38" s="189">
        <f>IF(SUM(GU38:HB38)=0,0,IF(Summary!$O$16="Yes",SUM(GX38:HB38),IF(Summary!$O$17="Yes",SUM(GY38:HB38),SUM(GU38:HB38))))</f>
        <v>12199.037849999999</v>
      </c>
      <c r="GO38" s="203">
        <v>5.7187930656934309</v>
      </c>
      <c r="GP38" s="258">
        <f t="shared" si="45"/>
        <v>69763.773064711699</v>
      </c>
      <c r="GQ38" s="189"/>
      <c r="GR38" s="189"/>
      <c r="GS38" s="189"/>
      <c r="GT38" s="189"/>
      <c r="GU38" s="268">
        <v>5902.7602500000003</v>
      </c>
      <c r="GV38" s="189">
        <v>1026.5670000000002</v>
      </c>
      <c r="GW38" s="189">
        <v>1026.5670000000002</v>
      </c>
      <c r="GX38" s="189"/>
      <c r="GY38" s="254">
        <v>3148.1388000000002</v>
      </c>
      <c r="GZ38" s="189">
        <v>547.50239999999997</v>
      </c>
      <c r="HA38" s="189">
        <v>547.50239999999997</v>
      </c>
      <c r="HB38" s="255"/>
      <c r="HC38" s="189">
        <v>12199.037849999999</v>
      </c>
      <c r="HD38" s="189"/>
      <c r="HE38" s="189">
        <v>20950.521524999996</v>
      </c>
      <c r="HF38" s="189">
        <v>599401.99308409204</v>
      </c>
      <c r="HG38" s="189"/>
      <c r="HH38" s="203">
        <v>48.358041451298725</v>
      </c>
      <c r="HI38" s="189">
        <v>1013126.188332276</v>
      </c>
      <c r="HJ38" s="268">
        <f t="shared" si="11"/>
        <v>0</v>
      </c>
      <c r="HK38" s="189">
        <f t="shared" si="12"/>
        <v>0</v>
      </c>
      <c r="HL38" s="189">
        <f t="shared" si="13"/>
        <v>0</v>
      </c>
      <c r="HM38" s="255">
        <f t="shared" si="14"/>
        <v>0</v>
      </c>
      <c r="HN38" s="189">
        <f t="shared" si="15"/>
        <v>0</v>
      </c>
      <c r="HO38" s="203">
        <f t="shared" si="46"/>
        <v>0</v>
      </c>
      <c r="HP38" s="258">
        <f t="shared" si="16"/>
        <v>0</v>
      </c>
      <c r="HQ38" s="804">
        <v>2020</v>
      </c>
      <c r="HR38" s="268">
        <f t="shared" si="47"/>
        <v>204116.62499999997</v>
      </c>
      <c r="HS38" s="38">
        <f t="shared" si="48"/>
        <v>107.15415995461626</v>
      </c>
      <c r="HT38" s="255">
        <f t="shared" si="17"/>
        <v>21871945.484646421</v>
      </c>
      <c r="HU38" s="254">
        <v>97215.894899999985</v>
      </c>
      <c r="HV38" s="203">
        <v>53.84204060738859</v>
      </c>
      <c r="HW38" s="189">
        <v>5234302.1608894207</v>
      </c>
      <c r="HX38" s="1021">
        <v>0</v>
      </c>
      <c r="HY38" s="258">
        <f t="shared" si="49"/>
        <v>27106247.645535842</v>
      </c>
      <c r="HZ38" s="268">
        <v>2370185.4022114538</v>
      </c>
      <c r="IA38" s="203">
        <v>-4.1569701002924271</v>
      </c>
      <c r="IB38" s="255">
        <v>-9852789.8491425943</v>
      </c>
      <c r="IC38" s="254">
        <v>301332.51990000001</v>
      </c>
      <c r="ID38" s="203">
        <f t="shared" si="50"/>
        <v>0</v>
      </c>
      <c r="IE38" s="255">
        <f t="shared" si="18"/>
        <v>0</v>
      </c>
      <c r="IF38" s="189">
        <f t="shared" si="19"/>
        <v>130938.62084999999</v>
      </c>
      <c r="IG38" s="203">
        <f t="shared" si="51"/>
        <v>-3.1908352565498275</v>
      </c>
      <c r="IH38" s="255">
        <v>-417803.56785219029</v>
      </c>
      <c r="II38" s="189">
        <f t="shared" si="20"/>
        <v>0</v>
      </c>
      <c r="IJ38" s="203">
        <f t="shared" si="52"/>
        <v>0</v>
      </c>
      <c r="IK38" s="189">
        <f t="shared" si="21"/>
        <v>0</v>
      </c>
      <c r="IL38" s="1182">
        <f t="shared" si="22"/>
        <v>16835654.228541054</v>
      </c>
      <c r="IN38" s="820"/>
      <c r="IO38" s="1307"/>
      <c r="IR38" s="223"/>
    </row>
    <row r="39" spans="1:252" ht="13.8" thickBot="1">
      <c r="A39" t="str">
        <f t="shared" si="23"/>
        <v>2001Q4</v>
      </c>
      <c r="B39">
        <f t="shared" si="24"/>
        <v>2001</v>
      </c>
      <c r="C39" s="49">
        <f t="shared" si="25"/>
        <v>37196</v>
      </c>
      <c r="D39" s="115">
        <f t="shared" si="26"/>
        <v>2001</v>
      </c>
      <c r="E39" s="10">
        <f t="shared" si="55"/>
        <v>11</v>
      </c>
      <c r="F39" s="248">
        <f t="shared" si="57"/>
        <v>37217</v>
      </c>
      <c r="G39" s="245">
        <v>37196</v>
      </c>
      <c r="H39" s="251">
        <v>37225</v>
      </c>
      <c r="I39" s="959">
        <f t="shared" si="53"/>
        <v>7.1499999999999994E-2</v>
      </c>
      <c r="J39" s="37">
        <f t="shared" si="27"/>
        <v>0.86800216581011824</v>
      </c>
      <c r="K39" s="1036" t="e">
        <f>IF(Summary!#REF!=1,+Summary!#REF!,I39+Summary!#REF!/10000)</f>
        <v>#REF!</v>
      </c>
      <c r="L39" s="37" t="e">
        <f t="shared" si="28"/>
        <v>#REF!</v>
      </c>
      <c r="M39" s="1004">
        <v>0</v>
      </c>
      <c r="N39" s="38">
        <f t="shared" si="58"/>
        <v>0</v>
      </c>
      <c r="O39" s="40">
        <f t="shared" si="58"/>
        <v>0</v>
      </c>
      <c r="P39" s="159">
        <f t="shared" si="60"/>
        <v>0</v>
      </c>
      <c r="Q39" s="38">
        <f t="shared" ref="Q39:X48" si="62">P39</f>
        <v>0</v>
      </c>
      <c r="R39" s="40">
        <f t="shared" si="62"/>
        <v>0</v>
      </c>
      <c r="S39" s="38">
        <f t="shared" si="62"/>
        <v>0</v>
      </c>
      <c r="T39" s="38">
        <f t="shared" si="62"/>
        <v>0</v>
      </c>
      <c r="U39" s="38">
        <f t="shared" si="62"/>
        <v>0</v>
      </c>
      <c r="V39" s="159">
        <f t="shared" si="62"/>
        <v>0</v>
      </c>
      <c r="W39" s="38">
        <f t="shared" si="62"/>
        <v>0</v>
      </c>
      <c r="X39" s="39">
        <f t="shared" si="62"/>
        <v>0</v>
      </c>
      <c r="Y39" s="46">
        <v>0</v>
      </c>
      <c r="Z39" s="46">
        <v>0</v>
      </c>
      <c r="AA39" s="47">
        <v>0</v>
      </c>
      <c r="AB39" s="46">
        <v>0</v>
      </c>
      <c r="AC39" s="46">
        <v>0</v>
      </c>
      <c r="AD39" s="47">
        <v>0</v>
      </c>
      <c r="AE39" s="46">
        <v>0</v>
      </c>
      <c r="AF39" s="46">
        <v>0</v>
      </c>
      <c r="AG39" s="47">
        <v>0</v>
      </c>
      <c r="AH39" s="46">
        <v>0</v>
      </c>
      <c r="AI39" s="46">
        <v>0</v>
      </c>
      <c r="AJ39" s="47">
        <v>0</v>
      </c>
      <c r="AK39" s="46">
        <v>0</v>
      </c>
      <c r="AL39" s="46">
        <v>0</v>
      </c>
      <c r="AM39" s="47">
        <v>0</v>
      </c>
      <c r="AN39" s="46">
        <v>0</v>
      </c>
      <c r="AO39" s="46">
        <v>0</v>
      </c>
      <c r="AP39" s="47">
        <v>0</v>
      </c>
      <c r="AQ39" s="46">
        <v>0</v>
      </c>
      <c r="AR39" s="46">
        <v>0</v>
      </c>
      <c r="AS39" s="47">
        <v>0</v>
      </c>
      <c r="AT39" s="46">
        <v>0</v>
      </c>
      <c r="AU39" s="46">
        <v>0</v>
      </c>
      <c r="AV39" s="46">
        <v>0</v>
      </c>
      <c r="AW39" s="1545">
        <v>0</v>
      </c>
      <c r="AX39" s="10">
        <f t="shared" si="56"/>
        <v>21</v>
      </c>
      <c r="AY39" s="42">
        <f>IF(AND($E39=MONTH(Summary!$E$24),$D39=YEAR(Summary!$E$24)),Summary!$E$25,1)*IF(G39="",0,INT((H39-MOD(H39,7)-G39)/7)+1-IF(BA39,IF(WEEKDAY(F39)=7,1,0),0))</f>
        <v>4</v>
      </c>
      <c r="AZ39" s="42">
        <f>IF(AND($E39=MONTH(Summary!$E$24),$D39=YEAR(Summary!$E$24)),Summary!$E$25,1)*IF(G39="",0,INT((H39-MOD(H39-1,7)-G39)/7)+1-IF(BA39,IF(WEEKDAY(F39)=1,1,0),0))</f>
        <v>4</v>
      </c>
      <c r="BA39" s="42">
        <v>1</v>
      </c>
      <c r="BB39" s="10">
        <f>IF(AND($E39=MONTH(Summary!$E$24),$D39=YEAR(Summary!$E$24)),Summary!$E$25,1)*IF(G39="",0,H39-G39+1)</f>
        <v>30</v>
      </c>
      <c r="BC39" s="914">
        <f>Summary!$E$19</f>
        <v>1.4999999999999999E-2</v>
      </c>
      <c r="BD39" s="92">
        <v>14893.2</v>
      </c>
      <c r="BE39" s="97">
        <v>2836.8</v>
      </c>
      <c r="BF39" s="97">
        <v>3546</v>
      </c>
      <c r="BG39" s="173"/>
      <c r="BH39" s="1198">
        <v>1</v>
      </c>
      <c r="BI39" s="1198">
        <v>1</v>
      </c>
      <c r="BJ39" s="1198">
        <v>1</v>
      </c>
      <c r="BK39" s="1198">
        <v>1</v>
      </c>
      <c r="BL39" s="94">
        <v>2978.64</v>
      </c>
      <c r="BM39" s="97">
        <v>567.36</v>
      </c>
      <c r="BN39" s="97">
        <v>709.2</v>
      </c>
      <c r="BO39" s="173"/>
      <c r="BP39" s="1198">
        <v>1</v>
      </c>
      <c r="BQ39" s="1199">
        <v>1</v>
      </c>
      <c r="BR39" s="1199">
        <v>1</v>
      </c>
      <c r="BS39" s="1200">
        <v>1</v>
      </c>
      <c r="BT39" s="94">
        <f t="shared" si="29"/>
        <v>21276</v>
      </c>
      <c r="BU39" s="233">
        <f t="shared" si="30"/>
        <v>21276</v>
      </c>
      <c r="BV39" s="92">
        <f t="shared" si="31"/>
        <v>4255.2</v>
      </c>
      <c r="BW39" s="233">
        <f t="shared" si="32"/>
        <v>4255.2</v>
      </c>
      <c r="BX39" s="88">
        <v>1.8809034907597535</v>
      </c>
      <c r="BY39" s="90">
        <v>0</v>
      </c>
      <c r="BZ39" s="88">
        <v>0</v>
      </c>
      <c r="CA39" s="88">
        <v>0</v>
      </c>
      <c r="CB39" s="88">
        <v>0</v>
      </c>
      <c r="CC39" s="88">
        <v>0</v>
      </c>
      <c r="CD39" s="88">
        <v>0</v>
      </c>
      <c r="CE39" s="100">
        <v>0</v>
      </c>
      <c r="CF39" s="88">
        <v>0</v>
      </c>
      <c r="CG39" s="88">
        <v>0</v>
      </c>
      <c r="CH39" s="88">
        <v>0</v>
      </c>
      <c r="CI39" s="88">
        <v>0</v>
      </c>
      <c r="CJ39" s="228">
        <v>0</v>
      </c>
      <c r="CK39" s="88">
        <v>0</v>
      </c>
      <c r="CL39" s="88">
        <v>0</v>
      </c>
      <c r="CM39" s="88">
        <v>0</v>
      </c>
      <c r="CN39" s="88">
        <v>0</v>
      </c>
      <c r="CO39" s="88">
        <v>0</v>
      </c>
      <c r="CP39" s="88">
        <v>0</v>
      </c>
      <c r="CQ39" s="229">
        <v>0</v>
      </c>
      <c r="CR39" s="91">
        <v>0</v>
      </c>
      <c r="CS39" s="91">
        <v>0</v>
      </c>
      <c r="CT39" s="91">
        <v>0</v>
      </c>
      <c r="CU39" s="91">
        <v>0</v>
      </c>
      <c r="CV39" s="91">
        <v>0</v>
      </c>
      <c r="CW39" s="91">
        <v>0</v>
      </c>
      <c r="CX39" s="225">
        <v>0</v>
      </c>
      <c r="CY39" s="1265">
        <v>7712.8580000000002</v>
      </c>
      <c r="CZ39" s="90">
        <v>0</v>
      </c>
      <c r="DA39" s="88">
        <v>0</v>
      </c>
      <c r="DB39" s="88">
        <v>0</v>
      </c>
      <c r="DC39" s="88">
        <v>0</v>
      </c>
      <c r="DD39" s="88">
        <v>0</v>
      </c>
      <c r="DE39" s="152">
        <v>0</v>
      </c>
      <c r="DF39" s="230">
        <v>0</v>
      </c>
      <c r="DG39" s="38">
        <v>0</v>
      </c>
      <c r="DH39" s="1237">
        <v>0</v>
      </c>
      <c r="DI39" s="956">
        <v>0</v>
      </c>
      <c r="DJ39" s="956">
        <v>0</v>
      </c>
      <c r="DK39" s="956">
        <v>0</v>
      </c>
      <c r="DL39" s="152">
        <v>0</v>
      </c>
      <c r="DM39" s="160">
        <v>0</v>
      </c>
      <c r="DN39" s="160">
        <v>0</v>
      </c>
      <c r="DO39" s="160">
        <v>0</v>
      </c>
      <c r="DP39" s="160">
        <v>0</v>
      </c>
      <c r="DQ39" s="160">
        <v>0</v>
      </c>
      <c r="DR39" s="230">
        <v>0</v>
      </c>
      <c r="DS39" s="88">
        <v>0</v>
      </c>
      <c r="DT39" s="88">
        <v>0</v>
      </c>
      <c r="DU39" s="88">
        <v>0</v>
      </c>
      <c r="DV39" s="88">
        <v>0</v>
      </c>
      <c r="DW39" s="88">
        <v>0</v>
      </c>
      <c r="DX39" s="88">
        <v>0</v>
      </c>
      <c r="DY39" s="88">
        <v>0</v>
      </c>
      <c r="DZ39" s="88">
        <v>0</v>
      </c>
      <c r="EA39" s="88">
        <v>0</v>
      </c>
      <c r="EB39" s="152">
        <v>0</v>
      </c>
      <c r="EC39" s="52">
        <f t="shared" si="33"/>
        <v>0</v>
      </c>
      <c r="ED39" s="52">
        <f t="shared" si="33"/>
        <v>0</v>
      </c>
      <c r="EE39" s="52">
        <f t="shared" si="33"/>
        <v>0</v>
      </c>
      <c r="EF39" s="52">
        <f t="shared" si="33"/>
        <v>0</v>
      </c>
      <c r="EG39" s="52">
        <f t="shared" si="34"/>
        <v>0</v>
      </c>
      <c r="EH39" s="238">
        <v>0</v>
      </c>
      <c r="EI39" s="211">
        <v>0</v>
      </c>
      <c r="EJ39" s="211">
        <v>0</v>
      </c>
      <c r="EK39" s="211">
        <v>0</v>
      </c>
      <c r="EL39" s="217">
        <f>IF(C39&gt;=Summary!$E$26,MAX(0,SUM(EH39:EK39)),0)</f>
        <v>0</v>
      </c>
      <c r="EM39" s="52">
        <f>IF(C39&gt;=Summary!$E$26,DX39*BL39,0)</f>
        <v>0</v>
      </c>
      <c r="EN39" s="52">
        <f>IF(C39&gt;=Summary!$E$26,DY39*BM39,0)</f>
        <v>0</v>
      </c>
      <c r="EO39" s="52">
        <f>IF(C39&gt;=Summary!$E$26,DZ39*BN39,0)</f>
        <v>0</v>
      </c>
      <c r="EP39" s="52">
        <f>IF(C39&gt;=Summary!$E$26,EA39*BO39,0)</f>
        <v>0</v>
      </c>
      <c r="EQ39" s="52">
        <f>IF(C39&gt;=Summary!$E$26,DX39*BL39+DY39*BM39+DZ39*BN39+EA39*BO39,0)</f>
        <v>0</v>
      </c>
      <c r="ER39" s="826">
        <v>0</v>
      </c>
      <c r="ES39" s="278">
        <v>0</v>
      </c>
      <c r="ET39" s="278">
        <v>0</v>
      </c>
      <c r="EU39" s="278">
        <v>0</v>
      </c>
      <c r="EV39" s="212">
        <f>IF(C39&gt;=Summary!$E$26,MAX(0,SUM(ER39:EU39)),0)</f>
        <v>0</v>
      </c>
      <c r="EW39" s="52"/>
      <c r="EX39" s="1049">
        <f t="shared" si="35"/>
        <v>0</v>
      </c>
      <c r="EY39" s="1045" t="str">
        <f t="shared" si="36"/>
        <v/>
      </c>
      <c r="EZ39" s="1684" t="s">
        <v>525</v>
      </c>
      <c r="FA39" s="1046">
        <f t="shared" si="54"/>
        <v>45</v>
      </c>
      <c r="FB39" s="256">
        <f t="shared" si="37"/>
        <v>9308.25</v>
      </c>
      <c r="FC39" s="194">
        <f t="shared" si="38"/>
        <v>2792.4749999999999</v>
      </c>
      <c r="FD39" s="194">
        <f t="shared" si="39"/>
        <v>1773</v>
      </c>
      <c r="FE39" s="194">
        <f t="shared" si="40"/>
        <v>531.9</v>
      </c>
      <c r="FF39" s="194">
        <f t="shared" si="41"/>
        <v>2216.25</v>
      </c>
      <c r="FG39" s="194">
        <f t="shared" si="42"/>
        <v>664.875</v>
      </c>
      <c r="FH39" s="194">
        <f>IF(EZ39="No",IF((OR(MONTH(C39)=5,MONTH(C39)=6,MONTH(C39)=7,MONTH(C39)=8,MONTH(C39)=9)),Summary!$O$15*12*(AX39+AY39+AZ39+BA39)*(1-$BC39),Summary!$O$15*13*(AX39+AY39+AZ39+BA39)*(1-$BC39)+IF(Summary!$O$16="Yes",(CALC!FA39+Summary!$O$15)*6*(AX39+AY39+AZ39+BA39)*(1-$BC39),0)),0)</f>
        <v>0</v>
      </c>
      <c r="FI39" s="1412">
        <f>IF(MONTH(C39)=5,FI38*(IF(Summary!$E$70="no",(1+(Summary!$E$71*0.8)),1+HLOOKUP(YEAR(C39)-1,CCFMODEL!$I$127:$AF$128,2)*0.8)),+FI38)</f>
        <v>27.894821372262776</v>
      </c>
      <c r="FJ39" s="1411">
        <f>IF(MONTH(C39)=5,FJ38*(IF(Summary!$E$70="no",(1+(Summary!$E$71*0.8)),1+HLOOKUP(YEAR(CALC!C39)-1,CCFMODEL!$I$127:$AF$128,2)*0.8)),FJ38)</f>
        <v>24.380513167883208</v>
      </c>
      <c r="FK39" s="832">
        <f t="shared" si="1"/>
        <v>482210.80335696356</v>
      </c>
      <c r="FL39" s="1412">
        <f>IF(MONTH(C39)=5,FL38*(IF(Summary!$E$70="no",(1+(Summary!$E$71*0.8)),1+HLOOKUP(YEAR(CALC!C39)-1,CCFMODEL!$I$127:$AF$128,2)*0.8)),+FL38)</f>
        <v>58.665936661800487</v>
      </c>
      <c r="FM39" s="1411">
        <f>IF(MONTH(C39)=5,FM38*(IF(Summary!$E$70="no",(1+(Summary!$E$71*0.8)),1+HLOOKUP(YEAR(CALC!C39)-1,CCFMODEL!$I$127:$AF$128,2)*0.8)),+FM38)</f>
        <v>27.999413878345496</v>
      </c>
      <c r="FN39" s="832">
        <f t="shared" si="2"/>
        <v>491389.71356496349</v>
      </c>
      <c r="FO39" s="194">
        <f t="shared" si="43"/>
        <v>973600.51692192699</v>
      </c>
      <c r="FP39" s="263">
        <f t="shared" si="61"/>
        <v>9308.25</v>
      </c>
      <c r="FQ39" s="194">
        <f t="shared" si="61"/>
        <v>2792.4749999999999</v>
      </c>
      <c r="FR39" s="194">
        <f t="shared" si="61"/>
        <v>1773</v>
      </c>
      <c r="FS39" s="194">
        <f t="shared" si="61"/>
        <v>531.9</v>
      </c>
      <c r="FT39" s="194">
        <f t="shared" si="61"/>
        <v>2216.25</v>
      </c>
      <c r="FU39" s="194">
        <f t="shared" si="61"/>
        <v>664.875</v>
      </c>
      <c r="FV39" s="257">
        <f t="shared" si="61"/>
        <v>0</v>
      </c>
      <c r="FW39" s="189">
        <f t="shared" si="4"/>
        <v>0</v>
      </c>
      <c r="FX39" s="189">
        <f t="shared" si="5"/>
        <v>0</v>
      </c>
      <c r="FY39" s="189">
        <f t="shared" si="6"/>
        <v>0</v>
      </c>
      <c r="FZ39" s="258">
        <f t="shared" si="7"/>
        <v>0</v>
      </c>
      <c r="GA39" s="1293">
        <f>(SUM(FP39:FV39)+SUM(GU39:HB39)/(1-Summary!$O$25))*CY39/1000</f>
        <v>227687.03894609999</v>
      </c>
      <c r="GB39" s="1369">
        <f>IF($C39&lt;Summary!$M$81,+Summary!$O$81,VLOOKUP(C39,GasTable,19))</f>
        <v>2.4</v>
      </c>
      <c r="GC39" s="1370">
        <f>IF(H39&lt;=Summary!$N$84,MIN(GA39,Summary!$O$75*(H39-G39+1)),0)</f>
        <v>150000</v>
      </c>
      <c r="GD39" s="1371">
        <f>IF(Summary!$O$75*(H39-G39+1)*0.8&gt;GC39,1,0)</f>
        <v>0</v>
      </c>
      <c r="GE39" s="1372">
        <v>0</v>
      </c>
      <c r="GF39" s="1370">
        <f t="shared" si="8"/>
        <v>77687.038946099987</v>
      </c>
      <c r="GG39" s="1371">
        <f>GF39*(IF(Summary!$O$74=1,VLOOKUP($C39,GasTable,16)+Summary!$O$92+Summary!$O$93,VLOOKUP($C39,GasTable,19)+Summary!$O$92+Summary!$O$93))</f>
        <v>235913.30652534214</v>
      </c>
      <c r="GH39" s="1373">
        <v>21312</v>
      </c>
      <c r="GI39" s="1466">
        <v>0</v>
      </c>
      <c r="GJ39" s="1374">
        <f t="shared" si="44"/>
        <v>617225.30652534217</v>
      </c>
      <c r="GK39" s="189">
        <f t="shared" si="9"/>
        <v>29092.270500000002</v>
      </c>
      <c r="GL39" s="266">
        <v>0.75740265559999997</v>
      </c>
      <c r="GM39" s="255">
        <f t="shared" si="10"/>
        <v>14730</v>
      </c>
      <c r="GN39" s="189">
        <f>IF(SUM(GU39:HB39)=0,0,IF(Summary!$O$16="Yes",SUM(GX39:HB39),IF(Summary!$O$17="Yes",SUM(GY39:HB39),SUM(GU39:HB39))))</f>
        <v>11805.520500000001</v>
      </c>
      <c r="GO39" s="203">
        <v>5.7187930656934309</v>
      </c>
      <c r="GP39" s="258">
        <f t="shared" si="45"/>
        <v>67513.328772301655</v>
      </c>
      <c r="GQ39" s="189"/>
      <c r="GR39" s="189"/>
      <c r="GS39" s="189"/>
      <c r="GT39" s="189"/>
      <c r="GU39" s="268">
        <v>5389.4767500000007</v>
      </c>
      <c r="GV39" s="189">
        <v>1026.5670000000002</v>
      </c>
      <c r="GW39" s="189">
        <v>1283.20875</v>
      </c>
      <c r="GX39" s="189"/>
      <c r="GY39" s="254">
        <v>2874.3875999999996</v>
      </c>
      <c r="GZ39" s="189">
        <v>547.50239999999997</v>
      </c>
      <c r="HA39" s="189">
        <v>684.37800000000004</v>
      </c>
      <c r="HB39" s="255"/>
      <c r="HC39" s="189">
        <v>11805.520500000001</v>
      </c>
      <c r="HD39" s="189"/>
      <c r="HE39" s="189">
        <v>20274.698250000001</v>
      </c>
      <c r="HF39" s="189">
        <v>493679.37861564761</v>
      </c>
      <c r="HG39" s="189"/>
      <c r="HH39" s="203">
        <v>41.571501612631359</v>
      </c>
      <c r="HI39" s="189">
        <v>842849.65099548921</v>
      </c>
      <c r="HJ39" s="268">
        <f t="shared" si="11"/>
        <v>0</v>
      </c>
      <c r="HK39" s="189">
        <f t="shared" si="12"/>
        <v>0</v>
      </c>
      <c r="HL39" s="189">
        <f t="shared" si="13"/>
        <v>0</v>
      </c>
      <c r="HM39" s="255">
        <f t="shared" si="14"/>
        <v>0</v>
      </c>
      <c r="HN39" s="189">
        <f t="shared" si="15"/>
        <v>0</v>
      </c>
      <c r="HO39" s="203">
        <f t="shared" si="46"/>
        <v>0</v>
      </c>
      <c r="HP39" s="258">
        <f t="shared" si="16"/>
        <v>0</v>
      </c>
      <c r="HQ39" s="804">
        <v>2021</v>
      </c>
      <c r="HR39" s="268">
        <f t="shared" si="47"/>
        <v>203540.39999999997</v>
      </c>
      <c r="HS39" s="38">
        <f t="shared" si="48"/>
        <v>109.78628287304015</v>
      </c>
      <c r="HT39" s="255">
        <f t="shared" si="17"/>
        <v>22345943.930491738</v>
      </c>
      <c r="HU39" s="254">
        <v>95676.044400000013</v>
      </c>
      <c r="HV39" s="203">
        <v>55.457696978380213</v>
      </c>
      <c r="HW39" s="189">
        <v>5305973.0784252519</v>
      </c>
      <c r="HX39" s="1021">
        <v>0</v>
      </c>
      <c r="HY39" s="258">
        <f t="shared" si="49"/>
        <v>27651917.008916989</v>
      </c>
      <c r="HZ39" s="268">
        <v>2360686.8556207586</v>
      </c>
      <c r="IA39" s="203">
        <v>-4.2586015653077052</v>
      </c>
      <c r="IB39" s="255">
        <v>-10053224.738547888</v>
      </c>
      <c r="IC39" s="254">
        <v>299216.44439999998</v>
      </c>
      <c r="ID39" s="203">
        <f t="shared" si="50"/>
        <v>0</v>
      </c>
      <c r="IE39" s="255">
        <f t="shared" si="18"/>
        <v>0</v>
      </c>
      <c r="IF39" s="189">
        <f t="shared" si="19"/>
        <v>130545.1035</v>
      </c>
      <c r="IG39" s="203">
        <f t="shared" si="51"/>
        <v>-3.2442530044040661</v>
      </c>
      <c r="IH39" s="255">
        <v>-423521.34424011473</v>
      </c>
      <c r="II39" s="189">
        <f t="shared" si="20"/>
        <v>0</v>
      </c>
      <c r="IJ39" s="203">
        <f t="shared" si="52"/>
        <v>0</v>
      </c>
      <c r="IK39" s="189">
        <f t="shared" si="21"/>
        <v>0</v>
      </c>
      <c r="IL39" s="1182">
        <f t="shared" si="22"/>
        <v>17175170.926128987</v>
      </c>
      <c r="IN39" s="820"/>
      <c r="IO39" s="1307"/>
      <c r="IR39" s="223"/>
    </row>
    <row r="40" spans="1:252" ht="13.8" thickBot="1">
      <c r="A40" t="str">
        <f t="shared" si="23"/>
        <v>2001Q4</v>
      </c>
      <c r="B40">
        <f t="shared" si="24"/>
        <v>2001</v>
      </c>
      <c r="C40" s="49">
        <f t="shared" si="25"/>
        <v>37226</v>
      </c>
      <c r="D40" s="115">
        <f t="shared" si="26"/>
        <v>2001</v>
      </c>
      <c r="E40" s="10">
        <f t="shared" si="55"/>
        <v>12</v>
      </c>
      <c r="F40" s="248">
        <f t="shared" si="57"/>
        <v>37250</v>
      </c>
      <c r="G40" s="245">
        <v>37226</v>
      </c>
      <c r="H40" s="251">
        <v>37256</v>
      </c>
      <c r="I40" s="959">
        <f t="shared" si="53"/>
        <v>7.1499999999999994E-2</v>
      </c>
      <c r="J40" s="37">
        <f t="shared" si="27"/>
        <v>0.862842109663014</v>
      </c>
      <c r="K40" s="1036" t="e">
        <f>IF(Summary!#REF!=1,+Summary!#REF!,I40+Summary!#REF!/10000)</f>
        <v>#REF!</v>
      </c>
      <c r="L40" s="37" t="e">
        <f t="shared" si="28"/>
        <v>#REF!</v>
      </c>
      <c r="M40" s="1004">
        <v>0</v>
      </c>
      <c r="N40" s="38">
        <f t="shared" si="58"/>
        <v>0</v>
      </c>
      <c r="O40" s="40">
        <f t="shared" si="58"/>
        <v>0</v>
      </c>
      <c r="P40" s="159">
        <f t="shared" si="60"/>
        <v>0</v>
      </c>
      <c r="Q40" s="38">
        <f t="shared" si="62"/>
        <v>0</v>
      </c>
      <c r="R40" s="40">
        <f t="shared" si="62"/>
        <v>0</v>
      </c>
      <c r="S40" s="38">
        <f t="shared" si="62"/>
        <v>0</v>
      </c>
      <c r="T40" s="38">
        <f t="shared" si="62"/>
        <v>0</v>
      </c>
      <c r="U40" s="38">
        <f t="shared" si="62"/>
        <v>0</v>
      </c>
      <c r="V40" s="159">
        <f t="shared" si="62"/>
        <v>0</v>
      </c>
      <c r="W40" s="38">
        <f t="shared" si="62"/>
        <v>0</v>
      </c>
      <c r="X40" s="39">
        <f t="shared" si="62"/>
        <v>0</v>
      </c>
      <c r="Y40" s="46">
        <v>0</v>
      </c>
      <c r="Z40" s="46">
        <v>0</v>
      </c>
      <c r="AA40" s="47">
        <v>0</v>
      </c>
      <c r="AB40" s="46">
        <v>0</v>
      </c>
      <c r="AC40" s="46">
        <v>0</v>
      </c>
      <c r="AD40" s="47">
        <v>0</v>
      </c>
      <c r="AE40" s="46">
        <v>0</v>
      </c>
      <c r="AF40" s="46">
        <v>0</v>
      </c>
      <c r="AG40" s="47">
        <v>0</v>
      </c>
      <c r="AH40" s="46">
        <v>0</v>
      </c>
      <c r="AI40" s="46">
        <v>0</v>
      </c>
      <c r="AJ40" s="47">
        <v>0</v>
      </c>
      <c r="AK40" s="46">
        <v>0</v>
      </c>
      <c r="AL40" s="46">
        <v>0</v>
      </c>
      <c r="AM40" s="47">
        <v>0</v>
      </c>
      <c r="AN40" s="46">
        <v>0</v>
      </c>
      <c r="AO40" s="46">
        <v>0</v>
      </c>
      <c r="AP40" s="47">
        <v>0</v>
      </c>
      <c r="AQ40" s="46">
        <v>0</v>
      </c>
      <c r="AR40" s="46">
        <v>0</v>
      </c>
      <c r="AS40" s="47">
        <v>0</v>
      </c>
      <c r="AT40" s="46">
        <v>0</v>
      </c>
      <c r="AU40" s="46">
        <v>0</v>
      </c>
      <c r="AV40" s="46">
        <v>0</v>
      </c>
      <c r="AW40" s="1545">
        <v>0</v>
      </c>
      <c r="AX40" s="10">
        <f t="shared" si="56"/>
        <v>20</v>
      </c>
      <c r="AY40" s="42">
        <f>IF(AND($E40=MONTH(Summary!$E$24),$D40=YEAR(Summary!$E$24)),Summary!$E$25,1)*IF(G40="",0,INT((H40-MOD(H40,7)-G40)/7)+1-IF(BA40,IF(WEEKDAY(F40)=7,1,0),0))</f>
        <v>5</v>
      </c>
      <c r="AZ40" s="42">
        <f>IF(AND($E40=MONTH(Summary!$E$24),$D40=YEAR(Summary!$E$24)),Summary!$E$25,1)*IF(G40="",0,INT((H40-MOD(H40-1,7)-G40)/7)+1-IF(BA40,IF(WEEKDAY(F40)=1,1,0),0))</f>
        <v>5</v>
      </c>
      <c r="BA40" s="42">
        <v>1</v>
      </c>
      <c r="BB40" s="10">
        <f>IF(AND($E40=MONTH(Summary!$E$24),$D40=YEAR(Summary!$E$24)),Summary!$E$25,1)*IF(G40="",0,H40-G40+1)</f>
        <v>31</v>
      </c>
      <c r="BC40" s="914">
        <f>Summary!$E$19</f>
        <v>1.4999999999999999E-2</v>
      </c>
      <c r="BD40" s="92">
        <v>14184</v>
      </c>
      <c r="BE40" s="97">
        <v>3546</v>
      </c>
      <c r="BF40" s="97">
        <v>4255.2</v>
      </c>
      <c r="BG40" s="173"/>
      <c r="BH40" s="1198">
        <v>1</v>
      </c>
      <c r="BI40" s="1198">
        <v>1</v>
      </c>
      <c r="BJ40" s="1198">
        <v>1</v>
      </c>
      <c r="BK40" s="1198">
        <v>1</v>
      </c>
      <c r="BL40" s="94">
        <v>2836.8</v>
      </c>
      <c r="BM40" s="97">
        <v>709.2</v>
      </c>
      <c r="BN40" s="97">
        <v>851.04</v>
      </c>
      <c r="BO40" s="173"/>
      <c r="BP40" s="1198">
        <v>1</v>
      </c>
      <c r="BQ40" s="1199">
        <v>1</v>
      </c>
      <c r="BR40" s="1199">
        <v>1</v>
      </c>
      <c r="BS40" s="1200">
        <v>1</v>
      </c>
      <c r="BT40" s="94">
        <f t="shared" si="29"/>
        <v>21985.200000000001</v>
      </c>
      <c r="BU40" s="233">
        <f t="shared" si="30"/>
        <v>21985.200000000001</v>
      </c>
      <c r="BV40" s="92">
        <f t="shared" si="31"/>
        <v>4397.04</v>
      </c>
      <c r="BW40" s="233">
        <f t="shared" si="32"/>
        <v>4397.04</v>
      </c>
      <c r="BX40" s="88">
        <v>1.9630390143737166</v>
      </c>
      <c r="BY40" s="90">
        <v>0</v>
      </c>
      <c r="BZ40" s="88">
        <v>0</v>
      </c>
      <c r="CA40" s="88">
        <v>0</v>
      </c>
      <c r="CB40" s="88">
        <v>0</v>
      </c>
      <c r="CC40" s="88">
        <v>0</v>
      </c>
      <c r="CD40" s="88">
        <v>0</v>
      </c>
      <c r="CE40" s="100">
        <v>0</v>
      </c>
      <c r="CF40" s="88">
        <v>0</v>
      </c>
      <c r="CG40" s="88">
        <v>0</v>
      </c>
      <c r="CH40" s="88">
        <v>0</v>
      </c>
      <c r="CI40" s="88">
        <v>0</v>
      </c>
      <c r="CJ40" s="228">
        <v>0</v>
      </c>
      <c r="CK40" s="88">
        <v>0</v>
      </c>
      <c r="CL40" s="88">
        <v>0</v>
      </c>
      <c r="CM40" s="88">
        <v>0</v>
      </c>
      <c r="CN40" s="88">
        <v>0</v>
      </c>
      <c r="CO40" s="88">
        <v>0</v>
      </c>
      <c r="CP40" s="88">
        <v>0</v>
      </c>
      <c r="CQ40" s="229">
        <v>0</v>
      </c>
      <c r="CR40" s="91">
        <v>0</v>
      </c>
      <c r="CS40" s="91">
        <v>0</v>
      </c>
      <c r="CT40" s="91">
        <v>0</v>
      </c>
      <c r="CU40" s="91">
        <v>0</v>
      </c>
      <c r="CV40" s="91">
        <v>0</v>
      </c>
      <c r="CW40" s="91">
        <v>0</v>
      </c>
      <c r="CX40" s="225">
        <v>0</v>
      </c>
      <c r="CY40" s="1265">
        <v>7714.8123199999991</v>
      </c>
      <c r="CZ40" s="90">
        <v>0</v>
      </c>
      <c r="DA40" s="88">
        <v>0</v>
      </c>
      <c r="DB40" s="88">
        <v>0</v>
      </c>
      <c r="DC40" s="88">
        <v>0</v>
      </c>
      <c r="DD40" s="88">
        <v>0</v>
      </c>
      <c r="DE40" s="152">
        <v>0</v>
      </c>
      <c r="DF40" s="230">
        <v>0</v>
      </c>
      <c r="DG40" s="38">
        <v>0</v>
      </c>
      <c r="DH40" s="1237">
        <v>0</v>
      </c>
      <c r="DI40" s="956">
        <v>0</v>
      </c>
      <c r="DJ40" s="956">
        <v>0</v>
      </c>
      <c r="DK40" s="956">
        <v>0</v>
      </c>
      <c r="DL40" s="152">
        <v>0</v>
      </c>
      <c r="DM40" s="160">
        <v>0</v>
      </c>
      <c r="DN40" s="160">
        <v>0</v>
      </c>
      <c r="DO40" s="160">
        <v>0</v>
      </c>
      <c r="DP40" s="160">
        <v>0</v>
      </c>
      <c r="DQ40" s="160">
        <v>0</v>
      </c>
      <c r="DR40" s="230">
        <v>0</v>
      </c>
      <c r="DS40" s="88">
        <v>0</v>
      </c>
      <c r="DT40" s="88">
        <v>0</v>
      </c>
      <c r="DU40" s="88">
        <v>0</v>
      </c>
      <c r="DV40" s="88">
        <v>0</v>
      </c>
      <c r="DW40" s="88">
        <v>0</v>
      </c>
      <c r="DX40" s="88">
        <v>0</v>
      </c>
      <c r="DY40" s="88">
        <v>0</v>
      </c>
      <c r="DZ40" s="88">
        <v>0</v>
      </c>
      <c r="EA40" s="88">
        <v>0</v>
      </c>
      <c r="EB40" s="152">
        <v>0</v>
      </c>
      <c r="EC40" s="52">
        <f t="shared" si="33"/>
        <v>0</v>
      </c>
      <c r="ED40" s="52">
        <f t="shared" si="33"/>
        <v>0</v>
      </c>
      <c r="EE40" s="52">
        <f t="shared" si="33"/>
        <v>0</v>
      </c>
      <c r="EF40" s="52">
        <f t="shared" si="33"/>
        <v>0</v>
      </c>
      <c r="EG40" s="52">
        <f t="shared" si="34"/>
        <v>0</v>
      </c>
      <c r="EH40" s="238">
        <v>0</v>
      </c>
      <c r="EI40" s="211">
        <v>0</v>
      </c>
      <c r="EJ40" s="211">
        <v>0</v>
      </c>
      <c r="EK40" s="211">
        <v>0</v>
      </c>
      <c r="EL40" s="217">
        <f>IF(C40&gt;=Summary!$E$26,MAX(0,SUM(EH40:EK40)),0)</f>
        <v>0</v>
      </c>
      <c r="EM40" s="52">
        <f>IF(C40&gt;=Summary!$E$26,DX40*BL40,0)</f>
        <v>0</v>
      </c>
      <c r="EN40" s="52">
        <f>IF(C40&gt;=Summary!$E$26,DY40*BM40,0)</f>
        <v>0</v>
      </c>
      <c r="EO40" s="52">
        <f>IF(C40&gt;=Summary!$E$26,DZ40*BN40,0)</f>
        <v>0</v>
      </c>
      <c r="EP40" s="52">
        <f>IF(C40&gt;=Summary!$E$26,EA40*BO40,0)</f>
        <v>0</v>
      </c>
      <c r="EQ40" s="52">
        <f>IF(C40&gt;=Summary!$E$26,DX40*BL40+DY40*BM40+DZ40*BN40+EA40*BO40,0)</f>
        <v>0</v>
      </c>
      <c r="ER40" s="826">
        <v>0</v>
      </c>
      <c r="ES40" s="278">
        <v>0</v>
      </c>
      <c r="ET40" s="278">
        <v>0</v>
      </c>
      <c r="EU40" s="278">
        <v>0</v>
      </c>
      <c r="EV40" s="212">
        <f>IF(C40&gt;=Summary!$E$26,MAX(0,SUM(ER40:EU40)),0)</f>
        <v>0</v>
      </c>
      <c r="EW40" s="52"/>
      <c r="EX40" s="1049">
        <f t="shared" si="35"/>
        <v>0</v>
      </c>
      <c r="EY40" s="1045" t="str">
        <f t="shared" si="36"/>
        <v/>
      </c>
      <c r="EZ40" s="1684" t="s">
        <v>525</v>
      </c>
      <c r="FA40" s="1046">
        <f t="shared" si="54"/>
        <v>45</v>
      </c>
      <c r="FB40" s="256">
        <f t="shared" si="37"/>
        <v>8865</v>
      </c>
      <c r="FC40" s="194">
        <f t="shared" si="38"/>
        <v>2659.5</v>
      </c>
      <c r="FD40" s="194">
        <f t="shared" si="39"/>
        <v>2216.25</v>
      </c>
      <c r="FE40" s="194">
        <f t="shared" si="40"/>
        <v>664.875</v>
      </c>
      <c r="FF40" s="194">
        <f t="shared" si="41"/>
        <v>2659.5</v>
      </c>
      <c r="FG40" s="194">
        <f t="shared" si="42"/>
        <v>797.85</v>
      </c>
      <c r="FH40" s="257">
        <f>IF(EZ40="No",IF((OR(MONTH(C40)=5,MONTH(C40)=6,MONTH(C40)=7,MONTH(C40)=8,MONTH(C40)=9)),Summary!$O$15*12*(AX40+AY40+AZ40+BA40)*(1-$BC40),Summary!$O$15*13*(AX40+AY40+AZ40+BA40)*(1-$BC40)+IF(Summary!$O$16="Yes",(CALC!FA40+Summary!$O$15)*6*(AX40+AY40+AZ40+BA40)*(1-$BC40),0)),0)</f>
        <v>0</v>
      </c>
      <c r="FI40" s="1412">
        <f>IF(MONTH(C40)=5,FI39*(IF(Summary!$E$70="no",(1+(Summary!$E$71*0.8)),1+HLOOKUP(YEAR(C40)-1,CCFMODEL!$I$127:$AF$128,2)*0.8)),+FI39)</f>
        <v>27.894821372262776</v>
      </c>
      <c r="FJ40" s="1411">
        <f>IF(MONTH(C40)=5,FJ39*(IF(Summary!$E$70="no",(1+(Summary!$E$71*0.8)),1+HLOOKUP(YEAR(CALC!C40)-1,CCFMODEL!$I$127:$AF$128,2)*0.8)),FJ39)</f>
        <v>24.380513167883208</v>
      </c>
      <c r="FK40" s="832">
        <f t="shared" si="1"/>
        <v>498284.49680219562</v>
      </c>
      <c r="FL40" s="1412">
        <f>IF(MONTH(C40)=5,FL39*(IF(Summary!$E$70="no",(1+(Summary!$E$71*0.8)),1+HLOOKUP(YEAR(CALC!C40)-1,CCFMODEL!$I$127:$AF$128,2)*0.8)),+FL39)</f>
        <v>58.665936661800487</v>
      </c>
      <c r="FM40" s="1411">
        <f>IF(MONTH(C40)=5,FM39*(IF(Summary!$E$70="no",(1+(Summary!$E$71*0.8)),1+HLOOKUP(YEAR(CALC!C40)-1,CCFMODEL!$I$127:$AF$128,2)*0.8)),+FM39)</f>
        <v>27.999413878345496</v>
      </c>
      <c r="FN40" s="832">
        <f t="shared" si="2"/>
        <v>507769.3706837956</v>
      </c>
      <c r="FO40" s="194">
        <f t="shared" si="43"/>
        <v>1006053.8674859912</v>
      </c>
      <c r="FP40" s="263">
        <f t="shared" si="61"/>
        <v>8865</v>
      </c>
      <c r="FQ40" s="194">
        <f t="shared" si="61"/>
        <v>2659.5</v>
      </c>
      <c r="FR40" s="194">
        <f t="shared" si="61"/>
        <v>2216.25</v>
      </c>
      <c r="FS40" s="194">
        <f t="shared" si="61"/>
        <v>664.875</v>
      </c>
      <c r="FT40" s="194">
        <f t="shared" si="61"/>
        <v>2659.5</v>
      </c>
      <c r="FU40" s="194">
        <f t="shared" si="61"/>
        <v>797.85</v>
      </c>
      <c r="FV40" s="257">
        <f t="shared" si="61"/>
        <v>0</v>
      </c>
      <c r="FW40" s="189">
        <f t="shared" si="4"/>
        <v>0</v>
      </c>
      <c r="FX40" s="189">
        <f t="shared" si="5"/>
        <v>0</v>
      </c>
      <c r="FY40" s="189">
        <f t="shared" si="6"/>
        <v>0</v>
      </c>
      <c r="FZ40" s="258">
        <f t="shared" si="7"/>
        <v>0</v>
      </c>
      <c r="GA40" s="1293">
        <f>(SUM(FP40:FV40)+SUM(GU40:HB40)/(1-Summary!$O$25))*CY40/1000</f>
        <v>235336.22239700877</v>
      </c>
      <c r="GB40" s="1369">
        <f>IF($C40&lt;Summary!$M$81,+Summary!$O$81,VLOOKUP(C40,GasTable,19))</f>
        <v>2.4</v>
      </c>
      <c r="GC40" s="1370">
        <f>IF(H40&lt;=Summary!$N$84,MIN(GA40,Summary!$O$75*(H40-G40+1)),0)</f>
        <v>155000</v>
      </c>
      <c r="GD40" s="1371">
        <f>IF(Summary!$O$75*(H40-G40+1)*0.8&gt;GC40,1,0)</f>
        <v>0</v>
      </c>
      <c r="GE40" s="1372">
        <v>0</v>
      </c>
      <c r="GF40" s="1370">
        <f t="shared" si="8"/>
        <v>80336.222397008765</v>
      </c>
      <c r="GG40" s="1371">
        <f>GF40*(IF(Summary!$O$74=1,VLOOKUP($C40,GasTable,16)+Summary!$O$92+Summary!$O$93,VLOOKUP($C40,GasTable,19)+Summary!$O$92+Summary!$O$93))</f>
        <v>252453.225856684</v>
      </c>
      <c r="GH40" s="1373">
        <v>22506</v>
      </c>
      <c r="GI40" s="1466">
        <v>0</v>
      </c>
      <c r="GJ40" s="1374">
        <f t="shared" si="44"/>
        <v>646959.22585668403</v>
      </c>
      <c r="GK40" s="189">
        <f t="shared" si="9"/>
        <v>30062.012849999999</v>
      </c>
      <c r="GL40" s="266">
        <v>0.75759456982399997</v>
      </c>
      <c r="GM40" s="255">
        <f t="shared" si="10"/>
        <v>15221.000000000002</v>
      </c>
      <c r="GN40" s="189">
        <f>IF(SUM(GU40:HB40)=0,0,IF(Summary!$O$16="Yes",SUM(GX40:HB40),IF(Summary!$O$17="Yes",SUM(GY40:HB40),SUM(GU40:HB40))))</f>
        <v>12199.037850000001</v>
      </c>
      <c r="GO40" s="203">
        <v>5.7187930656934309</v>
      </c>
      <c r="GP40" s="258">
        <f t="shared" si="45"/>
        <v>69763.773064711699</v>
      </c>
      <c r="GQ40" s="189"/>
      <c r="GR40" s="189"/>
      <c r="GS40" s="189"/>
      <c r="GT40" s="189"/>
      <c r="GU40" s="268">
        <v>5132.835</v>
      </c>
      <c r="GV40" s="189">
        <v>1283.20875</v>
      </c>
      <c r="GW40" s="189">
        <v>1539.8504999999998</v>
      </c>
      <c r="GX40" s="189"/>
      <c r="GY40" s="254">
        <v>2737.5120000000002</v>
      </c>
      <c r="GZ40" s="189">
        <v>684.37800000000004</v>
      </c>
      <c r="HA40" s="189">
        <v>821.25359999999989</v>
      </c>
      <c r="HB40" s="255"/>
      <c r="HC40" s="189">
        <v>12199.037850000001</v>
      </c>
      <c r="HD40" s="189"/>
      <c r="HE40" s="189">
        <v>20950.521525</v>
      </c>
      <c r="HF40" s="189">
        <v>505511.15291754727</v>
      </c>
      <c r="HG40" s="189"/>
      <c r="HH40" s="203">
        <v>41.171215130915776</v>
      </c>
      <c r="HI40" s="189">
        <v>862558.42881065665</v>
      </c>
      <c r="HJ40" s="268">
        <f t="shared" si="11"/>
        <v>0</v>
      </c>
      <c r="HK40" s="189">
        <f t="shared" si="12"/>
        <v>0</v>
      </c>
      <c r="HL40" s="189">
        <f t="shared" si="13"/>
        <v>0</v>
      </c>
      <c r="HM40" s="255">
        <f t="shared" si="14"/>
        <v>0</v>
      </c>
      <c r="HN40" s="189">
        <f t="shared" si="15"/>
        <v>0</v>
      </c>
      <c r="HO40" s="203">
        <f t="shared" si="46"/>
        <v>0</v>
      </c>
      <c r="HP40" s="258">
        <f t="shared" si="16"/>
        <v>0</v>
      </c>
      <c r="HQ40" s="804">
        <v>2022</v>
      </c>
      <c r="HR40" s="1175">
        <f t="shared" si="47"/>
        <v>203540.39999999997</v>
      </c>
      <c r="HS40" s="1176">
        <f t="shared" si="48"/>
        <v>112.42115366199313</v>
      </c>
      <c r="HT40" s="1177">
        <f t="shared" si="17"/>
        <v>22882246.584823541</v>
      </c>
      <c r="HU40" s="1178">
        <v>20890.638449999999</v>
      </c>
      <c r="HV40" s="1179">
        <v>56.206874309111512</v>
      </c>
      <c r="HW40" s="1180">
        <v>1174197.4895962421</v>
      </c>
      <c r="HX40" s="1021">
        <v>0</v>
      </c>
      <c r="HY40" s="1181">
        <f t="shared" si="49"/>
        <v>24056444.074419782</v>
      </c>
      <c r="HZ40" s="1175">
        <v>1761866.7263389726</v>
      </c>
      <c r="IA40" s="1179">
        <v>-4.7653113768867037</v>
      </c>
      <c r="IB40" s="255">
        <v>-8395843.5555812381</v>
      </c>
      <c r="IC40" s="1178">
        <v>224431.03845000002</v>
      </c>
      <c r="ID40" s="1179">
        <f t="shared" si="50"/>
        <v>0</v>
      </c>
      <c r="IE40" s="1177">
        <f t="shared" si="18"/>
        <v>0</v>
      </c>
      <c r="IF40" s="1180">
        <f t="shared" si="19"/>
        <v>25681.284450000003</v>
      </c>
      <c r="IG40" s="1179">
        <f t="shared" si="51"/>
        <v>-3.7088928532904464</v>
      </c>
      <c r="IH40" s="1177">
        <v>-95249.132359924086</v>
      </c>
      <c r="II40" s="1180">
        <f t="shared" si="20"/>
        <v>0</v>
      </c>
      <c r="IJ40" s="1179">
        <f t="shared" si="52"/>
        <v>0</v>
      </c>
      <c r="IK40" s="1180">
        <f t="shared" si="21"/>
        <v>0</v>
      </c>
      <c r="IL40" s="1183">
        <f t="shared" si="22"/>
        <v>15565351.38647862</v>
      </c>
      <c r="IN40" s="820"/>
      <c r="IO40" s="1307"/>
      <c r="IR40" s="223"/>
    </row>
    <row r="41" spans="1:252" ht="13.8" thickBot="1">
      <c r="A41" t="str">
        <f t="shared" si="23"/>
        <v>2002Q1</v>
      </c>
      <c r="B41">
        <f t="shared" si="24"/>
        <v>2002</v>
      </c>
      <c r="C41" s="49">
        <f t="shared" si="25"/>
        <v>37257</v>
      </c>
      <c r="D41" s="115">
        <f t="shared" si="26"/>
        <v>2002</v>
      </c>
      <c r="E41" s="10">
        <f t="shared" si="55"/>
        <v>1</v>
      </c>
      <c r="F41" s="248">
        <f t="shared" si="57"/>
        <v>37257</v>
      </c>
      <c r="G41" s="245">
        <v>37257</v>
      </c>
      <c r="H41" s="251">
        <v>37287</v>
      </c>
      <c r="I41" s="959">
        <f t="shared" si="53"/>
        <v>7.1499999999999994E-2</v>
      </c>
      <c r="J41" s="37">
        <f t="shared" si="27"/>
        <v>0.85771272876130644</v>
      </c>
      <c r="K41" s="1036" t="e">
        <f>IF(Summary!#REF!=1,+Summary!#REF!,I41+Summary!#REF!/10000)</f>
        <v>#REF!</v>
      </c>
      <c r="L41" s="37" t="e">
        <f t="shared" si="28"/>
        <v>#REF!</v>
      </c>
      <c r="M41" s="1004">
        <v>0</v>
      </c>
      <c r="N41" s="38">
        <f t="shared" si="58"/>
        <v>0</v>
      </c>
      <c r="O41" s="40">
        <f t="shared" si="58"/>
        <v>0</v>
      </c>
      <c r="P41" s="159">
        <f t="shared" si="60"/>
        <v>0</v>
      </c>
      <c r="Q41" s="38">
        <f t="shared" si="62"/>
        <v>0</v>
      </c>
      <c r="R41" s="40">
        <f t="shared" si="62"/>
        <v>0</v>
      </c>
      <c r="S41" s="38">
        <f t="shared" si="62"/>
        <v>0</v>
      </c>
      <c r="T41" s="38">
        <f t="shared" si="62"/>
        <v>0</v>
      </c>
      <c r="U41" s="38">
        <f t="shared" si="62"/>
        <v>0</v>
      </c>
      <c r="V41" s="159">
        <f t="shared" si="62"/>
        <v>0</v>
      </c>
      <c r="W41" s="38">
        <f t="shared" si="62"/>
        <v>0</v>
      </c>
      <c r="X41" s="39">
        <f t="shared" si="62"/>
        <v>0</v>
      </c>
      <c r="Y41" s="46">
        <v>0</v>
      </c>
      <c r="Z41" s="46">
        <v>0</v>
      </c>
      <c r="AA41" s="47">
        <v>0</v>
      </c>
      <c r="AB41" s="46">
        <v>0</v>
      </c>
      <c r="AC41" s="46">
        <v>0</v>
      </c>
      <c r="AD41" s="47">
        <v>0</v>
      </c>
      <c r="AE41" s="46">
        <v>0</v>
      </c>
      <c r="AF41" s="46">
        <v>0</v>
      </c>
      <c r="AG41" s="47">
        <v>0</v>
      </c>
      <c r="AH41" s="46">
        <v>0</v>
      </c>
      <c r="AI41" s="46">
        <v>0</v>
      </c>
      <c r="AJ41" s="47">
        <v>0</v>
      </c>
      <c r="AK41" s="46">
        <v>0</v>
      </c>
      <c r="AL41" s="46">
        <v>0</v>
      </c>
      <c r="AM41" s="47">
        <v>0</v>
      </c>
      <c r="AN41" s="46">
        <v>0</v>
      </c>
      <c r="AO41" s="46">
        <v>0</v>
      </c>
      <c r="AP41" s="47">
        <v>0</v>
      </c>
      <c r="AQ41" s="46">
        <v>0</v>
      </c>
      <c r="AR41" s="46">
        <v>0</v>
      </c>
      <c r="AS41" s="47">
        <v>0</v>
      </c>
      <c r="AT41" s="46">
        <v>0</v>
      </c>
      <c r="AU41" s="46">
        <v>0</v>
      </c>
      <c r="AV41" s="46">
        <v>0</v>
      </c>
      <c r="AW41" s="1545">
        <v>0</v>
      </c>
      <c r="AX41" s="10">
        <f t="shared" si="56"/>
        <v>22</v>
      </c>
      <c r="AY41" s="42">
        <f>IF(AND($E41=MONTH(Summary!$E$24),$D41=YEAR(Summary!$E$24)),Summary!$E$25,1)*IF(G41="",0,INT((H41-MOD(H41,7)-G41)/7)+1-IF(BA41,IF(WEEKDAY(F41)=7,1,0),0))</f>
        <v>4</v>
      </c>
      <c r="AZ41" s="42">
        <f>IF(AND($E41=MONTH(Summary!$E$24),$D41=YEAR(Summary!$E$24)),Summary!$E$25,1)*IF(G41="",0,INT((H41-MOD(H41-1,7)-G41)/7)+1-IF(BA41,IF(WEEKDAY(F41)=1,1,0),0))</f>
        <v>4</v>
      </c>
      <c r="BA41" s="42">
        <v>1</v>
      </c>
      <c r="BB41" s="10">
        <f>IF(AND($E41=MONTH(Summary!$E$24),$D41=YEAR(Summary!$E$24)),Summary!$E$25,1)*IF(G41="",0,H41-G41+1)</f>
        <v>31</v>
      </c>
      <c r="BC41" s="914">
        <f>Summary!$E$19</f>
        <v>1.4999999999999999E-2</v>
      </c>
      <c r="BD41" s="113">
        <v>15602.4</v>
      </c>
      <c r="BE41" s="171">
        <v>2836.8</v>
      </c>
      <c r="BF41" s="171">
        <v>3546</v>
      </c>
      <c r="BG41" s="174"/>
      <c r="BH41" s="1198">
        <v>1</v>
      </c>
      <c r="BI41" s="1198">
        <v>1</v>
      </c>
      <c r="BJ41" s="1198">
        <v>1</v>
      </c>
      <c r="BK41" s="1198">
        <v>1</v>
      </c>
      <c r="BL41" s="95">
        <v>3120.48</v>
      </c>
      <c r="BM41" s="171">
        <v>567.36</v>
      </c>
      <c r="BN41" s="171">
        <v>709.2</v>
      </c>
      <c r="BO41" s="174"/>
      <c r="BP41" s="1198">
        <v>1</v>
      </c>
      <c r="BQ41" s="1199">
        <v>1</v>
      </c>
      <c r="BR41" s="1199">
        <v>1</v>
      </c>
      <c r="BS41" s="1200">
        <v>1</v>
      </c>
      <c r="BT41" s="94">
        <f t="shared" si="29"/>
        <v>21985.200000000001</v>
      </c>
      <c r="BU41" s="233">
        <f t="shared" si="30"/>
        <v>21985.200000000001</v>
      </c>
      <c r="BV41" s="92">
        <f t="shared" si="31"/>
        <v>4397.04</v>
      </c>
      <c r="BW41" s="233">
        <f t="shared" si="32"/>
        <v>4397.04</v>
      </c>
      <c r="BX41" s="88">
        <v>2.0479123887748116</v>
      </c>
      <c r="BY41" s="90">
        <v>0</v>
      </c>
      <c r="BZ41" s="88">
        <v>0</v>
      </c>
      <c r="CA41" s="88">
        <v>0</v>
      </c>
      <c r="CB41" s="88">
        <v>0</v>
      </c>
      <c r="CC41" s="88">
        <v>0</v>
      </c>
      <c r="CD41" s="88">
        <v>0</v>
      </c>
      <c r="CE41" s="100">
        <v>0</v>
      </c>
      <c r="CF41" s="88">
        <v>0</v>
      </c>
      <c r="CG41" s="88">
        <v>0</v>
      </c>
      <c r="CH41" s="88">
        <v>0</v>
      </c>
      <c r="CI41" s="88">
        <v>0</v>
      </c>
      <c r="CJ41" s="228">
        <v>0</v>
      </c>
      <c r="CK41" s="88">
        <v>0</v>
      </c>
      <c r="CL41" s="88">
        <v>0</v>
      </c>
      <c r="CM41" s="88">
        <v>0</v>
      </c>
      <c r="CN41" s="88">
        <v>0</v>
      </c>
      <c r="CO41" s="88">
        <v>0</v>
      </c>
      <c r="CP41" s="88">
        <v>0</v>
      </c>
      <c r="CQ41" s="229">
        <v>0</v>
      </c>
      <c r="CR41" s="91">
        <v>0</v>
      </c>
      <c r="CS41" s="91">
        <v>0</v>
      </c>
      <c r="CT41" s="91">
        <v>0</v>
      </c>
      <c r="CU41" s="91">
        <v>0</v>
      </c>
      <c r="CV41" s="91">
        <v>0</v>
      </c>
      <c r="CW41" s="91">
        <v>0</v>
      </c>
      <c r="CX41" s="225">
        <v>0</v>
      </c>
      <c r="CY41" s="1265">
        <v>7716.7666399999998</v>
      </c>
      <c r="CZ41" s="90">
        <v>0</v>
      </c>
      <c r="DA41" s="88">
        <v>0</v>
      </c>
      <c r="DB41" s="88">
        <v>0</v>
      </c>
      <c r="DC41" s="88">
        <v>0</v>
      </c>
      <c r="DD41" s="88">
        <v>0</v>
      </c>
      <c r="DE41" s="152">
        <v>0</v>
      </c>
      <c r="DF41" s="230">
        <v>0</v>
      </c>
      <c r="DG41" s="38">
        <v>0</v>
      </c>
      <c r="DH41" s="1237">
        <v>0</v>
      </c>
      <c r="DI41" s="956">
        <v>0</v>
      </c>
      <c r="DJ41" s="956">
        <v>0</v>
      </c>
      <c r="DK41" s="956">
        <v>0</v>
      </c>
      <c r="DL41" s="152">
        <v>0</v>
      </c>
      <c r="DM41" s="160">
        <v>0</v>
      </c>
      <c r="DN41" s="160">
        <v>0</v>
      </c>
      <c r="DO41" s="160">
        <v>0</v>
      </c>
      <c r="DP41" s="160">
        <v>0</v>
      </c>
      <c r="DQ41" s="160">
        <v>0</v>
      </c>
      <c r="DR41" s="230">
        <v>0</v>
      </c>
      <c r="DS41" s="88">
        <v>0</v>
      </c>
      <c r="DT41" s="88">
        <v>0</v>
      </c>
      <c r="DU41" s="88">
        <v>0</v>
      </c>
      <c r="DV41" s="88">
        <v>0</v>
      </c>
      <c r="DW41" s="88">
        <v>0</v>
      </c>
      <c r="DX41" s="88">
        <v>0</v>
      </c>
      <c r="DY41" s="88">
        <v>0</v>
      </c>
      <c r="DZ41" s="88">
        <v>0</v>
      </c>
      <c r="EA41" s="88">
        <v>0</v>
      </c>
      <c r="EB41" s="152">
        <v>0</v>
      </c>
      <c r="EC41" s="52">
        <f t="shared" si="33"/>
        <v>0</v>
      </c>
      <c r="ED41" s="52">
        <f t="shared" si="33"/>
        <v>0</v>
      </c>
      <c r="EE41" s="52">
        <f t="shared" si="33"/>
        <v>0</v>
      </c>
      <c r="EF41" s="52">
        <f t="shared" si="33"/>
        <v>0</v>
      </c>
      <c r="EG41" s="52">
        <f t="shared" si="34"/>
        <v>0</v>
      </c>
      <c r="EH41" s="238">
        <v>0</v>
      </c>
      <c r="EI41" s="211">
        <v>0</v>
      </c>
      <c r="EJ41" s="211">
        <v>0</v>
      </c>
      <c r="EK41" s="211">
        <v>0</v>
      </c>
      <c r="EL41" s="217">
        <f>IF(C41&gt;=Summary!$E$26,MAX(0,SUM(EH41:EK41)),0)</f>
        <v>0</v>
      </c>
      <c r="EM41" s="52">
        <f>IF(C41&gt;=Summary!$E$26,DX41*BL41,0)</f>
        <v>0</v>
      </c>
      <c r="EN41" s="52">
        <f>IF(C41&gt;=Summary!$E$26,DY41*BM41,0)</f>
        <v>0</v>
      </c>
      <c r="EO41" s="52">
        <f>IF(C41&gt;=Summary!$E$26,DZ41*BN41,0)</f>
        <v>0</v>
      </c>
      <c r="EP41" s="52">
        <f>IF(C41&gt;=Summary!$E$26,EA41*BO41,0)</f>
        <v>0</v>
      </c>
      <c r="EQ41" s="52">
        <f>IF(C41&gt;=Summary!$E$26,DX41*BL41+DY41*BM41+DZ41*BN41+EA41*BO41,0)</f>
        <v>0</v>
      </c>
      <c r="ER41" s="826">
        <v>0</v>
      </c>
      <c r="ES41" s="278">
        <v>0</v>
      </c>
      <c r="ET41" s="278">
        <v>0</v>
      </c>
      <c r="EU41" s="278">
        <v>0</v>
      </c>
      <c r="EV41" s="212">
        <f>IF(C41&gt;=Summary!$E$26,MAX(0,SUM(ER41:EU41)),0)</f>
        <v>0</v>
      </c>
      <c r="EW41" s="52"/>
      <c r="EX41" s="1049">
        <f t="shared" si="35"/>
        <v>0</v>
      </c>
      <c r="EY41" s="1045" t="str">
        <f t="shared" si="36"/>
        <v/>
      </c>
      <c r="EZ41" s="1684" t="s">
        <v>525</v>
      </c>
      <c r="FA41" s="1046">
        <f t="shared" si="54"/>
        <v>45</v>
      </c>
      <c r="FB41" s="256">
        <f t="shared" si="37"/>
        <v>9751.5</v>
      </c>
      <c r="FC41" s="194">
        <f t="shared" si="38"/>
        <v>2925.45</v>
      </c>
      <c r="FD41" s="194">
        <f t="shared" si="39"/>
        <v>1773</v>
      </c>
      <c r="FE41" s="194">
        <f t="shared" si="40"/>
        <v>531.9</v>
      </c>
      <c r="FF41" s="194">
        <f t="shared" si="41"/>
        <v>2216.25</v>
      </c>
      <c r="FG41" s="194">
        <f t="shared" si="42"/>
        <v>664.875</v>
      </c>
      <c r="FH41" s="257">
        <f>IF(EZ41="No",IF((OR(MONTH(C41)=5,MONTH(C41)=6,MONTH(C41)=7,MONTH(C41)=8,MONTH(C41)=9)),Summary!$O$15*12*(AX41+AY41+AZ41+BA41)*(1-$BC41),Summary!$O$15*13*(AX41+AY41+AZ41+BA41)*(1-$BC41)+IF(Summary!$O$16="Yes",(CALC!FA41+Summary!$O$15)*6*(AX41+AY41+AZ41+BA41)*(1-$BC41),0)),0)</f>
        <v>0</v>
      </c>
      <c r="FI41" s="1412">
        <f>IF(MONTH(C41)=5,FI40*(IF(Summary!$E$70="no",(1+(Summary!$E$71*0.8)),1+HLOOKUP(YEAR(C41)-1,CCFMODEL!$I$127:$AF$128,2)*0.8)),+FI40)</f>
        <v>27.894821372262776</v>
      </c>
      <c r="FJ41" s="1411">
        <f>IF(MONTH(C41)=5,FJ40*(IF(Summary!$E$70="no",(1+(Summary!$E$71*0.8)),1+HLOOKUP(YEAR(CALC!C41)-1,CCFMODEL!$I$127:$AF$128,2)*0.8)),FJ40)</f>
        <v>24.380513167883208</v>
      </c>
      <c r="FK41" s="832">
        <f t="shared" si="1"/>
        <v>498284.49680219562</v>
      </c>
      <c r="FL41" s="1412">
        <f>IF(MONTH(C41)=5,FL40*(IF(Summary!$E$70="no",(1+(Summary!$E$71*0.8)),1+HLOOKUP(YEAR(CALC!C41)-1,CCFMODEL!$I$127:$AF$128,2)*0.8)),+FL40)</f>
        <v>58.665936661800487</v>
      </c>
      <c r="FM41" s="1411">
        <f>IF(MONTH(C41)=5,FM40*(IF(Summary!$E$70="no",(1+(Summary!$E$71*0.8)),1+HLOOKUP(YEAR(CALC!C41)-1,CCFMODEL!$I$127:$AF$128,2)*0.8)),+FM40)</f>
        <v>27.999413878345496</v>
      </c>
      <c r="FN41" s="832">
        <f t="shared" si="2"/>
        <v>507769.3706837956</v>
      </c>
      <c r="FO41" s="194">
        <f t="shared" si="43"/>
        <v>1006053.8674859912</v>
      </c>
      <c r="FP41" s="263">
        <f t="shared" si="61"/>
        <v>9751.5</v>
      </c>
      <c r="FQ41" s="194">
        <f t="shared" si="61"/>
        <v>2925.45</v>
      </c>
      <c r="FR41" s="194">
        <f t="shared" si="61"/>
        <v>1773</v>
      </c>
      <c r="FS41" s="194">
        <f t="shared" si="61"/>
        <v>531.9</v>
      </c>
      <c r="FT41" s="194">
        <f t="shared" si="61"/>
        <v>2216.25</v>
      </c>
      <c r="FU41" s="194">
        <f t="shared" si="61"/>
        <v>664.875</v>
      </c>
      <c r="FV41" s="257">
        <f t="shared" si="61"/>
        <v>0</v>
      </c>
      <c r="FW41" s="189">
        <f t="shared" si="4"/>
        <v>0</v>
      </c>
      <c r="FX41" s="189">
        <f t="shared" si="5"/>
        <v>0</v>
      </c>
      <c r="FY41" s="189">
        <f t="shared" si="6"/>
        <v>0</v>
      </c>
      <c r="FZ41" s="258">
        <f t="shared" si="7"/>
        <v>0</v>
      </c>
      <c r="GA41" s="1293">
        <f>(SUM(FP41:FV41)+SUM(GU41:HB41)/(1-Summary!$O$25))*CY41/1000</f>
        <v>235395.83788304758</v>
      </c>
      <c r="GB41" s="1369">
        <f>IF($C41&lt;Summary!$M$81,+Summary!$O$81,VLOOKUP(C41,GasTable,19))</f>
        <v>2.4</v>
      </c>
      <c r="GC41" s="1370">
        <f>IF(H41&lt;=Summary!$N$84,MIN(GA41,Summary!$O$75*(H41-G41+1)),0)</f>
        <v>155000</v>
      </c>
      <c r="GD41" s="1371">
        <f>IF(Summary!$O$75*(H41-G41+1)*0.8&gt;GC41,1,0)</f>
        <v>0</v>
      </c>
      <c r="GE41" s="1372">
        <v>0</v>
      </c>
      <c r="GF41" s="1370">
        <f t="shared" si="8"/>
        <v>80395.837883047585</v>
      </c>
      <c r="GG41" s="1371">
        <f>GF41*(IF(Summary!$O$74=1,VLOOKUP($C41,GasTable,16)+Summary!$O$92+Summary!$O$93,VLOOKUP($C41,GasTable,19)+Summary!$O$92+Summary!$O$93))</f>
        <v>242566.3965978708</v>
      </c>
      <c r="GH41" s="1373">
        <v>22599</v>
      </c>
      <c r="GI41" s="1466">
        <v>0</v>
      </c>
      <c r="GJ41" s="1374">
        <f t="shared" si="44"/>
        <v>637165.39659787086</v>
      </c>
      <c r="GK41" s="189">
        <f t="shared" si="9"/>
        <v>30062.012850000003</v>
      </c>
      <c r="GL41" s="266">
        <v>0.75778648404799998</v>
      </c>
      <c r="GM41" s="255">
        <f t="shared" si="10"/>
        <v>15221</v>
      </c>
      <c r="GN41" s="189">
        <f>IF(SUM(GU41:HB41)=0,0,IF(Summary!$O$16="Yes",SUM(GX41:HB41),IF(Summary!$O$17="Yes",SUM(GY41:HB41),SUM(GU41:HB41))))</f>
        <v>12199.037849999999</v>
      </c>
      <c r="GO41" s="203">
        <v>5.8903568576642336</v>
      </c>
      <c r="GP41" s="258">
        <f t="shared" si="45"/>
        <v>71856.686256653047</v>
      </c>
      <c r="GQ41" s="189"/>
      <c r="GR41" s="189"/>
      <c r="GS41" s="189"/>
      <c r="GT41" s="189"/>
      <c r="GU41" s="268">
        <v>5646.1184999999996</v>
      </c>
      <c r="GV41" s="189">
        <v>1026.5670000000002</v>
      </c>
      <c r="GW41" s="189">
        <v>1283.20875</v>
      </c>
      <c r="GX41" s="189"/>
      <c r="GY41" s="254">
        <v>3011.2631999999999</v>
      </c>
      <c r="GZ41" s="189">
        <v>547.50239999999997</v>
      </c>
      <c r="HA41" s="189">
        <v>684.37800000000004</v>
      </c>
      <c r="HB41" s="255"/>
      <c r="HC41" s="189">
        <v>12199.037849999999</v>
      </c>
      <c r="HD41" s="189"/>
      <c r="HE41" s="189">
        <v>20950.521524999996</v>
      </c>
      <c r="HF41" s="189">
        <v>485943.80538061733</v>
      </c>
      <c r="HG41" s="189"/>
      <c r="HH41" s="203">
        <v>39.529562437169339</v>
      </c>
      <c r="HI41" s="189">
        <v>828164.94871374755</v>
      </c>
      <c r="HJ41" s="268">
        <f t="shared" si="11"/>
        <v>0</v>
      </c>
      <c r="HK41" s="189">
        <f t="shared" si="12"/>
        <v>0</v>
      </c>
      <c r="HL41" s="189">
        <f t="shared" si="13"/>
        <v>0</v>
      </c>
      <c r="HM41" s="255">
        <f t="shared" si="14"/>
        <v>0</v>
      </c>
      <c r="HN41" s="189">
        <f t="shared" si="15"/>
        <v>0</v>
      </c>
      <c r="HO41" s="203">
        <f t="shared" si="46"/>
        <v>0</v>
      </c>
      <c r="HP41" s="258">
        <f t="shared" si="16"/>
        <v>0</v>
      </c>
      <c r="HQ41" s="1231" t="s">
        <v>720</v>
      </c>
      <c r="HR41" s="201">
        <f>SUM(HR17:HR40)</f>
        <v>4684886.55</v>
      </c>
      <c r="HS41" s="204"/>
      <c r="HT41" s="201">
        <f>SUM(HT17:HT40)</f>
        <v>410724050.88717395</v>
      </c>
      <c r="HU41" s="201">
        <v>2214099.7056000005</v>
      </c>
      <c r="HV41" s="204"/>
      <c r="HW41" s="1452">
        <v>106500044.71176857</v>
      </c>
      <c r="HX41" s="1021">
        <v>0</v>
      </c>
      <c r="HY41" s="201">
        <f>SUM(HY17:HY40)</f>
        <v>517224095.59894246</v>
      </c>
      <c r="HZ41" s="201">
        <f>SUM(HZ17:HZ40)</f>
        <v>53989157.562114887</v>
      </c>
      <c r="IA41" s="204"/>
      <c r="IB41" s="201">
        <f>SUM(IB17:IB40)</f>
        <v>-178491179.14151242</v>
      </c>
      <c r="IC41" s="201">
        <f>SUM(IC17:IC40)</f>
        <v>6898986.2556000017</v>
      </c>
      <c r="ID41" s="204"/>
      <c r="IE41" s="201">
        <f>SUM(IE17:IE40)</f>
        <v>-1840252.5984334876</v>
      </c>
      <c r="IF41" s="201">
        <f>SUM(IF17:IF40)</f>
        <v>2788241.5192500004</v>
      </c>
      <c r="IG41" s="204"/>
      <c r="IH41" s="201">
        <f>SUM(IH17:IH40)</f>
        <v>-8335245.1287504341</v>
      </c>
      <c r="II41" s="201">
        <f>SUM(II17:II40)</f>
        <v>0</v>
      </c>
      <c r="IJ41" s="204"/>
      <c r="IK41" s="201">
        <f>SUM(IK17:IK40)</f>
        <v>0</v>
      </c>
      <c r="IL41" s="1184">
        <f>HY41+IB41+IE41+IH41</f>
        <v>328557418.73024607</v>
      </c>
      <c r="IN41" s="820"/>
      <c r="IO41" s="1307"/>
      <c r="IR41" s="223"/>
    </row>
    <row r="42" spans="1:252" ht="13.8" thickBot="1">
      <c r="A42" t="str">
        <f t="shared" si="23"/>
        <v>2002Q1</v>
      </c>
      <c r="B42">
        <f t="shared" si="24"/>
        <v>2002</v>
      </c>
      <c r="C42" s="49">
        <f t="shared" si="25"/>
        <v>37288</v>
      </c>
      <c r="D42" s="115">
        <f t="shared" si="26"/>
        <v>2002</v>
      </c>
      <c r="E42" s="10">
        <f t="shared" si="55"/>
        <v>2</v>
      </c>
      <c r="F42" s="248" t="str">
        <f t="shared" si="57"/>
        <v/>
      </c>
      <c r="G42" s="245">
        <v>37288</v>
      </c>
      <c r="H42" s="251">
        <v>37315</v>
      </c>
      <c r="I42" s="959">
        <f t="shared" si="53"/>
        <v>7.1499999999999994E-2</v>
      </c>
      <c r="J42" s="37">
        <f t="shared" si="27"/>
        <v>0.85310595388236077</v>
      </c>
      <c r="K42" s="1036" t="e">
        <f>IF(Summary!#REF!=1,+Summary!#REF!,I42+Summary!#REF!/10000)</f>
        <v>#REF!</v>
      </c>
      <c r="L42" s="37" t="e">
        <f t="shared" si="28"/>
        <v>#REF!</v>
      </c>
      <c r="M42" s="1004">
        <v>0</v>
      </c>
      <c r="N42" s="38">
        <f t="shared" si="58"/>
        <v>0</v>
      </c>
      <c r="O42" s="40">
        <f t="shared" si="58"/>
        <v>0</v>
      </c>
      <c r="P42" s="159">
        <f t="shared" si="60"/>
        <v>0</v>
      </c>
      <c r="Q42" s="38">
        <f t="shared" si="62"/>
        <v>0</v>
      </c>
      <c r="R42" s="40">
        <f t="shared" si="62"/>
        <v>0</v>
      </c>
      <c r="S42" s="38">
        <f t="shared" si="62"/>
        <v>0</v>
      </c>
      <c r="T42" s="38">
        <f t="shared" si="62"/>
        <v>0</v>
      </c>
      <c r="U42" s="38">
        <f t="shared" si="62"/>
        <v>0</v>
      </c>
      <c r="V42" s="159">
        <f t="shared" si="62"/>
        <v>0</v>
      </c>
      <c r="W42" s="38">
        <f t="shared" si="62"/>
        <v>0</v>
      </c>
      <c r="X42" s="39">
        <f t="shared" si="62"/>
        <v>0</v>
      </c>
      <c r="Y42" s="46">
        <v>0</v>
      </c>
      <c r="Z42" s="46">
        <v>0</v>
      </c>
      <c r="AA42" s="47">
        <v>0</v>
      </c>
      <c r="AB42" s="46">
        <v>0</v>
      </c>
      <c r="AC42" s="46">
        <v>0</v>
      </c>
      <c r="AD42" s="47">
        <v>0</v>
      </c>
      <c r="AE42" s="46">
        <v>0</v>
      </c>
      <c r="AF42" s="46">
        <v>0</v>
      </c>
      <c r="AG42" s="47">
        <v>0</v>
      </c>
      <c r="AH42" s="46">
        <v>0</v>
      </c>
      <c r="AI42" s="46">
        <v>0</v>
      </c>
      <c r="AJ42" s="47">
        <v>0</v>
      </c>
      <c r="AK42" s="46">
        <v>0</v>
      </c>
      <c r="AL42" s="46">
        <v>0</v>
      </c>
      <c r="AM42" s="47">
        <v>0</v>
      </c>
      <c r="AN42" s="46">
        <v>0</v>
      </c>
      <c r="AO42" s="46">
        <v>0</v>
      </c>
      <c r="AP42" s="47">
        <v>0</v>
      </c>
      <c r="AQ42" s="46">
        <v>0</v>
      </c>
      <c r="AR42" s="46">
        <v>0</v>
      </c>
      <c r="AS42" s="47">
        <v>0</v>
      </c>
      <c r="AT42" s="46">
        <v>0</v>
      </c>
      <c r="AU42" s="46">
        <v>0</v>
      </c>
      <c r="AV42" s="46">
        <v>0</v>
      </c>
      <c r="AW42" s="1545">
        <v>0</v>
      </c>
      <c r="AX42" s="10">
        <f t="shared" si="56"/>
        <v>20</v>
      </c>
      <c r="AY42" s="42">
        <f>IF(AND($E42=MONTH(Summary!$E$24),$D42=YEAR(Summary!$E$24)),Summary!$E$25,1)*IF(G42="",0,INT((H42-MOD(H42,7)-G42)/7)+1-IF(BA42,IF(WEEKDAY(F42)=7,1,0),0))</f>
        <v>4</v>
      </c>
      <c r="AZ42" s="42">
        <f>IF(AND($E42=MONTH(Summary!$E$24),$D42=YEAR(Summary!$E$24)),Summary!$E$25,1)*IF(G42="",0,INT((H42-MOD(H42-1,7)-G42)/7)+1-IF(BA42,IF(WEEKDAY(F42)=1,1,0),0))</f>
        <v>4</v>
      </c>
      <c r="BA42" s="42">
        <v>0</v>
      </c>
      <c r="BB42" s="10">
        <f>IF(AND($E42=MONTH(Summary!$E$24),$D42=YEAR(Summary!$E$24)),Summary!$E$25,1)*IF(G42="",0,H42-G42+1)</f>
        <v>28</v>
      </c>
      <c r="BC42" s="914">
        <f>Summary!$E$19</f>
        <v>1.4999999999999999E-2</v>
      </c>
      <c r="BD42" s="113">
        <v>14184</v>
      </c>
      <c r="BE42" s="171">
        <v>2836.8</v>
      </c>
      <c r="BF42" s="171">
        <v>2836.8</v>
      </c>
      <c r="BG42" s="174"/>
      <c r="BH42" s="1198">
        <v>1</v>
      </c>
      <c r="BI42" s="1198">
        <v>1</v>
      </c>
      <c r="BJ42" s="1198">
        <v>1</v>
      </c>
      <c r="BK42" s="1198">
        <v>1</v>
      </c>
      <c r="BL42" s="95">
        <v>2836.8</v>
      </c>
      <c r="BM42" s="171">
        <v>567.36</v>
      </c>
      <c r="BN42" s="171">
        <v>567.36</v>
      </c>
      <c r="BO42" s="174"/>
      <c r="BP42" s="1198">
        <v>1</v>
      </c>
      <c r="BQ42" s="1199">
        <v>1</v>
      </c>
      <c r="BR42" s="1199">
        <v>1</v>
      </c>
      <c r="BS42" s="1200">
        <v>1</v>
      </c>
      <c r="BT42" s="94">
        <f t="shared" si="29"/>
        <v>19857.599999999999</v>
      </c>
      <c r="BU42" s="233">
        <f t="shared" si="30"/>
        <v>19857.599999999999</v>
      </c>
      <c r="BV42" s="92">
        <f t="shared" si="31"/>
        <v>3971.5200000000004</v>
      </c>
      <c r="BW42" s="233">
        <f t="shared" si="32"/>
        <v>3971.5200000000004</v>
      </c>
      <c r="BX42" s="88">
        <v>2.1327857631759071</v>
      </c>
      <c r="BY42" s="90">
        <v>0</v>
      </c>
      <c r="BZ42" s="88">
        <v>0</v>
      </c>
      <c r="CA42" s="88">
        <v>0</v>
      </c>
      <c r="CB42" s="88">
        <v>0</v>
      </c>
      <c r="CC42" s="88">
        <v>0</v>
      </c>
      <c r="CD42" s="88">
        <v>0</v>
      </c>
      <c r="CE42" s="100">
        <v>0</v>
      </c>
      <c r="CF42" s="88">
        <v>0</v>
      </c>
      <c r="CG42" s="88">
        <v>0</v>
      </c>
      <c r="CH42" s="88">
        <v>0</v>
      </c>
      <c r="CI42" s="88">
        <v>0</v>
      </c>
      <c r="CJ42" s="228">
        <v>0</v>
      </c>
      <c r="CK42" s="88">
        <v>0</v>
      </c>
      <c r="CL42" s="88">
        <v>0</v>
      </c>
      <c r="CM42" s="88">
        <v>0</v>
      </c>
      <c r="CN42" s="88">
        <v>0</v>
      </c>
      <c r="CO42" s="88">
        <v>0</v>
      </c>
      <c r="CP42" s="88">
        <v>0</v>
      </c>
      <c r="CQ42" s="229">
        <v>0</v>
      </c>
      <c r="CR42" s="91">
        <v>0</v>
      </c>
      <c r="CS42" s="91">
        <v>0</v>
      </c>
      <c r="CT42" s="91">
        <v>0</v>
      </c>
      <c r="CU42" s="91">
        <v>0</v>
      </c>
      <c r="CV42" s="91">
        <v>0</v>
      </c>
      <c r="CW42" s="91">
        <v>0</v>
      </c>
      <c r="CX42" s="225">
        <v>0</v>
      </c>
      <c r="CY42" s="1265">
        <v>7718.7209599999996</v>
      </c>
      <c r="CZ42" s="90">
        <v>0</v>
      </c>
      <c r="DA42" s="88">
        <v>0</v>
      </c>
      <c r="DB42" s="88">
        <v>0</v>
      </c>
      <c r="DC42" s="88">
        <v>0</v>
      </c>
      <c r="DD42" s="88">
        <v>0</v>
      </c>
      <c r="DE42" s="152">
        <v>0</v>
      </c>
      <c r="DF42" s="230">
        <v>0</v>
      </c>
      <c r="DG42" s="38">
        <v>0</v>
      </c>
      <c r="DH42" s="1237">
        <v>0</v>
      </c>
      <c r="DI42" s="956">
        <v>0</v>
      </c>
      <c r="DJ42" s="956">
        <v>0</v>
      </c>
      <c r="DK42" s="956">
        <v>0</v>
      </c>
      <c r="DL42" s="152">
        <v>0</v>
      </c>
      <c r="DM42" s="160">
        <v>0</v>
      </c>
      <c r="DN42" s="160">
        <v>0</v>
      </c>
      <c r="DO42" s="160">
        <v>0</v>
      </c>
      <c r="DP42" s="160">
        <v>0</v>
      </c>
      <c r="DQ42" s="160">
        <v>0</v>
      </c>
      <c r="DR42" s="230">
        <v>0</v>
      </c>
      <c r="DS42" s="88">
        <v>0</v>
      </c>
      <c r="DT42" s="88">
        <v>0</v>
      </c>
      <c r="DU42" s="88">
        <v>0</v>
      </c>
      <c r="DV42" s="88">
        <v>0</v>
      </c>
      <c r="DW42" s="88">
        <v>0</v>
      </c>
      <c r="DX42" s="88">
        <v>0</v>
      </c>
      <c r="DY42" s="88">
        <v>0</v>
      </c>
      <c r="DZ42" s="88">
        <v>0</v>
      </c>
      <c r="EA42" s="88">
        <v>0</v>
      </c>
      <c r="EB42" s="152">
        <v>0</v>
      </c>
      <c r="EC42" s="52">
        <f t="shared" si="33"/>
        <v>0</v>
      </c>
      <c r="ED42" s="52">
        <f t="shared" si="33"/>
        <v>0</v>
      </c>
      <c r="EE42" s="52">
        <f t="shared" si="33"/>
        <v>0</v>
      </c>
      <c r="EF42" s="52">
        <f t="shared" si="33"/>
        <v>0</v>
      </c>
      <c r="EG42" s="52">
        <f t="shared" si="34"/>
        <v>0</v>
      </c>
      <c r="EH42" s="238">
        <v>0</v>
      </c>
      <c r="EI42" s="211">
        <v>0</v>
      </c>
      <c r="EJ42" s="211">
        <v>0</v>
      </c>
      <c r="EK42" s="211">
        <v>0</v>
      </c>
      <c r="EL42" s="217">
        <f>IF(C42&gt;=Summary!$E$26,MAX(0,SUM(EH42:EK42)),0)</f>
        <v>0</v>
      </c>
      <c r="EM42" s="52">
        <f>IF(C42&gt;=Summary!$E$26,DX42*BL42,0)</f>
        <v>0</v>
      </c>
      <c r="EN42" s="52">
        <f>IF(C42&gt;=Summary!$E$26,DY42*BM42,0)</f>
        <v>0</v>
      </c>
      <c r="EO42" s="52">
        <f>IF(C42&gt;=Summary!$E$26,DZ42*BN42,0)</f>
        <v>0</v>
      </c>
      <c r="EP42" s="52">
        <f>IF(C42&gt;=Summary!$E$26,EA42*BO42,0)</f>
        <v>0</v>
      </c>
      <c r="EQ42" s="52">
        <f>IF(C42&gt;=Summary!$E$26,DX42*BL42+DY42*BM42+DZ42*BN42+EA42*BO42,0)</f>
        <v>0</v>
      </c>
      <c r="ER42" s="826">
        <v>0</v>
      </c>
      <c r="ES42" s="278">
        <v>0</v>
      </c>
      <c r="ET42" s="278">
        <v>0</v>
      </c>
      <c r="EU42" s="278">
        <v>0</v>
      </c>
      <c r="EV42" s="212">
        <f>IF(C42&gt;=Summary!$E$26,MAX(0,SUM(ER42:EU42)),0)</f>
        <v>0</v>
      </c>
      <c r="EW42" s="52"/>
      <c r="EX42" s="1049">
        <f t="shared" si="35"/>
        <v>0</v>
      </c>
      <c r="EY42" s="1045" t="str">
        <f t="shared" si="36"/>
        <v/>
      </c>
      <c r="EZ42" s="1684" t="s">
        <v>525</v>
      </c>
      <c r="FA42" s="1046">
        <f t="shared" si="54"/>
        <v>45</v>
      </c>
      <c r="FB42" s="256">
        <f t="shared" si="37"/>
        <v>8865</v>
      </c>
      <c r="FC42" s="194">
        <f t="shared" si="38"/>
        <v>2659.5</v>
      </c>
      <c r="FD42" s="194">
        <f t="shared" si="39"/>
        <v>1773</v>
      </c>
      <c r="FE42" s="194">
        <f t="shared" si="40"/>
        <v>531.9</v>
      </c>
      <c r="FF42" s="194">
        <f t="shared" si="41"/>
        <v>1773</v>
      </c>
      <c r="FG42" s="194">
        <f t="shared" si="42"/>
        <v>531.9</v>
      </c>
      <c r="FH42" s="257">
        <f>IF(EZ42="No",IF((OR(MONTH(C42)=5,MONTH(C42)=6,MONTH(C42)=7,MONTH(C42)=8,MONTH(C42)=9)),Summary!$O$15*12*(AX42+AY42+AZ42+BA42)*(1-$BC42),Summary!$O$15*13*(AX42+AY42+AZ42+BA42)*(1-$BC42)+IF(Summary!$O$16="Yes",(CALC!FA42+Summary!$O$15)*6*(AX42+AY42+AZ42+BA42)*(1-$BC42),0)),0)</f>
        <v>0</v>
      </c>
      <c r="FI42" s="1412">
        <f>IF(MONTH(C42)=5,FI41*(IF(Summary!$E$70="no",(1+(Summary!$E$71*0.8)),1+HLOOKUP(YEAR(C42)-1,CCFMODEL!$I$127:$AF$128,2)*0.8)),+FI41)</f>
        <v>27.894821372262776</v>
      </c>
      <c r="FJ42" s="1411">
        <f>IF(MONTH(C42)=5,FJ41*(IF(Summary!$E$70="no",(1+(Summary!$E$71*0.8)),1+HLOOKUP(YEAR(CALC!C42)-1,CCFMODEL!$I$127:$AF$128,2)*0.8)),FJ41)</f>
        <v>24.380513167883208</v>
      </c>
      <c r="FK42" s="832">
        <f t="shared" si="1"/>
        <v>450063.41646649927</v>
      </c>
      <c r="FL42" s="1412">
        <f>IF(MONTH(C42)=5,FL41*(IF(Summary!$E$70="no",(1+(Summary!$E$71*0.8)),1+HLOOKUP(YEAR(CALC!C42)-1,CCFMODEL!$I$127:$AF$128,2)*0.8)),+FL41)</f>
        <v>58.665936661800487</v>
      </c>
      <c r="FM42" s="1411">
        <f>IF(MONTH(C42)=5,FM41*(IF(Summary!$E$70="no",(1+(Summary!$E$71*0.8)),1+HLOOKUP(YEAR(CALC!C42)-1,CCFMODEL!$I$127:$AF$128,2)*0.8)),+FM41)</f>
        <v>27.999413878345496</v>
      </c>
      <c r="FN42" s="832">
        <f t="shared" si="2"/>
        <v>458630.39932729921</v>
      </c>
      <c r="FO42" s="194">
        <f t="shared" si="43"/>
        <v>908693.81579379854</v>
      </c>
      <c r="FP42" s="263">
        <f t="shared" si="61"/>
        <v>8865</v>
      </c>
      <c r="FQ42" s="194">
        <f t="shared" si="61"/>
        <v>2659.5</v>
      </c>
      <c r="FR42" s="194">
        <f t="shared" si="61"/>
        <v>1773</v>
      </c>
      <c r="FS42" s="194">
        <f t="shared" si="61"/>
        <v>531.9</v>
      </c>
      <c r="FT42" s="194">
        <f t="shared" si="61"/>
        <v>1773</v>
      </c>
      <c r="FU42" s="194">
        <f t="shared" si="61"/>
        <v>531.9</v>
      </c>
      <c r="FV42" s="257">
        <f t="shared" si="61"/>
        <v>0</v>
      </c>
      <c r="FW42" s="189">
        <f t="shared" si="4"/>
        <v>0</v>
      </c>
      <c r="FX42" s="189">
        <f t="shared" si="5"/>
        <v>0</v>
      </c>
      <c r="FY42" s="189">
        <f t="shared" si="6"/>
        <v>0</v>
      </c>
      <c r="FZ42" s="258">
        <f t="shared" si="7"/>
        <v>0</v>
      </c>
      <c r="GA42" s="1293">
        <f>(SUM(FP42:FV42)+SUM(GU42:HB42)/(1-Summary!$O$25))*CY42/1000</f>
        <v>212669.44175272319</v>
      </c>
      <c r="GB42" s="1369">
        <f>IF($C42&lt;Summary!$M$81,+Summary!$O$81,VLOOKUP(C42,GasTable,19))</f>
        <v>2.4</v>
      </c>
      <c r="GC42" s="1370">
        <f>IF(H42&lt;=Summary!$N$84,MIN(GA42,Summary!$O$75*(H42-G42+1)),0)</f>
        <v>140000</v>
      </c>
      <c r="GD42" s="1371">
        <f>IF(Summary!$O$75*(H42-G42+1)*0.8&gt;GC42,1,0)</f>
        <v>0</v>
      </c>
      <c r="GE42" s="1372">
        <v>0</v>
      </c>
      <c r="GF42" s="1370">
        <f t="shared" si="8"/>
        <v>72669.441752723185</v>
      </c>
      <c r="GG42" s="1371">
        <f>GF42*(IF(Summary!$O$74=1,VLOOKUP($C42,GasTable,16)+Summary!$O$92+Summary!$O$93,VLOOKUP($C42,GasTable,19)+Summary!$O$92+Summary!$O$93))</f>
        <v>203016.66159869419</v>
      </c>
      <c r="GH42" s="1373">
        <v>19555.2</v>
      </c>
      <c r="GI42" s="1466">
        <v>0</v>
      </c>
      <c r="GJ42" s="1374">
        <f t="shared" si="44"/>
        <v>558571.86159869411</v>
      </c>
      <c r="GK42" s="189">
        <f t="shared" si="9"/>
        <v>27152.785799999998</v>
      </c>
      <c r="GL42" s="266">
        <v>0.75797839827200009</v>
      </c>
      <c r="GM42" s="255">
        <f t="shared" si="10"/>
        <v>13748.000000000002</v>
      </c>
      <c r="GN42" s="189">
        <f>IF(SUM(GU42:HB42)=0,0,IF(Summary!$O$16="Yes",SUM(GX42:HB42),IF(Summary!$O$17="Yes",SUM(GY42:HB42),SUM(GU42:HB42))))</f>
        <v>11018.485799999999</v>
      </c>
      <c r="GO42" s="203">
        <v>5.8903568576642336</v>
      </c>
      <c r="GP42" s="258">
        <f t="shared" si="45"/>
        <v>64902.813393105971</v>
      </c>
      <c r="GQ42" s="189"/>
      <c r="GR42" s="189"/>
      <c r="GS42" s="189"/>
      <c r="GT42" s="189"/>
      <c r="GU42" s="268">
        <v>5132.835</v>
      </c>
      <c r="GV42" s="189">
        <v>1026.5670000000002</v>
      </c>
      <c r="GW42" s="189">
        <v>1026.5670000000002</v>
      </c>
      <c r="GX42" s="189"/>
      <c r="GY42" s="254">
        <v>2737.5120000000002</v>
      </c>
      <c r="GZ42" s="189">
        <v>547.50239999999997</v>
      </c>
      <c r="HA42" s="189">
        <v>547.50239999999997</v>
      </c>
      <c r="HB42" s="255"/>
      <c r="HC42" s="189">
        <v>11018.485799999999</v>
      </c>
      <c r="HD42" s="189"/>
      <c r="HE42" s="189">
        <v>18923.051699999996</v>
      </c>
      <c r="HF42" s="189">
        <v>365826.48956586677</v>
      </c>
      <c r="HG42" s="189"/>
      <c r="HH42" s="203">
        <v>32.953281299261086</v>
      </c>
      <c r="HI42" s="189">
        <v>623576.64571056061</v>
      </c>
      <c r="HJ42" s="268">
        <f t="shared" si="11"/>
        <v>0</v>
      </c>
      <c r="HK42" s="189">
        <f t="shared" si="12"/>
        <v>0</v>
      </c>
      <c r="HL42" s="189">
        <f t="shared" si="13"/>
        <v>0</v>
      </c>
      <c r="HM42" s="255">
        <f t="shared" si="14"/>
        <v>0</v>
      </c>
      <c r="HN42" s="189">
        <f t="shared" si="15"/>
        <v>0</v>
      </c>
      <c r="HO42" s="203">
        <f t="shared" si="46"/>
        <v>0</v>
      </c>
      <c r="HP42" s="258">
        <f t="shared" si="16"/>
        <v>0</v>
      </c>
      <c r="HQ42" s="203"/>
      <c r="HR42" s="203"/>
      <c r="HS42" s="203"/>
      <c r="HT42" s="203"/>
      <c r="HU42" s="203"/>
      <c r="HV42" s="203"/>
      <c r="HW42" s="203"/>
      <c r="HX42" s="203"/>
      <c r="HY42" s="224"/>
      <c r="HZ42" s="203"/>
      <c r="IA42" s="203"/>
      <c r="IB42" s="203"/>
      <c r="IC42" s="203"/>
      <c r="ID42" s="203"/>
      <c r="IE42" s="203"/>
      <c r="IF42" s="203"/>
      <c r="IG42" s="203"/>
      <c r="IH42" s="203"/>
      <c r="II42" s="203"/>
      <c r="IJ42" s="203"/>
      <c r="IK42" s="203"/>
      <c r="IL42" s="821"/>
      <c r="IM42" s="820"/>
      <c r="IN42" s="820"/>
      <c r="IR42" s="223"/>
    </row>
    <row r="43" spans="1:252" ht="13.8" thickBot="1">
      <c r="A43" t="str">
        <f t="shared" si="23"/>
        <v>2002Q1</v>
      </c>
      <c r="B43">
        <f t="shared" si="24"/>
        <v>2002</v>
      </c>
      <c r="C43" s="49">
        <f t="shared" si="25"/>
        <v>37316</v>
      </c>
      <c r="D43" s="115">
        <f t="shared" si="26"/>
        <v>2002</v>
      </c>
      <c r="E43" s="10">
        <f t="shared" si="55"/>
        <v>3</v>
      </c>
      <c r="F43" s="248" t="str">
        <f t="shared" si="57"/>
        <v/>
      </c>
      <c r="G43" s="245">
        <v>37316</v>
      </c>
      <c r="H43" s="251">
        <v>37346</v>
      </c>
      <c r="I43" s="959">
        <f t="shared" si="53"/>
        <v>7.1499999999999994E-2</v>
      </c>
      <c r="J43" s="37">
        <f t="shared" si="27"/>
        <v>0.84803445199578009</v>
      </c>
      <c r="K43" s="1036" t="e">
        <f>IF(Summary!#REF!=1,+Summary!#REF!,I43+Summary!#REF!/10000)</f>
        <v>#REF!</v>
      </c>
      <c r="L43" s="37" t="e">
        <f t="shared" si="28"/>
        <v>#REF!</v>
      </c>
      <c r="M43" s="1004">
        <v>0</v>
      </c>
      <c r="N43" s="38">
        <f t="shared" si="58"/>
        <v>0</v>
      </c>
      <c r="O43" s="40">
        <f t="shared" si="58"/>
        <v>0</v>
      </c>
      <c r="P43" s="159">
        <f t="shared" si="60"/>
        <v>0</v>
      </c>
      <c r="Q43" s="38">
        <f t="shared" si="62"/>
        <v>0</v>
      </c>
      <c r="R43" s="40">
        <f t="shared" si="62"/>
        <v>0</v>
      </c>
      <c r="S43" s="38">
        <f t="shared" si="62"/>
        <v>0</v>
      </c>
      <c r="T43" s="38">
        <f t="shared" si="62"/>
        <v>0</v>
      </c>
      <c r="U43" s="38">
        <f t="shared" si="62"/>
        <v>0</v>
      </c>
      <c r="V43" s="159">
        <f t="shared" si="62"/>
        <v>0</v>
      </c>
      <c r="W43" s="38">
        <f t="shared" si="62"/>
        <v>0</v>
      </c>
      <c r="X43" s="39">
        <f t="shared" si="62"/>
        <v>0</v>
      </c>
      <c r="Y43" s="46">
        <v>0</v>
      </c>
      <c r="Z43" s="46">
        <v>0</v>
      </c>
      <c r="AA43" s="47">
        <v>0</v>
      </c>
      <c r="AB43" s="46">
        <v>0</v>
      </c>
      <c r="AC43" s="46">
        <v>0</v>
      </c>
      <c r="AD43" s="47">
        <v>0</v>
      </c>
      <c r="AE43" s="46">
        <v>0</v>
      </c>
      <c r="AF43" s="46">
        <v>0</v>
      </c>
      <c r="AG43" s="47">
        <v>0</v>
      </c>
      <c r="AH43" s="46">
        <v>0</v>
      </c>
      <c r="AI43" s="46">
        <v>0</v>
      </c>
      <c r="AJ43" s="47">
        <v>0</v>
      </c>
      <c r="AK43" s="46">
        <v>0</v>
      </c>
      <c r="AL43" s="46">
        <v>0</v>
      </c>
      <c r="AM43" s="47">
        <v>0</v>
      </c>
      <c r="AN43" s="46">
        <v>0</v>
      </c>
      <c r="AO43" s="46">
        <v>0</v>
      </c>
      <c r="AP43" s="47">
        <v>0</v>
      </c>
      <c r="AQ43" s="46">
        <v>0</v>
      </c>
      <c r="AR43" s="46">
        <v>0</v>
      </c>
      <c r="AS43" s="47">
        <v>0</v>
      </c>
      <c r="AT43" s="46">
        <v>0</v>
      </c>
      <c r="AU43" s="46">
        <v>0</v>
      </c>
      <c r="AV43" s="46">
        <v>0</v>
      </c>
      <c r="AW43" s="1545">
        <v>0</v>
      </c>
      <c r="AX43" s="10">
        <f t="shared" si="56"/>
        <v>21</v>
      </c>
      <c r="AY43" s="42">
        <f>IF(AND($E43=MONTH(Summary!$E$24),$D43=YEAR(Summary!$E$24)),Summary!$E$25,1)*IF(G43="",0,INT((H43-MOD(H43,7)-G43)/7)+1-IF(BA43,IF(WEEKDAY(F43)=7,1,0),0))</f>
        <v>5</v>
      </c>
      <c r="AZ43" s="42">
        <f>IF(AND($E43=MONTH(Summary!$E$24),$D43=YEAR(Summary!$E$24)),Summary!$E$25,1)*IF(G43="",0,INT((H43-MOD(H43-1,7)-G43)/7)+1-IF(BA43,IF(WEEKDAY(F43)=1,1,0),0))</f>
        <v>5</v>
      </c>
      <c r="BA43" s="42">
        <v>0</v>
      </c>
      <c r="BB43" s="10">
        <f>IF(AND($E43=MONTH(Summary!$E$24),$D43=YEAR(Summary!$E$24)),Summary!$E$25,1)*IF(G43="",0,H43-G43+1)</f>
        <v>31</v>
      </c>
      <c r="BC43" s="914">
        <f>Summary!$E$19</f>
        <v>1.4999999999999999E-2</v>
      </c>
      <c r="BD43" s="113">
        <v>14893.2</v>
      </c>
      <c r="BE43" s="171">
        <v>3546</v>
      </c>
      <c r="BF43" s="171">
        <v>3546</v>
      </c>
      <c r="BG43" s="174"/>
      <c r="BH43" s="1198">
        <v>1</v>
      </c>
      <c r="BI43" s="1198">
        <v>1</v>
      </c>
      <c r="BJ43" s="1198">
        <v>1</v>
      </c>
      <c r="BK43" s="1198">
        <v>1</v>
      </c>
      <c r="BL43" s="95">
        <v>2978.64</v>
      </c>
      <c r="BM43" s="171">
        <v>709.2</v>
      </c>
      <c r="BN43" s="171">
        <v>709.2</v>
      </c>
      <c r="BO43" s="174"/>
      <c r="BP43" s="1198">
        <v>1</v>
      </c>
      <c r="BQ43" s="1199">
        <v>1</v>
      </c>
      <c r="BR43" s="1199">
        <v>1</v>
      </c>
      <c r="BS43" s="1200">
        <v>1</v>
      </c>
      <c r="BT43" s="94">
        <f t="shared" si="29"/>
        <v>21985.200000000001</v>
      </c>
      <c r="BU43" s="233">
        <f t="shared" si="30"/>
        <v>21985.200000000001</v>
      </c>
      <c r="BV43" s="92">
        <f t="shared" si="31"/>
        <v>4397.04</v>
      </c>
      <c r="BW43" s="233">
        <f t="shared" si="32"/>
        <v>4397.04</v>
      </c>
      <c r="BX43" s="88">
        <v>2.2094455852156059</v>
      </c>
      <c r="BY43" s="90">
        <v>0</v>
      </c>
      <c r="BZ43" s="88">
        <v>0</v>
      </c>
      <c r="CA43" s="88">
        <v>0</v>
      </c>
      <c r="CB43" s="88">
        <v>0</v>
      </c>
      <c r="CC43" s="88">
        <v>0</v>
      </c>
      <c r="CD43" s="88">
        <v>0</v>
      </c>
      <c r="CE43" s="100">
        <v>0</v>
      </c>
      <c r="CF43" s="88">
        <v>0</v>
      </c>
      <c r="CG43" s="88">
        <v>0</v>
      </c>
      <c r="CH43" s="88">
        <v>0</v>
      </c>
      <c r="CI43" s="88">
        <v>0</v>
      </c>
      <c r="CJ43" s="228">
        <v>0</v>
      </c>
      <c r="CK43" s="88">
        <v>0</v>
      </c>
      <c r="CL43" s="88">
        <v>0</v>
      </c>
      <c r="CM43" s="88">
        <v>0</v>
      </c>
      <c r="CN43" s="88">
        <v>0</v>
      </c>
      <c r="CO43" s="88">
        <v>0</v>
      </c>
      <c r="CP43" s="88">
        <v>0</v>
      </c>
      <c r="CQ43" s="229">
        <v>0</v>
      </c>
      <c r="CR43" s="91">
        <v>0</v>
      </c>
      <c r="CS43" s="91">
        <v>0</v>
      </c>
      <c r="CT43" s="91">
        <v>0</v>
      </c>
      <c r="CU43" s="91">
        <v>0</v>
      </c>
      <c r="CV43" s="91">
        <v>0</v>
      </c>
      <c r="CW43" s="91">
        <v>0</v>
      </c>
      <c r="CX43" s="225">
        <v>0</v>
      </c>
      <c r="CY43" s="1265">
        <v>7720.6752800000004</v>
      </c>
      <c r="CZ43" s="90">
        <v>0</v>
      </c>
      <c r="DA43" s="88">
        <v>0</v>
      </c>
      <c r="DB43" s="88">
        <v>0</v>
      </c>
      <c r="DC43" s="88">
        <v>0</v>
      </c>
      <c r="DD43" s="88">
        <v>0</v>
      </c>
      <c r="DE43" s="152">
        <v>0</v>
      </c>
      <c r="DF43" s="230">
        <v>0</v>
      </c>
      <c r="DG43" s="38">
        <v>0</v>
      </c>
      <c r="DH43" s="1237">
        <v>0</v>
      </c>
      <c r="DI43" s="956">
        <v>0</v>
      </c>
      <c r="DJ43" s="956">
        <v>0</v>
      </c>
      <c r="DK43" s="956">
        <v>0</v>
      </c>
      <c r="DL43" s="152">
        <v>0</v>
      </c>
      <c r="DM43" s="160">
        <v>0</v>
      </c>
      <c r="DN43" s="160">
        <v>0</v>
      </c>
      <c r="DO43" s="160">
        <v>0</v>
      </c>
      <c r="DP43" s="160">
        <v>0</v>
      </c>
      <c r="DQ43" s="160">
        <v>0</v>
      </c>
      <c r="DR43" s="230">
        <v>0</v>
      </c>
      <c r="DS43" s="88">
        <v>0</v>
      </c>
      <c r="DT43" s="88">
        <v>0</v>
      </c>
      <c r="DU43" s="88">
        <v>0</v>
      </c>
      <c r="DV43" s="88">
        <v>0</v>
      </c>
      <c r="DW43" s="88">
        <v>0</v>
      </c>
      <c r="DX43" s="88">
        <v>0</v>
      </c>
      <c r="DY43" s="88">
        <v>0</v>
      </c>
      <c r="DZ43" s="88">
        <v>0</v>
      </c>
      <c r="EA43" s="88">
        <v>0</v>
      </c>
      <c r="EB43" s="152">
        <v>0</v>
      </c>
      <c r="EC43" s="52">
        <f t="shared" si="33"/>
        <v>0</v>
      </c>
      <c r="ED43" s="52">
        <f t="shared" si="33"/>
        <v>0</v>
      </c>
      <c r="EE43" s="52">
        <f t="shared" si="33"/>
        <v>0</v>
      </c>
      <c r="EF43" s="52">
        <f t="shared" si="33"/>
        <v>0</v>
      </c>
      <c r="EG43" s="52">
        <f t="shared" si="34"/>
        <v>0</v>
      </c>
      <c r="EH43" s="238">
        <v>0</v>
      </c>
      <c r="EI43" s="211">
        <v>0</v>
      </c>
      <c r="EJ43" s="211">
        <v>0</v>
      </c>
      <c r="EK43" s="211">
        <v>0</v>
      </c>
      <c r="EL43" s="217">
        <f>IF(C43&gt;=Summary!$E$26,MAX(0,SUM(EH43:EK43)),0)</f>
        <v>0</v>
      </c>
      <c r="EM43" s="52">
        <f>IF(C43&gt;=Summary!$E$26,DX43*BL43,0)</f>
        <v>0</v>
      </c>
      <c r="EN43" s="52">
        <f>IF(C43&gt;=Summary!$E$26,DY43*BM43,0)</f>
        <v>0</v>
      </c>
      <c r="EO43" s="52">
        <f>IF(C43&gt;=Summary!$E$26,DZ43*BN43,0)</f>
        <v>0</v>
      </c>
      <c r="EP43" s="52">
        <f>IF(C43&gt;=Summary!$E$26,EA43*BO43,0)</f>
        <v>0</v>
      </c>
      <c r="EQ43" s="52">
        <f>IF(C43&gt;=Summary!$E$26,DX43*BL43+DY43*BM43+DZ43*BN43+EA43*BO43,0)</f>
        <v>0</v>
      </c>
      <c r="ER43" s="826">
        <v>0</v>
      </c>
      <c r="ES43" s="278">
        <v>0</v>
      </c>
      <c r="ET43" s="278">
        <v>0</v>
      </c>
      <c r="EU43" s="278">
        <v>0</v>
      </c>
      <c r="EV43" s="212">
        <f>IF(C43&gt;=Summary!$E$26,MAX(0,SUM(ER43:EU43)),0)</f>
        <v>0</v>
      </c>
      <c r="EW43" s="52"/>
      <c r="EX43" s="1049">
        <f t="shared" si="35"/>
        <v>0</v>
      </c>
      <c r="EY43" s="1045" t="str">
        <f t="shared" si="36"/>
        <v/>
      </c>
      <c r="EZ43" s="1684" t="s">
        <v>525</v>
      </c>
      <c r="FA43" s="1046">
        <f t="shared" si="54"/>
        <v>45</v>
      </c>
      <c r="FB43" s="256">
        <f t="shared" si="37"/>
        <v>9308.25</v>
      </c>
      <c r="FC43" s="194">
        <f t="shared" si="38"/>
        <v>2792.4749999999999</v>
      </c>
      <c r="FD43" s="194">
        <f t="shared" si="39"/>
        <v>2216.25</v>
      </c>
      <c r="FE43" s="194">
        <f t="shared" si="40"/>
        <v>664.875</v>
      </c>
      <c r="FF43" s="194">
        <f t="shared" si="41"/>
        <v>2216.25</v>
      </c>
      <c r="FG43" s="194">
        <f t="shared" si="42"/>
        <v>664.875</v>
      </c>
      <c r="FH43" s="257">
        <f>IF(EZ43="No",IF((OR(MONTH(C43)=5,MONTH(C43)=6,MONTH(C43)=7,MONTH(C43)=8,MONTH(C43)=9)),Summary!$O$15*12*(AX43+AY43+AZ43+BA43)*(1-$BC43),Summary!$O$15*13*(AX43+AY43+AZ43+BA43)*(1-$BC43)+IF(Summary!$O$16="Yes",(CALC!FA43+Summary!$O$15)*6*(AX43+AY43+AZ43+BA43)*(1-$BC43),0)),0)</f>
        <v>0</v>
      </c>
      <c r="FI43" s="1412">
        <f>IF(MONTH(C43)=5,FI42*(IF(Summary!$E$70="no",(1+(Summary!$E$71*0.8)),1+HLOOKUP(YEAR(C43)-1,CCFMODEL!$I$127:$AF$128,2)*0.8)),+FI42)</f>
        <v>27.894821372262776</v>
      </c>
      <c r="FJ43" s="1411">
        <f>IF(MONTH(C43)=5,FJ42*(IF(Summary!$E$70="no",(1+(Summary!$E$71*0.8)),1+HLOOKUP(YEAR(CALC!C43)-1,CCFMODEL!$I$127:$AF$128,2)*0.8)),FJ42)</f>
        <v>24.380513167883208</v>
      </c>
      <c r="FK43" s="832">
        <f t="shared" si="1"/>
        <v>498284.49680219562</v>
      </c>
      <c r="FL43" s="1412">
        <f>IF(MONTH(C43)=5,FL42*(IF(Summary!$E$70="no",(1+(Summary!$E$71*0.8)),1+HLOOKUP(YEAR(CALC!C43)-1,CCFMODEL!$I$127:$AF$128,2)*0.8)),+FL42)</f>
        <v>58.665936661800487</v>
      </c>
      <c r="FM43" s="1411">
        <f>IF(MONTH(C43)=5,FM42*(IF(Summary!$E$70="no",(1+(Summary!$E$71*0.8)),1+HLOOKUP(YEAR(CALC!C43)-1,CCFMODEL!$I$127:$AF$128,2)*0.8)),+FM42)</f>
        <v>27.999413878345496</v>
      </c>
      <c r="FN43" s="832">
        <f t="shared" si="2"/>
        <v>507769.3706837956</v>
      </c>
      <c r="FO43" s="194">
        <f t="shared" si="43"/>
        <v>1006053.8674859912</v>
      </c>
      <c r="FP43" s="263">
        <f t="shared" si="61"/>
        <v>9308.25</v>
      </c>
      <c r="FQ43" s="194">
        <f t="shared" si="61"/>
        <v>2792.4749999999999</v>
      </c>
      <c r="FR43" s="194">
        <f t="shared" si="61"/>
        <v>2216.25</v>
      </c>
      <c r="FS43" s="194">
        <f t="shared" si="61"/>
        <v>664.875</v>
      </c>
      <c r="FT43" s="194">
        <f t="shared" si="61"/>
        <v>2216.25</v>
      </c>
      <c r="FU43" s="194">
        <f t="shared" si="61"/>
        <v>664.875</v>
      </c>
      <c r="FV43" s="257">
        <f t="shared" si="61"/>
        <v>0</v>
      </c>
      <c r="FW43" s="189">
        <f t="shared" si="4"/>
        <v>0</v>
      </c>
      <c r="FX43" s="189">
        <f t="shared" si="5"/>
        <v>0</v>
      </c>
      <c r="FY43" s="189">
        <f t="shared" si="6"/>
        <v>0</v>
      </c>
      <c r="FZ43" s="258">
        <f t="shared" si="7"/>
        <v>0</v>
      </c>
      <c r="GA43" s="1293">
        <f>(SUM(FP43:FV43)+SUM(GU43:HB43)/(1-Summary!$O$25))*CY43/1000</f>
        <v>235515.06885512522</v>
      </c>
      <c r="GB43" s="1369">
        <f>IF($C43&lt;Summary!$M$81,+Summary!$O$81,VLOOKUP(C43,GasTable,19))</f>
        <v>2.4</v>
      </c>
      <c r="GC43" s="1370">
        <f>IF(H43&lt;=Summary!$N$84,MIN(GA43,Summary!$O$75*(H43-G43+1)),0)</f>
        <v>155000</v>
      </c>
      <c r="GD43" s="1371">
        <f>IF(Summary!$O$75*(H43-G43+1)*0.8&gt;GC43,1,0)</f>
        <v>0</v>
      </c>
      <c r="GE43" s="1372">
        <v>0</v>
      </c>
      <c r="GF43" s="1370">
        <f t="shared" si="8"/>
        <v>80515.068855125224</v>
      </c>
      <c r="GG43" s="1371">
        <f>GF43*(IF(Summary!$O$74=1,VLOOKUP($C43,GasTable,16)+Summary!$O$92+Summary!$O$93,VLOOKUP($C43,GasTable,19)+Summary!$O$92+Summary!$O$93))</f>
        <v>212913.61778885892</v>
      </c>
      <c r="GH43" s="1373">
        <v>20813.400000000001</v>
      </c>
      <c r="GI43" s="1466">
        <v>0</v>
      </c>
      <c r="GJ43" s="1374">
        <f t="shared" si="44"/>
        <v>605727.01778885897</v>
      </c>
      <c r="GK43" s="189">
        <f t="shared" si="9"/>
        <v>30062.012850000003</v>
      </c>
      <c r="GL43" s="266">
        <v>0.75817031249600009</v>
      </c>
      <c r="GM43" s="255">
        <f t="shared" si="10"/>
        <v>15221</v>
      </c>
      <c r="GN43" s="189">
        <f>IF(SUM(GU43:HB43)=0,0,IF(Summary!$O$16="Yes",SUM(GX43:HB43),IF(Summary!$O$17="Yes",SUM(GY43:HB43),SUM(GU43:HB43))))</f>
        <v>12199.037850000001</v>
      </c>
      <c r="GO43" s="203">
        <v>5.8903568576642336</v>
      </c>
      <c r="GP43" s="258">
        <f t="shared" si="45"/>
        <v>71856.686256653047</v>
      </c>
      <c r="GQ43" s="189"/>
      <c r="GR43" s="189"/>
      <c r="GS43" s="189"/>
      <c r="GT43" s="189"/>
      <c r="GU43" s="268">
        <v>5389.4767500000007</v>
      </c>
      <c r="GV43" s="189">
        <v>1283.20875</v>
      </c>
      <c r="GW43" s="189">
        <v>1283.20875</v>
      </c>
      <c r="GX43" s="189"/>
      <c r="GY43" s="254">
        <v>2874.3875999999996</v>
      </c>
      <c r="GZ43" s="189">
        <v>684.37800000000004</v>
      </c>
      <c r="HA43" s="189">
        <v>684.37800000000004</v>
      </c>
      <c r="HB43" s="255"/>
      <c r="HC43" s="189">
        <v>12199.037850000001</v>
      </c>
      <c r="HD43" s="189"/>
      <c r="HE43" s="189">
        <v>20950.521525</v>
      </c>
      <c r="HF43" s="189">
        <v>364447.28943851398</v>
      </c>
      <c r="HG43" s="189"/>
      <c r="HH43" s="203">
        <v>29.384822349855277</v>
      </c>
      <c r="HI43" s="189">
        <v>615627.35314894409</v>
      </c>
      <c r="HJ43" s="268">
        <f t="shared" si="11"/>
        <v>0</v>
      </c>
      <c r="HK43" s="189">
        <f t="shared" si="12"/>
        <v>0</v>
      </c>
      <c r="HL43" s="189">
        <f t="shared" si="13"/>
        <v>0</v>
      </c>
      <c r="HM43" s="255">
        <f t="shared" si="14"/>
        <v>0</v>
      </c>
      <c r="HN43" s="189">
        <f t="shared" si="15"/>
        <v>0</v>
      </c>
      <c r="HO43" s="203">
        <f t="shared" si="46"/>
        <v>0</v>
      </c>
      <c r="HP43" s="258">
        <f t="shared" si="16"/>
        <v>0</v>
      </c>
      <c r="HQ43" s="203"/>
      <c r="HR43" s="820"/>
      <c r="HS43"/>
      <c r="HT43"/>
      <c r="HU43"/>
      <c r="HV43"/>
      <c r="HW43" s="188"/>
      <c r="HX43"/>
      <c r="HY43" s="132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 s="820"/>
      <c r="IN43" s="820"/>
      <c r="IR43" s="223"/>
    </row>
    <row r="44" spans="1:252" ht="13.8" thickBot="1">
      <c r="A44" t="str">
        <f t="shared" si="23"/>
        <v>2002Q2</v>
      </c>
      <c r="B44">
        <f t="shared" si="24"/>
        <v>2002</v>
      </c>
      <c r="C44" s="49">
        <f t="shared" si="25"/>
        <v>37347</v>
      </c>
      <c r="D44" s="115">
        <f t="shared" si="26"/>
        <v>2002</v>
      </c>
      <c r="E44" s="10">
        <f t="shared" si="55"/>
        <v>4</v>
      </c>
      <c r="F44" s="248" t="str">
        <f t="shared" si="57"/>
        <v/>
      </c>
      <c r="G44" s="245">
        <v>37347</v>
      </c>
      <c r="H44" s="251">
        <v>37376</v>
      </c>
      <c r="I44" s="959">
        <f t="shared" si="53"/>
        <v>7.1499999999999994E-2</v>
      </c>
      <c r="J44" s="37">
        <f t="shared" si="27"/>
        <v>0.84315525446708961</v>
      </c>
      <c r="K44" s="1036" t="e">
        <f>IF(Summary!#REF!=1,+Summary!#REF!,I44+Summary!#REF!/10000)</f>
        <v>#REF!</v>
      </c>
      <c r="L44" s="37" t="e">
        <f t="shared" si="28"/>
        <v>#REF!</v>
      </c>
      <c r="M44" s="1004">
        <v>0</v>
      </c>
      <c r="N44" s="38">
        <f t="shared" si="58"/>
        <v>0</v>
      </c>
      <c r="O44" s="40">
        <f t="shared" si="58"/>
        <v>0</v>
      </c>
      <c r="P44" s="159">
        <f t="shared" si="60"/>
        <v>0</v>
      </c>
      <c r="Q44" s="38">
        <f t="shared" si="62"/>
        <v>0</v>
      </c>
      <c r="R44" s="40">
        <f t="shared" si="62"/>
        <v>0</v>
      </c>
      <c r="S44" s="38">
        <f t="shared" si="62"/>
        <v>0</v>
      </c>
      <c r="T44" s="38">
        <f t="shared" si="62"/>
        <v>0</v>
      </c>
      <c r="U44" s="38">
        <f t="shared" si="62"/>
        <v>0</v>
      </c>
      <c r="V44" s="159">
        <f t="shared" si="62"/>
        <v>0</v>
      </c>
      <c r="W44" s="38">
        <f t="shared" si="62"/>
        <v>0</v>
      </c>
      <c r="X44" s="39">
        <f t="shared" si="62"/>
        <v>0</v>
      </c>
      <c r="Y44" s="46">
        <v>0</v>
      </c>
      <c r="Z44" s="46">
        <v>0</v>
      </c>
      <c r="AA44" s="47">
        <v>0</v>
      </c>
      <c r="AB44" s="46">
        <v>0</v>
      </c>
      <c r="AC44" s="46">
        <v>0</v>
      </c>
      <c r="AD44" s="47">
        <v>0</v>
      </c>
      <c r="AE44" s="46">
        <v>0</v>
      </c>
      <c r="AF44" s="46">
        <v>0</v>
      </c>
      <c r="AG44" s="47">
        <v>0</v>
      </c>
      <c r="AH44" s="46">
        <v>0</v>
      </c>
      <c r="AI44" s="46">
        <v>0</v>
      </c>
      <c r="AJ44" s="47">
        <v>0</v>
      </c>
      <c r="AK44" s="46">
        <v>0</v>
      </c>
      <c r="AL44" s="46">
        <v>0</v>
      </c>
      <c r="AM44" s="47">
        <v>0</v>
      </c>
      <c r="AN44" s="46">
        <v>0</v>
      </c>
      <c r="AO44" s="46">
        <v>0</v>
      </c>
      <c r="AP44" s="47">
        <v>0</v>
      </c>
      <c r="AQ44" s="46">
        <v>0</v>
      </c>
      <c r="AR44" s="46">
        <v>0</v>
      </c>
      <c r="AS44" s="47">
        <v>0</v>
      </c>
      <c r="AT44" s="46">
        <v>0</v>
      </c>
      <c r="AU44" s="46">
        <v>0</v>
      </c>
      <c r="AV44" s="46">
        <v>0</v>
      </c>
      <c r="AW44" s="1545">
        <v>0</v>
      </c>
      <c r="AX44" s="10">
        <f t="shared" si="56"/>
        <v>22</v>
      </c>
      <c r="AY44" s="42">
        <f>IF(AND($E44=MONTH(Summary!$E$24),$D44=YEAR(Summary!$E$24)),Summary!$E$25,1)*IF(G44="",0,INT((H44-MOD(H44,7)-G44)/7)+1-IF(BA44,IF(WEEKDAY(F44)=7,1,0),0))</f>
        <v>4</v>
      </c>
      <c r="AZ44" s="42">
        <f>IF(AND($E44=MONTH(Summary!$E$24),$D44=YEAR(Summary!$E$24)),Summary!$E$25,1)*IF(G44="",0,INT((H44-MOD(H44-1,7)-G44)/7)+1-IF(BA44,IF(WEEKDAY(F44)=1,1,0),0))</f>
        <v>4</v>
      </c>
      <c r="BA44" s="42">
        <v>0</v>
      </c>
      <c r="BB44" s="10">
        <f>IF(AND($E44=MONTH(Summary!$E$24),$D44=YEAR(Summary!$E$24)),Summary!$E$25,1)*IF(G44="",0,H44-G44+1)</f>
        <v>30</v>
      </c>
      <c r="BC44" s="914">
        <f>Summary!$E$19</f>
        <v>1.4999999999999999E-2</v>
      </c>
      <c r="BD44" s="113">
        <v>15602.4</v>
      </c>
      <c r="BE44" s="171">
        <v>2836.8</v>
      </c>
      <c r="BF44" s="171">
        <v>2836.8</v>
      </c>
      <c r="BG44" s="174"/>
      <c r="BH44" s="1198">
        <v>1</v>
      </c>
      <c r="BI44" s="1198">
        <v>1</v>
      </c>
      <c r="BJ44" s="1198">
        <v>1</v>
      </c>
      <c r="BK44" s="1198">
        <v>1</v>
      </c>
      <c r="BL44" s="95">
        <v>3120.48</v>
      </c>
      <c r="BM44" s="171">
        <v>567.36</v>
      </c>
      <c r="BN44" s="171">
        <v>567.36</v>
      </c>
      <c r="BO44" s="174"/>
      <c r="BP44" s="1198">
        <v>1</v>
      </c>
      <c r="BQ44" s="1199">
        <v>1</v>
      </c>
      <c r="BR44" s="1199">
        <v>1</v>
      </c>
      <c r="BS44" s="1200">
        <v>1</v>
      </c>
      <c r="BT44" s="94">
        <f t="shared" si="29"/>
        <v>21276</v>
      </c>
      <c r="BU44" s="233">
        <f t="shared" si="30"/>
        <v>21276</v>
      </c>
      <c r="BV44" s="92">
        <f t="shared" si="31"/>
        <v>4255.2</v>
      </c>
      <c r="BW44" s="233">
        <f t="shared" si="32"/>
        <v>4255.2</v>
      </c>
      <c r="BX44" s="88">
        <v>2.2943189596167008</v>
      </c>
      <c r="BY44" s="90">
        <v>0</v>
      </c>
      <c r="BZ44" s="88">
        <v>0</v>
      </c>
      <c r="CA44" s="88">
        <v>0</v>
      </c>
      <c r="CB44" s="88">
        <v>0</v>
      </c>
      <c r="CC44" s="88">
        <v>0</v>
      </c>
      <c r="CD44" s="88">
        <v>0</v>
      </c>
      <c r="CE44" s="100">
        <v>0</v>
      </c>
      <c r="CF44" s="88">
        <v>0</v>
      </c>
      <c r="CG44" s="88">
        <v>0</v>
      </c>
      <c r="CH44" s="88">
        <v>0</v>
      </c>
      <c r="CI44" s="88">
        <v>0</v>
      </c>
      <c r="CJ44" s="228">
        <v>0</v>
      </c>
      <c r="CK44" s="88">
        <v>0</v>
      </c>
      <c r="CL44" s="88">
        <v>0</v>
      </c>
      <c r="CM44" s="88">
        <v>0</v>
      </c>
      <c r="CN44" s="88">
        <v>0</v>
      </c>
      <c r="CO44" s="88">
        <v>0</v>
      </c>
      <c r="CP44" s="88">
        <v>0</v>
      </c>
      <c r="CQ44" s="229">
        <v>0</v>
      </c>
      <c r="CR44" s="91">
        <v>0</v>
      </c>
      <c r="CS44" s="91">
        <v>0</v>
      </c>
      <c r="CT44" s="91">
        <v>0</v>
      </c>
      <c r="CU44" s="91">
        <v>0</v>
      </c>
      <c r="CV44" s="91">
        <v>0</v>
      </c>
      <c r="CW44" s="91">
        <v>0</v>
      </c>
      <c r="CX44" s="225">
        <v>0</v>
      </c>
      <c r="CY44" s="1265">
        <v>7722.6295999999993</v>
      </c>
      <c r="CZ44" s="90">
        <v>0</v>
      </c>
      <c r="DA44" s="88">
        <v>0</v>
      </c>
      <c r="DB44" s="88">
        <v>0</v>
      </c>
      <c r="DC44" s="88">
        <v>0</v>
      </c>
      <c r="DD44" s="88">
        <v>0</v>
      </c>
      <c r="DE44" s="152">
        <v>0</v>
      </c>
      <c r="DF44" s="230">
        <v>0</v>
      </c>
      <c r="DG44" s="38">
        <v>0</v>
      </c>
      <c r="DH44" s="1237">
        <v>0</v>
      </c>
      <c r="DI44" s="956">
        <v>0</v>
      </c>
      <c r="DJ44" s="956">
        <v>0</v>
      </c>
      <c r="DK44" s="956">
        <v>0</v>
      </c>
      <c r="DL44" s="152">
        <v>0</v>
      </c>
      <c r="DM44" s="160">
        <v>0</v>
      </c>
      <c r="DN44" s="160">
        <v>0</v>
      </c>
      <c r="DO44" s="160">
        <v>0</v>
      </c>
      <c r="DP44" s="160">
        <v>0</v>
      </c>
      <c r="DQ44" s="160">
        <v>0</v>
      </c>
      <c r="DR44" s="230">
        <v>0</v>
      </c>
      <c r="DS44" s="88">
        <v>0</v>
      </c>
      <c r="DT44" s="88">
        <v>0</v>
      </c>
      <c r="DU44" s="88">
        <v>0</v>
      </c>
      <c r="DV44" s="88">
        <v>0</v>
      </c>
      <c r="DW44" s="88">
        <v>0</v>
      </c>
      <c r="DX44" s="88">
        <v>0</v>
      </c>
      <c r="DY44" s="88">
        <v>0</v>
      </c>
      <c r="DZ44" s="88">
        <v>0</v>
      </c>
      <c r="EA44" s="88">
        <v>0</v>
      </c>
      <c r="EB44" s="152">
        <v>0</v>
      </c>
      <c r="EC44" s="52">
        <f t="shared" si="33"/>
        <v>0</v>
      </c>
      <c r="ED44" s="52">
        <f t="shared" si="33"/>
        <v>0</v>
      </c>
      <c r="EE44" s="52">
        <f t="shared" si="33"/>
        <v>0</v>
      </c>
      <c r="EF44" s="52">
        <f t="shared" si="33"/>
        <v>0</v>
      </c>
      <c r="EG44" s="52">
        <f t="shared" si="34"/>
        <v>0</v>
      </c>
      <c r="EH44" s="238">
        <v>0</v>
      </c>
      <c r="EI44" s="211">
        <v>0</v>
      </c>
      <c r="EJ44" s="211">
        <v>0</v>
      </c>
      <c r="EK44" s="211">
        <v>0</v>
      </c>
      <c r="EL44" s="217">
        <f>IF(C44&gt;=Summary!$E$26,MAX(0,SUM(EH44:EK44)),0)</f>
        <v>0</v>
      </c>
      <c r="EM44" s="52">
        <f>IF(C44&gt;=Summary!$E$26,DX44*BL44,0)</f>
        <v>0</v>
      </c>
      <c r="EN44" s="52">
        <f>IF(C44&gt;=Summary!$E$26,DY44*BM44,0)</f>
        <v>0</v>
      </c>
      <c r="EO44" s="52">
        <f>IF(C44&gt;=Summary!$E$26,DZ44*BN44,0)</f>
        <v>0</v>
      </c>
      <c r="EP44" s="52">
        <f>IF(C44&gt;=Summary!$E$26,EA44*BO44,0)</f>
        <v>0</v>
      </c>
      <c r="EQ44" s="52">
        <f>IF(C44&gt;=Summary!$E$26,DX44*BL44+DY44*BM44+DZ44*BN44+EA44*BO44,0)</f>
        <v>0</v>
      </c>
      <c r="ER44" s="826">
        <v>0</v>
      </c>
      <c r="ES44" s="278">
        <v>0</v>
      </c>
      <c r="ET44" s="278">
        <v>0</v>
      </c>
      <c r="EU44" s="278">
        <v>0</v>
      </c>
      <c r="EV44" s="212">
        <f>IF(C44&gt;=Summary!$E$26,MAX(0,SUM(ER44:EU44)),0)</f>
        <v>0</v>
      </c>
      <c r="EW44" s="52"/>
      <c r="EX44" s="1049">
        <f t="shared" si="35"/>
        <v>0</v>
      </c>
      <c r="EY44" s="1045" t="str">
        <f t="shared" si="36"/>
        <v/>
      </c>
      <c r="EZ44" s="1684" t="s">
        <v>525</v>
      </c>
      <c r="FA44" s="1046">
        <f t="shared" si="54"/>
        <v>45</v>
      </c>
      <c r="FB44" s="256">
        <f t="shared" si="37"/>
        <v>9751.5</v>
      </c>
      <c r="FC44" s="194">
        <f t="shared" si="38"/>
        <v>2925.45</v>
      </c>
      <c r="FD44" s="194">
        <f t="shared" si="39"/>
        <v>1773</v>
      </c>
      <c r="FE44" s="194">
        <f t="shared" si="40"/>
        <v>531.9</v>
      </c>
      <c r="FF44" s="194">
        <f t="shared" si="41"/>
        <v>1773</v>
      </c>
      <c r="FG44" s="194">
        <f t="shared" si="42"/>
        <v>531.9</v>
      </c>
      <c r="FH44" s="257">
        <f>IF(EZ44="No",IF((OR(MONTH(C44)=5,MONTH(C44)=6,MONTH(C44)=7,MONTH(C44)=8,MONTH(C44)=9)),Summary!$O$15*12*(AX44+AY44+AZ44+BA44)*(1-$BC44),Summary!$O$15*13*(AX44+AY44+AZ44+BA44)*(1-$BC44)+IF(Summary!$O$16="Yes",(CALC!FA44+Summary!$O$15)*6*(AX44+AY44+AZ44+BA44)*(1-$BC44),0)),0)</f>
        <v>0</v>
      </c>
      <c r="FI44" s="1412">
        <f>IF(MONTH(C44)=5,FI43*(IF(Summary!$E$70="no",(1+(Summary!$E$71*0.8)),1+HLOOKUP(YEAR(C44)-1,CCFMODEL!$I$127:$AF$128,2)*0.8)),+FI43)</f>
        <v>27.894821372262776</v>
      </c>
      <c r="FJ44" s="1411">
        <f>IF(MONTH(C44)=5,FJ43*(IF(Summary!$E$70="no",(1+(Summary!$E$71*0.8)),1+HLOOKUP(YEAR(CALC!C44)-1,CCFMODEL!$I$127:$AF$128,2)*0.8)),FJ43)</f>
        <v>24.380513167883208</v>
      </c>
      <c r="FK44" s="832">
        <f t="shared" si="1"/>
        <v>482210.80335696356</v>
      </c>
      <c r="FL44" s="1412">
        <f>IF(MONTH(C44)=5,FL43*(IF(Summary!$E$70="no",(1+(Summary!$E$71*0.8)),1+HLOOKUP(YEAR(CALC!C44)-1,CCFMODEL!$I$127:$AF$128,2)*0.8)),+FL43)</f>
        <v>58.665936661800487</v>
      </c>
      <c r="FM44" s="1411">
        <f>IF(MONTH(C44)=5,FM43*(IF(Summary!$E$70="no",(1+(Summary!$E$71*0.8)),1+HLOOKUP(YEAR(CALC!C44)-1,CCFMODEL!$I$127:$AF$128,2)*0.8)),+FM43)</f>
        <v>27.999413878345496</v>
      </c>
      <c r="FN44" s="832">
        <f t="shared" si="2"/>
        <v>491389.71356496349</v>
      </c>
      <c r="FO44" s="194">
        <f t="shared" si="43"/>
        <v>973600.51692192699</v>
      </c>
      <c r="FP44" s="263">
        <f t="shared" si="61"/>
        <v>9751.5</v>
      </c>
      <c r="FQ44" s="194">
        <f t="shared" si="61"/>
        <v>2925.45</v>
      </c>
      <c r="FR44" s="194">
        <f t="shared" si="61"/>
        <v>1773</v>
      </c>
      <c r="FS44" s="194">
        <f t="shared" si="61"/>
        <v>531.9</v>
      </c>
      <c r="FT44" s="194">
        <f t="shared" si="61"/>
        <v>1773</v>
      </c>
      <c r="FU44" s="194">
        <f t="shared" si="61"/>
        <v>531.9</v>
      </c>
      <c r="FV44" s="257">
        <f t="shared" si="61"/>
        <v>0</v>
      </c>
      <c r="FW44" s="189">
        <f t="shared" si="4"/>
        <v>0</v>
      </c>
      <c r="FX44" s="189">
        <f t="shared" si="5"/>
        <v>0</v>
      </c>
      <c r="FY44" s="189">
        <f t="shared" si="6"/>
        <v>0</v>
      </c>
      <c r="FZ44" s="258">
        <f t="shared" si="7"/>
        <v>0</v>
      </c>
      <c r="GA44" s="1293">
        <f>(SUM(FP44:FV44)+SUM(GU44:HB44)/(1-Summary!$O$25))*CY44/1000</f>
        <v>227975.50097531994</v>
      </c>
      <c r="GB44" s="1369">
        <f>IF($C44&lt;Summary!$M$81,+Summary!$O$81,VLOOKUP(C44,GasTable,19))</f>
        <v>2.4</v>
      </c>
      <c r="GC44" s="1370">
        <f>IF(H44&lt;=Summary!$N$84,MIN(GA44,Summary!$O$75*(H44-G44+1)),0)</f>
        <v>150000</v>
      </c>
      <c r="GD44" s="1371">
        <f>IF(Summary!$O$75*(H44-G44+1)*0.8&gt;GC44,1,0)</f>
        <v>0</v>
      </c>
      <c r="GE44" s="1372">
        <v>0</v>
      </c>
      <c r="GF44" s="1370">
        <f t="shared" si="8"/>
        <v>77975.500975319941</v>
      </c>
      <c r="GG44" s="1371">
        <f>GF44*(IF(Summary!$O$74=1,VLOOKUP($C44,GasTable,16)+Summary!$O$92+Summary!$O$93,VLOOKUP($C44,GasTable,19)+Summary!$O$92+Summary!$O$93))</f>
        <v>199599.29753738185</v>
      </c>
      <c r="GH44" s="1373">
        <v>19332</v>
      </c>
      <c r="GI44" s="1466">
        <v>0</v>
      </c>
      <c r="GJ44" s="1374">
        <f t="shared" si="44"/>
        <v>578931.29753738188</v>
      </c>
      <c r="GK44" s="189">
        <f t="shared" si="9"/>
        <v>29092.270500000002</v>
      </c>
      <c r="GL44" s="266">
        <v>0.75836222671999987</v>
      </c>
      <c r="GM44" s="255">
        <f t="shared" si="10"/>
        <v>14730</v>
      </c>
      <c r="GN44" s="189">
        <f>IF(SUM(GU44:HB44)=0,0,IF(Summary!$O$16="Yes",SUM(GX44:HB44),IF(Summary!$O$17="Yes",SUM(GY44:HB44),SUM(GU44:HB44))))</f>
        <v>11805.520499999999</v>
      </c>
      <c r="GO44" s="203">
        <v>5.8903568576642336</v>
      </c>
      <c r="GP44" s="258">
        <f t="shared" si="45"/>
        <v>69538.728635470688</v>
      </c>
      <c r="GQ44" s="189"/>
      <c r="GR44" s="189"/>
      <c r="GS44" s="189"/>
      <c r="GT44" s="189"/>
      <c r="GU44" s="268">
        <v>5646.1184999999996</v>
      </c>
      <c r="GV44" s="189">
        <v>1026.5670000000002</v>
      </c>
      <c r="GW44" s="189">
        <v>1026.5670000000002</v>
      </c>
      <c r="GX44" s="189"/>
      <c r="GY44" s="254">
        <v>3011.2631999999999</v>
      </c>
      <c r="GZ44" s="189">
        <v>547.50239999999997</v>
      </c>
      <c r="HA44" s="189">
        <v>547.50239999999997</v>
      </c>
      <c r="HB44" s="255"/>
      <c r="HC44" s="189">
        <v>11805.520499999999</v>
      </c>
      <c r="HD44" s="189"/>
      <c r="HE44" s="189">
        <v>20274.698249999998</v>
      </c>
      <c r="HF44" s="189">
        <v>341571.09688471089</v>
      </c>
      <c r="HG44" s="189"/>
      <c r="HH44" s="203">
        <v>28.410355720829706</v>
      </c>
      <c r="HI44" s="189">
        <v>576011.38941498345</v>
      </c>
      <c r="HJ44" s="268">
        <f t="shared" si="11"/>
        <v>0</v>
      </c>
      <c r="HK44" s="189">
        <f t="shared" si="12"/>
        <v>0</v>
      </c>
      <c r="HL44" s="189">
        <f t="shared" si="13"/>
        <v>0</v>
      </c>
      <c r="HM44" s="255">
        <f t="shared" si="14"/>
        <v>0</v>
      </c>
      <c r="HN44" s="189">
        <f t="shared" si="15"/>
        <v>0</v>
      </c>
      <c r="HO44" s="203">
        <f t="shared" si="46"/>
        <v>0</v>
      </c>
      <c r="HP44" s="258">
        <f t="shared" si="16"/>
        <v>0</v>
      </c>
      <c r="HQ44" s="203"/>
      <c r="HR44" s="820"/>
      <c r="HS44" s="820"/>
      <c r="HT44" s="820"/>
      <c r="HU44" s="820"/>
      <c r="HV44" s="820"/>
      <c r="HW44" s="820"/>
      <c r="HX44" s="820"/>
      <c r="HY44" s="820"/>
      <c r="HZ44" s="820"/>
      <c r="IA44" s="820"/>
      <c r="IB44" s="820"/>
      <c r="IC44" s="820"/>
      <c r="ID44" s="820"/>
      <c r="IE44" s="820"/>
      <c r="IF44" s="820"/>
      <c r="IG44" s="820"/>
      <c r="IH44" s="820"/>
      <c r="II44" s="820"/>
      <c r="IJ44" s="820"/>
      <c r="IK44" s="820"/>
      <c r="IL44" s="820"/>
      <c r="IM44" s="820"/>
      <c r="IN44" s="820"/>
      <c r="IO44" s="820"/>
      <c r="IR44" s="223"/>
    </row>
    <row r="45" spans="1:252" ht="13.8" thickBot="1">
      <c r="A45" t="str">
        <f t="shared" si="23"/>
        <v>2002Q2</v>
      </c>
      <c r="B45">
        <f t="shared" si="24"/>
        <v>2002</v>
      </c>
      <c r="C45" s="49">
        <f t="shared" si="25"/>
        <v>37377</v>
      </c>
      <c r="D45" s="115">
        <f t="shared" si="26"/>
        <v>2002</v>
      </c>
      <c r="E45" s="10">
        <f t="shared" si="55"/>
        <v>5</v>
      </c>
      <c r="F45" s="248">
        <f t="shared" si="57"/>
        <v>37403</v>
      </c>
      <c r="G45" s="245">
        <v>37377</v>
      </c>
      <c r="H45" s="251">
        <v>37407</v>
      </c>
      <c r="I45" s="959">
        <f t="shared" si="53"/>
        <v>7.1499999999999994E-2</v>
      </c>
      <c r="J45" s="37">
        <f t="shared" si="27"/>
        <v>0.8381429070039752</v>
      </c>
      <c r="K45" s="1036" t="e">
        <f>IF(Summary!#REF!=1,+Summary!#REF!,I45+Summary!#REF!/10000)</f>
        <v>#REF!</v>
      </c>
      <c r="L45" s="37" t="e">
        <f t="shared" si="28"/>
        <v>#REF!</v>
      </c>
      <c r="M45" s="1004">
        <v>0</v>
      </c>
      <c r="N45" s="38">
        <f t="shared" si="58"/>
        <v>0</v>
      </c>
      <c r="O45" s="40">
        <f t="shared" si="58"/>
        <v>0</v>
      </c>
      <c r="P45" s="159">
        <f t="shared" si="60"/>
        <v>0</v>
      </c>
      <c r="Q45" s="38">
        <f t="shared" si="62"/>
        <v>0</v>
      </c>
      <c r="R45" s="40">
        <f t="shared" si="62"/>
        <v>0</v>
      </c>
      <c r="S45" s="38">
        <f t="shared" si="62"/>
        <v>0</v>
      </c>
      <c r="T45" s="38">
        <f t="shared" si="62"/>
        <v>0</v>
      </c>
      <c r="U45" s="38">
        <f t="shared" si="62"/>
        <v>0</v>
      </c>
      <c r="V45" s="159">
        <f t="shared" si="62"/>
        <v>0</v>
      </c>
      <c r="W45" s="38">
        <f t="shared" si="62"/>
        <v>0</v>
      </c>
      <c r="X45" s="39">
        <f t="shared" si="62"/>
        <v>0</v>
      </c>
      <c r="Y45" s="46">
        <v>0</v>
      </c>
      <c r="Z45" s="46">
        <v>0</v>
      </c>
      <c r="AA45" s="47">
        <v>0</v>
      </c>
      <c r="AB45" s="46">
        <v>0</v>
      </c>
      <c r="AC45" s="46">
        <v>0</v>
      </c>
      <c r="AD45" s="47">
        <v>0</v>
      </c>
      <c r="AE45" s="46">
        <v>0</v>
      </c>
      <c r="AF45" s="46">
        <v>0</v>
      </c>
      <c r="AG45" s="47">
        <v>0</v>
      </c>
      <c r="AH45" s="46">
        <v>0</v>
      </c>
      <c r="AI45" s="46">
        <v>0</v>
      </c>
      <c r="AJ45" s="47">
        <v>0</v>
      </c>
      <c r="AK45" s="46">
        <v>0</v>
      </c>
      <c r="AL45" s="46">
        <v>0</v>
      </c>
      <c r="AM45" s="47">
        <v>0</v>
      </c>
      <c r="AN45" s="46">
        <v>0</v>
      </c>
      <c r="AO45" s="46">
        <v>0</v>
      </c>
      <c r="AP45" s="47">
        <v>0</v>
      </c>
      <c r="AQ45" s="46">
        <v>0</v>
      </c>
      <c r="AR45" s="46">
        <v>0</v>
      </c>
      <c r="AS45" s="47">
        <v>0</v>
      </c>
      <c r="AT45" s="46">
        <v>0</v>
      </c>
      <c r="AU45" s="46">
        <v>0</v>
      </c>
      <c r="AV45" s="46">
        <v>0</v>
      </c>
      <c r="AW45" s="1545">
        <v>0</v>
      </c>
      <c r="AX45" s="10">
        <f t="shared" si="56"/>
        <v>22</v>
      </c>
      <c r="AY45" s="42">
        <f>IF(AND($E45=MONTH(Summary!$E$24),$D45=YEAR(Summary!$E$24)),Summary!$E$25,1)*IF(G45="",0,INT((H45-MOD(H45,7)-G45)/7)+1-IF(BA45,IF(WEEKDAY(F45)=7,1,0),0))</f>
        <v>4</v>
      </c>
      <c r="AZ45" s="42">
        <f>IF(AND($E45=MONTH(Summary!$E$24),$D45=YEAR(Summary!$E$24)),Summary!$E$25,1)*IF(G45="",0,INT((H45-MOD(H45-1,7)-G45)/7)+1-IF(BA45,IF(WEEKDAY(F45)=1,1,0),0))</f>
        <v>4</v>
      </c>
      <c r="BA45" s="42">
        <v>1</v>
      </c>
      <c r="BB45" s="10">
        <f>IF(AND($E45=MONTH(Summary!$E$24),$D45=YEAR(Summary!$E$24)),Summary!$E$25,1)*IF(G45="",0,H45-G45+1)</f>
        <v>31</v>
      </c>
      <c r="BC45" s="914">
        <f>Summary!$E$19</f>
        <v>1.4999999999999999E-2</v>
      </c>
      <c r="BD45" s="113">
        <v>15602.4</v>
      </c>
      <c r="BE45" s="171">
        <v>2836.8</v>
      </c>
      <c r="BF45" s="171">
        <v>3546</v>
      </c>
      <c r="BG45" s="174"/>
      <c r="BH45" s="1198">
        <v>1</v>
      </c>
      <c r="BI45" s="1198">
        <v>1</v>
      </c>
      <c r="BJ45" s="1198">
        <v>1</v>
      </c>
      <c r="BK45" s="1198">
        <v>1</v>
      </c>
      <c r="BL45" s="95">
        <v>3120.48</v>
      </c>
      <c r="BM45" s="171">
        <v>567.36</v>
      </c>
      <c r="BN45" s="171">
        <v>709.2</v>
      </c>
      <c r="BO45" s="174"/>
      <c r="BP45" s="1198">
        <v>1</v>
      </c>
      <c r="BQ45" s="1199">
        <v>1</v>
      </c>
      <c r="BR45" s="1199">
        <v>1</v>
      </c>
      <c r="BS45" s="1200">
        <v>1</v>
      </c>
      <c r="BT45" s="94">
        <f t="shared" si="29"/>
        <v>21985.200000000001</v>
      </c>
      <c r="BU45" s="233">
        <f t="shared" si="30"/>
        <v>21985.200000000001</v>
      </c>
      <c r="BV45" s="92">
        <f t="shared" si="31"/>
        <v>4397.04</v>
      </c>
      <c r="BW45" s="233">
        <f t="shared" si="32"/>
        <v>4397.04</v>
      </c>
      <c r="BX45" s="88">
        <v>2.3764544832306638</v>
      </c>
      <c r="BY45" s="90">
        <v>0</v>
      </c>
      <c r="BZ45" s="88">
        <v>0</v>
      </c>
      <c r="CA45" s="88">
        <v>0</v>
      </c>
      <c r="CB45" s="88">
        <v>0</v>
      </c>
      <c r="CC45" s="88">
        <v>0</v>
      </c>
      <c r="CD45" s="88">
        <v>0</v>
      </c>
      <c r="CE45" s="100">
        <v>0</v>
      </c>
      <c r="CF45" s="88">
        <v>0</v>
      </c>
      <c r="CG45" s="88">
        <v>0</v>
      </c>
      <c r="CH45" s="88">
        <v>0</v>
      </c>
      <c r="CI45" s="88">
        <v>0</v>
      </c>
      <c r="CJ45" s="228">
        <v>0</v>
      </c>
      <c r="CK45" s="88">
        <v>0</v>
      </c>
      <c r="CL45" s="88">
        <v>0</v>
      </c>
      <c r="CM45" s="88">
        <v>0</v>
      </c>
      <c r="CN45" s="88">
        <v>0</v>
      </c>
      <c r="CO45" s="88">
        <v>0</v>
      </c>
      <c r="CP45" s="88">
        <v>0</v>
      </c>
      <c r="CQ45" s="229">
        <v>0</v>
      </c>
      <c r="CR45" s="91">
        <v>0</v>
      </c>
      <c r="CS45" s="91">
        <v>0</v>
      </c>
      <c r="CT45" s="91">
        <v>0</v>
      </c>
      <c r="CU45" s="91">
        <v>0</v>
      </c>
      <c r="CV45" s="91">
        <v>0</v>
      </c>
      <c r="CW45" s="91">
        <v>0</v>
      </c>
      <c r="CX45" s="225">
        <v>0</v>
      </c>
      <c r="CY45" s="1265">
        <v>7724.58392</v>
      </c>
      <c r="CZ45" s="90">
        <v>0</v>
      </c>
      <c r="DA45" s="88">
        <v>0</v>
      </c>
      <c r="DB45" s="88">
        <v>0</v>
      </c>
      <c r="DC45" s="88">
        <v>0</v>
      </c>
      <c r="DD45" s="88">
        <v>0</v>
      </c>
      <c r="DE45" s="152">
        <v>0</v>
      </c>
      <c r="DF45" s="230">
        <v>0</v>
      </c>
      <c r="DG45" s="38">
        <v>0</v>
      </c>
      <c r="DH45" s="1237">
        <v>0</v>
      </c>
      <c r="DI45" s="956">
        <v>0</v>
      </c>
      <c r="DJ45" s="956">
        <v>0</v>
      </c>
      <c r="DK45" s="956">
        <v>0</v>
      </c>
      <c r="DL45" s="152">
        <v>0</v>
      </c>
      <c r="DM45" s="160">
        <v>0</v>
      </c>
      <c r="DN45" s="160">
        <v>0</v>
      </c>
      <c r="DO45" s="160">
        <v>0</v>
      </c>
      <c r="DP45" s="160">
        <v>0</v>
      </c>
      <c r="DQ45" s="160">
        <v>0</v>
      </c>
      <c r="DR45" s="230">
        <v>0</v>
      </c>
      <c r="DS45" s="88">
        <v>0</v>
      </c>
      <c r="DT45" s="88">
        <v>0</v>
      </c>
      <c r="DU45" s="88">
        <v>0</v>
      </c>
      <c r="DV45" s="88">
        <v>0</v>
      </c>
      <c r="DW45" s="88">
        <v>0</v>
      </c>
      <c r="DX45" s="88">
        <v>0</v>
      </c>
      <c r="DY45" s="88">
        <v>0</v>
      </c>
      <c r="DZ45" s="88">
        <v>0</v>
      </c>
      <c r="EA45" s="88">
        <v>0</v>
      </c>
      <c r="EB45" s="152">
        <v>0</v>
      </c>
      <c r="EC45" s="52">
        <f t="shared" si="33"/>
        <v>0</v>
      </c>
      <c r="ED45" s="52">
        <f t="shared" si="33"/>
        <v>0</v>
      </c>
      <c r="EE45" s="52">
        <f t="shared" si="33"/>
        <v>0</v>
      </c>
      <c r="EF45" s="52">
        <f t="shared" si="33"/>
        <v>0</v>
      </c>
      <c r="EG45" s="52">
        <f t="shared" si="34"/>
        <v>0</v>
      </c>
      <c r="EH45" s="238">
        <v>0</v>
      </c>
      <c r="EI45" s="211">
        <v>0</v>
      </c>
      <c r="EJ45" s="211">
        <v>0</v>
      </c>
      <c r="EK45" s="211">
        <v>0</v>
      </c>
      <c r="EL45" s="217">
        <f>IF(C45&gt;=Summary!$E$26,MAX(0,SUM(EH45:EK45)),0)</f>
        <v>0</v>
      </c>
      <c r="EM45" s="52">
        <f>IF(C45&gt;=Summary!$E$26,DX45*BL45,0)</f>
        <v>0</v>
      </c>
      <c r="EN45" s="52">
        <f>IF(C45&gt;=Summary!$E$26,DY45*BM45,0)</f>
        <v>0</v>
      </c>
      <c r="EO45" s="52">
        <f>IF(C45&gt;=Summary!$E$26,DZ45*BN45,0)</f>
        <v>0</v>
      </c>
      <c r="EP45" s="52">
        <f>IF(C45&gt;=Summary!$E$26,EA45*BO45,0)</f>
        <v>0</v>
      </c>
      <c r="EQ45" s="52">
        <f>IF(C45&gt;=Summary!$E$26,DX45*BL45+DY45*BM45+DZ45*BN45+EA45*BO45,0)</f>
        <v>0</v>
      </c>
      <c r="ER45" s="826">
        <v>0</v>
      </c>
      <c r="ES45" s="278">
        <v>0</v>
      </c>
      <c r="ET45" s="278">
        <v>0</v>
      </c>
      <c r="EU45" s="278">
        <v>0</v>
      </c>
      <c r="EV45" s="212">
        <f>IF(C45&gt;=Summary!$E$26,MAX(0,SUM(ER45:EU45)),0)</f>
        <v>0</v>
      </c>
      <c r="EW45" s="52"/>
      <c r="EX45" s="1049">
        <f t="shared" si="35"/>
        <v>0</v>
      </c>
      <c r="EY45" s="1045" t="str">
        <f t="shared" si="36"/>
        <v/>
      </c>
      <c r="EZ45" s="1684" t="s">
        <v>525</v>
      </c>
      <c r="FA45" s="1046">
        <f t="shared" si="54"/>
        <v>45</v>
      </c>
      <c r="FB45" s="256">
        <f t="shared" si="37"/>
        <v>11701.8</v>
      </c>
      <c r="FC45" s="194">
        <f t="shared" si="38"/>
        <v>0</v>
      </c>
      <c r="FD45" s="194">
        <f t="shared" si="39"/>
        <v>2127.6</v>
      </c>
      <c r="FE45" s="194">
        <f t="shared" si="40"/>
        <v>0</v>
      </c>
      <c r="FF45" s="194">
        <f t="shared" si="41"/>
        <v>2659.5</v>
      </c>
      <c r="FG45" s="194">
        <f t="shared" si="42"/>
        <v>0</v>
      </c>
      <c r="FH45" s="257">
        <f>IF(EZ45="No",IF((OR(MONTH(C45)=5,MONTH(C45)=6,MONTH(C45)=7,MONTH(C45)=8,MONTH(C45)=9)),Summary!$O$15*12*(AX45+AY45+AZ45+BA45)*(1-$BC45),Summary!$O$15*13*(AX45+AY45+AZ45+BA45)*(1-$BC45)+IF(Summary!$O$16="Yes",(CALC!FA45+Summary!$O$15)*6*(AX45+AY45+AZ45+BA45)*(1-$BC45),0)),0)</f>
        <v>0</v>
      </c>
      <c r="FI45" s="1412">
        <f>IF(MONTH(C45)=5,FI44*(IF(Summary!$E$70="no",(1+(Summary!$E$71*0.8)),1+HLOOKUP(YEAR(C45)-1,CCFMODEL!$I$127:$AF$128,2)*0.8)),+FI44)</f>
        <v>28.564297085197083</v>
      </c>
      <c r="FJ45" s="1411">
        <f>IF(MONTH(C45)=5,FJ44*(IF(Summary!$E$70="no",(1+(Summary!$E$71*0.8)),1+HLOOKUP(YEAR(CALC!C45)-1,CCFMODEL!$I$127:$AF$128,2)*0.8)),FJ44)</f>
        <v>24.965645483912407</v>
      </c>
      <c r="FK45" s="832">
        <f t="shared" si="1"/>
        <v>470993.83820810623</v>
      </c>
      <c r="FL45" s="1412">
        <f>IF(MONTH(C45)=5,FL44*(IF(Summary!$E$70="no",(1+(Summary!$E$71*0.8)),1+HLOOKUP(YEAR(CALC!C45)-1,CCFMODEL!$I$127:$AF$128,2)*0.8)),+FL44)</f>
        <v>60.073919141683703</v>
      </c>
      <c r="FM45" s="1411">
        <f>IF(MONTH(C45)=5,FM44*(IF(Summary!$E$70="no",(1+(Summary!$E$71*0.8)),1+HLOOKUP(YEAR(CALC!C45)-1,CCFMODEL!$I$127:$AF$128,2)*0.8)),+FM44)</f>
        <v>28.67139981142579</v>
      </c>
      <c r="FN45" s="832">
        <f t="shared" si="2"/>
        <v>1005637.4064317852</v>
      </c>
      <c r="FO45" s="194">
        <f t="shared" si="43"/>
        <v>1476631.2446398914</v>
      </c>
      <c r="FP45" s="263">
        <f t="shared" si="61"/>
        <v>11701.8</v>
      </c>
      <c r="FQ45" s="194">
        <f t="shared" si="61"/>
        <v>0</v>
      </c>
      <c r="FR45" s="194">
        <f t="shared" si="61"/>
        <v>2127.6</v>
      </c>
      <c r="FS45" s="194">
        <f t="shared" si="61"/>
        <v>0</v>
      </c>
      <c r="FT45" s="194">
        <f t="shared" si="61"/>
        <v>2659.5</v>
      </c>
      <c r="FU45" s="194">
        <f t="shared" si="61"/>
        <v>0</v>
      </c>
      <c r="FV45" s="257">
        <f t="shared" si="61"/>
        <v>0</v>
      </c>
      <c r="FW45" s="189">
        <f t="shared" si="4"/>
        <v>0</v>
      </c>
      <c r="FX45" s="189">
        <f t="shared" si="5"/>
        <v>0</v>
      </c>
      <c r="FY45" s="189">
        <f t="shared" si="6"/>
        <v>0</v>
      </c>
      <c r="FZ45" s="258">
        <f t="shared" si="7"/>
        <v>0</v>
      </c>
      <c r="GA45" s="1293">
        <f>(SUM(FP45:FV45)+SUM(GU45:HB45)/(1-Summary!$O$25))*CY45/1000</f>
        <v>203791.82687758081</v>
      </c>
      <c r="GB45" s="1369">
        <f>IF($C45&lt;Summary!$M$81,+Summary!$O$81,VLOOKUP(C45,GasTable,19))</f>
        <v>2.4</v>
      </c>
      <c r="GC45" s="1370">
        <f>IF(H45&lt;=Summary!$N$84,MIN(GA45,Summary!$O$75*(H45-G45+1)),0)</f>
        <v>155000</v>
      </c>
      <c r="GD45" s="1371">
        <f>IF(Summary!$O$75*(H45-G45+1)*0.8&gt;GC45,1,0)</f>
        <v>0</v>
      </c>
      <c r="GE45" s="1372">
        <v>0</v>
      </c>
      <c r="GF45" s="1370">
        <f t="shared" si="8"/>
        <v>48791.82687758081</v>
      </c>
      <c r="GG45" s="1371">
        <f>GF45*(IF(Summary!$O$74=1,VLOOKUP($C45,GasTable,16)+Summary!$O$92+Summary!$O$93,VLOOKUP($C45,GasTable,19)+Summary!$O$92+Summary!$O$93))</f>
        <v>123443.39552698865</v>
      </c>
      <c r="GH45" s="1373">
        <v>19790.400000000001</v>
      </c>
      <c r="GI45" s="1466">
        <v>0</v>
      </c>
      <c r="GJ45" s="1374">
        <f t="shared" si="44"/>
        <v>515233.79552698869</v>
      </c>
      <c r="GK45" s="189">
        <f t="shared" si="9"/>
        <v>26035.973100000007</v>
      </c>
      <c r="GL45" s="266">
        <v>0.75855414094399998</v>
      </c>
      <c r="GM45" s="255">
        <f t="shared" si="10"/>
        <v>15221</v>
      </c>
      <c r="GN45" s="189">
        <f>IF(SUM(GU45:HB45)=0,0,IF(Summary!$O$16="Yes",SUM(GX45:HB45),IF(Summary!$O$17="Yes",SUM(GY45:HB45),SUM(GU45:HB45))))</f>
        <v>9547.0730999999996</v>
      </c>
      <c r="GO45" s="203">
        <v>5.8903568576642336</v>
      </c>
      <c r="GP45" s="258">
        <f t="shared" si="45"/>
        <v>56235.667505206729</v>
      </c>
      <c r="GQ45" s="189"/>
      <c r="GR45" s="189"/>
      <c r="GS45" s="189"/>
      <c r="GT45" s="189"/>
      <c r="GU45" s="268">
        <v>3764.0790000000002</v>
      </c>
      <c r="GV45" s="189">
        <v>684.37800000000027</v>
      </c>
      <c r="GW45" s="189">
        <v>855.47249999999997</v>
      </c>
      <c r="GX45" s="189"/>
      <c r="GY45" s="254">
        <v>3011.2631999999999</v>
      </c>
      <c r="GZ45" s="189">
        <v>547.50239999999997</v>
      </c>
      <c r="HA45" s="189">
        <v>684.37800000000004</v>
      </c>
      <c r="HB45" s="255"/>
      <c r="HC45" s="189">
        <v>9547.0730999999996</v>
      </c>
      <c r="HD45" s="189"/>
      <c r="HE45" s="189">
        <v>22276.5039</v>
      </c>
      <c r="HF45" s="189">
        <v>279740.55581039068</v>
      </c>
      <c r="HG45" s="189"/>
      <c r="HH45" s="203">
        <v>29.687803094964412</v>
      </c>
      <c r="HI45" s="189">
        <v>661340.46142740676</v>
      </c>
      <c r="HJ45" s="268">
        <f t="shared" si="11"/>
        <v>0</v>
      </c>
      <c r="HK45" s="189">
        <f t="shared" si="12"/>
        <v>0</v>
      </c>
      <c r="HL45" s="189">
        <f t="shared" si="13"/>
        <v>0</v>
      </c>
      <c r="HM45" s="255">
        <f t="shared" si="14"/>
        <v>0</v>
      </c>
      <c r="HN45" s="189">
        <f t="shared" si="15"/>
        <v>0</v>
      </c>
      <c r="HO45" s="203">
        <f t="shared" si="46"/>
        <v>0</v>
      </c>
      <c r="HP45" s="258">
        <f t="shared" si="16"/>
        <v>0</v>
      </c>
      <c r="HQ45" s="203"/>
      <c r="HR45" s="189"/>
      <c r="HS45" s="189"/>
      <c r="HT45" s="189"/>
      <c r="HU45" s="189"/>
      <c r="HV45" s="189"/>
      <c r="HW45" s="189"/>
      <c r="HX45" s="189"/>
      <c r="HY45" s="189"/>
      <c r="HZ45" s="189"/>
      <c r="IA45" s="189"/>
      <c r="IB45" s="189"/>
      <c r="IC45" s="189"/>
      <c r="ID45" s="189"/>
      <c r="IE45" s="189"/>
      <c r="IF45" s="189"/>
      <c r="IG45" s="189"/>
      <c r="IH45" s="189"/>
      <c r="II45" s="189"/>
      <c r="IJ45" s="189"/>
      <c r="IK45" s="189"/>
      <c r="IL45" s="764"/>
      <c r="IM45" s="820"/>
      <c r="IN45" s="820"/>
      <c r="IO45" s="820"/>
      <c r="IR45" s="223"/>
    </row>
    <row r="46" spans="1:252" ht="13.8" thickBot="1">
      <c r="A46" t="str">
        <f t="shared" si="23"/>
        <v>2002Q2</v>
      </c>
      <c r="B46">
        <f t="shared" si="24"/>
        <v>2002</v>
      </c>
      <c r="C46" s="49">
        <f t="shared" si="25"/>
        <v>37408</v>
      </c>
      <c r="D46" s="115">
        <f t="shared" si="26"/>
        <v>2002</v>
      </c>
      <c r="E46" s="10">
        <f t="shared" si="55"/>
        <v>6</v>
      </c>
      <c r="F46" s="248" t="str">
        <f t="shared" si="57"/>
        <v/>
      </c>
      <c r="G46" s="245">
        <v>37408</v>
      </c>
      <c r="H46" s="251">
        <v>37437</v>
      </c>
      <c r="I46" s="959">
        <f t="shared" si="53"/>
        <v>7.1499999999999994E-2</v>
      </c>
      <c r="J46" s="37">
        <f t="shared" si="27"/>
        <v>0.83332062084458736</v>
      </c>
      <c r="K46" s="1036" t="e">
        <f>IF(Summary!#REF!=1,+Summary!#REF!,I46+Summary!#REF!/10000)</f>
        <v>#REF!</v>
      </c>
      <c r="L46" s="37" t="e">
        <f t="shared" si="28"/>
        <v>#REF!</v>
      </c>
      <c r="M46" s="1004">
        <v>0</v>
      </c>
      <c r="N46" s="38">
        <f t="shared" si="58"/>
        <v>0</v>
      </c>
      <c r="O46" s="40">
        <f t="shared" si="58"/>
        <v>0</v>
      </c>
      <c r="P46" s="159">
        <f t="shared" si="60"/>
        <v>0</v>
      </c>
      <c r="Q46" s="38">
        <f t="shared" si="62"/>
        <v>0</v>
      </c>
      <c r="R46" s="40">
        <f t="shared" si="62"/>
        <v>0</v>
      </c>
      <c r="S46" s="38">
        <f t="shared" si="62"/>
        <v>0</v>
      </c>
      <c r="T46" s="38">
        <f t="shared" si="62"/>
        <v>0</v>
      </c>
      <c r="U46" s="38">
        <f t="shared" si="62"/>
        <v>0</v>
      </c>
      <c r="V46" s="159">
        <f t="shared" si="62"/>
        <v>0</v>
      </c>
      <c r="W46" s="38">
        <f t="shared" si="62"/>
        <v>0</v>
      </c>
      <c r="X46" s="39">
        <f t="shared" si="62"/>
        <v>0</v>
      </c>
      <c r="Y46" s="46">
        <v>0</v>
      </c>
      <c r="Z46" s="46">
        <v>0</v>
      </c>
      <c r="AA46" s="47">
        <v>0</v>
      </c>
      <c r="AB46" s="46">
        <v>0</v>
      </c>
      <c r="AC46" s="46">
        <v>0</v>
      </c>
      <c r="AD46" s="47">
        <v>0</v>
      </c>
      <c r="AE46" s="46">
        <v>0</v>
      </c>
      <c r="AF46" s="46">
        <v>0</v>
      </c>
      <c r="AG46" s="47">
        <v>0</v>
      </c>
      <c r="AH46" s="46">
        <v>0</v>
      </c>
      <c r="AI46" s="46">
        <v>0</v>
      </c>
      <c r="AJ46" s="47">
        <v>0</v>
      </c>
      <c r="AK46" s="46">
        <v>0</v>
      </c>
      <c r="AL46" s="46">
        <v>0</v>
      </c>
      <c r="AM46" s="47">
        <v>0</v>
      </c>
      <c r="AN46" s="46">
        <v>0</v>
      </c>
      <c r="AO46" s="46">
        <v>0</v>
      </c>
      <c r="AP46" s="47">
        <v>0</v>
      </c>
      <c r="AQ46" s="46">
        <v>0</v>
      </c>
      <c r="AR46" s="46">
        <v>0</v>
      </c>
      <c r="AS46" s="47">
        <v>0</v>
      </c>
      <c r="AT46" s="46">
        <v>0</v>
      </c>
      <c r="AU46" s="46">
        <v>0</v>
      </c>
      <c r="AV46" s="46">
        <v>0</v>
      </c>
      <c r="AW46" s="1545">
        <v>0</v>
      </c>
      <c r="AX46" s="10">
        <f t="shared" si="56"/>
        <v>20</v>
      </c>
      <c r="AY46" s="42">
        <f>IF(AND($E46=MONTH(Summary!$E$24),$D46=YEAR(Summary!$E$24)),Summary!$E$25,1)*IF(G46="",0,INT((H46-MOD(H46,7)-G46)/7)+1-IF(BA46,IF(WEEKDAY(F46)=7,1,0),0))</f>
        <v>5</v>
      </c>
      <c r="AZ46" s="42">
        <f>IF(AND($E46=MONTH(Summary!$E$24),$D46=YEAR(Summary!$E$24)),Summary!$E$25,1)*IF(G46="",0,INT((H46-MOD(H46-1,7)-G46)/7)+1-IF(BA46,IF(WEEKDAY(F46)=1,1,0),0))</f>
        <v>5</v>
      </c>
      <c r="BA46" s="42">
        <v>0</v>
      </c>
      <c r="BB46" s="10">
        <f>IF(AND($E46=MONTH(Summary!$E$24),$D46=YEAR(Summary!$E$24)),Summary!$E$25,1)*IF(G46="",0,H46-G46+1)</f>
        <v>30</v>
      </c>
      <c r="BC46" s="914">
        <f>Summary!$E$19</f>
        <v>1.4999999999999999E-2</v>
      </c>
      <c r="BD46" s="113">
        <v>14184</v>
      </c>
      <c r="BE46" s="171">
        <v>3546</v>
      </c>
      <c r="BF46" s="171">
        <v>3546</v>
      </c>
      <c r="BG46" s="174"/>
      <c r="BH46" s="1198">
        <v>1</v>
      </c>
      <c r="BI46" s="1198">
        <v>1</v>
      </c>
      <c r="BJ46" s="1198">
        <v>1</v>
      </c>
      <c r="BK46" s="1198">
        <v>1</v>
      </c>
      <c r="BL46" s="95">
        <v>2836.8</v>
      </c>
      <c r="BM46" s="171">
        <v>709.2</v>
      </c>
      <c r="BN46" s="171">
        <v>709.2</v>
      </c>
      <c r="BO46" s="174"/>
      <c r="BP46" s="1198">
        <v>1</v>
      </c>
      <c r="BQ46" s="1199">
        <v>1</v>
      </c>
      <c r="BR46" s="1199">
        <v>1</v>
      </c>
      <c r="BS46" s="1200">
        <v>1</v>
      </c>
      <c r="BT46" s="94">
        <f t="shared" si="29"/>
        <v>21276</v>
      </c>
      <c r="BU46" s="233">
        <f t="shared" si="30"/>
        <v>21276</v>
      </c>
      <c r="BV46" s="92">
        <f t="shared" si="31"/>
        <v>4255.2</v>
      </c>
      <c r="BW46" s="233">
        <f t="shared" si="32"/>
        <v>4255.2</v>
      </c>
      <c r="BX46" s="88">
        <v>2.4613278576317592</v>
      </c>
      <c r="BY46" s="90">
        <v>0</v>
      </c>
      <c r="BZ46" s="88">
        <v>0</v>
      </c>
      <c r="CA46" s="88">
        <v>0</v>
      </c>
      <c r="CB46" s="88">
        <v>0</v>
      </c>
      <c r="CC46" s="88">
        <v>0</v>
      </c>
      <c r="CD46" s="88">
        <v>0</v>
      </c>
      <c r="CE46" s="100">
        <v>0</v>
      </c>
      <c r="CF46" s="88">
        <v>0</v>
      </c>
      <c r="CG46" s="88">
        <v>0</v>
      </c>
      <c r="CH46" s="88">
        <v>0</v>
      </c>
      <c r="CI46" s="88">
        <v>0</v>
      </c>
      <c r="CJ46" s="228">
        <v>0</v>
      </c>
      <c r="CK46" s="88">
        <v>0</v>
      </c>
      <c r="CL46" s="88">
        <v>0</v>
      </c>
      <c r="CM46" s="88">
        <v>0</v>
      </c>
      <c r="CN46" s="88">
        <v>0</v>
      </c>
      <c r="CO46" s="88">
        <v>0</v>
      </c>
      <c r="CP46" s="88">
        <v>0</v>
      </c>
      <c r="CQ46" s="229">
        <v>0</v>
      </c>
      <c r="CR46" s="91">
        <v>0</v>
      </c>
      <c r="CS46" s="91">
        <v>0</v>
      </c>
      <c r="CT46" s="91">
        <v>0</v>
      </c>
      <c r="CU46" s="91">
        <v>0</v>
      </c>
      <c r="CV46" s="91">
        <v>0</v>
      </c>
      <c r="CW46" s="91">
        <v>0</v>
      </c>
      <c r="CX46" s="225">
        <v>0</v>
      </c>
      <c r="CY46" s="1265">
        <v>7726.5382399999999</v>
      </c>
      <c r="CZ46" s="90">
        <v>0</v>
      </c>
      <c r="DA46" s="88">
        <v>0</v>
      </c>
      <c r="DB46" s="88">
        <v>0</v>
      </c>
      <c r="DC46" s="88">
        <v>0</v>
      </c>
      <c r="DD46" s="88">
        <v>0</v>
      </c>
      <c r="DE46" s="152">
        <v>0</v>
      </c>
      <c r="DF46" s="230">
        <v>0</v>
      </c>
      <c r="DG46" s="38">
        <v>0</v>
      </c>
      <c r="DH46" s="1237">
        <v>0</v>
      </c>
      <c r="DI46" s="956">
        <v>0</v>
      </c>
      <c r="DJ46" s="956">
        <v>0</v>
      </c>
      <c r="DK46" s="956">
        <v>0</v>
      </c>
      <c r="DL46" s="152">
        <v>0</v>
      </c>
      <c r="DM46" s="160">
        <v>0</v>
      </c>
      <c r="DN46" s="160">
        <v>0</v>
      </c>
      <c r="DO46" s="160">
        <v>0</v>
      </c>
      <c r="DP46" s="160">
        <v>0</v>
      </c>
      <c r="DQ46" s="160">
        <v>0</v>
      </c>
      <c r="DR46" s="230">
        <v>0</v>
      </c>
      <c r="DS46" s="88">
        <v>0</v>
      </c>
      <c r="DT46" s="88">
        <v>0</v>
      </c>
      <c r="DU46" s="88">
        <v>0</v>
      </c>
      <c r="DV46" s="88">
        <v>0</v>
      </c>
      <c r="DW46" s="88">
        <v>0</v>
      </c>
      <c r="DX46" s="88">
        <v>0</v>
      </c>
      <c r="DY46" s="88">
        <v>0</v>
      </c>
      <c r="DZ46" s="88">
        <v>0</v>
      </c>
      <c r="EA46" s="88">
        <v>0</v>
      </c>
      <c r="EB46" s="152">
        <v>0</v>
      </c>
      <c r="EC46" s="52">
        <f t="shared" si="33"/>
        <v>0</v>
      </c>
      <c r="ED46" s="52">
        <f t="shared" si="33"/>
        <v>0</v>
      </c>
      <c r="EE46" s="52">
        <f t="shared" si="33"/>
        <v>0</v>
      </c>
      <c r="EF46" s="52">
        <f t="shared" si="33"/>
        <v>0</v>
      </c>
      <c r="EG46" s="52">
        <f t="shared" si="34"/>
        <v>0</v>
      </c>
      <c r="EH46" s="238">
        <v>0</v>
      </c>
      <c r="EI46" s="211">
        <v>0</v>
      </c>
      <c r="EJ46" s="211">
        <v>0</v>
      </c>
      <c r="EK46" s="211">
        <v>0</v>
      </c>
      <c r="EL46" s="217">
        <f>IF(C46&gt;=Summary!$E$26,MAX(0,SUM(EH46:EK46)),0)</f>
        <v>0</v>
      </c>
      <c r="EM46" s="52">
        <f>IF(C46&gt;=Summary!$E$26,DX46*BL46,0)</f>
        <v>0</v>
      </c>
      <c r="EN46" s="52">
        <f>IF(C46&gt;=Summary!$E$26,DY46*BM46,0)</f>
        <v>0</v>
      </c>
      <c r="EO46" s="52">
        <f>IF(C46&gt;=Summary!$E$26,DZ46*BN46,0)</f>
        <v>0</v>
      </c>
      <c r="EP46" s="52">
        <f>IF(C46&gt;=Summary!$E$26,EA46*BO46,0)</f>
        <v>0</v>
      </c>
      <c r="EQ46" s="52">
        <f>IF(C46&gt;=Summary!$E$26,DX46*BL46+DY46*BM46+DZ46*BN46+EA46*BO46,0)</f>
        <v>0</v>
      </c>
      <c r="ER46" s="826">
        <v>0</v>
      </c>
      <c r="ES46" s="278">
        <v>0</v>
      </c>
      <c r="ET46" s="278">
        <v>0</v>
      </c>
      <c r="EU46" s="278">
        <v>0</v>
      </c>
      <c r="EV46" s="212">
        <f>IF(C46&gt;=Summary!$E$26,MAX(0,SUM(ER46:EU46)),0)</f>
        <v>0</v>
      </c>
      <c r="EW46" s="52"/>
      <c r="EX46" s="1049">
        <f t="shared" si="35"/>
        <v>0</v>
      </c>
      <c r="EY46" s="1045" t="str">
        <f t="shared" si="36"/>
        <v/>
      </c>
      <c r="EZ46" s="1684" t="s">
        <v>525</v>
      </c>
      <c r="FA46" s="1046">
        <f t="shared" si="54"/>
        <v>45</v>
      </c>
      <c r="FB46" s="256">
        <f t="shared" si="37"/>
        <v>10638</v>
      </c>
      <c r="FC46" s="194">
        <f t="shared" si="38"/>
        <v>0</v>
      </c>
      <c r="FD46" s="194">
        <f t="shared" si="39"/>
        <v>2659.5</v>
      </c>
      <c r="FE46" s="194">
        <f t="shared" si="40"/>
        <v>0</v>
      </c>
      <c r="FF46" s="194">
        <f t="shared" si="41"/>
        <v>2659.5</v>
      </c>
      <c r="FG46" s="194">
        <f t="shared" si="42"/>
        <v>0</v>
      </c>
      <c r="FH46" s="257">
        <f>IF(EZ46="No",IF((OR(MONTH(C46)=5,MONTH(C46)=6,MONTH(C46)=7,MONTH(C46)=8,MONTH(C46)=9)),Summary!$O$15*12*(AX46+AY46+AZ46+BA46)*(1-$BC46),Summary!$O$15*13*(AX46+AY46+AZ46+BA46)*(1-$BC46)+IF(Summary!$O$16="Yes",(CALC!FA46+Summary!$O$15)*6*(AX46+AY46+AZ46+BA46)*(1-$BC46),0)),0)</f>
        <v>0</v>
      </c>
      <c r="FI46" s="1412">
        <f>IF(MONTH(C46)=5,FI45*(IF(Summary!$E$70="no",(1+(Summary!$E$71*0.8)),1+HLOOKUP(YEAR(C46)-1,CCFMODEL!$I$127:$AF$128,2)*0.8)),+FI45)</f>
        <v>28.564297085197083</v>
      </c>
      <c r="FJ46" s="1411">
        <f>IF(MONTH(C46)=5,FJ45*(IF(Summary!$E$70="no",(1+(Summary!$E$71*0.8)),1+HLOOKUP(YEAR(CALC!C46)-1,CCFMODEL!$I$127:$AF$128,2)*0.8)),FJ45)</f>
        <v>24.965645483912407</v>
      </c>
      <c r="FK46" s="832">
        <f t="shared" si="1"/>
        <v>455800.48858848982</v>
      </c>
      <c r="FL46" s="1412">
        <f>IF(MONTH(C46)=5,FL45*(IF(Summary!$E$70="no",(1+(Summary!$E$71*0.8)),1+HLOOKUP(YEAR(CALC!C46)-1,CCFMODEL!$I$127:$AF$128,2)*0.8)),+FL45)</f>
        <v>60.073919141683703</v>
      </c>
      <c r="FM46" s="1411">
        <f>IF(MONTH(C46)=5,FM45*(IF(Summary!$E$70="no",(1+(Summary!$E$71*0.8)),1+HLOOKUP(YEAR(CALC!C46)-1,CCFMODEL!$I$127:$AF$128,2)*0.8)),+FM45)</f>
        <v>28.67139981142579</v>
      </c>
      <c r="FN46" s="832">
        <f t="shared" si="2"/>
        <v>973197.49009527604</v>
      </c>
      <c r="FO46" s="194">
        <f t="shared" si="43"/>
        <v>1428997.978683766</v>
      </c>
      <c r="FP46" s="263">
        <f t="shared" si="61"/>
        <v>10638</v>
      </c>
      <c r="FQ46" s="194">
        <f t="shared" si="61"/>
        <v>0</v>
      </c>
      <c r="FR46" s="194">
        <f t="shared" si="61"/>
        <v>2659.5</v>
      </c>
      <c r="FS46" s="194">
        <f t="shared" si="61"/>
        <v>0</v>
      </c>
      <c r="FT46" s="194">
        <f t="shared" si="61"/>
        <v>2659.5</v>
      </c>
      <c r="FU46" s="194">
        <f t="shared" si="61"/>
        <v>0</v>
      </c>
      <c r="FV46" s="257">
        <f t="shared" si="61"/>
        <v>0</v>
      </c>
      <c r="FW46" s="189">
        <f t="shared" si="4"/>
        <v>0</v>
      </c>
      <c r="FX46" s="189">
        <f t="shared" si="5"/>
        <v>0</v>
      </c>
      <c r="FY46" s="189">
        <f t="shared" si="6"/>
        <v>0</v>
      </c>
      <c r="FZ46" s="258">
        <f t="shared" si="7"/>
        <v>0</v>
      </c>
      <c r="GA46" s="1293">
        <f>(SUM(FP46:FV46)+SUM(GU46:HB46)/(1-Summary!$O$25))*CY46/1000</f>
        <v>156170.33621452798</v>
      </c>
      <c r="GB46" s="1369">
        <f>IF($C46&lt;Summary!$M$81,+Summary!$O$81,VLOOKUP(C46,GasTable,19))</f>
        <v>2.4</v>
      </c>
      <c r="GC46" s="1370">
        <f>IF(H46&lt;=Summary!$N$84,MIN(GA46,Summary!$O$75*(H46-G46+1)),0)</f>
        <v>150000</v>
      </c>
      <c r="GD46" s="1371">
        <f>IF(Summary!$O$75*(H46-G46+1)*0.8&gt;GC46,1,0)</f>
        <v>0</v>
      </c>
      <c r="GE46" s="1372">
        <v>0</v>
      </c>
      <c r="GF46" s="1370">
        <f t="shared" si="8"/>
        <v>6170.3362145279825</v>
      </c>
      <c r="GG46" s="1371">
        <f>GF46*(IF(Summary!$O$74=1,VLOOKUP($C46,GasTable,16)+Summary!$O$92+Summary!$O$93,VLOOKUP($C46,GasTable,19)+Summary!$O$92+Summary!$O$93))</f>
        <v>15710.001394652338</v>
      </c>
      <c r="GH46" s="1373">
        <v>19062</v>
      </c>
      <c r="GI46" s="1466">
        <v>0</v>
      </c>
      <c r="GJ46" s="1374">
        <f t="shared" si="44"/>
        <v>394772.00139465235</v>
      </c>
      <c r="GK46" s="189">
        <f t="shared" si="9"/>
        <v>20063.268</v>
      </c>
      <c r="GL46" s="266">
        <v>0.75874605516799998</v>
      </c>
      <c r="GM46" s="255">
        <f t="shared" si="10"/>
        <v>14729.999999999998</v>
      </c>
      <c r="GN46" s="189">
        <f>IF(SUM(GU46:HB46)=0,0,IF(Summary!$O$16="Yes",SUM(GX46:HB46),IF(Summary!$O$17="Yes",SUM(GY46:HB46),SUM(GU46:HB46))))</f>
        <v>4106.268</v>
      </c>
      <c r="GO46" s="203">
        <v>5.8903568576642336</v>
      </c>
      <c r="GP46" s="258">
        <f t="shared" si="45"/>
        <v>24187.383873207196</v>
      </c>
      <c r="GQ46" s="189"/>
      <c r="GR46" s="189"/>
      <c r="GS46" s="189"/>
      <c r="GT46" s="189"/>
      <c r="GU46" s="268">
        <v>0</v>
      </c>
      <c r="GV46" s="189">
        <v>0</v>
      </c>
      <c r="GW46" s="189">
        <v>0</v>
      </c>
      <c r="GX46" s="189"/>
      <c r="GY46" s="254">
        <v>2737.5120000000002</v>
      </c>
      <c r="GZ46" s="189">
        <v>684.37800000000004</v>
      </c>
      <c r="HA46" s="189">
        <v>684.37800000000004</v>
      </c>
      <c r="HB46" s="255"/>
      <c r="HC46" s="189">
        <v>4106.268</v>
      </c>
      <c r="HD46" s="189"/>
      <c r="HE46" s="189">
        <v>16425.072</v>
      </c>
      <c r="HF46" s="189">
        <v>111929.75849363355</v>
      </c>
      <c r="HG46" s="189"/>
      <c r="HH46" s="203">
        <v>27.258269185945377</v>
      </c>
      <c r="HI46" s="189">
        <v>447719.03397453419</v>
      </c>
      <c r="HJ46" s="268">
        <f t="shared" si="11"/>
        <v>0</v>
      </c>
      <c r="HK46" s="189">
        <f t="shared" si="12"/>
        <v>0</v>
      </c>
      <c r="HL46" s="189">
        <f t="shared" si="13"/>
        <v>0</v>
      </c>
      <c r="HM46" s="255">
        <f t="shared" si="14"/>
        <v>0</v>
      </c>
      <c r="HN46" s="189">
        <f t="shared" si="15"/>
        <v>0</v>
      </c>
      <c r="HO46" s="203">
        <f t="shared" si="46"/>
        <v>0</v>
      </c>
      <c r="HP46" s="258">
        <f t="shared" si="16"/>
        <v>0</v>
      </c>
      <c r="HQ46" s="203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 s="820"/>
      <c r="IN46" s="820"/>
      <c r="IR46" s="223"/>
    </row>
    <row r="47" spans="1:252" ht="13.8" thickBot="1">
      <c r="A47" t="str">
        <f t="shared" si="23"/>
        <v>2002Q3</v>
      </c>
      <c r="B47">
        <f t="shared" si="24"/>
        <v>2002</v>
      </c>
      <c r="C47" s="49">
        <f t="shared" si="25"/>
        <v>37438</v>
      </c>
      <c r="D47" s="115">
        <f t="shared" si="26"/>
        <v>2002</v>
      </c>
      <c r="E47" s="10">
        <f t="shared" si="55"/>
        <v>7</v>
      </c>
      <c r="F47" s="248">
        <f t="shared" si="57"/>
        <v>37441</v>
      </c>
      <c r="G47" s="245">
        <v>37438</v>
      </c>
      <c r="H47" s="251">
        <v>37468</v>
      </c>
      <c r="I47" s="959">
        <f t="shared" si="53"/>
        <v>7.1499999999999994E-2</v>
      </c>
      <c r="J47" s="37">
        <f t="shared" si="27"/>
        <v>0.82836673782278081</v>
      </c>
      <c r="K47" s="1036" t="e">
        <f>IF(Summary!#REF!=1,+Summary!#REF!,I47+Summary!#REF!/10000)</f>
        <v>#REF!</v>
      </c>
      <c r="L47" s="37" t="e">
        <f t="shared" si="28"/>
        <v>#REF!</v>
      </c>
      <c r="M47" s="1004">
        <v>0</v>
      </c>
      <c r="N47" s="38">
        <f t="shared" si="58"/>
        <v>0</v>
      </c>
      <c r="O47" s="40">
        <f t="shared" si="58"/>
        <v>0</v>
      </c>
      <c r="P47" s="159">
        <f t="shared" si="60"/>
        <v>0</v>
      </c>
      <c r="Q47" s="38">
        <f t="shared" si="62"/>
        <v>0</v>
      </c>
      <c r="R47" s="40">
        <f t="shared" si="62"/>
        <v>0</v>
      </c>
      <c r="S47" s="38">
        <f t="shared" si="62"/>
        <v>0</v>
      </c>
      <c r="T47" s="38">
        <f t="shared" si="62"/>
        <v>0</v>
      </c>
      <c r="U47" s="38">
        <f t="shared" si="62"/>
        <v>0</v>
      </c>
      <c r="V47" s="159">
        <f t="shared" si="62"/>
        <v>0</v>
      </c>
      <c r="W47" s="38">
        <f t="shared" si="62"/>
        <v>0</v>
      </c>
      <c r="X47" s="39">
        <f t="shared" si="62"/>
        <v>0</v>
      </c>
      <c r="Y47" s="46">
        <v>0</v>
      </c>
      <c r="Z47" s="46">
        <v>0</v>
      </c>
      <c r="AA47" s="47">
        <v>0</v>
      </c>
      <c r="AB47" s="46">
        <v>0</v>
      </c>
      <c r="AC47" s="46">
        <v>0</v>
      </c>
      <c r="AD47" s="47">
        <v>0</v>
      </c>
      <c r="AE47" s="46">
        <v>0</v>
      </c>
      <c r="AF47" s="46">
        <v>0</v>
      </c>
      <c r="AG47" s="47">
        <v>0</v>
      </c>
      <c r="AH47" s="46">
        <v>0</v>
      </c>
      <c r="AI47" s="46">
        <v>0</v>
      </c>
      <c r="AJ47" s="47">
        <v>0</v>
      </c>
      <c r="AK47" s="46">
        <v>0</v>
      </c>
      <c r="AL47" s="46">
        <v>0</v>
      </c>
      <c r="AM47" s="47">
        <v>0</v>
      </c>
      <c r="AN47" s="46">
        <v>0</v>
      </c>
      <c r="AO47" s="46">
        <v>0</v>
      </c>
      <c r="AP47" s="47">
        <v>0</v>
      </c>
      <c r="AQ47" s="46">
        <v>0</v>
      </c>
      <c r="AR47" s="46">
        <v>0</v>
      </c>
      <c r="AS47" s="47">
        <v>0</v>
      </c>
      <c r="AT47" s="46">
        <v>0</v>
      </c>
      <c r="AU47" s="46">
        <v>0</v>
      </c>
      <c r="AV47" s="46">
        <v>0</v>
      </c>
      <c r="AW47" s="1545">
        <v>0</v>
      </c>
      <c r="AX47" s="10">
        <f t="shared" si="56"/>
        <v>22</v>
      </c>
      <c r="AY47" s="42">
        <f>IF(AND($E47=MONTH(Summary!$E$24),$D47=YEAR(Summary!$E$24)),Summary!$E$25,1)*IF(G47="",0,INT((H47-MOD(H47,7)-G47)/7)+1-IF(BA47,IF(WEEKDAY(F47)=7,1,0),0))</f>
        <v>4</v>
      </c>
      <c r="AZ47" s="42">
        <f>IF(AND($E47=MONTH(Summary!$E$24),$D47=YEAR(Summary!$E$24)),Summary!$E$25,1)*IF(G47="",0,INT((H47-MOD(H47-1,7)-G47)/7)+1-IF(BA47,IF(WEEKDAY(F47)=1,1,0),0))</f>
        <v>4</v>
      </c>
      <c r="BA47" s="42">
        <v>1</v>
      </c>
      <c r="BB47" s="10">
        <f>IF(AND($E47=MONTH(Summary!$E$24),$D47=YEAR(Summary!$E$24)),Summary!$E$25,1)*IF(G47="",0,H47-G47+1)</f>
        <v>31</v>
      </c>
      <c r="BC47" s="914">
        <f>Summary!$E$19</f>
        <v>1.4999999999999999E-2</v>
      </c>
      <c r="BD47" s="113">
        <v>15602.4</v>
      </c>
      <c r="BE47" s="171">
        <v>2836.8</v>
      </c>
      <c r="BF47" s="171">
        <v>3546</v>
      </c>
      <c r="BG47" s="174"/>
      <c r="BH47" s="1198">
        <v>1</v>
      </c>
      <c r="BI47" s="1198">
        <v>1</v>
      </c>
      <c r="BJ47" s="1198">
        <v>1</v>
      </c>
      <c r="BK47" s="1198">
        <v>1</v>
      </c>
      <c r="BL47" s="95">
        <v>3120.48</v>
      </c>
      <c r="BM47" s="171">
        <v>567.36</v>
      </c>
      <c r="BN47" s="171">
        <v>709.2</v>
      </c>
      <c r="BO47" s="174"/>
      <c r="BP47" s="1198">
        <v>1</v>
      </c>
      <c r="BQ47" s="1199">
        <v>1</v>
      </c>
      <c r="BR47" s="1199">
        <v>1</v>
      </c>
      <c r="BS47" s="1200">
        <v>1</v>
      </c>
      <c r="BT47" s="94">
        <f t="shared" si="29"/>
        <v>21985.200000000001</v>
      </c>
      <c r="BU47" s="233">
        <f t="shared" si="30"/>
        <v>21985.200000000001</v>
      </c>
      <c r="BV47" s="92">
        <f t="shared" si="31"/>
        <v>4397.04</v>
      </c>
      <c r="BW47" s="233">
        <f t="shared" si="32"/>
        <v>4397.04</v>
      </c>
      <c r="BX47" s="88">
        <v>2.5434633812457221</v>
      </c>
      <c r="BY47" s="90">
        <v>0</v>
      </c>
      <c r="BZ47" s="88">
        <v>0</v>
      </c>
      <c r="CA47" s="88">
        <v>0</v>
      </c>
      <c r="CB47" s="88">
        <v>0</v>
      </c>
      <c r="CC47" s="88">
        <v>0</v>
      </c>
      <c r="CD47" s="88">
        <v>0</v>
      </c>
      <c r="CE47" s="100">
        <v>0</v>
      </c>
      <c r="CF47" s="88">
        <v>0</v>
      </c>
      <c r="CG47" s="88">
        <v>0</v>
      </c>
      <c r="CH47" s="88">
        <v>0</v>
      </c>
      <c r="CI47" s="88">
        <v>0</v>
      </c>
      <c r="CJ47" s="228">
        <v>0</v>
      </c>
      <c r="CK47" s="88">
        <v>0</v>
      </c>
      <c r="CL47" s="88">
        <v>0</v>
      </c>
      <c r="CM47" s="88">
        <v>0</v>
      </c>
      <c r="CN47" s="88">
        <v>0</v>
      </c>
      <c r="CO47" s="88">
        <v>0</v>
      </c>
      <c r="CP47" s="88">
        <v>0</v>
      </c>
      <c r="CQ47" s="229">
        <v>0</v>
      </c>
      <c r="CR47" s="91">
        <v>0</v>
      </c>
      <c r="CS47" s="91">
        <v>0</v>
      </c>
      <c r="CT47" s="91">
        <v>0</v>
      </c>
      <c r="CU47" s="91">
        <v>0</v>
      </c>
      <c r="CV47" s="91">
        <v>0</v>
      </c>
      <c r="CW47" s="91">
        <v>0</v>
      </c>
      <c r="CX47" s="225">
        <v>0</v>
      </c>
      <c r="CY47" s="1265">
        <v>7728.4925600000006</v>
      </c>
      <c r="CZ47" s="90">
        <v>0</v>
      </c>
      <c r="DA47" s="88">
        <v>0</v>
      </c>
      <c r="DB47" s="88">
        <v>0</v>
      </c>
      <c r="DC47" s="88">
        <v>0</v>
      </c>
      <c r="DD47" s="88">
        <v>0</v>
      </c>
      <c r="DE47" s="152">
        <v>0</v>
      </c>
      <c r="DF47" s="230">
        <v>0</v>
      </c>
      <c r="DG47" s="38">
        <v>0</v>
      </c>
      <c r="DH47" s="1237">
        <v>0</v>
      </c>
      <c r="DI47" s="956">
        <v>0</v>
      </c>
      <c r="DJ47" s="956">
        <v>0</v>
      </c>
      <c r="DK47" s="956">
        <v>0</v>
      </c>
      <c r="DL47" s="152">
        <v>0</v>
      </c>
      <c r="DM47" s="160">
        <v>0</v>
      </c>
      <c r="DN47" s="160">
        <v>0</v>
      </c>
      <c r="DO47" s="160">
        <v>0</v>
      </c>
      <c r="DP47" s="160">
        <v>0</v>
      </c>
      <c r="DQ47" s="160">
        <v>0</v>
      </c>
      <c r="DR47" s="230">
        <v>0</v>
      </c>
      <c r="DS47" s="88">
        <v>0</v>
      </c>
      <c r="DT47" s="88">
        <v>0</v>
      </c>
      <c r="DU47" s="88">
        <v>0</v>
      </c>
      <c r="DV47" s="88">
        <v>0</v>
      </c>
      <c r="DW47" s="88">
        <v>0</v>
      </c>
      <c r="DX47" s="88">
        <v>0</v>
      </c>
      <c r="DY47" s="88">
        <v>0</v>
      </c>
      <c r="DZ47" s="88">
        <v>0</v>
      </c>
      <c r="EA47" s="88">
        <v>0</v>
      </c>
      <c r="EB47" s="152">
        <v>0</v>
      </c>
      <c r="EC47" s="52">
        <f t="shared" si="33"/>
        <v>0</v>
      </c>
      <c r="ED47" s="52">
        <f t="shared" si="33"/>
        <v>0</v>
      </c>
      <c r="EE47" s="52">
        <f t="shared" si="33"/>
        <v>0</v>
      </c>
      <c r="EF47" s="52">
        <f t="shared" si="33"/>
        <v>0</v>
      </c>
      <c r="EG47" s="52">
        <f t="shared" si="34"/>
        <v>0</v>
      </c>
      <c r="EH47" s="238">
        <v>0</v>
      </c>
      <c r="EI47" s="211">
        <v>0</v>
      </c>
      <c r="EJ47" s="211">
        <v>0</v>
      </c>
      <c r="EK47" s="211">
        <v>0</v>
      </c>
      <c r="EL47" s="217">
        <f>IF(C47&gt;=Summary!$E$26,MAX(0,SUM(EH47:EK47)),0)</f>
        <v>0</v>
      </c>
      <c r="EM47" s="52">
        <f>IF(C47&gt;=Summary!$E$26,DX47*BL47,0)</f>
        <v>0</v>
      </c>
      <c r="EN47" s="52">
        <f>IF(C47&gt;=Summary!$E$26,DY47*BM47,0)</f>
        <v>0</v>
      </c>
      <c r="EO47" s="52">
        <f>IF(C47&gt;=Summary!$E$26,DZ47*BN47,0)</f>
        <v>0</v>
      </c>
      <c r="EP47" s="52">
        <f>IF(C47&gt;=Summary!$E$26,EA47*BO47,0)</f>
        <v>0</v>
      </c>
      <c r="EQ47" s="52">
        <f>IF(C47&gt;=Summary!$E$26,DX47*BL47+DY47*BM47+DZ47*BN47+EA47*BO47,0)</f>
        <v>0</v>
      </c>
      <c r="ER47" s="826">
        <v>0</v>
      </c>
      <c r="ES47" s="278">
        <v>0</v>
      </c>
      <c r="ET47" s="278">
        <v>0</v>
      </c>
      <c r="EU47" s="278">
        <v>0</v>
      </c>
      <c r="EV47" s="212">
        <f>IF(C47&gt;=Summary!$E$26,MAX(0,SUM(ER47:EU47)),0)</f>
        <v>0</v>
      </c>
      <c r="EW47" s="52"/>
      <c r="EX47" s="1049">
        <f t="shared" si="35"/>
        <v>0</v>
      </c>
      <c r="EY47" s="1045" t="str">
        <f t="shared" si="36"/>
        <v/>
      </c>
      <c r="EZ47" s="1684" t="s">
        <v>525</v>
      </c>
      <c r="FA47" s="1046">
        <f t="shared" si="54"/>
        <v>45</v>
      </c>
      <c r="FB47" s="256">
        <f t="shared" si="37"/>
        <v>11701.8</v>
      </c>
      <c r="FC47" s="194">
        <f t="shared" si="38"/>
        <v>0</v>
      </c>
      <c r="FD47" s="194">
        <f t="shared" si="39"/>
        <v>2127.6</v>
      </c>
      <c r="FE47" s="194">
        <f t="shared" si="40"/>
        <v>0</v>
      </c>
      <c r="FF47" s="194">
        <f t="shared" si="41"/>
        <v>2659.5</v>
      </c>
      <c r="FG47" s="194">
        <f t="shared" si="42"/>
        <v>0</v>
      </c>
      <c r="FH47" s="257">
        <f>IF(EZ47="No",IF((OR(MONTH(C47)=5,MONTH(C47)=6,MONTH(C47)=7,MONTH(C47)=8,MONTH(C47)=9)),Summary!$O$15*12*(AX47+AY47+AZ47+BA47)*(1-$BC47),Summary!$O$15*13*(AX47+AY47+AZ47+BA47)*(1-$BC47)+IF(Summary!$O$16="Yes",(CALC!FA47+Summary!$O$15)*6*(AX47+AY47+AZ47+BA47)*(1-$BC47),0)),0)</f>
        <v>0</v>
      </c>
      <c r="FI47" s="1412">
        <f>IF(MONTH(C47)=5,FI46*(IF(Summary!$E$70="no",(1+(Summary!$E$71*0.8)),1+HLOOKUP(YEAR(C47)-1,CCFMODEL!$I$127:$AF$128,2)*0.8)),+FI46)</f>
        <v>28.564297085197083</v>
      </c>
      <c r="FJ47" s="1411">
        <f>IF(MONTH(C47)=5,FJ46*(IF(Summary!$E$70="no",(1+(Summary!$E$71*0.8)),1+HLOOKUP(YEAR(CALC!C47)-1,CCFMODEL!$I$127:$AF$128,2)*0.8)),FJ46)</f>
        <v>24.965645483912407</v>
      </c>
      <c r="FK47" s="832">
        <f t="shared" si="1"/>
        <v>470993.83820810623</v>
      </c>
      <c r="FL47" s="1412">
        <f>IF(MONTH(C47)=5,FL46*(IF(Summary!$E$70="no",(1+(Summary!$E$71*0.8)),1+HLOOKUP(YEAR(CALC!C47)-1,CCFMODEL!$I$127:$AF$128,2)*0.8)),+FL46)</f>
        <v>60.073919141683703</v>
      </c>
      <c r="FM47" s="1411">
        <f>IF(MONTH(C47)=5,FM46*(IF(Summary!$E$70="no",(1+(Summary!$E$71*0.8)),1+HLOOKUP(YEAR(CALC!C47)-1,CCFMODEL!$I$127:$AF$128,2)*0.8)),+FM46)</f>
        <v>28.67139981142579</v>
      </c>
      <c r="FN47" s="832">
        <f t="shared" si="2"/>
        <v>1005637.4064317852</v>
      </c>
      <c r="FO47" s="194">
        <f t="shared" si="43"/>
        <v>1476631.2446398914</v>
      </c>
      <c r="FP47" s="263">
        <f t="shared" si="61"/>
        <v>11701.8</v>
      </c>
      <c r="FQ47" s="194">
        <f t="shared" si="61"/>
        <v>0</v>
      </c>
      <c r="FR47" s="194">
        <f t="shared" si="61"/>
        <v>2127.6</v>
      </c>
      <c r="FS47" s="194">
        <f t="shared" si="61"/>
        <v>0</v>
      </c>
      <c r="FT47" s="194">
        <f t="shared" si="61"/>
        <v>2659.5</v>
      </c>
      <c r="FU47" s="194">
        <f t="shared" si="61"/>
        <v>0</v>
      </c>
      <c r="FV47" s="257">
        <f t="shared" si="61"/>
        <v>0</v>
      </c>
      <c r="FW47" s="189">
        <f t="shared" si="4"/>
        <v>0</v>
      </c>
      <c r="FX47" s="189">
        <f t="shared" si="5"/>
        <v>0</v>
      </c>
      <c r="FY47" s="189">
        <f t="shared" si="6"/>
        <v>0</v>
      </c>
      <c r="FZ47" s="258">
        <f t="shared" si="7"/>
        <v>0</v>
      </c>
      <c r="GA47" s="1293">
        <f>(SUM(FP47:FV47)+SUM(GU47:HB47)/(1-Summary!$O$25))*CY47/1000</f>
        <v>203894.94555613442</v>
      </c>
      <c r="GB47" s="1369">
        <f>IF($C47&lt;Summary!$M$81,+Summary!$O$81,VLOOKUP(C47,GasTable,19))</f>
        <v>2.4</v>
      </c>
      <c r="GC47" s="1370">
        <f>IF(H47&lt;=Summary!$N$84,MIN(GA47,Summary!$O$75*(H47-G47+1)),0)</f>
        <v>155000</v>
      </c>
      <c r="GD47" s="1371">
        <f>IF(Summary!$O$75*(H47-G47+1)*0.8&gt;GC47,1,0)</f>
        <v>0</v>
      </c>
      <c r="GE47" s="1372">
        <v>0</v>
      </c>
      <c r="GF47" s="1370">
        <f t="shared" si="8"/>
        <v>48894.945556134422</v>
      </c>
      <c r="GG47" s="1371">
        <f>GF47*(IF(Summary!$O$74=1,VLOOKUP($C47,GasTable,16)+Summary!$O$92+Summary!$O$93,VLOOKUP($C47,GasTable,19)+Summary!$O$92+Summary!$O$93))</f>
        <v>127042.74818689411</v>
      </c>
      <c r="GH47" s="1373">
        <v>19666.400000000001</v>
      </c>
      <c r="GI47" s="1466">
        <v>0</v>
      </c>
      <c r="GJ47" s="1374">
        <f t="shared" si="44"/>
        <v>518709.14818689413</v>
      </c>
      <c r="GK47" s="189">
        <f t="shared" si="9"/>
        <v>26035.973100000007</v>
      </c>
      <c r="GL47" s="266">
        <v>0.75893796939200009</v>
      </c>
      <c r="GM47" s="255">
        <f t="shared" si="10"/>
        <v>15221.000000000002</v>
      </c>
      <c r="GN47" s="189">
        <f>IF(SUM(GU47:HB47)=0,0,IF(Summary!$O$16="Yes",SUM(GX47:HB47),IF(Summary!$O$17="Yes",SUM(GY47:HB47),SUM(GU47:HB47))))</f>
        <v>9547.0730999999996</v>
      </c>
      <c r="GO47" s="203">
        <v>5.8903568576642336</v>
      </c>
      <c r="GP47" s="258">
        <f t="shared" si="45"/>
        <v>56235.667505206729</v>
      </c>
      <c r="GQ47" s="189"/>
      <c r="GR47" s="189"/>
      <c r="GS47" s="189"/>
      <c r="GT47" s="189"/>
      <c r="GU47" s="268">
        <v>3764.0790000000002</v>
      </c>
      <c r="GV47" s="189">
        <v>684.37800000000027</v>
      </c>
      <c r="GW47" s="189">
        <v>855.47249999999997</v>
      </c>
      <c r="GX47" s="189"/>
      <c r="GY47" s="254">
        <v>3011.2631999999999</v>
      </c>
      <c r="GZ47" s="189">
        <v>547.50239999999997</v>
      </c>
      <c r="HA47" s="189">
        <v>684.37800000000004</v>
      </c>
      <c r="HB47" s="255"/>
      <c r="HC47" s="189">
        <v>9547.0730999999996</v>
      </c>
      <c r="HD47" s="189"/>
      <c r="HE47" s="189">
        <v>22276.5039</v>
      </c>
      <c r="HF47" s="189">
        <v>353008.0054465225</v>
      </c>
      <c r="HG47" s="189"/>
      <c r="HH47" s="203">
        <v>39.156150832540796</v>
      </c>
      <c r="HI47" s="189">
        <v>872262.14673008327</v>
      </c>
      <c r="HJ47" s="268">
        <f t="shared" si="11"/>
        <v>0</v>
      </c>
      <c r="HK47" s="189">
        <f t="shared" si="12"/>
        <v>0</v>
      </c>
      <c r="HL47" s="189">
        <f t="shared" si="13"/>
        <v>0</v>
      </c>
      <c r="HM47" s="255">
        <f t="shared" si="14"/>
        <v>0</v>
      </c>
      <c r="HN47" s="189">
        <f t="shared" si="15"/>
        <v>0</v>
      </c>
      <c r="HO47" s="203">
        <f t="shared" si="46"/>
        <v>0</v>
      </c>
      <c r="HP47" s="258">
        <f t="shared" si="16"/>
        <v>0</v>
      </c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R47" s="223"/>
    </row>
    <row r="48" spans="1:252" ht="13.8" thickBot="1">
      <c r="A48" t="str">
        <f t="shared" si="23"/>
        <v>2002Q3</v>
      </c>
      <c r="B48">
        <f t="shared" si="24"/>
        <v>2002</v>
      </c>
      <c r="C48" s="49">
        <f t="shared" si="25"/>
        <v>37469</v>
      </c>
      <c r="D48" s="115">
        <f t="shared" si="26"/>
        <v>2002</v>
      </c>
      <c r="E48" s="10">
        <f t="shared" si="55"/>
        <v>8</v>
      </c>
      <c r="F48" s="248" t="str">
        <f t="shared" si="57"/>
        <v/>
      </c>
      <c r="G48" s="245">
        <v>37469</v>
      </c>
      <c r="H48" s="251">
        <v>37499</v>
      </c>
      <c r="I48" s="959">
        <f t="shared" si="53"/>
        <v>7.1499999999999994E-2</v>
      </c>
      <c r="J48" s="37">
        <f t="shared" si="27"/>
        <v>0.8234423043986201</v>
      </c>
      <c r="K48" s="1036" t="e">
        <f>IF(Summary!#REF!=1,+Summary!#REF!,I48+Summary!#REF!/10000)</f>
        <v>#REF!</v>
      </c>
      <c r="L48" s="37" t="e">
        <f t="shared" si="28"/>
        <v>#REF!</v>
      </c>
      <c r="M48" s="1004">
        <v>0</v>
      </c>
      <c r="N48" s="38">
        <f t="shared" si="58"/>
        <v>0</v>
      </c>
      <c r="O48" s="40">
        <f t="shared" si="58"/>
        <v>0</v>
      </c>
      <c r="P48" s="159">
        <f t="shared" si="60"/>
        <v>0</v>
      </c>
      <c r="Q48" s="38">
        <f t="shared" si="62"/>
        <v>0</v>
      </c>
      <c r="R48" s="40">
        <f t="shared" si="62"/>
        <v>0</v>
      </c>
      <c r="S48" s="38">
        <f t="shared" si="62"/>
        <v>0</v>
      </c>
      <c r="T48" s="38">
        <f t="shared" si="62"/>
        <v>0</v>
      </c>
      <c r="U48" s="38">
        <f t="shared" si="62"/>
        <v>0</v>
      </c>
      <c r="V48" s="159">
        <f t="shared" si="62"/>
        <v>0</v>
      </c>
      <c r="W48" s="38">
        <f t="shared" si="62"/>
        <v>0</v>
      </c>
      <c r="X48" s="39">
        <f t="shared" si="62"/>
        <v>0</v>
      </c>
      <c r="Y48" s="46">
        <v>0</v>
      </c>
      <c r="Z48" s="46">
        <v>0</v>
      </c>
      <c r="AA48" s="47">
        <v>0</v>
      </c>
      <c r="AB48" s="46">
        <v>0</v>
      </c>
      <c r="AC48" s="46">
        <v>0</v>
      </c>
      <c r="AD48" s="47">
        <v>0</v>
      </c>
      <c r="AE48" s="46">
        <v>0</v>
      </c>
      <c r="AF48" s="46">
        <v>0</v>
      </c>
      <c r="AG48" s="47">
        <v>0</v>
      </c>
      <c r="AH48" s="46">
        <v>0</v>
      </c>
      <c r="AI48" s="46">
        <v>0</v>
      </c>
      <c r="AJ48" s="47">
        <v>0</v>
      </c>
      <c r="AK48" s="46">
        <v>0</v>
      </c>
      <c r="AL48" s="46">
        <v>0</v>
      </c>
      <c r="AM48" s="47">
        <v>0</v>
      </c>
      <c r="AN48" s="46">
        <v>0</v>
      </c>
      <c r="AO48" s="46">
        <v>0</v>
      </c>
      <c r="AP48" s="47">
        <v>0</v>
      </c>
      <c r="AQ48" s="46">
        <v>0</v>
      </c>
      <c r="AR48" s="46">
        <v>0</v>
      </c>
      <c r="AS48" s="47">
        <v>0</v>
      </c>
      <c r="AT48" s="46">
        <v>0</v>
      </c>
      <c r="AU48" s="46">
        <v>0</v>
      </c>
      <c r="AV48" s="46">
        <v>0</v>
      </c>
      <c r="AW48" s="1545">
        <v>0</v>
      </c>
      <c r="AX48" s="10">
        <f t="shared" si="56"/>
        <v>22</v>
      </c>
      <c r="AY48" s="42">
        <f>IF(AND($E48=MONTH(Summary!$E$24),$D48=YEAR(Summary!$E$24)),Summary!$E$25,1)*IF(G48="",0,INT((H48-MOD(H48,7)-G48)/7)+1-IF(BA48,IF(WEEKDAY(F48)=7,1,0),0))</f>
        <v>5</v>
      </c>
      <c r="AZ48" s="42">
        <f>IF(AND($E48=MONTH(Summary!$E$24),$D48=YEAR(Summary!$E$24)),Summary!$E$25,1)*IF(G48="",0,INT((H48-MOD(H48-1,7)-G48)/7)+1-IF(BA48,IF(WEEKDAY(F48)=1,1,0),0))</f>
        <v>4</v>
      </c>
      <c r="BA48" s="42">
        <v>0</v>
      </c>
      <c r="BB48" s="10">
        <f>IF(AND($E48=MONTH(Summary!$E$24),$D48=YEAR(Summary!$E$24)),Summary!$E$25,1)*IF(G48="",0,H48-G48+1)</f>
        <v>31</v>
      </c>
      <c r="BC48" s="914">
        <f>Summary!$E$19</f>
        <v>1.4999999999999999E-2</v>
      </c>
      <c r="BD48" s="113">
        <v>15602.4</v>
      </c>
      <c r="BE48" s="171">
        <v>3546</v>
      </c>
      <c r="BF48" s="171">
        <v>2836.8</v>
      </c>
      <c r="BG48" s="174"/>
      <c r="BH48" s="1198">
        <v>1</v>
      </c>
      <c r="BI48" s="1198">
        <v>1</v>
      </c>
      <c r="BJ48" s="1198">
        <v>1</v>
      </c>
      <c r="BK48" s="1198">
        <v>1</v>
      </c>
      <c r="BL48" s="95">
        <v>3120.48</v>
      </c>
      <c r="BM48" s="171">
        <v>709.2</v>
      </c>
      <c r="BN48" s="171">
        <v>567.36</v>
      </c>
      <c r="BO48" s="174"/>
      <c r="BP48" s="1198">
        <v>1</v>
      </c>
      <c r="BQ48" s="1199">
        <v>1</v>
      </c>
      <c r="BR48" s="1199">
        <v>1</v>
      </c>
      <c r="BS48" s="1200">
        <v>1</v>
      </c>
      <c r="BT48" s="94">
        <f t="shared" si="29"/>
        <v>21985.200000000001</v>
      </c>
      <c r="BU48" s="233">
        <f t="shared" si="30"/>
        <v>21985.200000000001</v>
      </c>
      <c r="BV48" s="92">
        <f t="shared" si="31"/>
        <v>4397.04</v>
      </c>
      <c r="BW48" s="233">
        <f t="shared" si="32"/>
        <v>4397.04</v>
      </c>
      <c r="BX48" s="88">
        <v>2.6283367556468171</v>
      </c>
      <c r="BY48" s="90">
        <v>0</v>
      </c>
      <c r="BZ48" s="88">
        <v>0</v>
      </c>
      <c r="CA48" s="88">
        <v>0</v>
      </c>
      <c r="CB48" s="88">
        <v>0</v>
      </c>
      <c r="CC48" s="88">
        <v>0</v>
      </c>
      <c r="CD48" s="88">
        <v>0</v>
      </c>
      <c r="CE48" s="100">
        <v>0</v>
      </c>
      <c r="CF48" s="88">
        <v>0</v>
      </c>
      <c r="CG48" s="88">
        <v>0</v>
      </c>
      <c r="CH48" s="88">
        <v>0</v>
      </c>
      <c r="CI48" s="88">
        <v>0</v>
      </c>
      <c r="CJ48" s="228">
        <v>0</v>
      </c>
      <c r="CK48" s="88">
        <v>0</v>
      </c>
      <c r="CL48" s="88">
        <v>0</v>
      </c>
      <c r="CM48" s="88">
        <v>0</v>
      </c>
      <c r="CN48" s="88">
        <v>0</v>
      </c>
      <c r="CO48" s="88">
        <v>0</v>
      </c>
      <c r="CP48" s="88">
        <v>0</v>
      </c>
      <c r="CQ48" s="229">
        <v>0</v>
      </c>
      <c r="CR48" s="91">
        <v>0</v>
      </c>
      <c r="CS48" s="91">
        <v>0</v>
      </c>
      <c r="CT48" s="91">
        <v>0</v>
      </c>
      <c r="CU48" s="91">
        <v>0</v>
      </c>
      <c r="CV48" s="91">
        <v>0</v>
      </c>
      <c r="CW48" s="91">
        <v>0</v>
      </c>
      <c r="CX48" s="225">
        <v>0</v>
      </c>
      <c r="CY48" s="1265">
        <v>7730.4468799999995</v>
      </c>
      <c r="CZ48" s="90">
        <v>0</v>
      </c>
      <c r="DA48" s="88">
        <v>0</v>
      </c>
      <c r="DB48" s="88">
        <v>0</v>
      </c>
      <c r="DC48" s="88">
        <v>0</v>
      </c>
      <c r="DD48" s="88">
        <v>0</v>
      </c>
      <c r="DE48" s="152">
        <v>0</v>
      </c>
      <c r="DF48" s="230">
        <v>0</v>
      </c>
      <c r="DG48" s="38">
        <v>0</v>
      </c>
      <c r="DH48" s="1237">
        <v>0</v>
      </c>
      <c r="DI48" s="956">
        <v>0</v>
      </c>
      <c r="DJ48" s="956">
        <v>0</v>
      </c>
      <c r="DK48" s="956">
        <v>0</v>
      </c>
      <c r="DL48" s="152">
        <v>0</v>
      </c>
      <c r="DM48" s="160">
        <v>0</v>
      </c>
      <c r="DN48" s="160">
        <v>0</v>
      </c>
      <c r="DO48" s="160">
        <v>0</v>
      </c>
      <c r="DP48" s="160">
        <v>0</v>
      </c>
      <c r="DQ48" s="160">
        <v>0</v>
      </c>
      <c r="DR48" s="230">
        <v>0</v>
      </c>
      <c r="DS48" s="88">
        <v>0</v>
      </c>
      <c r="DT48" s="88">
        <v>0</v>
      </c>
      <c r="DU48" s="88">
        <v>0</v>
      </c>
      <c r="DV48" s="88">
        <v>0</v>
      </c>
      <c r="DW48" s="88">
        <v>0</v>
      </c>
      <c r="DX48" s="88">
        <v>0</v>
      </c>
      <c r="DY48" s="88">
        <v>0</v>
      </c>
      <c r="DZ48" s="88">
        <v>0</v>
      </c>
      <c r="EA48" s="88">
        <v>0</v>
      </c>
      <c r="EB48" s="152">
        <v>0</v>
      </c>
      <c r="EC48" s="52">
        <f t="shared" si="33"/>
        <v>0</v>
      </c>
      <c r="ED48" s="52">
        <f t="shared" si="33"/>
        <v>0</v>
      </c>
      <c r="EE48" s="52">
        <f t="shared" si="33"/>
        <v>0</v>
      </c>
      <c r="EF48" s="52">
        <f t="shared" si="33"/>
        <v>0</v>
      </c>
      <c r="EG48" s="52">
        <f t="shared" si="34"/>
        <v>0</v>
      </c>
      <c r="EH48" s="238">
        <v>0</v>
      </c>
      <c r="EI48" s="211">
        <v>0</v>
      </c>
      <c r="EJ48" s="211">
        <v>0</v>
      </c>
      <c r="EK48" s="211">
        <v>0</v>
      </c>
      <c r="EL48" s="217">
        <f>IF(C48&gt;=Summary!$E$26,MAX(0,SUM(EH48:EK48)),0)</f>
        <v>0</v>
      </c>
      <c r="EM48" s="52">
        <f>IF(C48&gt;=Summary!$E$26,DX48*BL48,0)</f>
        <v>0</v>
      </c>
      <c r="EN48" s="52">
        <f>IF(C48&gt;=Summary!$E$26,DY48*BM48,0)</f>
        <v>0</v>
      </c>
      <c r="EO48" s="52">
        <f>IF(C48&gt;=Summary!$E$26,DZ48*BN48,0)</f>
        <v>0</v>
      </c>
      <c r="EP48" s="52">
        <f>IF(C48&gt;=Summary!$E$26,EA48*BO48,0)</f>
        <v>0</v>
      </c>
      <c r="EQ48" s="52">
        <f>IF(C48&gt;=Summary!$E$26,DX48*BL48+DY48*BM48+DZ48*BN48+EA48*BO48,0)</f>
        <v>0</v>
      </c>
      <c r="ER48" s="826">
        <v>0</v>
      </c>
      <c r="ES48" s="278">
        <v>0</v>
      </c>
      <c r="ET48" s="278">
        <v>0</v>
      </c>
      <c r="EU48" s="278">
        <v>0</v>
      </c>
      <c r="EV48" s="212">
        <f>IF(C48&gt;=Summary!$E$26,MAX(0,SUM(ER48:EU48)),0)</f>
        <v>0</v>
      </c>
      <c r="EW48" s="52"/>
      <c r="EX48" s="1049">
        <f t="shared" si="35"/>
        <v>0</v>
      </c>
      <c r="EY48" s="1045" t="str">
        <f t="shared" si="36"/>
        <v/>
      </c>
      <c r="EZ48" s="1684" t="s">
        <v>525</v>
      </c>
      <c r="FA48" s="1046">
        <f t="shared" si="54"/>
        <v>45</v>
      </c>
      <c r="FB48" s="256">
        <f t="shared" si="37"/>
        <v>11701.8</v>
      </c>
      <c r="FC48" s="194">
        <f t="shared" si="38"/>
        <v>0</v>
      </c>
      <c r="FD48" s="194">
        <f t="shared" si="39"/>
        <v>2659.5</v>
      </c>
      <c r="FE48" s="194">
        <f t="shared" si="40"/>
        <v>0</v>
      </c>
      <c r="FF48" s="194">
        <f t="shared" si="41"/>
        <v>2127.6</v>
      </c>
      <c r="FG48" s="194">
        <f t="shared" si="42"/>
        <v>0</v>
      </c>
      <c r="FH48" s="257">
        <f>IF(EZ48="No",IF((OR(MONTH(C48)=5,MONTH(C48)=6,MONTH(C48)=7,MONTH(C48)=8,MONTH(C48)=9)),Summary!$O$15*12*(AX48+AY48+AZ48+BA48)*(1-$BC48),Summary!$O$15*13*(AX48+AY48+AZ48+BA48)*(1-$BC48)+IF(Summary!$O$16="Yes",(CALC!FA48+Summary!$O$15)*6*(AX48+AY48+AZ48+BA48)*(1-$BC48),0)),0)</f>
        <v>0</v>
      </c>
      <c r="FI48" s="1412">
        <f>IF(MONTH(C48)=5,FI47*(IF(Summary!$E$70="no",(1+(Summary!$E$71*0.8)),1+HLOOKUP(YEAR(C48)-1,CCFMODEL!$I$127:$AF$128,2)*0.8)),+FI47)</f>
        <v>28.564297085197083</v>
      </c>
      <c r="FJ48" s="1411">
        <f>IF(MONTH(C48)=5,FJ47*(IF(Summary!$E$70="no",(1+(Summary!$E$71*0.8)),1+HLOOKUP(YEAR(CALC!C48)-1,CCFMODEL!$I$127:$AF$128,2)*0.8)),FJ47)</f>
        <v>24.965645483912407</v>
      </c>
      <c r="FK48" s="832">
        <f t="shared" si="1"/>
        <v>470993.83820810611</v>
      </c>
      <c r="FL48" s="1412">
        <f>IF(MONTH(C48)=5,FL47*(IF(Summary!$E$70="no",(1+(Summary!$E$71*0.8)),1+HLOOKUP(YEAR(CALC!C48)-1,CCFMODEL!$I$127:$AF$128,2)*0.8)),+FL47)</f>
        <v>60.073919141683703</v>
      </c>
      <c r="FM48" s="1411">
        <f>IF(MONTH(C48)=5,FM47*(IF(Summary!$E$70="no",(1+(Summary!$E$71*0.8)),1+HLOOKUP(YEAR(CALC!C48)-1,CCFMODEL!$I$127:$AF$128,2)*0.8)),+FM47)</f>
        <v>28.67139981142579</v>
      </c>
      <c r="FN48" s="832">
        <f t="shared" si="2"/>
        <v>1005637.406431785</v>
      </c>
      <c r="FO48" s="194">
        <f t="shared" si="43"/>
        <v>1476631.2446398912</v>
      </c>
      <c r="FP48" s="263">
        <f t="shared" si="61"/>
        <v>11701.8</v>
      </c>
      <c r="FQ48" s="194">
        <f t="shared" si="61"/>
        <v>0</v>
      </c>
      <c r="FR48" s="194">
        <f t="shared" si="61"/>
        <v>2659.5</v>
      </c>
      <c r="FS48" s="194">
        <f t="shared" si="61"/>
        <v>0</v>
      </c>
      <c r="FT48" s="194">
        <f t="shared" si="61"/>
        <v>2127.6</v>
      </c>
      <c r="FU48" s="194">
        <f t="shared" si="61"/>
        <v>0</v>
      </c>
      <c r="FV48" s="257">
        <f t="shared" si="61"/>
        <v>0</v>
      </c>
      <c r="FW48" s="189">
        <f t="shared" si="4"/>
        <v>0</v>
      </c>
      <c r="FX48" s="189">
        <f t="shared" si="5"/>
        <v>0</v>
      </c>
      <c r="FY48" s="189">
        <f t="shared" si="6"/>
        <v>0</v>
      </c>
      <c r="FZ48" s="258">
        <f t="shared" si="7"/>
        <v>0</v>
      </c>
      <c r="GA48" s="1293">
        <f>(SUM(FP48:FV48)+SUM(GU48:HB48)/(1-Summary!$O$25))*CY48/1000</f>
        <v>203946.50489541117</v>
      </c>
      <c r="GB48" s="1369">
        <f>IF($C48&lt;Summary!$M$81,+Summary!$O$81,VLOOKUP(C48,GasTable,19))</f>
        <v>2.4</v>
      </c>
      <c r="GC48" s="1370">
        <f>IF(H48&lt;=Summary!$N$84,MIN(GA48,Summary!$O$75*(H48-G48+1)),0)</f>
        <v>155000</v>
      </c>
      <c r="GD48" s="1371">
        <f>IF(Summary!$O$75*(H48-G48+1)*0.8&gt;GC48,1,0)</f>
        <v>0</v>
      </c>
      <c r="GE48" s="1372">
        <v>0</v>
      </c>
      <c r="GF48" s="1370">
        <f t="shared" si="8"/>
        <v>48946.50489541117</v>
      </c>
      <c r="GG48" s="1371">
        <f>GF48*(IF(Summary!$O$74=1,VLOOKUP($C48,GasTable,16)+Summary!$O$92+Summary!$O$93,VLOOKUP($C48,GasTable,19)+Summary!$O$92+Summary!$O$93))</f>
        <v>131055.31225773286</v>
      </c>
      <c r="GH48" s="1373">
        <v>19635.400000000001</v>
      </c>
      <c r="GI48" s="1466">
        <v>0</v>
      </c>
      <c r="GJ48" s="1374">
        <f t="shared" si="44"/>
        <v>522690.71225773287</v>
      </c>
      <c r="GK48" s="189">
        <f t="shared" si="9"/>
        <v>26035.973100000003</v>
      </c>
      <c r="GL48" s="266">
        <v>0.75912988361599998</v>
      </c>
      <c r="GM48" s="255">
        <f t="shared" si="10"/>
        <v>15221</v>
      </c>
      <c r="GN48" s="189">
        <f>IF(SUM(GU48:HB48)=0,0,IF(Summary!$O$16="Yes",SUM(GX48:HB48),IF(Summary!$O$17="Yes",SUM(GY48:HB48),SUM(GU48:HB48))))</f>
        <v>9547.0731000000014</v>
      </c>
      <c r="GO48" s="203">
        <v>5.8903568576642336</v>
      </c>
      <c r="GP48" s="258">
        <f t="shared" si="45"/>
        <v>56235.667505206744</v>
      </c>
      <c r="GQ48" s="189"/>
      <c r="GR48" s="189"/>
      <c r="GS48" s="189"/>
      <c r="GT48" s="189"/>
      <c r="GU48" s="268">
        <v>3764.0790000000002</v>
      </c>
      <c r="GV48" s="189">
        <v>855.47249999999997</v>
      </c>
      <c r="GW48" s="189">
        <v>684.37800000000027</v>
      </c>
      <c r="GX48" s="189"/>
      <c r="GY48" s="254">
        <v>3011.2631999999999</v>
      </c>
      <c r="GZ48" s="189">
        <v>684.37800000000004</v>
      </c>
      <c r="HA48" s="189">
        <v>547.50239999999997</v>
      </c>
      <c r="HB48" s="255"/>
      <c r="HC48" s="189">
        <v>9547.0731000000014</v>
      </c>
      <c r="HD48" s="189"/>
      <c r="HE48" s="189">
        <v>22276.503900000003</v>
      </c>
      <c r="HF48" s="189">
        <v>510588.69543058111</v>
      </c>
      <c r="HG48" s="189"/>
      <c r="HH48" s="203">
        <v>56.310515600178704</v>
      </c>
      <c r="HI48" s="189">
        <v>1254401.4203783919</v>
      </c>
      <c r="HJ48" s="268">
        <f t="shared" si="11"/>
        <v>0</v>
      </c>
      <c r="HK48" s="189">
        <f t="shared" si="12"/>
        <v>0</v>
      </c>
      <c r="HL48" s="189">
        <f t="shared" si="13"/>
        <v>0</v>
      </c>
      <c r="HM48" s="255">
        <f t="shared" si="14"/>
        <v>0</v>
      </c>
      <c r="HN48" s="189">
        <f t="shared" si="15"/>
        <v>0</v>
      </c>
      <c r="HO48" s="203">
        <f t="shared" si="46"/>
        <v>0</v>
      </c>
      <c r="HP48" s="258">
        <f t="shared" si="16"/>
        <v>0</v>
      </c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R48" s="223"/>
    </row>
    <row r="49" spans="1:252" ht="13.8" thickBot="1">
      <c r="A49" t="str">
        <f t="shared" si="23"/>
        <v>2002Q3</v>
      </c>
      <c r="B49">
        <f t="shared" si="24"/>
        <v>2002</v>
      </c>
      <c r="C49" s="49">
        <f t="shared" si="25"/>
        <v>37500</v>
      </c>
      <c r="D49" s="115">
        <f t="shared" si="26"/>
        <v>2002</v>
      </c>
      <c r="E49" s="10">
        <f t="shared" si="55"/>
        <v>9</v>
      </c>
      <c r="F49" s="248">
        <f t="shared" si="57"/>
        <v>37501</v>
      </c>
      <c r="G49" s="245">
        <v>37500</v>
      </c>
      <c r="H49" s="251">
        <v>37529</v>
      </c>
      <c r="I49" s="959">
        <f t="shared" si="53"/>
        <v>7.1499999999999994E-2</v>
      </c>
      <c r="J49" s="37">
        <f t="shared" si="27"/>
        <v>0.81870459869906331</v>
      </c>
      <c r="K49" s="1036" t="e">
        <f>IF(Summary!#REF!=1,+Summary!#REF!,I49+Summary!#REF!/10000)</f>
        <v>#REF!</v>
      </c>
      <c r="L49" s="37" t="e">
        <f t="shared" si="28"/>
        <v>#REF!</v>
      </c>
      <c r="M49" s="1004">
        <v>0</v>
      </c>
      <c r="N49" s="38">
        <f t="shared" ref="N49:O68" si="63">M49</f>
        <v>0</v>
      </c>
      <c r="O49" s="40">
        <f t="shared" si="63"/>
        <v>0</v>
      </c>
      <c r="P49" s="159">
        <f t="shared" si="60"/>
        <v>0</v>
      </c>
      <c r="Q49" s="38">
        <f t="shared" ref="Q49:X58" si="64">P49</f>
        <v>0</v>
      </c>
      <c r="R49" s="40">
        <f t="shared" si="64"/>
        <v>0</v>
      </c>
      <c r="S49" s="38">
        <f t="shared" si="64"/>
        <v>0</v>
      </c>
      <c r="T49" s="38">
        <f t="shared" si="64"/>
        <v>0</v>
      </c>
      <c r="U49" s="38">
        <f t="shared" si="64"/>
        <v>0</v>
      </c>
      <c r="V49" s="159">
        <f t="shared" si="64"/>
        <v>0</v>
      </c>
      <c r="W49" s="38">
        <f t="shared" si="64"/>
        <v>0</v>
      </c>
      <c r="X49" s="39">
        <f t="shared" si="64"/>
        <v>0</v>
      </c>
      <c r="Y49" s="46">
        <v>0</v>
      </c>
      <c r="Z49" s="46">
        <v>0</v>
      </c>
      <c r="AA49" s="47">
        <v>0</v>
      </c>
      <c r="AB49" s="46">
        <v>0</v>
      </c>
      <c r="AC49" s="46">
        <v>0</v>
      </c>
      <c r="AD49" s="47">
        <v>0</v>
      </c>
      <c r="AE49" s="46">
        <v>0</v>
      </c>
      <c r="AF49" s="46">
        <v>0</v>
      </c>
      <c r="AG49" s="47">
        <v>0</v>
      </c>
      <c r="AH49" s="46">
        <v>0</v>
      </c>
      <c r="AI49" s="46">
        <v>0</v>
      </c>
      <c r="AJ49" s="47">
        <v>0</v>
      </c>
      <c r="AK49" s="46">
        <v>0</v>
      </c>
      <c r="AL49" s="46">
        <v>0</v>
      </c>
      <c r="AM49" s="47">
        <v>0</v>
      </c>
      <c r="AN49" s="46">
        <v>0</v>
      </c>
      <c r="AO49" s="46">
        <v>0</v>
      </c>
      <c r="AP49" s="47">
        <v>0</v>
      </c>
      <c r="AQ49" s="46">
        <v>0</v>
      </c>
      <c r="AR49" s="46">
        <v>0</v>
      </c>
      <c r="AS49" s="47">
        <v>0</v>
      </c>
      <c r="AT49" s="46">
        <v>0</v>
      </c>
      <c r="AU49" s="46">
        <v>0</v>
      </c>
      <c r="AV49" s="46">
        <v>0</v>
      </c>
      <c r="AW49" s="1545">
        <v>0</v>
      </c>
      <c r="AX49" s="10">
        <f t="shared" si="56"/>
        <v>20</v>
      </c>
      <c r="AY49" s="42">
        <f>IF(AND($E49=MONTH(Summary!$E$24),$D49=YEAR(Summary!$E$24)),Summary!$E$25,1)*IF(G49="",0,INT((H49-MOD(H49,7)-G49)/7)+1-IF(BA49,IF(WEEKDAY(F49)=7,1,0),0))</f>
        <v>4</v>
      </c>
      <c r="AZ49" s="42">
        <f>IF(AND($E49=MONTH(Summary!$E$24),$D49=YEAR(Summary!$E$24)),Summary!$E$25,1)*IF(G49="",0,INT((H49-MOD(H49-1,7)-G49)/7)+1-IF(BA49,IF(WEEKDAY(F49)=1,1,0),0))</f>
        <v>5</v>
      </c>
      <c r="BA49" s="42">
        <v>1</v>
      </c>
      <c r="BB49" s="10">
        <f>IF(AND($E49=MONTH(Summary!$E$24),$D49=YEAR(Summary!$E$24)),Summary!$E$25,1)*IF(G49="",0,H49-G49+1)</f>
        <v>30</v>
      </c>
      <c r="BC49" s="914">
        <f>Summary!$E$19</f>
        <v>1.4999999999999999E-2</v>
      </c>
      <c r="BD49" s="113">
        <v>14184</v>
      </c>
      <c r="BE49" s="171">
        <v>2836.8</v>
      </c>
      <c r="BF49" s="171">
        <v>4255.2</v>
      </c>
      <c r="BG49" s="174"/>
      <c r="BH49" s="1198">
        <v>1</v>
      </c>
      <c r="BI49" s="1198">
        <v>1</v>
      </c>
      <c r="BJ49" s="1198">
        <v>1</v>
      </c>
      <c r="BK49" s="1198">
        <v>1</v>
      </c>
      <c r="BL49" s="95">
        <v>2836.8</v>
      </c>
      <c r="BM49" s="171">
        <v>567.36</v>
      </c>
      <c r="BN49" s="171">
        <v>851.04</v>
      </c>
      <c r="BO49" s="174"/>
      <c r="BP49" s="1198">
        <v>1</v>
      </c>
      <c r="BQ49" s="1199">
        <v>1</v>
      </c>
      <c r="BR49" s="1199">
        <v>1</v>
      </c>
      <c r="BS49" s="1200">
        <v>1</v>
      </c>
      <c r="BT49" s="94">
        <f t="shared" si="29"/>
        <v>21276</v>
      </c>
      <c r="BU49" s="233">
        <f t="shared" si="30"/>
        <v>21276</v>
      </c>
      <c r="BV49" s="92">
        <f t="shared" si="31"/>
        <v>4255.2000000000007</v>
      </c>
      <c r="BW49" s="233">
        <f t="shared" si="32"/>
        <v>4255.2000000000007</v>
      </c>
      <c r="BX49" s="88">
        <v>2.7132101300479126</v>
      </c>
      <c r="BY49" s="90">
        <v>0</v>
      </c>
      <c r="BZ49" s="88">
        <v>0</v>
      </c>
      <c r="CA49" s="88">
        <v>0</v>
      </c>
      <c r="CB49" s="88">
        <v>0</v>
      </c>
      <c r="CC49" s="88">
        <v>0</v>
      </c>
      <c r="CD49" s="88">
        <v>0</v>
      </c>
      <c r="CE49" s="100">
        <v>0</v>
      </c>
      <c r="CF49" s="88">
        <v>0</v>
      </c>
      <c r="CG49" s="88">
        <v>0</v>
      </c>
      <c r="CH49" s="88">
        <v>0</v>
      </c>
      <c r="CI49" s="88">
        <v>0</v>
      </c>
      <c r="CJ49" s="228">
        <v>0</v>
      </c>
      <c r="CK49" s="88">
        <v>0</v>
      </c>
      <c r="CL49" s="88">
        <v>0</v>
      </c>
      <c r="CM49" s="88">
        <v>0</v>
      </c>
      <c r="CN49" s="88">
        <v>0</v>
      </c>
      <c r="CO49" s="88">
        <v>0</v>
      </c>
      <c r="CP49" s="88">
        <v>0</v>
      </c>
      <c r="CQ49" s="229">
        <v>0</v>
      </c>
      <c r="CR49" s="91">
        <v>0</v>
      </c>
      <c r="CS49" s="91">
        <v>0</v>
      </c>
      <c r="CT49" s="91">
        <v>0</v>
      </c>
      <c r="CU49" s="91">
        <v>0</v>
      </c>
      <c r="CV49" s="91">
        <v>0</v>
      </c>
      <c r="CW49" s="91">
        <v>0</v>
      </c>
      <c r="CX49" s="225">
        <v>0</v>
      </c>
      <c r="CY49" s="1265">
        <v>7732.4012000000002</v>
      </c>
      <c r="CZ49" s="90">
        <v>0</v>
      </c>
      <c r="DA49" s="88">
        <v>0</v>
      </c>
      <c r="DB49" s="88">
        <v>0</v>
      </c>
      <c r="DC49" s="88">
        <v>0</v>
      </c>
      <c r="DD49" s="88">
        <v>0</v>
      </c>
      <c r="DE49" s="152">
        <v>0</v>
      </c>
      <c r="DF49" s="230">
        <v>0</v>
      </c>
      <c r="DG49" s="38">
        <v>0</v>
      </c>
      <c r="DH49" s="1237">
        <v>0</v>
      </c>
      <c r="DI49" s="956">
        <v>0</v>
      </c>
      <c r="DJ49" s="956">
        <v>0</v>
      </c>
      <c r="DK49" s="956">
        <v>0</v>
      </c>
      <c r="DL49" s="152">
        <v>0</v>
      </c>
      <c r="DM49" s="160">
        <v>0</v>
      </c>
      <c r="DN49" s="160">
        <v>0</v>
      </c>
      <c r="DO49" s="160">
        <v>0</v>
      </c>
      <c r="DP49" s="160">
        <v>0</v>
      </c>
      <c r="DQ49" s="160">
        <v>0</v>
      </c>
      <c r="DR49" s="230">
        <v>0</v>
      </c>
      <c r="DS49" s="88">
        <v>0</v>
      </c>
      <c r="DT49" s="88">
        <v>0</v>
      </c>
      <c r="DU49" s="88">
        <v>0</v>
      </c>
      <c r="DV49" s="88">
        <v>0</v>
      </c>
      <c r="DW49" s="88">
        <v>0</v>
      </c>
      <c r="DX49" s="88">
        <v>0</v>
      </c>
      <c r="DY49" s="88">
        <v>0</v>
      </c>
      <c r="DZ49" s="88">
        <v>0</v>
      </c>
      <c r="EA49" s="88">
        <v>0</v>
      </c>
      <c r="EB49" s="152">
        <v>0</v>
      </c>
      <c r="EC49" s="52">
        <f t="shared" si="33"/>
        <v>0</v>
      </c>
      <c r="ED49" s="52">
        <f t="shared" si="33"/>
        <v>0</v>
      </c>
      <c r="EE49" s="52">
        <f t="shared" si="33"/>
        <v>0</v>
      </c>
      <c r="EF49" s="52">
        <f t="shared" si="33"/>
        <v>0</v>
      </c>
      <c r="EG49" s="52">
        <f t="shared" si="34"/>
        <v>0</v>
      </c>
      <c r="EH49" s="238">
        <v>0</v>
      </c>
      <c r="EI49" s="211">
        <v>0</v>
      </c>
      <c r="EJ49" s="211">
        <v>0</v>
      </c>
      <c r="EK49" s="211">
        <v>0</v>
      </c>
      <c r="EL49" s="217">
        <f>IF(C49&gt;=Summary!$E$26,MAX(0,SUM(EH49:EK49)),0)</f>
        <v>0</v>
      </c>
      <c r="EM49" s="52">
        <f>IF(C49&gt;=Summary!$E$26,DX49*BL49,0)</f>
        <v>0</v>
      </c>
      <c r="EN49" s="52">
        <f>IF(C49&gt;=Summary!$E$26,DY49*BM49,0)</f>
        <v>0</v>
      </c>
      <c r="EO49" s="52">
        <f>IF(C49&gt;=Summary!$E$26,DZ49*BN49,0)</f>
        <v>0</v>
      </c>
      <c r="EP49" s="52">
        <f>IF(C49&gt;=Summary!$E$26,EA49*BO49,0)</f>
        <v>0</v>
      </c>
      <c r="EQ49" s="52">
        <f>IF(C49&gt;=Summary!$E$26,DX49*BL49+DY49*BM49+DZ49*BN49+EA49*BO49,0)</f>
        <v>0</v>
      </c>
      <c r="ER49" s="826">
        <v>0</v>
      </c>
      <c r="ES49" s="278">
        <v>0</v>
      </c>
      <c r="ET49" s="278">
        <v>0</v>
      </c>
      <c r="EU49" s="278">
        <v>0</v>
      </c>
      <c r="EV49" s="212">
        <f>IF(C49&gt;=Summary!$E$26,MAX(0,SUM(ER49:EU49)),0)</f>
        <v>0</v>
      </c>
      <c r="EW49" s="52"/>
      <c r="EX49" s="1049">
        <f t="shared" si="35"/>
        <v>0</v>
      </c>
      <c r="EY49" s="1045" t="str">
        <f t="shared" si="36"/>
        <v/>
      </c>
      <c r="EZ49" s="1684" t="s">
        <v>525</v>
      </c>
      <c r="FA49" s="1046">
        <f t="shared" si="54"/>
        <v>45</v>
      </c>
      <c r="FB49" s="256">
        <f t="shared" si="37"/>
        <v>10638</v>
      </c>
      <c r="FC49" s="194">
        <f t="shared" si="38"/>
        <v>0</v>
      </c>
      <c r="FD49" s="194">
        <f t="shared" si="39"/>
        <v>2127.6</v>
      </c>
      <c r="FE49" s="194">
        <f t="shared" si="40"/>
        <v>0</v>
      </c>
      <c r="FF49" s="194">
        <f t="shared" si="41"/>
        <v>3191.4</v>
      </c>
      <c r="FG49" s="194">
        <f t="shared" si="42"/>
        <v>0</v>
      </c>
      <c r="FH49" s="257">
        <f>IF(EZ49="No",IF((OR(MONTH(C49)=5,MONTH(C49)=6,MONTH(C49)=7,MONTH(C49)=8,MONTH(C49)=9)),Summary!$O$15*12*(AX49+AY49+AZ49+BA49)*(1-$BC49),Summary!$O$15*13*(AX49+AY49+AZ49+BA49)*(1-$BC49)+IF(Summary!$O$16="Yes",(CALC!FA49+Summary!$O$15)*6*(AX49+AY49+AZ49+BA49)*(1-$BC49),0)),0)</f>
        <v>0</v>
      </c>
      <c r="FI49" s="1412">
        <f>IF(MONTH(C49)=5,FI48*(IF(Summary!$E$70="no",(1+(Summary!$E$71*0.8)),1+HLOOKUP(YEAR(C49)-1,CCFMODEL!$I$127:$AF$128,2)*0.8)),+FI48)</f>
        <v>28.564297085197083</v>
      </c>
      <c r="FJ49" s="1411">
        <f>IF(MONTH(C49)=5,FJ48*(IF(Summary!$E$70="no",(1+(Summary!$E$71*0.8)),1+HLOOKUP(YEAR(CALC!C49)-1,CCFMODEL!$I$127:$AF$128,2)*0.8)),FJ48)</f>
        <v>24.965645483912407</v>
      </c>
      <c r="FK49" s="832">
        <f t="shared" si="1"/>
        <v>455800.48858848982</v>
      </c>
      <c r="FL49" s="1412">
        <f>IF(MONTH(C49)=5,FL48*(IF(Summary!$E$70="no",(1+(Summary!$E$71*0.8)),1+HLOOKUP(YEAR(CALC!C49)-1,CCFMODEL!$I$127:$AF$128,2)*0.8)),+FL48)</f>
        <v>60.073919141683703</v>
      </c>
      <c r="FM49" s="1411">
        <f>IF(MONTH(C49)=5,FM48*(IF(Summary!$E$70="no",(1+(Summary!$E$71*0.8)),1+HLOOKUP(YEAR(CALC!C49)-1,CCFMODEL!$I$127:$AF$128,2)*0.8)),+FM48)</f>
        <v>28.67139981142579</v>
      </c>
      <c r="FN49" s="832">
        <f t="shared" si="2"/>
        <v>973197.49009527604</v>
      </c>
      <c r="FO49" s="194">
        <f t="shared" si="43"/>
        <v>1428997.978683766</v>
      </c>
      <c r="FP49" s="263">
        <f t="shared" si="61"/>
        <v>10638</v>
      </c>
      <c r="FQ49" s="194">
        <f t="shared" si="61"/>
        <v>0</v>
      </c>
      <c r="FR49" s="194">
        <f t="shared" si="61"/>
        <v>2127.6</v>
      </c>
      <c r="FS49" s="194">
        <f t="shared" si="61"/>
        <v>0</v>
      </c>
      <c r="FT49" s="194">
        <f t="shared" si="61"/>
        <v>3191.4</v>
      </c>
      <c r="FU49" s="194">
        <f t="shared" si="61"/>
        <v>0</v>
      </c>
      <c r="FV49" s="257">
        <f t="shared" si="61"/>
        <v>0</v>
      </c>
      <c r="FW49" s="189">
        <f t="shared" si="4"/>
        <v>0</v>
      </c>
      <c r="FX49" s="189">
        <f t="shared" si="5"/>
        <v>0</v>
      </c>
      <c r="FY49" s="189">
        <f t="shared" si="6"/>
        <v>0</v>
      </c>
      <c r="FZ49" s="258">
        <f t="shared" si="7"/>
        <v>0</v>
      </c>
      <c r="GA49" s="1293">
        <f>(SUM(FP49:FV49)+SUM(GU49:HB49)/(1-Summary!$O$25))*CY49/1000</f>
        <v>197417.48151744</v>
      </c>
      <c r="GB49" s="1369">
        <f>IF($C49&lt;Summary!$M$81,+Summary!$O$81,VLOOKUP(C49,GasTable,19))</f>
        <v>2.4</v>
      </c>
      <c r="GC49" s="1370">
        <f>IF(H49&lt;=Summary!$N$84,MIN(GA49,Summary!$O$75*(H49-G49+1)),0)</f>
        <v>150000</v>
      </c>
      <c r="GD49" s="1371">
        <f>IF(Summary!$O$75*(H49-G49+1)*0.8&gt;GC49,1,0)</f>
        <v>0</v>
      </c>
      <c r="GE49" s="1372">
        <v>0</v>
      </c>
      <c r="GF49" s="1370">
        <f t="shared" si="8"/>
        <v>47417.481517439999</v>
      </c>
      <c r="GG49" s="1371">
        <f>GF49*(IF(Summary!$O$74=1,VLOOKUP($C49,GasTable,16)+Summary!$O$92+Summary!$O$93,VLOOKUP($C49,GasTable,19)+Summary!$O$92+Summary!$O$93))</f>
        <v>131542.99891149951</v>
      </c>
      <c r="GH49" s="1373">
        <v>18912</v>
      </c>
      <c r="GI49" s="1466">
        <v>0</v>
      </c>
      <c r="GJ49" s="1374">
        <f t="shared" si="44"/>
        <v>510454.99891149951</v>
      </c>
      <c r="GK49" s="189">
        <f t="shared" si="9"/>
        <v>25196.102999999999</v>
      </c>
      <c r="GL49" s="266">
        <v>0.75932179784000009</v>
      </c>
      <c r="GM49" s="255">
        <f t="shared" si="10"/>
        <v>14730.000000000002</v>
      </c>
      <c r="GN49" s="189">
        <f>IF(SUM(GU49:HB49)=0,0,IF(Summary!$O$16="Yes",SUM(GX49:HB49),IF(Summary!$O$17="Yes",SUM(GY49:HB49),SUM(GU49:HB49))))</f>
        <v>9239.1029999999992</v>
      </c>
      <c r="GO49" s="203">
        <v>5.8903568576642336</v>
      </c>
      <c r="GP49" s="258">
        <f t="shared" si="45"/>
        <v>54421.613714716186</v>
      </c>
      <c r="GQ49" s="189"/>
      <c r="GR49" s="189"/>
      <c r="GS49" s="189"/>
      <c r="GT49" s="189"/>
      <c r="GU49" s="268">
        <v>3421.89</v>
      </c>
      <c r="GV49" s="189">
        <v>684.37800000000027</v>
      </c>
      <c r="GW49" s="189">
        <v>1026.5669999999998</v>
      </c>
      <c r="GX49" s="189"/>
      <c r="GY49" s="254">
        <v>2737.5120000000002</v>
      </c>
      <c r="GZ49" s="189">
        <v>547.50239999999997</v>
      </c>
      <c r="HA49" s="189">
        <v>821.25359999999989</v>
      </c>
      <c r="HB49" s="255"/>
      <c r="HC49" s="189">
        <v>9239.1029999999992</v>
      </c>
      <c r="HD49" s="189"/>
      <c r="HE49" s="189">
        <v>21557.906999999999</v>
      </c>
      <c r="HF49" s="189">
        <v>411815.26513560099</v>
      </c>
      <c r="HG49" s="189"/>
      <c r="HH49" s="203">
        <v>46.264260068513863</v>
      </c>
      <c r="HI49" s="189">
        <v>997360.6159808354</v>
      </c>
      <c r="HJ49" s="268">
        <f t="shared" si="11"/>
        <v>0</v>
      </c>
      <c r="HK49" s="189">
        <f t="shared" si="12"/>
        <v>0</v>
      </c>
      <c r="HL49" s="189">
        <f t="shared" si="13"/>
        <v>0</v>
      </c>
      <c r="HM49" s="255">
        <f t="shared" si="14"/>
        <v>0</v>
      </c>
      <c r="HN49" s="189">
        <f t="shared" si="15"/>
        <v>0</v>
      </c>
      <c r="HO49" s="203">
        <f t="shared" si="46"/>
        <v>0</v>
      </c>
      <c r="HP49" s="258">
        <f t="shared" si="16"/>
        <v>0</v>
      </c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R49" s="223"/>
    </row>
    <row r="50" spans="1:252" ht="13.8" thickBot="1">
      <c r="A50" t="str">
        <f t="shared" si="23"/>
        <v>2002Q4</v>
      </c>
      <c r="B50">
        <f t="shared" si="24"/>
        <v>2002</v>
      </c>
      <c r="C50" s="49">
        <f t="shared" si="25"/>
        <v>37530</v>
      </c>
      <c r="D50" s="115">
        <f t="shared" si="26"/>
        <v>2002</v>
      </c>
      <c r="E50" s="10">
        <f t="shared" si="55"/>
        <v>10</v>
      </c>
      <c r="F50" s="248" t="str">
        <f t="shared" si="57"/>
        <v/>
      </c>
      <c r="G50" s="245">
        <v>37530</v>
      </c>
      <c r="H50" s="251">
        <v>37560</v>
      </c>
      <c r="I50" s="959">
        <f t="shared" si="53"/>
        <v>7.1499999999999994E-2</v>
      </c>
      <c r="J50" s="37">
        <f t="shared" si="27"/>
        <v>0.81383760427948504</v>
      </c>
      <c r="K50" s="1036" t="e">
        <f>IF(Summary!#REF!=1,+Summary!#REF!,I50+Summary!#REF!/10000)</f>
        <v>#REF!</v>
      </c>
      <c r="L50" s="37" t="e">
        <f t="shared" si="28"/>
        <v>#REF!</v>
      </c>
      <c r="M50" s="1004">
        <v>0</v>
      </c>
      <c r="N50" s="38">
        <f t="shared" si="63"/>
        <v>0</v>
      </c>
      <c r="O50" s="40">
        <f t="shared" si="63"/>
        <v>0</v>
      </c>
      <c r="P50" s="159">
        <f t="shared" si="60"/>
        <v>0</v>
      </c>
      <c r="Q50" s="38">
        <f t="shared" si="64"/>
        <v>0</v>
      </c>
      <c r="R50" s="40">
        <f t="shared" si="64"/>
        <v>0</v>
      </c>
      <c r="S50" s="38">
        <f t="shared" si="64"/>
        <v>0</v>
      </c>
      <c r="T50" s="38">
        <f t="shared" si="64"/>
        <v>0</v>
      </c>
      <c r="U50" s="38">
        <f t="shared" si="64"/>
        <v>0</v>
      </c>
      <c r="V50" s="159">
        <f t="shared" si="64"/>
        <v>0</v>
      </c>
      <c r="W50" s="38">
        <f t="shared" si="64"/>
        <v>0</v>
      </c>
      <c r="X50" s="39">
        <f t="shared" si="64"/>
        <v>0</v>
      </c>
      <c r="Y50" s="46">
        <v>0</v>
      </c>
      <c r="Z50" s="46">
        <v>0</v>
      </c>
      <c r="AA50" s="47">
        <v>0</v>
      </c>
      <c r="AB50" s="46">
        <v>0</v>
      </c>
      <c r="AC50" s="46">
        <v>0</v>
      </c>
      <c r="AD50" s="47">
        <v>0</v>
      </c>
      <c r="AE50" s="46">
        <v>0</v>
      </c>
      <c r="AF50" s="46">
        <v>0</v>
      </c>
      <c r="AG50" s="47">
        <v>0</v>
      </c>
      <c r="AH50" s="46">
        <v>0</v>
      </c>
      <c r="AI50" s="46">
        <v>0</v>
      </c>
      <c r="AJ50" s="47">
        <v>0</v>
      </c>
      <c r="AK50" s="46">
        <v>0</v>
      </c>
      <c r="AL50" s="46">
        <v>0</v>
      </c>
      <c r="AM50" s="47">
        <v>0</v>
      </c>
      <c r="AN50" s="46">
        <v>0</v>
      </c>
      <c r="AO50" s="46">
        <v>0</v>
      </c>
      <c r="AP50" s="47">
        <v>0</v>
      </c>
      <c r="AQ50" s="46">
        <v>0</v>
      </c>
      <c r="AR50" s="46">
        <v>0</v>
      </c>
      <c r="AS50" s="47">
        <v>0</v>
      </c>
      <c r="AT50" s="46">
        <v>0</v>
      </c>
      <c r="AU50" s="46">
        <v>0</v>
      </c>
      <c r="AV50" s="46">
        <v>0</v>
      </c>
      <c r="AW50" s="1545">
        <v>0</v>
      </c>
      <c r="AX50" s="10">
        <f t="shared" si="56"/>
        <v>23</v>
      </c>
      <c r="AY50" s="42">
        <f>IF(AND($E50=MONTH(Summary!$E$24),$D50=YEAR(Summary!$E$24)),Summary!$E$25,1)*IF(G50="",0,INT((H50-MOD(H50,7)-G50)/7)+1-IF(BA50,IF(WEEKDAY(F50)=7,1,0),0))</f>
        <v>4</v>
      </c>
      <c r="AZ50" s="42">
        <f>IF(AND($E50=MONTH(Summary!$E$24),$D50=YEAR(Summary!$E$24)),Summary!$E$25,1)*IF(G50="",0,INT((H50-MOD(H50-1,7)-G50)/7)+1-IF(BA50,IF(WEEKDAY(F50)=1,1,0),0))</f>
        <v>4</v>
      </c>
      <c r="BA50" s="42">
        <v>0</v>
      </c>
      <c r="BB50" s="10">
        <f>IF(AND($E50=MONTH(Summary!$E$24),$D50=YEAR(Summary!$E$24)),Summary!$E$25,1)*IF(G50="",0,H50-G50+1)</f>
        <v>31</v>
      </c>
      <c r="BC50" s="914">
        <f>Summary!$E$19</f>
        <v>1.4999999999999999E-2</v>
      </c>
      <c r="BD50" s="113">
        <v>16311.6</v>
      </c>
      <c r="BE50" s="171">
        <v>2836.8</v>
      </c>
      <c r="BF50" s="171">
        <v>2836.8</v>
      </c>
      <c r="BG50" s="174"/>
      <c r="BH50" s="1198">
        <v>1</v>
      </c>
      <c r="BI50" s="1198">
        <v>1</v>
      </c>
      <c r="BJ50" s="1198">
        <v>1</v>
      </c>
      <c r="BK50" s="1198">
        <v>1</v>
      </c>
      <c r="BL50" s="95">
        <v>3262.32</v>
      </c>
      <c r="BM50" s="171">
        <v>567.36</v>
      </c>
      <c r="BN50" s="171">
        <v>567.36</v>
      </c>
      <c r="BO50" s="174"/>
      <c r="BP50" s="1198">
        <v>1</v>
      </c>
      <c r="BQ50" s="1199">
        <v>1</v>
      </c>
      <c r="BR50" s="1199">
        <v>1</v>
      </c>
      <c r="BS50" s="1200">
        <v>1</v>
      </c>
      <c r="BT50" s="94">
        <f t="shared" si="29"/>
        <v>21985.200000000001</v>
      </c>
      <c r="BU50" s="233">
        <f t="shared" si="30"/>
        <v>21985.200000000001</v>
      </c>
      <c r="BV50" s="92">
        <f t="shared" si="31"/>
        <v>4397.04</v>
      </c>
      <c r="BW50" s="233">
        <f t="shared" si="32"/>
        <v>4397.04</v>
      </c>
      <c r="BX50" s="88">
        <v>2.7953456536618755</v>
      </c>
      <c r="BY50" s="90">
        <v>0</v>
      </c>
      <c r="BZ50" s="88">
        <v>0</v>
      </c>
      <c r="CA50" s="88">
        <v>0</v>
      </c>
      <c r="CB50" s="88">
        <v>0</v>
      </c>
      <c r="CC50" s="88">
        <v>0</v>
      </c>
      <c r="CD50" s="88">
        <v>0</v>
      </c>
      <c r="CE50" s="100">
        <v>0</v>
      </c>
      <c r="CF50" s="88">
        <v>0</v>
      </c>
      <c r="CG50" s="88">
        <v>0</v>
      </c>
      <c r="CH50" s="88">
        <v>0</v>
      </c>
      <c r="CI50" s="88">
        <v>0</v>
      </c>
      <c r="CJ50" s="228">
        <v>0</v>
      </c>
      <c r="CK50" s="88">
        <v>0</v>
      </c>
      <c r="CL50" s="88">
        <v>0</v>
      </c>
      <c r="CM50" s="88">
        <v>0</v>
      </c>
      <c r="CN50" s="88">
        <v>0</v>
      </c>
      <c r="CO50" s="88">
        <v>0</v>
      </c>
      <c r="CP50" s="88">
        <v>0</v>
      </c>
      <c r="CQ50" s="229">
        <v>0</v>
      </c>
      <c r="CR50" s="91">
        <v>0</v>
      </c>
      <c r="CS50" s="91">
        <v>0</v>
      </c>
      <c r="CT50" s="91">
        <v>0</v>
      </c>
      <c r="CU50" s="91">
        <v>0</v>
      </c>
      <c r="CV50" s="91">
        <v>0</v>
      </c>
      <c r="CW50" s="91">
        <v>0</v>
      </c>
      <c r="CX50" s="225">
        <v>0</v>
      </c>
      <c r="CY50" s="1265">
        <v>7734.3555200000001</v>
      </c>
      <c r="CZ50" s="90">
        <v>0</v>
      </c>
      <c r="DA50" s="88">
        <v>0</v>
      </c>
      <c r="DB50" s="88">
        <v>0</v>
      </c>
      <c r="DC50" s="88">
        <v>0</v>
      </c>
      <c r="DD50" s="88">
        <v>0</v>
      </c>
      <c r="DE50" s="152">
        <v>0</v>
      </c>
      <c r="DF50" s="230">
        <v>0</v>
      </c>
      <c r="DG50" s="38">
        <v>0</v>
      </c>
      <c r="DH50" s="1237">
        <v>0</v>
      </c>
      <c r="DI50" s="956">
        <v>0</v>
      </c>
      <c r="DJ50" s="956">
        <v>0</v>
      </c>
      <c r="DK50" s="956">
        <v>0</v>
      </c>
      <c r="DL50" s="152">
        <v>0</v>
      </c>
      <c r="DM50" s="160">
        <v>0</v>
      </c>
      <c r="DN50" s="160">
        <v>0</v>
      </c>
      <c r="DO50" s="160">
        <v>0</v>
      </c>
      <c r="DP50" s="160">
        <v>0</v>
      </c>
      <c r="DQ50" s="160">
        <v>0</v>
      </c>
      <c r="DR50" s="230">
        <v>0</v>
      </c>
      <c r="DS50" s="88">
        <v>0</v>
      </c>
      <c r="DT50" s="88">
        <v>0</v>
      </c>
      <c r="DU50" s="88">
        <v>0</v>
      </c>
      <c r="DV50" s="88">
        <v>0</v>
      </c>
      <c r="DW50" s="88">
        <v>0</v>
      </c>
      <c r="DX50" s="88">
        <v>0</v>
      </c>
      <c r="DY50" s="88">
        <v>0</v>
      </c>
      <c r="DZ50" s="88">
        <v>0</v>
      </c>
      <c r="EA50" s="88">
        <v>0</v>
      </c>
      <c r="EB50" s="152">
        <v>0</v>
      </c>
      <c r="EC50" s="52">
        <f t="shared" si="33"/>
        <v>0</v>
      </c>
      <c r="ED50" s="52">
        <f t="shared" si="33"/>
        <v>0</v>
      </c>
      <c r="EE50" s="52">
        <f t="shared" si="33"/>
        <v>0</v>
      </c>
      <c r="EF50" s="52">
        <f t="shared" si="33"/>
        <v>0</v>
      </c>
      <c r="EG50" s="52">
        <f t="shared" si="34"/>
        <v>0</v>
      </c>
      <c r="EH50" s="238">
        <v>0</v>
      </c>
      <c r="EI50" s="211">
        <v>0</v>
      </c>
      <c r="EJ50" s="211">
        <v>0</v>
      </c>
      <c r="EK50" s="211">
        <v>0</v>
      </c>
      <c r="EL50" s="217">
        <f>IF(C50&gt;=Summary!$E$26,MAX(0,SUM(EH50:EK50)),0)</f>
        <v>0</v>
      </c>
      <c r="EM50" s="52">
        <f>IF(C50&gt;=Summary!$E$26,DX50*BL50,0)</f>
        <v>0</v>
      </c>
      <c r="EN50" s="52">
        <f>IF(C50&gt;=Summary!$E$26,DY50*BM50,0)</f>
        <v>0</v>
      </c>
      <c r="EO50" s="52">
        <f>IF(C50&gt;=Summary!$E$26,DZ50*BN50,0)</f>
        <v>0</v>
      </c>
      <c r="EP50" s="52">
        <f>IF(C50&gt;=Summary!$E$26,EA50*BO50,0)</f>
        <v>0</v>
      </c>
      <c r="EQ50" s="52">
        <f>IF(C50&gt;=Summary!$E$26,DX50*BL50+DY50*BM50+DZ50*BN50+EA50*BO50,0)</f>
        <v>0</v>
      </c>
      <c r="ER50" s="826">
        <v>0</v>
      </c>
      <c r="ES50" s="278">
        <v>0</v>
      </c>
      <c r="ET50" s="278">
        <v>0</v>
      </c>
      <c r="EU50" s="278">
        <v>0</v>
      </c>
      <c r="EV50" s="212">
        <f>IF(C50&gt;=Summary!$E$26,MAX(0,SUM(ER50:EU50)),0)</f>
        <v>0</v>
      </c>
      <c r="EW50" s="52"/>
      <c r="EX50" s="1049">
        <f t="shared" si="35"/>
        <v>0</v>
      </c>
      <c r="EY50" s="1045" t="str">
        <f t="shared" si="36"/>
        <v/>
      </c>
      <c r="EZ50" s="1684" t="s">
        <v>525</v>
      </c>
      <c r="FA50" s="1046">
        <f t="shared" si="54"/>
        <v>45</v>
      </c>
      <c r="FB50" s="256">
        <f t="shared" si="37"/>
        <v>10194.75</v>
      </c>
      <c r="FC50" s="194">
        <f t="shared" si="38"/>
        <v>3058.4250000000002</v>
      </c>
      <c r="FD50" s="194">
        <f t="shared" si="39"/>
        <v>1773</v>
      </c>
      <c r="FE50" s="194">
        <f t="shared" si="40"/>
        <v>531.9</v>
      </c>
      <c r="FF50" s="194">
        <f t="shared" si="41"/>
        <v>1773</v>
      </c>
      <c r="FG50" s="194">
        <f t="shared" si="42"/>
        <v>531.9</v>
      </c>
      <c r="FH50" s="257">
        <f>IF(EZ50="No",IF((OR(MONTH(C50)=5,MONTH(C50)=6,MONTH(C50)=7,MONTH(C50)=8,MONTH(C50)=9)),Summary!$O$15*12*(AX50+AY50+AZ50+BA50)*(1-$BC50),Summary!$O$15*13*(AX50+AY50+AZ50+BA50)*(1-$BC50)+IF(Summary!$O$16="Yes",(CALC!FA50+Summary!$O$15)*6*(AX50+AY50+AZ50+BA50)*(1-$BC50),0)),0)</f>
        <v>0</v>
      </c>
      <c r="FI50" s="1412">
        <f>IF(MONTH(C50)=5,FI49*(IF(Summary!$E$70="no",(1+(Summary!$E$71*0.8)),1+HLOOKUP(YEAR(C50)-1,CCFMODEL!$I$127:$AF$128,2)*0.8)),+FI49)</f>
        <v>28.564297085197083</v>
      </c>
      <c r="FJ50" s="1411">
        <f>IF(MONTH(C50)=5,FJ49*(IF(Summary!$E$70="no",(1+(Summary!$E$71*0.8)),1+HLOOKUP(YEAR(CALC!C50)-1,CCFMODEL!$I$127:$AF$128,2)*0.8)),FJ49)</f>
        <v>24.965645483912407</v>
      </c>
      <c r="FK50" s="832">
        <f t="shared" si="1"/>
        <v>510243.32472544833</v>
      </c>
      <c r="FL50" s="1412">
        <f>IF(MONTH(C50)=5,FL49*(IF(Summary!$E$70="no",(1+(Summary!$E$71*0.8)),1+HLOOKUP(YEAR(CALC!C50)-1,CCFMODEL!$I$127:$AF$128,2)*0.8)),+FL49)</f>
        <v>60.073919141683703</v>
      </c>
      <c r="FM50" s="1411">
        <f>IF(MONTH(C50)=5,FM49*(IF(Summary!$E$70="no",(1+(Summary!$E$71*0.8)),1+HLOOKUP(YEAR(CALC!C50)-1,CCFMODEL!$I$127:$AF$128,2)*0.8)),+FM49)</f>
        <v>28.67139981142579</v>
      </c>
      <c r="FN50" s="832">
        <f t="shared" si="2"/>
        <v>519955.83558020671</v>
      </c>
      <c r="FO50" s="194">
        <f t="shared" si="43"/>
        <v>1030199.1603056551</v>
      </c>
      <c r="FP50" s="263">
        <f t="shared" si="61"/>
        <v>10194.75</v>
      </c>
      <c r="FQ50" s="194">
        <f t="shared" si="61"/>
        <v>3058.4250000000002</v>
      </c>
      <c r="FR50" s="194">
        <f t="shared" si="61"/>
        <v>1773</v>
      </c>
      <c r="FS50" s="194">
        <f t="shared" si="61"/>
        <v>531.9</v>
      </c>
      <c r="FT50" s="194">
        <f t="shared" si="61"/>
        <v>1773</v>
      </c>
      <c r="FU50" s="194">
        <f t="shared" si="61"/>
        <v>531.9</v>
      </c>
      <c r="FV50" s="257">
        <f t="shared" si="61"/>
        <v>0</v>
      </c>
      <c r="FW50" s="189">
        <f t="shared" si="4"/>
        <v>0</v>
      </c>
      <c r="FX50" s="189">
        <f t="shared" si="5"/>
        <v>0</v>
      </c>
      <c r="FY50" s="189">
        <f t="shared" si="6"/>
        <v>0</v>
      </c>
      <c r="FZ50" s="258">
        <f t="shared" si="7"/>
        <v>0</v>
      </c>
      <c r="GA50" s="1293">
        <f>(SUM(FP50:FV50)+SUM(GU50:HB50)/(1-Summary!$O$25))*CY50/1000</f>
        <v>235932.37725739679</v>
      </c>
      <c r="GB50" s="1369">
        <f>IF($C50&lt;Summary!$M$81,+Summary!$O$81,VLOOKUP(C50,GasTable,19))</f>
        <v>2.4</v>
      </c>
      <c r="GC50" s="1370">
        <f>IF(H50&lt;=Summary!$N$84,MIN(GA50,Summary!$O$75*(H50-G50+1)),0)</f>
        <v>155000</v>
      </c>
      <c r="GD50" s="1371">
        <f>IF(Summary!$O$75*(H50-G50+1)*0.8&gt;GC50,1,0)</f>
        <v>0</v>
      </c>
      <c r="GE50" s="1372">
        <v>0</v>
      </c>
      <c r="GF50" s="1370">
        <f t="shared" si="8"/>
        <v>80932.377257396787</v>
      </c>
      <c r="GG50" s="1371">
        <f>GF50*(IF(Summary!$O$74=1,VLOOKUP($C50,GasTable,16)+Summary!$O$92+Summary!$O$93,VLOOKUP($C50,GasTable,19)+Summary!$O$92+Summary!$O$93))</f>
        <v>232958.85760704044</v>
      </c>
      <c r="GH50" s="1373">
        <v>19635.400000000001</v>
      </c>
      <c r="GI50" s="1466">
        <v>0</v>
      </c>
      <c r="GJ50" s="1374">
        <f t="shared" si="44"/>
        <v>624594.25760704046</v>
      </c>
      <c r="GK50" s="189">
        <f t="shared" si="9"/>
        <v>30062.012849999999</v>
      </c>
      <c r="GL50" s="266">
        <v>0.75951371206400009</v>
      </c>
      <c r="GM50" s="255">
        <f t="shared" si="10"/>
        <v>15221.000000000002</v>
      </c>
      <c r="GN50" s="189">
        <f>IF(SUM(GU50:HB50)=0,0,IF(Summary!$O$16="Yes",SUM(GX50:HB50),IF(Summary!$O$17="Yes",SUM(GY50:HB50),SUM(GU50:HB50))))</f>
        <v>12199.037849999999</v>
      </c>
      <c r="GO50" s="203">
        <v>5.8903568576642336</v>
      </c>
      <c r="GP50" s="258">
        <f t="shared" si="45"/>
        <v>71856.686256653047</v>
      </c>
      <c r="GQ50" s="189"/>
      <c r="GR50" s="189"/>
      <c r="GS50" s="189"/>
      <c r="GT50" s="189"/>
      <c r="GU50" s="268">
        <v>5902.7602500000003</v>
      </c>
      <c r="GV50" s="189">
        <v>1026.5670000000002</v>
      </c>
      <c r="GW50" s="189">
        <v>1026.5670000000002</v>
      </c>
      <c r="GX50" s="189"/>
      <c r="GY50" s="254">
        <v>3148.1388000000002</v>
      </c>
      <c r="GZ50" s="189">
        <v>547.50239999999997</v>
      </c>
      <c r="HA50" s="189">
        <v>547.50239999999997</v>
      </c>
      <c r="HB50" s="255"/>
      <c r="HC50" s="189">
        <v>12199.037849999999</v>
      </c>
      <c r="HD50" s="189"/>
      <c r="HE50" s="189">
        <v>20950.521524999996</v>
      </c>
      <c r="HF50" s="189">
        <v>509197.71212742443</v>
      </c>
      <c r="HG50" s="189"/>
      <c r="HH50" s="203">
        <v>41.08061760567071</v>
      </c>
      <c r="HI50" s="189">
        <v>860660.363407898</v>
      </c>
      <c r="HJ50" s="268">
        <f t="shared" si="11"/>
        <v>0</v>
      </c>
      <c r="HK50" s="189">
        <f t="shared" si="12"/>
        <v>0</v>
      </c>
      <c r="HL50" s="189">
        <f t="shared" si="13"/>
        <v>0</v>
      </c>
      <c r="HM50" s="255">
        <f t="shared" si="14"/>
        <v>0</v>
      </c>
      <c r="HN50" s="189">
        <f t="shared" si="15"/>
        <v>0</v>
      </c>
      <c r="HO50" s="203">
        <f t="shared" si="46"/>
        <v>0</v>
      </c>
      <c r="HP50" s="258">
        <f t="shared" si="16"/>
        <v>0</v>
      </c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R50" s="223"/>
    </row>
    <row r="51" spans="1:252" ht="13.8" thickBot="1">
      <c r="A51" t="str">
        <f t="shared" si="23"/>
        <v>2002Q4</v>
      </c>
      <c r="B51">
        <f t="shared" si="24"/>
        <v>2002</v>
      </c>
      <c r="C51" s="49">
        <f t="shared" si="25"/>
        <v>37561</v>
      </c>
      <c r="D51" s="115">
        <f t="shared" si="26"/>
        <v>2002</v>
      </c>
      <c r="E51" s="10">
        <f t="shared" si="55"/>
        <v>11</v>
      </c>
      <c r="F51" s="248">
        <f t="shared" si="57"/>
        <v>37588</v>
      </c>
      <c r="G51" s="245">
        <v>37561</v>
      </c>
      <c r="H51" s="251">
        <v>37590</v>
      </c>
      <c r="I51" s="959">
        <f t="shared" si="53"/>
        <v>7.1499999999999994E-2</v>
      </c>
      <c r="J51" s="37">
        <f t="shared" si="27"/>
        <v>0.80915515957666562</v>
      </c>
      <c r="K51" s="1036" t="e">
        <f>IF(Summary!#REF!=1,+Summary!#REF!,I51+Summary!#REF!/10000)</f>
        <v>#REF!</v>
      </c>
      <c r="L51" s="37" t="e">
        <f t="shared" si="28"/>
        <v>#REF!</v>
      </c>
      <c r="M51" s="1004">
        <v>0</v>
      </c>
      <c r="N51" s="38">
        <f t="shared" si="63"/>
        <v>0</v>
      </c>
      <c r="O51" s="40">
        <f t="shared" si="63"/>
        <v>0</v>
      </c>
      <c r="P51" s="159">
        <f t="shared" si="60"/>
        <v>0</v>
      </c>
      <c r="Q51" s="38">
        <f t="shared" si="64"/>
        <v>0</v>
      </c>
      <c r="R51" s="40">
        <f t="shared" si="64"/>
        <v>0</v>
      </c>
      <c r="S51" s="38">
        <f t="shared" si="64"/>
        <v>0</v>
      </c>
      <c r="T51" s="38">
        <f t="shared" si="64"/>
        <v>0</v>
      </c>
      <c r="U51" s="38">
        <f t="shared" si="64"/>
        <v>0</v>
      </c>
      <c r="V51" s="159">
        <f t="shared" si="64"/>
        <v>0</v>
      </c>
      <c r="W51" s="38">
        <f t="shared" si="64"/>
        <v>0</v>
      </c>
      <c r="X51" s="39">
        <f t="shared" si="64"/>
        <v>0</v>
      </c>
      <c r="Y51" s="46">
        <v>0</v>
      </c>
      <c r="Z51" s="46">
        <v>0</v>
      </c>
      <c r="AA51" s="47">
        <v>0</v>
      </c>
      <c r="AB51" s="46">
        <v>0</v>
      </c>
      <c r="AC51" s="46">
        <v>0</v>
      </c>
      <c r="AD51" s="47">
        <v>0</v>
      </c>
      <c r="AE51" s="46">
        <v>0</v>
      </c>
      <c r="AF51" s="46">
        <v>0</v>
      </c>
      <c r="AG51" s="47">
        <v>0</v>
      </c>
      <c r="AH51" s="46">
        <v>0</v>
      </c>
      <c r="AI51" s="46">
        <v>0</v>
      </c>
      <c r="AJ51" s="47">
        <v>0</v>
      </c>
      <c r="AK51" s="46">
        <v>0</v>
      </c>
      <c r="AL51" s="46">
        <v>0</v>
      </c>
      <c r="AM51" s="47">
        <v>0</v>
      </c>
      <c r="AN51" s="46">
        <v>0</v>
      </c>
      <c r="AO51" s="46">
        <v>0</v>
      </c>
      <c r="AP51" s="47">
        <v>0</v>
      </c>
      <c r="AQ51" s="46">
        <v>0</v>
      </c>
      <c r="AR51" s="46">
        <v>0</v>
      </c>
      <c r="AS51" s="47">
        <v>0</v>
      </c>
      <c r="AT51" s="46">
        <v>0</v>
      </c>
      <c r="AU51" s="46">
        <v>0</v>
      </c>
      <c r="AV51" s="46">
        <v>0</v>
      </c>
      <c r="AW51" s="1545">
        <v>0</v>
      </c>
      <c r="AX51" s="10">
        <f t="shared" si="56"/>
        <v>20</v>
      </c>
      <c r="AY51" s="42">
        <f>IF(AND($E51=MONTH(Summary!$E$24),$D51=YEAR(Summary!$E$24)),Summary!$E$25,1)*IF(G51="",0,INT((H51-MOD(H51,7)-G51)/7)+1-IF(BA51,IF(WEEKDAY(F51)=7,1,0),0))</f>
        <v>5</v>
      </c>
      <c r="AZ51" s="42">
        <f>IF(AND($E51=MONTH(Summary!$E$24),$D51=YEAR(Summary!$E$24)),Summary!$E$25,1)*IF(G51="",0,INT((H51-MOD(H51-1,7)-G51)/7)+1-IF(BA51,IF(WEEKDAY(F51)=1,1,0),0))</f>
        <v>4</v>
      </c>
      <c r="BA51" s="42">
        <v>1</v>
      </c>
      <c r="BB51" s="10">
        <f>IF(AND($E51=MONTH(Summary!$E$24),$D51=YEAR(Summary!$E$24)),Summary!$E$25,1)*IF(G51="",0,H51-G51+1)</f>
        <v>30</v>
      </c>
      <c r="BC51" s="914">
        <f>Summary!$E$19</f>
        <v>1.4999999999999999E-2</v>
      </c>
      <c r="BD51" s="113">
        <v>14184</v>
      </c>
      <c r="BE51" s="171">
        <v>3546</v>
      </c>
      <c r="BF51" s="171">
        <v>3546</v>
      </c>
      <c r="BG51" s="174"/>
      <c r="BH51" s="1198">
        <v>1</v>
      </c>
      <c r="BI51" s="1198">
        <v>1</v>
      </c>
      <c r="BJ51" s="1198">
        <v>1</v>
      </c>
      <c r="BK51" s="1198">
        <v>1</v>
      </c>
      <c r="BL51" s="95">
        <v>2836.8</v>
      </c>
      <c r="BM51" s="171">
        <v>709.2</v>
      </c>
      <c r="BN51" s="171">
        <v>709.2</v>
      </c>
      <c r="BO51" s="174"/>
      <c r="BP51" s="1198">
        <v>1</v>
      </c>
      <c r="BQ51" s="1199">
        <v>1</v>
      </c>
      <c r="BR51" s="1199">
        <v>1</v>
      </c>
      <c r="BS51" s="1200">
        <v>1</v>
      </c>
      <c r="BT51" s="94">
        <f t="shared" si="29"/>
        <v>21276</v>
      </c>
      <c r="BU51" s="233">
        <f t="shared" si="30"/>
        <v>21276</v>
      </c>
      <c r="BV51" s="92">
        <f t="shared" si="31"/>
        <v>4255.2</v>
      </c>
      <c r="BW51" s="233">
        <f t="shared" si="32"/>
        <v>4255.2</v>
      </c>
      <c r="BX51" s="88">
        <v>2.8802190280629705</v>
      </c>
      <c r="BY51" s="90">
        <v>0</v>
      </c>
      <c r="BZ51" s="88">
        <v>0</v>
      </c>
      <c r="CA51" s="88">
        <v>0</v>
      </c>
      <c r="CB51" s="88">
        <v>0</v>
      </c>
      <c r="CC51" s="88">
        <v>0</v>
      </c>
      <c r="CD51" s="88">
        <v>0</v>
      </c>
      <c r="CE51" s="100">
        <v>0</v>
      </c>
      <c r="CF51" s="88">
        <v>0</v>
      </c>
      <c r="CG51" s="88">
        <v>0</v>
      </c>
      <c r="CH51" s="88">
        <v>0</v>
      </c>
      <c r="CI51" s="88">
        <v>0</v>
      </c>
      <c r="CJ51" s="228">
        <v>0</v>
      </c>
      <c r="CK51" s="88">
        <v>0</v>
      </c>
      <c r="CL51" s="88">
        <v>0</v>
      </c>
      <c r="CM51" s="88">
        <v>0</v>
      </c>
      <c r="CN51" s="88">
        <v>0</v>
      </c>
      <c r="CO51" s="88">
        <v>0</v>
      </c>
      <c r="CP51" s="88">
        <v>0</v>
      </c>
      <c r="CQ51" s="229">
        <v>0</v>
      </c>
      <c r="CR51" s="91">
        <v>0</v>
      </c>
      <c r="CS51" s="91">
        <v>0</v>
      </c>
      <c r="CT51" s="91">
        <v>0</v>
      </c>
      <c r="CU51" s="91">
        <v>0</v>
      </c>
      <c r="CV51" s="91">
        <v>0</v>
      </c>
      <c r="CW51" s="91">
        <v>0</v>
      </c>
      <c r="CX51" s="225">
        <v>0</v>
      </c>
      <c r="CY51" s="1265">
        <v>7736.3098400000008</v>
      </c>
      <c r="CZ51" s="90">
        <v>0</v>
      </c>
      <c r="DA51" s="88">
        <v>0</v>
      </c>
      <c r="DB51" s="88">
        <v>0</v>
      </c>
      <c r="DC51" s="88">
        <v>0</v>
      </c>
      <c r="DD51" s="88">
        <v>0</v>
      </c>
      <c r="DE51" s="152">
        <v>0</v>
      </c>
      <c r="DF51" s="230">
        <v>0</v>
      </c>
      <c r="DG51" s="38">
        <v>0</v>
      </c>
      <c r="DH51" s="1237">
        <v>0</v>
      </c>
      <c r="DI51" s="956">
        <v>0</v>
      </c>
      <c r="DJ51" s="956">
        <v>0</v>
      </c>
      <c r="DK51" s="956">
        <v>0</v>
      </c>
      <c r="DL51" s="152">
        <v>0</v>
      </c>
      <c r="DM51" s="160">
        <v>0</v>
      </c>
      <c r="DN51" s="160">
        <v>0</v>
      </c>
      <c r="DO51" s="160">
        <v>0</v>
      </c>
      <c r="DP51" s="160">
        <v>0</v>
      </c>
      <c r="DQ51" s="160">
        <v>0</v>
      </c>
      <c r="DR51" s="230">
        <v>0</v>
      </c>
      <c r="DS51" s="88">
        <v>0</v>
      </c>
      <c r="DT51" s="88">
        <v>0</v>
      </c>
      <c r="DU51" s="88">
        <v>0</v>
      </c>
      <c r="DV51" s="88">
        <v>0</v>
      </c>
      <c r="DW51" s="88">
        <v>0</v>
      </c>
      <c r="DX51" s="88">
        <v>0</v>
      </c>
      <c r="DY51" s="88">
        <v>0</v>
      </c>
      <c r="DZ51" s="88">
        <v>0</v>
      </c>
      <c r="EA51" s="88">
        <v>0</v>
      </c>
      <c r="EB51" s="152">
        <v>0</v>
      </c>
      <c r="EC51" s="52">
        <f t="shared" si="33"/>
        <v>0</v>
      </c>
      <c r="ED51" s="52">
        <f t="shared" si="33"/>
        <v>0</v>
      </c>
      <c r="EE51" s="52">
        <f t="shared" si="33"/>
        <v>0</v>
      </c>
      <c r="EF51" s="52">
        <f t="shared" si="33"/>
        <v>0</v>
      </c>
      <c r="EG51" s="52">
        <f t="shared" si="34"/>
        <v>0</v>
      </c>
      <c r="EH51" s="238">
        <v>0</v>
      </c>
      <c r="EI51" s="211">
        <v>0</v>
      </c>
      <c r="EJ51" s="211">
        <v>0</v>
      </c>
      <c r="EK51" s="211">
        <v>0</v>
      </c>
      <c r="EL51" s="217">
        <f>IF(C51&gt;=Summary!$E$26,MAX(0,SUM(EH51:EK51)),0)</f>
        <v>0</v>
      </c>
      <c r="EM51" s="52">
        <f>IF(C51&gt;=Summary!$E$26,DX51*BL51,0)</f>
        <v>0</v>
      </c>
      <c r="EN51" s="52">
        <f>IF(C51&gt;=Summary!$E$26,DY51*BM51,0)</f>
        <v>0</v>
      </c>
      <c r="EO51" s="52">
        <f>IF(C51&gt;=Summary!$E$26,DZ51*BN51,0)</f>
        <v>0</v>
      </c>
      <c r="EP51" s="52">
        <f>IF(C51&gt;=Summary!$E$26,EA51*BO51,0)</f>
        <v>0</v>
      </c>
      <c r="EQ51" s="52">
        <f>IF(C51&gt;=Summary!$E$26,DX51*BL51+DY51*BM51+DZ51*BN51+EA51*BO51,0)</f>
        <v>0</v>
      </c>
      <c r="ER51" s="826">
        <v>0</v>
      </c>
      <c r="ES51" s="278">
        <v>0</v>
      </c>
      <c r="ET51" s="278">
        <v>0</v>
      </c>
      <c r="EU51" s="278">
        <v>0</v>
      </c>
      <c r="EV51" s="212">
        <f>IF(C51&gt;=Summary!$E$26,MAX(0,SUM(ER51:EU51)),0)</f>
        <v>0</v>
      </c>
      <c r="EW51" s="52"/>
      <c r="EX51" s="1049">
        <f t="shared" si="35"/>
        <v>0</v>
      </c>
      <c r="EY51" s="1045" t="str">
        <f t="shared" si="36"/>
        <v/>
      </c>
      <c r="EZ51" s="1684" t="s">
        <v>525</v>
      </c>
      <c r="FA51" s="1046">
        <f t="shared" si="54"/>
        <v>45</v>
      </c>
      <c r="FB51" s="256">
        <f t="shared" si="37"/>
        <v>8865</v>
      </c>
      <c r="FC51" s="194">
        <f t="shared" si="38"/>
        <v>2659.5</v>
      </c>
      <c r="FD51" s="194">
        <f t="shared" si="39"/>
        <v>2216.25</v>
      </c>
      <c r="FE51" s="194">
        <f t="shared" si="40"/>
        <v>664.875</v>
      </c>
      <c r="FF51" s="194">
        <f t="shared" si="41"/>
        <v>2216.25</v>
      </c>
      <c r="FG51" s="194">
        <f t="shared" si="42"/>
        <v>664.875</v>
      </c>
      <c r="FH51" s="257">
        <f>IF(EZ51="No",IF((OR(MONTH(C51)=5,MONTH(C51)=6,MONTH(C51)=7,MONTH(C51)=8,MONTH(C51)=9)),Summary!$O$15*12*(AX51+AY51+AZ51+BA51)*(1-$BC51),Summary!$O$15*13*(AX51+AY51+AZ51+BA51)*(1-$BC51)+IF(Summary!$O$16="Yes",(CALC!FA51+Summary!$O$15)*6*(AX51+AY51+AZ51+BA51)*(1-$BC51),0)),0)</f>
        <v>0</v>
      </c>
      <c r="FI51" s="1412">
        <f>IF(MONTH(C51)=5,FI50*(IF(Summary!$E$70="no",(1+(Summary!$E$71*0.8)),1+HLOOKUP(YEAR(C51)-1,CCFMODEL!$I$127:$AF$128,2)*0.8)),+FI50)</f>
        <v>28.564297085197083</v>
      </c>
      <c r="FJ51" s="1411">
        <f>IF(MONTH(C51)=5,FJ50*(IF(Summary!$E$70="no",(1+(Summary!$E$71*0.8)),1+HLOOKUP(YEAR(CALC!C51)-1,CCFMODEL!$I$127:$AF$128,2)*0.8)),FJ50)</f>
        <v>24.965645483912407</v>
      </c>
      <c r="FK51" s="832">
        <f t="shared" si="1"/>
        <v>493783.86263753066</v>
      </c>
      <c r="FL51" s="1412">
        <f>IF(MONTH(C51)=5,FL50*(IF(Summary!$E$70="no",(1+(Summary!$E$71*0.8)),1+HLOOKUP(YEAR(CALC!C51)-1,CCFMODEL!$I$127:$AF$128,2)*0.8)),+FL50)</f>
        <v>60.073919141683703</v>
      </c>
      <c r="FM51" s="1411">
        <f>IF(MONTH(C51)=5,FM50*(IF(Summary!$E$70="no",(1+(Summary!$E$71*0.8)),1+HLOOKUP(YEAR(CALC!C51)-1,CCFMODEL!$I$127:$AF$128,2)*0.8)),+FM50)</f>
        <v>28.67139981142579</v>
      </c>
      <c r="FN51" s="832">
        <f t="shared" si="2"/>
        <v>503183.0666905226</v>
      </c>
      <c r="FO51" s="194">
        <f t="shared" si="43"/>
        <v>996966.92932805326</v>
      </c>
      <c r="FP51" s="263">
        <f t="shared" si="61"/>
        <v>8865</v>
      </c>
      <c r="FQ51" s="194">
        <f t="shared" si="61"/>
        <v>2659.5</v>
      </c>
      <c r="FR51" s="194">
        <f t="shared" si="61"/>
        <v>2216.25</v>
      </c>
      <c r="FS51" s="194">
        <f t="shared" si="61"/>
        <v>664.875</v>
      </c>
      <c r="FT51" s="194">
        <f t="shared" si="61"/>
        <v>2216.25</v>
      </c>
      <c r="FU51" s="194">
        <f t="shared" si="61"/>
        <v>664.875</v>
      </c>
      <c r="FV51" s="257">
        <f t="shared" si="61"/>
        <v>0</v>
      </c>
      <c r="FW51" s="189">
        <f t="shared" si="4"/>
        <v>0</v>
      </c>
      <c r="FX51" s="189">
        <f t="shared" si="5"/>
        <v>0</v>
      </c>
      <c r="FY51" s="189">
        <f t="shared" si="6"/>
        <v>0</v>
      </c>
      <c r="FZ51" s="258">
        <f t="shared" si="7"/>
        <v>0</v>
      </c>
      <c r="GA51" s="1293">
        <f>(SUM(FP51:FV51)+SUM(GU51:HB51)/(1-Summary!$O$25))*CY51/1000</f>
        <v>228379.34781622802</v>
      </c>
      <c r="GB51" s="1369">
        <f>IF($C51&lt;Summary!$M$81,+Summary!$O$81,VLOOKUP(C51,GasTable,19))</f>
        <v>2.4</v>
      </c>
      <c r="GC51" s="1370">
        <f>IF(H51&lt;=Summary!$N$84,MIN(GA51,Summary!$O$75*(H51-G51+1)),0)</f>
        <v>150000</v>
      </c>
      <c r="GD51" s="1371">
        <f>IF(Summary!$O$75*(H51-G51+1)*0.8&gt;GC51,1,0)</f>
        <v>0</v>
      </c>
      <c r="GE51" s="1372">
        <v>0</v>
      </c>
      <c r="GF51" s="1370">
        <f t="shared" si="8"/>
        <v>78379.347816228023</v>
      </c>
      <c r="GG51" s="1371">
        <f>GF51*(IF(Summary!$O$74=1,VLOOKUP($C51,GasTable,16)+Summary!$O$92+Summary!$O$93,VLOOKUP($C51,GasTable,19)+Summary!$O$92+Summary!$O$93))</f>
        <v>233654.69776852871</v>
      </c>
      <c r="GH51" s="1373">
        <v>19566</v>
      </c>
      <c r="GI51" s="1466">
        <v>0</v>
      </c>
      <c r="GJ51" s="1374">
        <f t="shared" si="44"/>
        <v>613220.69776852871</v>
      </c>
      <c r="GK51" s="189">
        <f t="shared" si="9"/>
        <v>29092.270500000002</v>
      </c>
      <c r="GL51" s="266">
        <v>0.7597056262880002</v>
      </c>
      <c r="GM51" s="255">
        <f t="shared" si="10"/>
        <v>14730.000000000004</v>
      </c>
      <c r="GN51" s="189">
        <f>IF(SUM(GU51:HB51)=0,0,IF(Summary!$O$16="Yes",SUM(GX51:HB51),IF(Summary!$O$17="Yes",SUM(GY51:HB51),SUM(GU51:HB51))))</f>
        <v>11805.520500000001</v>
      </c>
      <c r="GO51" s="203">
        <v>5.8903568576642336</v>
      </c>
      <c r="GP51" s="258">
        <f t="shared" si="45"/>
        <v>69538.728635470688</v>
      </c>
      <c r="GQ51" s="189"/>
      <c r="GR51" s="189"/>
      <c r="GS51" s="189"/>
      <c r="GT51" s="189"/>
      <c r="GU51" s="268">
        <v>5132.835</v>
      </c>
      <c r="GV51" s="189">
        <v>1283.20875</v>
      </c>
      <c r="GW51" s="189">
        <v>1283.20875</v>
      </c>
      <c r="GX51" s="189"/>
      <c r="GY51" s="254">
        <v>2737.5120000000002</v>
      </c>
      <c r="GZ51" s="189">
        <v>684.37800000000004</v>
      </c>
      <c r="HA51" s="189">
        <v>684.37800000000004</v>
      </c>
      <c r="HB51" s="255"/>
      <c r="HC51" s="189">
        <v>11805.520500000001</v>
      </c>
      <c r="HD51" s="189"/>
      <c r="HE51" s="189">
        <v>20274.698250000001</v>
      </c>
      <c r="HF51" s="189">
        <v>500365.48818626208</v>
      </c>
      <c r="HG51" s="189"/>
      <c r="HH51" s="203">
        <v>42.134522121157453</v>
      </c>
      <c r="HI51" s="189">
        <v>854264.72191441734</v>
      </c>
      <c r="HJ51" s="268">
        <f t="shared" si="11"/>
        <v>0</v>
      </c>
      <c r="HK51" s="189">
        <f t="shared" si="12"/>
        <v>0</v>
      </c>
      <c r="HL51" s="189">
        <f t="shared" si="13"/>
        <v>0</v>
      </c>
      <c r="HM51" s="255">
        <f t="shared" si="14"/>
        <v>0</v>
      </c>
      <c r="HN51" s="189">
        <f t="shared" si="15"/>
        <v>0</v>
      </c>
      <c r="HO51" s="203">
        <f t="shared" si="46"/>
        <v>0</v>
      </c>
      <c r="HP51" s="258">
        <f t="shared" si="16"/>
        <v>0</v>
      </c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R51" s="223"/>
    </row>
    <row r="52" spans="1:252" ht="13.8" thickBot="1">
      <c r="A52" t="str">
        <f t="shared" si="23"/>
        <v>2002Q4</v>
      </c>
      <c r="B52">
        <f t="shared" si="24"/>
        <v>2002</v>
      </c>
      <c r="C52" s="49">
        <f t="shared" si="25"/>
        <v>37591</v>
      </c>
      <c r="D52" s="115">
        <f t="shared" si="26"/>
        <v>2002</v>
      </c>
      <c r="E52" s="10">
        <f t="shared" si="55"/>
        <v>12</v>
      </c>
      <c r="F52" s="248">
        <f t="shared" si="57"/>
        <v>37615</v>
      </c>
      <c r="G52" s="245">
        <v>37591</v>
      </c>
      <c r="H52" s="251">
        <v>37621</v>
      </c>
      <c r="I52" s="959">
        <f t="shared" si="53"/>
        <v>7.1499999999999994E-2</v>
      </c>
      <c r="J52" s="37">
        <f t="shared" si="27"/>
        <v>0.80434493418830166</v>
      </c>
      <c r="K52" s="1036" t="e">
        <f>IF(Summary!#REF!=1,+Summary!#REF!,I52+Summary!#REF!/10000)</f>
        <v>#REF!</v>
      </c>
      <c r="L52" s="37" t="e">
        <f t="shared" si="28"/>
        <v>#REF!</v>
      </c>
      <c r="M52" s="1004">
        <v>0</v>
      </c>
      <c r="N52" s="38">
        <f t="shared" si="63"/>
        <v>0</v>
      </c>
      <c r="O52" s="40">
        <f t="shared" si="63"/>
        <v>0</v>
      </c>
      <c r="P52" s="159">
        <f t="shared" si="60"/>
        <v>0</v>
      </c>
      <c r="Q52" s="38">
        <f t="shared" si="64"/>
        <v>0</v>
      </c>
      <c r="R52" s="40">
        <f t="shared" si="64"/>
        <v>0</v>
      </c>
      <c r="S52" s="38">
        <f t="shared" si="64"/>
        <v>0</v>
      </c>
      <c r="T52" s="38">
        <f t="shared" si="64"/>
        <v>0</v>
      </c>
      <c r="U52" s="38">
        <f t="shared" si="64"/>
        <v>0</v>
      </c>
      <c r="V52" s="159">
        <f t="shared" si="64"/>
        <v>0</v>
      </c>
      <c r="W52" s="38">
        <f t="shared" si="64"/>
        <v>0</v>
      </c>
      <c r="X52" s="39">
        <f t="shared" si="64"/>
        <v>0</v>
      </c>
      <c r="Y52" s="46">
        <v>0</v>
      </c>
      <c r="Z52" s="46">
        <v>0</v>
      </c>
      <c r="AA52" s="47">
        <v>0</v>
      </c>
      <c r="AB52" s="46">
        <v>0</v>
      </c>
      <c r="AC52" s="46">
        <v>0</v>
      </c>
      <c r="AD52" s="47">
        <v>0</v>
      </c>
      <c r="AE52" s="46">
        <v>0</v>
      </c>
      <c r="AF52" s="46">
        <v>0</v>
      </c>
      <c r="AG52" s="47">
        <v>0</v>
      </c>
      <c r="AH52" s="46">
        <v>0</v>
      </c>
      <c r="AI52" s="46">
        <v>0</v>
      </c>
      <c r="AJ52" s="47">
        <v>0</v>
      </c>
      <c r="AK52" s="46">
        <v>0</v>
      </c>
      <c r="AL52" s="46">
        <v>0</v>
      </c>
      <c r="AM52" s="47">
        <v>0</v>
      </c>
      <c r="AN52" s="46">
        <v>0</v>
      </c>
      <c r="AO52" s="46">
        <v>0</v>
      </c>
      <c r="AP52" s="47">
        <v>0</v>
      </c>
      <c r="AQ52" s="46">
        <v>0</v>
      </c>
      <c r="AR52" s="46">
        <v>0</v>
      </c>
      <c r="AS52" s="47">
        <v>0</v>
      </c>
      <c r="AT52" s="46">
        <v>0</v>
      </c>
      <c r="AU52" s="46">
        <v>0</v>
      </c>
      <c r="AV52" s="46">
        <v>0</v>
      </c>
      <c r="AW52" s="1545">
        <v>0</v>
      </c>
      <c r="AX52" s="10">
        <f t="shared" si="56"/>
        <v>21</v>
      </c>
      <c r="AY52" s="42">
        <f>IF(AND($E52=MONTH(Summary!$E$24),$D52=YEAR(Summary!$E$24)),Summary!$E$25,1)*IF(G52="",0,INT((H52-MOD(H52,7)-G52)/7)+1-IF(BA52,IF(WEEKDAY(F52)=7,1,0),0))</f>
        <v>4</v>
      </c>
      <c r="AZ52" s="42">
        <f>IF(AND($E52=MONTH(Summary!$E$24),$D52=YEAR(Summary!$E$24)),Summary!$E$25,1)*IF(G52="",0,INT((H52-MOD(H52-1,7)-G52)/7)+1-IF(BA52,IF(WEEKDAY(F52)=1,1,0),0))</f>
        <v>5</v>
      </c>
      <c r="BA52" s="42">
        <v>1</v>
      </c>
      <c r="BB52" s="10">
        <f>IF(AND($E52=MONTH(Summary!$E$24),$D52=YEAR(Summary!$E$24)),Summary!$E$25,1)*IF(G52="",0,H52-G52+1)</f>
        <v>31</v>
      </c>
      <c r="BC52" s="914">
        <f>Summary!$E$19</f>
        <v>1.4999999999999999E-2</v>
      </c>
      <c r="BD52" s="113">
        <v>14893.2</v>
      </c>
      <c r="BE52" s="171">
        <v>2836.8</v>
      </c>
      <c r="BF52" s="171">
        <v>4255.2</v>
      </c>
      <c r="BG52" s="174"/>
      <c r="BH52" s="1198">
        <v>1</v>
      </c>
      <c r="BI52" s="1198">
        <v>1</v>
      </c>
      <c r="BJ52" s="1198">
        <v>1</v>
      </c>
      <c r="BK52" s="1198">
        <v>1</v>
      </c>
      <c r="BL52" s="95">
        <v>2978.64</v>
      </c>
      <c r="BM52" s="171">
        <v>567.36</v>
      </c>
      <c r="BN52" s="171">
        <v>851.04</v>
      </c>
      <c r="BO52" s="174"/>
      <c r="BP52" s="1198">
        <v>1</v>
      </c>
      <c r="BQ52" s="1199">
        <v>1</v>
      </c>
      <c r="BR52" s="1199">
        <v>1</v>
      </c>
      <c r="BS52" s="1200">
        <v>1</v>
      </c>
      <c r="BT52" s="94">
        <f t="shared" si="29"/>
        <v>21985.200000000001</v>
      </c>
      <c r="BU52" s="233">
        <f t="shared" si="30"/>
        <v>21985.200000000001</v>
      </c>
      <c r="BV52" s="92">
        <f t="shared" si="31"/>
        <v>4397.04</v>
      </c>
      <c r="BW52" s="233">
        <f t="shared" si="32"/>
        <v>4397.04</v>
      </c>
      <c r="BX52" s="88">
        <v>2.9623545516769334</v>
      </c>
      <c r="BY52" s="90">
        <v>0</v>
      </c>
      <c r="BZ52" s="88">
        <v>0</v>
      </c>
      <c r="CA52" s="88">
        <v>0</v>
      </c>
      <c r="CB52" s="88">
        <v>0</v>
      </c>
      <c r="CC52" s="88">
        <v>0</v>
      </c>
      <c r="CD52" s="88">
        <v>0</v>
      </c>
      <c r="CE52" s="100">
        <v>0</v>
      </c>
      <c r="CF52" s="88">
        <v>0</v>
      </c>
      <c r="CG52" s="88">
        <v>0</v>
      </c>
      <c r="CH52" s="88">
        <v>0</v>
      </c>
      <c r="CI52" s="88">
        <v>0</v>
      </c>
      <c r="CJ52" s="228">
        <v>0</v>
      </c>
      <c r="CK52" s="88">
        <v>0</v>
      </c>
      <c r="CL52" s="88">
        <v>0</v>
      </c>
      <c r="CM52" s="88">
        <v>0</v>
      </c>
      <c r="CN52" s="88">
        <v>0</v>
      </c>
      <c r="CO52" s="88">
        <v>0</v>
      </c>
      <c r="CP52" s="88">
        <v>0</v>
      </c>
      <c r="CQ52" s="229">
        <v>0</v>
      </c>
      <c r="CR52" s="91">
        <v>0</v>
      </c>
      <c r="CS52" s="91">
        <v>0</v>
      </c>
      <c r="CT52" s="91">
        <v>0</v>
      </c>
      <c r="CU52" s="91">
        <v>0</v>
      </c>
      <c r="CV52" s="91">
        <v>0</v>
      </c>
      <c r="CW52" s="91">
        <v>0</v>
      </c>
      <c r="CX52" s="225">
        <v>0</v>
      </c>
      <c r="CY52" s="1265">
        <v>7738.2641599999997</v>
      </c>
      <c r="CZ52" s="90">
        <v>0</v>
      </c>
      <c r="DA52" s="88">
        <v>0</v>
      </c>
      <c r="DB52" s="88">
        <v>0</v>
      </c>
      <c r="DC52" s="88">
        <v>0</v>
      </c>
      <c r="DD52" s="88">
        <v>0</v>
      </c>
      <c r="DE52" s="152">
        <v>0</v>
      </c>
      <c r="DF52" s="230">
        <v>0</v>
      </c>
      <c r="DG52" s="38">
        <v>0</v>
      </c>
      <c r="DH52" s="1237">
        <v>0</v>
      </c>
      <c r="DI52" s="956">
        <v>0</v>
      </c>
      <c r="DJ52" s="956">
        <v>0</v>
      </c>
      <c r="DK52" s="956">
        <v>0</v>
      </c>
      <c r="DL52" s="152">
        <v>0</v>
      </c>
      <c r="DM52" s="160">
        <v>0</v>
      </c>
      <c r="DN52" s="160">
        <v>0</v>
      </c>
      <c r="DO52" s="160">
        <v>0</v>
      </c>
      <c r="DP52" s="160">
        <v>0</v>
      </c>
      <c r="DQ52" s="160">
        <v>0</v>
      </c>
      <c r="DR52" s="230">
        <v>0</v>
      </c>
      <c r="DS52" s="88">
        <v>0</v>
      </c>
      <c r="DT52" s="88">
        <v>0</v>
      </c>
      <c r="DU52" s="88">
        <v>0</v>
      </c>
      <c r="DV52" s="88">
        <v>0</v>
      </c>
      <c r="DW52" s="88">
        <v>0</v>
      </c>
      <c r="DX52" s="88">
        <v>0</v>
      </c>
      <c r="DY52" s="88">
        <v>0</v>
      </c>
      <c r="DZ52" s="88">
        <v>0</v>
      </c>
      <c r="EA52" s="88">
        <v>0</v>
      </c>
      <c r="EB52" s="152">
        <v>0</v>
      </c>
      <c r="EC52" s="52">
        <f t="shared" si="33"/>
        <v>0</v>
      </c>
      <c r="ED52" s="52">
        <f t="shared" si="33"/>
        <v>0</v>
      </c>
      <c r="EE52" s="52">
        <f t="shared" si="33"/>
        <v>0</v>
      </c>
      <c r="EF52" s="52">
        <f t="shared" si="33"/>
        <v>0</v>
      </c>
      <c r="EG52" s="52">
        <f t="shared" si="34"/>
        <v>0</v>
      </c>
      <c r="EH52" s="238">
        <v>0</v>
      </c>
      <c r="EI52" s="211">
        <v>0</v>
      </c>
      <c r="EJ52" s="211">
        <v>0</v>
      </c>
      <c r="EK52" s="211">
        <v>0</v>
      </c>
      <c r="EL52" s="217">
        <f>IF(C52&gt;=Summary!$E$26,MAX(0,SUM(EH52:EK52)),0)</f>
        <v>0</v>
      </c>
      <c r="EM52" s="52">
        <f>IF(C52&gt;=Summary!$E$26,DX52*BL52,0)</f>
        <v>0</v>
      </c>
      <c r="EN52" s="52">
        <f>IF(C52&gt;=Summary!$E$26,DY52*BM52,0)</f>
        <v>0</v>
      </c>
      <c r="EO52" s="52">
        <f>IF(C52&gt;=Summary!$E$26,DZ52*BN52,0)</f>
        <v>0</v>
      </c>
      <c r="EP52" s="52">
        <f>IF(C52&gt;=Summary!$E$26,EA52*BO52,0)</f>
        <v>0</v>
      </c>
      <c r="EQ52" s="52">
        <f>IF(C52&gt;=Summary!$E$26,DX52*BL52+DY52*BM52+DZ52*BN52+EA52*BO52,0)</f>
        <v>0</v>
      </c>
      <c r="ER52" s="826">
        <v>0</v>
      </c>
      <c r="ES52" s="278">
        <v>0</v>
      </c>
      <c r="ET52" s="278">
        <v>0</v>
      </c>
      <c r="EU52" s="278">
        <v>0</v>
      </c>
      <c r="EV52" s="212">
        <f>IF(C52&gt;=Summary!$E$26,MAX(0,SUM(ER52:EU52)),0)</f>
        <v>0</v>
      </c>
      <c r="EW52" s="52"/>
      <c r="EX52" s="1049">
        <f t="shared" si="35"/>
        <v>0</v>
      </c>
      <c r="EY52" s="1045" t="str">
        <f t="shared" si="36"/>
        <v/>
      </c>
      <c r="EZ52" s="1684" t="s">
        <v>525</v>
      </c>
      <c r="FA52" s="1046">
        <f t="shared" si="54"/>
        <v>45</v>
      </c>
      <c r="FB52" s="256">
        <f t="shared" si="37"/>
        <v>9308.25</v>
      </c>
      <c r="FC52" s="194">
        <f t="shared" si="38"/>
        <v>2792.4749999999999</v>
      </c>
      <c r="FD52" s="194">
        <f t="shared" si="39"/>
        <v>1773</v>
      </c>
      <c r="FE52" s="194">
        <f t="shared" si="40"/>
        <v>531.9</v>
      </c>
      <c r="FF52" s="194">
        <f t="shared" si="41"/>
        <v>2659.5</v>
      </c>
      <c r="FG52" s="194">
        <f t="shared" si="42"/>
        <v>797.85</v>
      </c>
      <c r="FH52" s="257">
        <f>IF(EZ52="No",IF((OR(MONTH(C52)=5,MONTH(C52)=6,MONTH(C52)=7,MONTH(C52)=8,MONTH(C52)=9)),Summary!$O$15*12*(AX52+AY52+AZ52+BA52)*(1-$BC52),Summary!$O$15*13*(AX52+AY52+AZ52+BA52)*(1-$BC52)+IF(Summary!$O$16="Yes",(CALC!FA52+Summary!$O$15)*6*(AX52+AY52+AZ52+BA52)*(1-$BC52),0)),0)</f>
        <v>0</v>
      </c>
      <c r="FI52" s="1412">
        <f>IF(MONTH(C52)=5,FI51*(IF(Summary!$E$70="no",(1+(Summary!$E$71*0.8)),1+HLOOKUP(YEAR(C52)-1,CCFMODEL!$I$127:$AF$128,2)*0.8)),+FI51)</f>
        <v>28.564297085197083</v>
      </c>
      <c r="FJ52" s="1411">
        <f>IF(MONTH(C52)=5,FJ51*(IF(Summary!$E$70="no",(1+(Summary!$E$71*0.8)),1+HLOOKUP(YEAR(CALC!C52)-1,CCFMODEL!$I$127:$AF$128,2)*0.8)),FJ51)</f>
        <v>24.965645483912407</v>
      </c>
      <c r="FK52" s="832">
        <f t="shared" si="1"/>
        <v>510243.32472544833</v>
      </c>
      <c r="FL52" s="1412">
        <f>IF(MONTH(C52)=5,FL51*(IF(Summary!$E$70="no",(1+(Summary!$E$71*0.8)),1+HLOOKUP(YEAR(CALC!C52)-1,CCFMODEL!$I$127:$AF$128,2)*0.8)),+FL51)</f>
        <v>60.073919141683703</v>
      </c>
      <c r="FM52" s="1411">
        <f>IF(MONTH(C52)=5,FM51*(IF(Summary!$E$70="no",(1+(Summary!$E$71*0.8)),1+HLOOKUP(YEAR(CALC!C52)-1,CCFMODEL!$I$127:$AF$128,2)*0.8)),+FM51)</f>
        <v>28.67139981142579</v>
      </c>
      <c r="FN52" s="832">
        <f t="shared" si="2"/>
        <v>519955.83558020671</v>
      </c>
      <c r="FO52" s="194">
        <f t="shared" si="43"/>
        <v>1030199.1603056551</v>
      </c>
      <c r="FP52" s="263">
        <f t="shared" si="61"/>
        <v>9308.25</v>
      </c>
      <c r="FQ52" s="194">
        <f t="shared" si="61"/>
        <v>2792.4749999999999</v>
      </c>
      <c r="FR52" s="194">
        <f t="shared" si="61"/>
        <v>1773</v>
      </c>
      <c r="FS52" s="194">
        <f t="shared" si="61"/>
        <v>531.9</v>
      </c>
      <c r="FT52" s="194">
        <f t="shared" si="61"/>
        <v>2659.5</v>
      </c>
      <c r="FU52" s="194">
        <f t="shared" si="61"/>
        <v>797.85</v>
      </c>
      <c r="FV52" s="257">
        <f t="shared" si="61"/>
        <v>0</v>
      </c>
      <c r="FW52" s="189">
        <f t="shared" si="4"/>
        <v>0</v>
      </c>
      <c r="FX52" s="189">
        <f t="shared" si="5"/>
        <v>0</v>
      </c>
      <c r="FY52" s="189">
        <f t="shared" si="6"/>
        <v>0</v>
      </c>
      <c r="FZ52" s="258">
        <f t="shared" si="7"/>
        <v>0</v>
      </c>
      <c r="GA52" s="1293">
        <f>(SUM(FP52:FV52)+SUM(GU52:HB52)/(1-Summary!$O$25))*CY52/1000</f>
        <v>236051.60822947437</v>
      </c>
      <c r="GB52" s="1369">
        <f>IF($C52&lt;Summary!$M$81,+Summary!$O$81,VLOOKUP(C52,GasTable,19))</f>
        <v>2.4</v>
      </c>
      <c r="GC52" s="1370">
        <f>IF(H52&lt;=Summary!$N$84,MIN(GA52,Summary!$O$75*(H52-G52+1)),0)</f>
        <v>155000</v>
      </c>
      <c r="GD52" s="1371">
        <f>IF(Summary!$O$75*(H52-G52+1)*0.8&gt;GC52,1,0)</f>
        <v>0</v>
      </c>
      <c r="GE52" s="1372">
        <v>0</v>
      </c>
      <c r="GF52" s="1370">
        <f t="shared" si="8"/>
        <v>81051.608229474368</v>
      </c>
      <c r="GG52" s="1371">
        <f>GF52*(IF(Summary!$O$74=1,VLOOKUP($C52,GasTable,16)+Summary!$O$92+Summary!$O$93,VLOOKUP($C52,GasTable,19)+Summary!$O$92+Summary!$O$93))</f>
        <v>250460.67409876926</v>
      </c>
      <c r="GH52" s="1373">
        <v>20782.400000000001</v>
      </c>
      <c r="GI52" s="1466">
        <v>0</v>
      </c>
      <c r="GJ52" s="1374">
        <f t="shared" si="44"/>
        <v>643243.07409876923</v>
      </c>
      <c r="GK52" s="189">
        <f t="shared" si="9"/>
        <v>30062.012849999999</v>
      </c>
      <c r="GL52" s="266">
        <v>0.75989754051199998</v>
      </c>
      <c r="GM52" s="255">
        <f t="shared" si="10"/>
        <v>15221</v>
      </c>
      <c r="GN52" s="189">
        <f>IF(SUM(GU52:HB52)=0,0,IF(Summary!$O$16="Yes",SUM(GX52:HB52),IF(Summary!$O$17="Yes",SUM(GY52:HB52),SUM(GU52:HB52))))</f>
        <v>12199.037849999999</v>
      </c>
      <c r="GO52" s="203">
        <v>5.8903568576642336</v>
      </c>
      <c r="GP52" s="258">
        <f t="shared" si="45"/>
        <v>71856.686256653047</v>
      </c>
      <c r="GQ52" s="189"/>
      <c r="GR52" s="189"/>
      <c r="GS52" s="189"/>
      <c r="GT52" s="189"/>
      <c r="GU52" s="268">
        <v>5389.4767500000007</v>
      </c>
      <c r="GV52" s="189">
        <v>1026.5670000000002</v>
      </c>
      <c r="GW52" s="189">
        <v>1539.8504999999998</v>
      </c>
      <c r="GX52" s="189"/>
      <c r="GY52" s="254">
        <v>2874.3875999999996</v>
      </c>
      <c r="GZ52" s="189">
        <v>547.50239999999997</v>
      </c>
      <c r="HA52" s="189">
        <v>821.25359999999989</v>
      </c>
      <c r="HB52" s="255"/>
      <c r="HC52" s="189">
        <v>12199.037849999999</v>
      </c>
      <c r="HD52" s="189"/>
      <c r="HE52" s="189">
        <v>20950.521524999996</v>
      </c>
      <c r="HF52" s="189">
        <v>496249.40747353469</v>
      </c>
      <c r="HG52" s="189"/>
      <c r="HH52" s="203">
        <v>40.416894851407697</v>
      </c>
      <c r="HI52" s="189">
        <v>846755.02555807843</v>
      </c>
      <c r="HJ52" s="268">
        <f t="shared" si="11"/>
        <v>0</v>
      </c>
      <c r="HK52" s="189">
        <f t="shared" si="12"/>
        <v>0</v>
      </c>
      <c r="HL52" s="189">
        <f t="shared" si="13"/>
        <v>0</v>
      </c>
      <c r="HM52" s="255">
        <f t="shared" si="14"/>
        <v>0</v>
      </c>
      <c r="HN52" s="189">
        <f t="shared" si="15"/>
        <v>0</v>
      </c>
      <c r="HO52" s="203">
        <f t="shared" si="46"/>
        <v>0</v>
      </c>
      <c r="HP52" s="258">
        <f t="shared" si="16"/>
        <v>0</v>
      </c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R52" s="223"/>
    </row>
    <row r="53" spans="1:252" ht="13.8" thickBot="1">
      <c r="A53" t="str">
        <f t="shared" si="23"/>
        <v>2003Q1</v>
      </c>
      <c r="B53">
        <f t="shared" si="24"/>
        <v>2003</v>
      </c>
      <c r="C53" s="49">
        <f t="shared" si="25"/>
        <v>37622</v>
      </c>
      <c r="D53" s="115">
        <f t="shared" si="26"/>
        <v>2003</v>
      </c>
      <c r="E53" s="10">
        <f t="shared" si="55"/>
        <v>1</v>
      </c>
      <c r="F53" s="248">
        <f t="shared" si="57"/>
        <v>37622</v>
      </c>
      <c r="G53" s="245">
        <v>37622</v>
      </c>
      <c r="H53" s="251">
        <v>37652</v>
      </c>
      <c r="I53" s="959">
        <f t="shared" si="53"/>
        <v>7.1499999999999994E-2</v>
      </c>
      <c r="J53" s="37">
        <f t="shared" si="27"/>
        <v>0.79956330438882184</v>
      </c>
      <c r="K53" s="1036" t="e">
        <f>IF(Summary!#REF!=1,+Summary!#REF!,I53+Summary!#REF!/10000)</f>
        <v>#REF!</v>
      </c>
      <c r="L53" s="37" t="e">
        <f t="shared" si="28"/>
        <v>#REF!</v>
      </c>
      <c r="M53" s="1004">
        <v>0</v>
      </c>
      <c r="N53" s="38">
        <f t="shared" si="63"/>
        <v>0</v>
      </c>
      <c r="O53" s="40">
        <f t="shared" si="63"/>
        <v>0</v>
      </c>
      <c r="P53" s="159">
        <f t="shared" si="60"/>
        <v>0</v>
      </c>
      <c r="Q53" s="38">
        <f t="shared" si="64"/>
        <v>0</v>
      </c>
      <c r="R53" s="40">
        <f t="shared" si="64"/>
        <v>0</v>
      </c>
      <c r="S53" s="38">
        <f t="shared" si="64"/>
        <v>0</v>
      </c>
      <c r="T53" s="38">
        <f t="shared" si="64"/>
        <v>0</v>
      </c>
      <c r="U53" s="38">
        <f t="shared" si="64"/>
        <v>0</v>
      </c>
      <c r="V53" s="159">
        <f t="shared" si="64"/>
        <v>0</v>
      </c>
      <c r="W53" s="38">
        <f t="shared" si="64"/>
        <v>0</v>
      </c>
      <c r="X53" s="39">
        <f t="shared" si="64"/>
        <v>0</v>
      </c>
      <c r="Y53" s="46">
        <v>0</v>
      </c>
      <c r="Z53" s="46">
        <v>0</v>
      </c>
      <c r="AA53" s="47">
        <v>0</v>
      </c>
      <c r="AB53" s="46">
        <v>0</v>
      </c>
      <c r="AC53" s="46">
        <v>0</v>
      </c>
      <c r="AD53" s="47">
        <v>0</v>
      </c>
      <c r="AE53" s="46">
        <v>0</v>
      </c>
      <c r="AF53" s="46">
        <v>0</v>
      </c>
      <c r="AG53" s="47">
        <v>0</v>
      </c>
      <c r="AH53" s="46">
        <v>0</v>
      </c>
      <c r="AI53" s="46">
        <v>0</v>
      </c>
      <c r="AJ53" s="47">
        <v>0</v>
      </c>
      <c r="AK53" s="46">
        <v>0</v>
      </c>
      <c r="AL53" s="46">
        <v>0</v>
      </c>
      <c r="AM53" s="47">
        <v>0</v>
      </c>
      <c r="AN53" s="46">
        <v>0</v>
      </c>
      <c r="AO53" s="46">
        <v>0</v>
      </c>
      <c r="AP53" s="47">
        <v>0</v>
      </c>
      <c r="AQ53" s="46">
        <v>0</v>
      </c>
      <c r="AR53" s="46">
        <v>0</v>
      </c>
      <c r="AS53" s="47">
        <v>0</v>
      </c>
      <c r="AT53" s="46">
        <v>0</v>
      </c>
      <c r="AU53" s="46">
        <v>0</v>
      </c>
      <c r="AV53" s="46">
        <v>0</v>
      </c>
      <c r="AW53" s="1545">
        <v>0</v>
      </c>
      <c r="AX53" s="10">
        <f t="shared" si="56"/>
        <v>22</v>
      </c>
      <c r="AY53" s="42">
        <f>IF(AND($E53=MONTH(Summary!$E$24),$D53=YEAR(Summary!$E$24)),Summary!$E$25,1)*IF(G53="",0,INT((H53-MOD(H53,7)-G53)/7)+1-IF(BA53,IF(WEEKDAY(F53)=7,1,0),0))</f>
        <v>4</v>
      </c>
      <c r="AZ53" s="42">
        <f>IF(AND($E53=MONTH(Summary!$E$24),$D53=YEAR(Summary!$E$24)),Summary!$E$25,1)*IF(G53="",0,INT((H53-MOD(H53-1,7)-G53)/7)+1-IF(BA53,IF(WEEKDAY(F53)=1,1,0),0))</f>
        <v>4</v>
      </c>
      <c r="BA53" s="42">
        <v>1</v>
      </c>
      <c r="BB53" s="10">
        <f>IF(AND($E53=MONTH(Summary!$E$24),$D53=YEAR(Summary!$E$24)),Summary!$E$25,1)*IF(G53="",0,H53-G53+1)</f>
        <v>31</v>
      </c>
      <c r="BC53" s="914">
        <f>Summary!$E$19</f>
        <v>1.4999999999999999E-2</v>
      </c>
      <c r="BD53" s="113">
        <v>15602.4</v>
      </c>
      <c r="BE53" s="171">
        <v>2836.8</v>
      </c>
      <c r="BF53" s="171">
        <v>3546</v>
      </c>
      <c r="BG53" s="174"/>
      <c r="BH53" s="1198">
        <v>1</v>
      </c>
      <c r="BI53" s="1198">
        <v>1</v>
      </c>
      <c r="BJ53" s="1198">
        <v>1</v>
      </c>
      <c r="BK53" s="1198">
        <v>1</v>
      </c>
      <c r="BL53" s="95">
        <v>3120.48</v>
      </c>
      <c r="BM53" s="171">
        <v>567.36</v>
      </c>
      <c r="BN53" s="171">
        <v>709.2</v>
      </c>
      <c r="BO53" s="174"/>
      <c r="BP53" s="1198">
        <v>1</v>
      </c>
      <c r="BQ53" s="1199">
        <v>1</v>
      </c>
      <c r="BR53" s="1199">
        <v>1</v>
      </c>
      <c r="BS53" s="1200">
        <v>1</v>
      </c>
      <c r="BT53" s="94">
        <f t="shared" si="29"/>
        <v>21985.200000000001</v>
      </c>
      <c r="BU53" s="233">
        <f t="shared" si="30"/>
        <v>21985.200000000001</v>
      </c>
      <c r="BV53" s="92">
        <f t="shared" si="31"/>
        <v>4397.04</v>
      </c>
      <c r="BW53" s="233">
        <f t="shared" si="32"/>
        <v>4397.04</v>
      </c>
      <c r="BX53" s="88">
        <v>3.0472279260780288</v>
      </c>
      <c r="BY53" s="90">
        <v>0</v>
      </c>
      <c r="BZ53" s="88">
        <v>0</v>
      </c>
      <c r="CA53" s="88">
        <v>0</v>
      </c>
      <c r="CB53" s="88">
        <v>0</v>
      </c>
      <c r="CC53" s="88">
        <v>0</v>
      </c>
      <c r="CD53" s="88">
        <v>0</v>
      </c>
      <c r="CE53" s="100">
        <v>0</v>
      </c>
      <c r="CF53" s="88">
        <v>0</v>
      </c>
      <c r="CG53" s="88">
        <v>0</v>
      </c>
      <c r="CH53" s="88">
        <v>0</v>
      </c>
      <c r="CI53" s="88">
        <v>0</v>
      </c>
      <c r="CJ53" s="228">
        <v>0</v>
      </c>
      <c r="CK53" s="88">
        <v>0</v>
      </c>
      <c r="CL53" s="88">
        <v>0</v>
      </c>
      <c r="CM53" s="88">
        <v>0</v>
      </c>
      <c r="CN53" s="88">
        <v>0</v>
      </c>
      <c r="CO53" s="88">
        <v>0</v>
      </c>
      <c r="CP53" s="88">
        <v>0</v>
      </c>
      <c r="CQ53" s="229">
        <v>0</v>
      </c>
      <c r="CR53" s="91">
        <v>0</v>
      </c>
      <c r="CS53" s="91">
        <v>0</v>
      </c>
      <c r="CT53" s="91">
        <v>0</v>
      </c>
      <c r="CU53" s="91">
        <v>0</v>
      </c>
      <c r="CV53" s="91">
        <v>0</v>
      </c>
      <c r="CW53" s="91">
        <v>0</v>
      </c>
      <c r="CX53" s="225">
        <v>0</v>
      </c>
      <c r="CY53" s="1265">
        <v>7740.2184800000005</v>
      </c>
      <c r="CZ53" s="90">
        <v>0</v>
      </c>
      <c r="DA53" s="88">
        <v>0</v>
      </c>
      <c r="DB53" s="88">
        <v>0</v>
      </c>
      <c r="DC53" s="88">
        <v>0</v>
      </c>
      <c r="DD53" s="88">
        <v>0</v>
      </c>
      <c r="DE53" s="152">
        <v>0</v>
      </c>
      <c r="DF53" s="230">
        <v>0</v>
      </c>
      <c r="DG53" s="38">
        <v>0</v>
      </c>
      <c r="DH53" s="1237">
        <v>0</v>
      </c>
      <c r="DI53" s="956">
        <v>0</v>
      </c>
      <c r="DJ53" s="956">
        <v>0</v>
      </c>
      <c r="DK53" s="956">
        <v>0</v>
      </c>
      <c r="DL53" s="152">
        <v>0</v>
      </c>
      <c r="DM53" s="160">
        <v>0</v>
      </c>
      <c r="DN53" s="160">
        <v>0</v>
      </c>
      <c r="DO53" s="160">
        <v>0</v>
      </c>
      <c r="DP53" s="160">
        <v>0</v>
      </c>
      <c r="DQ53" s="160">
        <v>0</v>
      </c>
      <c r="DR53" s="230">
        <v>0</v>
      </c>
      <c r="DS53" s="88">
        <v>0</v>
      </c>
      <c r="DT53" s="88">
        <v>0</v>
      </c>
      <c r="DU53" s="88">
        <v>0</v>
      </c>
      <c r="DV53" s="88">
        <v>0</v>
      </c>
      <c r="DW53" s="88">
        <v>0</v>
      </c>
      <c r="DX53" s="88">
        <v>0</v>
      </c>
      <c r="DY53" s="88">
        <v>0</v>
      </c>
      <c r="DZ53" s="88">
        <v>0</v>
      </c>
      <c r="EA53" s="88">
        <v>0</v>
      </c>
      <c r="EB53" s="152">
        <v>0</v>
      </c>
      <c r="EC53" s="52">
        <f t="shared" si="33"/>
        <v>0</v>
      </c>
      <c r="ED53" s="52">
        <f t="shared" si="33"/>
        <v>0</v>
      </c>
      <c r="EE53" s="52">
        <f t="shared" si="33"/>
        <v>0</v>
      </c>
      <c r="EF53" s="52">
        <f t="shared" si="33"/>
        <v>0</v>
      </c>
      <c r="EG53" s="52">
        <f t="shared" si="34"/>
        <v>0</v>
      </c>
      <c r="EH53" s="238">
        <v>0</v>
      </c>
      <c r="EI53" s="211">
        <v>0</v>
      </c>
      <c r="EJ53" s="211">
        <v>0</v>
      </c>
      <c r="EK53" s="211">
        <v>0</v>
      </c>
      <c r="EL53" s="217">
        <f>IF(C53&gt;=Summary!$E$26,MAX(0,SUM(EH53:EK53)),0)</f>
        <v>0</v>
      </c>
      <c r="EM53" s="52">
        <f>IF(C53&gt;=Summary!$E$26,DX53*BL53,0)</f>
        <v>0</v>
      </c>
      <c r="EN53" s="52">
        <f>IF(C53&gt;=Summary!$E$26,DY53*BM53,0)</f>
        <v>0</v>
      </c>
      <c r="EO53" s="52">
        <f>IF(C53&gt;=Summary!$E$26,DZ53*BN53,0)</f>
        <v>0</v>
      </c>
      <c r="EP53" s="52">
        <f>IF(C53&gt;=Summary!$E$26,EA53*BO53,0)</f>
        <v>0</v>
      </c>
      <c r="EQ53" s="52">
        <f>IF(C53&gt;=Summary!$E$26,DX53*BL53+DY53*BM53+DZ53*BN53+EA53*BO53,0)</f>
        <v>0</v>
      </c>
      <c r="ER53" s="826">
        <v>0</v>
      </c>
      <c r="ES53" s="278">
        <v>0</v>
      </c>
      <c r="ET53" s="278">
        <v>0</v>
      </c>
      <c r="EU53" s="278">
        <v>0</v>
      </c>
      <c r="EV53" s="212">
        <f>IF(C53&gt;=Summary!$E$26,MAX(0,SUM(ER53:EU53)),0)</f>
        <v>0</v>
      </c>
      <c r="EW53" s="52"/>
      <c r="EX53" s="1049">
        <f t="shared" si="35"/>
        <v>0</v>
      </c>
      <c r="EY53" s="1045" t="str">
        <f t="shared" si="36"/>
        <v/>
      </c>
      <c r="EZ53" s="1684" t="s">
        <v>525</v>
      </c>
      <c r="FA53" s="1046">
        <f t="shared" si="54"/>
        <v>45</v>
      </c>
      <c r="FB53" s="256">
        <f t="shared" si="37"/>
        <v>9751.5</v>
      </c>
      <c r="FC53" s="194">
        <f t="shared" si="38"/>
        <v>2925.45</v>
      </c>
      <c r="FD53" s="194">
        <f t="shared" si="39"/>
        <v>1773</v>
      </c>
      <c r="FE53" s="194">
        <f t="shared" si="40"/>
        <v>531.9</v>
      </c>
      <c r="FF53" s="194">
        <f t="shared" si="41"/>
        <v>2216.25</v>
      </c>
      <c r="FG53" s="194">
        <f t="shared" si="42"/>
        <v>664.875</v>
      </c>
      <c r="FH53" s="257">
        <f>IF(EZ53="No",IF((OR(MONTH(C53)=5,MONTH(C53)=6,MONTH(C53)=7,MONTH(C53)=8,MONTH(C53)=9)),Summary!$O$15*12*(AX53+AY53+AZ53+BA53)*(1-$BC53),Summary!$O$15*13*(AX53+AY53+AZ53+BA53)*(1-$BC53)+IF(Summary!$O$16="Yes",(CALC!FA53+Summary!$O$15)*6*(AX53+AY53+AZ53+BA53)*(1-$BC53),0)),0)</f>
        <v>0</v>
      </c>
      <c r="FI53" s="1412">
        <f>IF(MONTH(C53)=5,FI52*(IF(Summary!$E$70="no",(1+(Summary!$E$71*0.8)),1+HLOOKUP(YEAR(C53)-1,CCFMODEL!$I$127:$AF$128,2)*0.8)),+FI52)</f>
        <v>28.564297085197083</v>
      </c>
      <c r="FJ53" s="1411">
        <f>IF(MONTH(C53)=5,FJ52*(IF(Summary!$E$70="no",(1+(Summary!$E$71*0.8)),1+HLOOKUP(YEAR(CALC!C53)-1,CCFMODEL!$I$127:$AF$128,2)*0.8)),FJ52)</f>
        <v>24.965645483912407</v>
      </c>
      <c r="FK53" s="832">
        <f t="shared" si="1"/>
        <v>510243.32472544833</v>
      </c>
      <c r="FL53" s="1412">
        <f>IF(MONTH(C53)=5,FL52*(IF(Summary!$E$70="no",(1+(Summary!$E$71*0.8)),1+HLOOKUP(YEAR(CALC!C53)-1,CCFMODEL!$I$127:$AF$128,2)*0.8)),+FL52)</f>
        <v>60.073919141683703</v>
      </c>
      <c r="FM53" s="1411">
        <f>IF(MONTH(C53)=5,FM52*(IF(Summary!$E$70="no",(1+(Summary!$E$71*0.8)),1+HLOOKUP(YEAR(CALC!C53)-1,CCFMODEL!$I$127:$AF$128,2)*0.8)),+FM52)</f>
        <v>28.67139981142579</v>
      </c>
      <c r="FN53" s="832">
        <f t="shared" si="2"/>
        <v>519955.83558020671</v>
      </c>
      <c r="FO53" s="194">
        <f t="shared" si="43"/>
        <v>1030199.1603056551</v>
      </c>
      <c r="FP53" s="263">
        <f t="shared" si="61"/>
        <v>9751.5</v>
      </c>
      <c r="FQ53" s="194">
        <f t="shared" si="61"/>
        <v>2925.45</v>
      </c>
      <c r="FR53" s="194">
        <f t="shared" si="61"/>
        <v>1773</v>
      </c>
      <c r="FS53" s="194">
        <f t="shared" si="61"/>
        <v>531.9</v>
      </c>
      <c r="FT53" s="194">
        <f t="shared" si="61"/>
        <v>2216.25</v>
      </c>
      <c r="FU53" s="194">
        <f t="shared" si="61"/>
        <v>664.875</v>
      </c>
      <c r="FV53" s="257">
        <f t="shared" si="61"/>
        <v>0</v>
      </c>
      <c r="FW53" s="189">
        <f t="shared" si="4"/>
        <v>0</v>
      </c>
      <c r="FX53" s="189">
        <f t="shared" si="5"/>
        <v>0</v>
      </c>
      <c r="FY53" s="189">
        <f t="shared" si="6"/>
        <v>0</v>
      </c>
      <c r="FZ53" s="258">
        <f t="shared" si="7"/>
        <v>0</v>
      </c>
      <c r="GA53" s="1293">
        <f>(SUM(FP53:FV53)+SUM(GU53:HB53)/(1-Summary!$O$25))*CY53/1000</f>
        <v>236111.22371551319</v>
      </c>
      <c r="GB53" s="1369">
        <f>IF($C53&lt;Summary!$M$81,+Summary!$O$81,VLOOKUP(C53,GasTable,19))</f>
        <v>2.4</v>
      </c>
      <c r="GC53" s="1370">
        <f>IF(H53&lt;=Summary!$N$84,MIN(GA53,Summary!$O$75*(H53-G53+1)),0)</f>
        <v>155000</v>
      </c>
      <c r="GD53" s="1371">
        <f>IF(Summary!$O$75*(H53-G53+1)*0.8&gt;GC53,1,0)</f>
        <v>0</v>
      </c>
      <c r="GE53" s="1372">
        <v>0</v>
      </c>
      <c r="GF53" s="1370">
        <f t="shared" si="8"/>
        <v>81111.223715513188</v>
      </c>
      <c r="GG53" s="1371">
        <f>GF53*(IF(Summary!$O$74=1,VLOOKUP($C53,GasTable,16)+Summary!$O$92+Summary!$O$93,VLOOKUP($C53,GasTable,19)+Summary!$O$92+Summary!$O$93))</f>
        <v>240779.60212448519</v>
      </c>
      <c r="GH53" s="1373">
        <v>20844.400000000001</v>
      </c>
      <c r="GI53" s="1466">
        <v>0</v>
      </c>
      <c r="GJ53" s="1374">
        <f t="shared" si="44"/>
        <v>633624.00212448521</v>
      </c>
      <c r="GK53" s="189">
        <f t="shared" si="9"/>
        <v>30062.012850000003</v>
      </c>
      <c r="GL53" s="266">
        <v>0.76008945473600009</v>
      </c>
      <c r="GM53" s="255">
        <f t="shared" si="10"/>
        <v>15221</v>
      </c>
      <c r="GN53" s="189">
        <f>IF(SUM(GU53:HB53)=0,0,IF(Summary!$O$16="Yes",SUM(GX53:HB53),IF(Summary!$O$17="Yes",SUM(GY53:HB53),SUM(GU53:HB53))))</f>
        <v>12199.037849999999</v>
      </c>
      <c r="GO53" s="203">
        <v>2.6001718128832119</v>
      </c>
      <c r="GP53" s="258">
        <f t="shared" si="45"/>
        <v>31719.594361865416</v>
      </c>
      <c r="GQ53" s="189"/>
      <c r="GR53" s="189"/>
      <c r="GS53" s="189"/>
      <c r="GT53" s="189"/>
      <c r="GU53" s="268">
        <v>5646.1184999999996</v>
      </c>
      <c r="GV53" s="189">
        <v>1026.5670000000002</v>
      </c>
      <c r="GW53" s="189">
        <v>1283.20875</v>
      </c>
      <c r="GX53" s="189"/>
      <c r="GY53" s="254">
        <v>3011.2631999999999</v>
      </c>
      <c r="GZ53" s="189">
        <v>547.50239999999997</v>
      </c>
      <c r="HA53" s="189">
        <v>684.37800000000004</v>
      </c>
      <c r="HB53" s="255"/>
      <c r="HC53" s="189">
        <v>12199.037849999999</v>
      </c>
      <c r="HD53" s="189"/>
      <c r="HE53" s="189">
        <v>20950.521524999996</v>
      </c>
      <c r="HF53" s="189">
        <v>466607.48074289685</v>
      </c>
      <c r="HG53" s="189"/>
      <c r="HH53" s="203">
        <v>37.95663066273616</v>
      </c>
      <c r="HI53" s="189">
        <v>795211.20771612879</v>
      </c>
      <c r="HJ53" s="268">
        <f t="shared" si="11"/>
        <v>0</v>
      </c>
      <c r="HK53" s="189">
        <f t="shared" si="12"/>
        <v>0</v>
      </c>
      <c r="HL53" s="189">
        <f t="shared" si="13"/>
        <v>0</v>
      </c>
      <c r="HM53" s="255">
        <f t="shared" si="14"/>
        <v>0</v>
      </c>
      <c r="HN53" s="189">
        <f t="shared" si="15"/>
        <v>0</v>
      </c>
      <c r="HO53" s="203">
        <f t="shared" si="46"/>
        <v>0</v>
      </c>
      <c r="HP53" s="258">
        <f t="shared" si="16"/>
        <v>0</v>
      </c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R53" s="223"/>
    </row>
    <row r="54" spans="1:252" ht="13.8" thickBot="1">
      <c r="A54" t="str">
        <f t="shared" si="23"/>
        <v>2003Q1</v>
      </c>
      <c r="B54">
        <f t="shared" si="24"/>
        <v>2003</v>
      </c>
      <c r="C54" s="49">
        <f t="shared" si="25"/>
        <v>37653</v>
      </c>
      <c r="D54" s="115">
        <f t="shared" si="26"/>
        <v>2003</v>
      </c>
      <c r="E54" s="10">
        <f t="shared" si="55"/>
        <v>2</v>
      </c>
      <c r="F54" s="248" t="str">
        <f t="shared" si="57"/>
        <v/>
      </c>
      <c r="G54" s="245">
        <v>37653</v>
      </c>
      <c r="H54" s="251">
        <v>37680</v>
      </c>
      <c r="I54" s="959">
        <f t="shared" si="53"/>
        <v>7.1499999999999994E-2</v>
      </c>
      <c r="J54" s="37">
        <f t="shared" si="27"/>
        <v>0.79526885005548731</v>
      </c>
      <c r="K54" s="1036" t="e">
        <f>IF(Summary!#REF!=1,+Summary!#REF!,I54+Summary!#REF!/10000)</f>
        <v>#REF!</v>
      </c>
      <c r="L54" s="37" t="e">
        <f t="shared" si="28"/>
        <v>#REF!</v>
      </c>
      <c r="M54" s="1004">
        <v>0</v>
      </c>
      <c r="N54" s="38">
        <f t="shared" si="63"/>
        <v>0</v>
      </c>
      <c r="O54" s="40">
        <f t="shared" si="63"/>
        <v>0</v>
      </c>
      <c r="P54" s="159">
        <f t="shared" si="60"/>
        <v>0</v>
      </c>
      <c r="Q54" s="38">
        <f t="shared" si="64"/>
        <v>0</v>
      </c>
      <c r="R54" s="40">
        <f t="shared" si="64"/>
        <v>0</v>
      </c>
      <c r="S54" s="38">
        <f t="shared" si="64"/>
        <v>0</v>
      </c>
      <c r="T54" s="38">
        <f t="shared" si="64"/>
        <v>0</v>
      </c>
      <c r="U54" s="38">
        <f t="shared" si="64"/>
        <v>0</v>
      </c>
      <c r="V54" s="159">
        <f t="shared" si="64"/>
        <v>0</v>
      </c>
      <c r="W54" s="38">
        <f t="shared" si="64"/>
        <v>0</v>
      </c>
      <c r="X54" s="39">
        <f t="shared" si="64"/>
        <v>0</v>
      </c>
      <c r="Y54" s="46">
        <v>0</v>
      </c>
      <c r="Z54" s="46">
        <v>0</v>
      </c>
      <c r="AA54" s="47">
        <v>0</v>
      </c>
      <c r="AB54" s="46">
        <v>0</v>
      </c>
      <c r="AC54" s="46">
        <v>0</v>
      </c>
      <c r="AD54" s="47">
        <v>0</v>
      </c>
      <c r="AE54" s="46">
        <v>0</v>
      </c>
      <c r="AF54" s="46">
        <v>0</v>
      </c>
      <c r="AG54" s="47">
        <v>0</v>
      </c>
      <c r="AH54" s="46">
        <v>0</v>
      </c>
      <c r="AI54" s="46">
        <v>0</v>
      </c>
      <c r="AJ54" s="47">
        <v>0</v>
      </c>
      <c r="AK54" s="46">
        <v>0</v>
      </c>
      <c r="AL54" s="46">
        <v>0</v>
      </c>
      <c r="AM54" s="47">
        <v>0</v>
      </c>
      <c r="AN54" s="46">
        <v>0</v>
      </c>
      <c r="AO54" s="46">
        <v>0</v>
      </c>
      <c r="AP54" s="47">
        <v>0</v>
      </c>
      <c r="AQ54" s="46">
        <v>0</v>
      </c>
      <c r="AR54" s="46">
        <v>0</v>
      </c>
      <c r="AS54" s="47">
        <v>0</v>
      </c>
      <c r="AT54" s="46">
        <v>0</v>
      </c>
      <c r="AU54" s="46">
        <v>0</v>
      </c>
      <c r="AV54" s="46">
        <v>0</v>
      </c>
      <c r="AW54" s="1545">
        <v>0</v>
      </c>
      <c r="AX54" s="10">
        <f t="shared" si="56"/>
        <v>20</v>
      </c>
      <c r="AY54" s="42">
        <f>IF(AND($E54=MONTH(Summary!$E$24),$D54=YEAR(Summary!$E$24)),Summary!$E$25,1)*IF(G54="",0,INT((H54-MOD(H54,7)-G54)/7)+1-IF(BA54,IF(WEEKDAY(F54)=7,1,0),0))</f>
        <v>4</v>
      </c>
      <c r="AZ54" s="42">
        <f>IF(AND($E54=MONTH(Summary!$E$24),$D54=YEAR(Summary!$E$24)),Summary!$E$25,1)*IF(G54="",0,INT((H54-MOD(H54-1,7)-G54)/7)+1-IF(BA54,IF(WEEKDAY(F54)=1,1,0),0))</f>
        <v>4</v>
      </c>
      <c r="BA54" s="42">
        <v>0</v>
      </c>
      <c r="BB54" s="10">
        <f>IF(AND($E54=MONTH(Summary!$E$24),$D54=YEAR(Summary!$E$24)),Summary!$E$25,1)*IF(G54="",0,H54-G54+1)</f>
        <v>28</v>
      </c>
      <c r="BC54" s="914">
        <f>Summary!$E$19</f>
        <v>1.4999999999999999E-2</v>
      </c>
      <c r="BD54" s="113">
        <v>14184</v>
      </c>
      <c r="BE54" s="171">
        <v>2836.8</v>
      </c>
      <c r="BF54" s="171">
        <v>2836.8</v>
      </c>
      <c r="BG54" s="174"/>
      <c r="BH54" s="1198">
        <v>1</v>
      </c>
      <c r="BI54" s="1198">
        <v>1</v>
      </c>
      <c r="BJ54" s="1198">
        <v>1</v>
      </c>
      <c r="BK54" s="1198">
        <v>1</v>
      </c>
      <c r="BL54" s="95">
        <v>2836.8</v>
      </c>
      <c r="BM54" s="171">
        <v>567.36</v>
      </c>
      <c r="BN54" s="171">
        <v>567.36</v>
      </c>
      <c r="BO54" s="174"/>
      <c r="BP54" s="1198">
        <v>1</v>
      </c>
      <c r="BQ54" s="1199">
        <v>1</v>
      </c>
      <c r="BR54" s="1199">
        <v>1</v>
      </c>
      <c r="BS54" s="1200">
        <v>1</v>
      </c>
      <c r="BT54" s="94">
        <f t="shared" si="29"/>
        <v>19857.599999999999</v>
      </c>
      <c r="BU54" s="233">
        <f t="shared" si="30"/>
        <v>19857.599999999999</v>
      </c>
      <c r="BV54" s="92">
        <f t="shared" si="31"/>
        <v>3971.5200000000004</v>
      </c>
      <c r="BW54" s="233">
        <f t="shared" si="32"/>
        <v>3971.5200000000004</v>
      </c>
      <c r="BX54" s="88">
        <v>3.1321013004791238</v>
      </c>
      <c r="BY54" s="90">
        <v>0</v>
      </c>
      <c r="BZ54" s="88">
        <v>0</v>
      </c>
      <c r="CA54" s="88">
        <v>0</v>
      </c>
      <c r="CB54" s="88">
        <v>0</v>
      </c>
      <c r="CC54" s="88">
        <v>0</v>
      </c>
      <c r="CD54" s="88">
        <v>0</v>
      </c>
      <c r="CE54" s="100">
        <v>0</v>
      </c>
      <c r="CF54" s="88">
        <v>0</v>
      </c>
      <c r="CG54" s="88">
        <v>0</v>
      </c>
      <c r="CH54" s="88">
        <v>0</v>
      </c>
      <c r="CI54" s="88">
        <v>0</v>
      </c>
      <c r="CJ54" s="228">
        <v>0</v>
      </c>
      <c r="CK54" s="88">
        <v>0</v>
      </c>
      <c r="CL54" s="88">
        <v>0</v>
      </c>
      <c r="CM54" s="88">
        <v>0</v>
      </c>
      <c r="CN54" s="88">
        <v>0</v>
      </c>
      <c r="CO54" s="88">
        <v>0</v>
      </c>
      <c r="CP54" s="88">
        <v>0</v>
      </c>
      <c r="CQ54" s="229">
        <v>0</v>
      </c>
      <c r="CR54" s="91">
        <v>0</v>
      </c>
      <c r="CS54" s="91">
        <v>0</v>
      </c>
      <c r="CT54" s="91">
        <v>0</v>
      </c>
      <c r="CU54" s="91">
        <v>0</v>
      </c>
      <c r="CV54" s="91">
        <v>0</v>
      </c>
      <c r="CW54" s="91">
        <v>0</v>
      </c>
      <c r="CX54" s="225">
        <v>0</v>
      </c>
      <c r="CY54" s="1265">
        <v>7742.1728000000003</v>
      </c>
      <c r="CZ54" s="90">
        <v>0</v>
      </c>
      <c r="DA54" s="88">
        <v>0</v>
      </c>
      <c r="DB54" s="88">
        <v>0</v>
      </c>
      <c r="DC54" s="88">
        <v>0</v>
      </c>
      <c r="DD54" s="88">
        <v>0</v>
      </c>
      <c r="DE54" s="152">
        <v>0</v>
      </c>
      <c r="DF54" s="230">
        <v>0</v>
      </c>
      <c r="DG54" s="38">
        <v>0</v>
      </c>
      <c r="DH54" s="1237">
        <v>0</v>
      </c>
      <c r="DI54" s="956">
        <v>0</v>
      </c>
      <c r="DJ54" s="956">
        <v>0</v>
      </c>
      <c r="DK54" s="956">
        <v>0</v>
      </c>
      <c r="DL54" s="152">
        <v>0</v>
      </c>
      <c r="DM54" s="160">
        <v>0</v>
      </c>
      <c r="DN54" s="160">
        <v>0</v>
      </c>
      <c r="DO54" s="160">
        <v>0</v>
      </c>
      <c r="DP54" s="160">
        <v>0</v>
      </c>
      <c r="DQ54" s="160">
        <v>0</v>
      </c>
      <c r="DR54" s="230">
        <v>0</v>
      </c>
      <c r="DS54" s="88">
        <v>0</v>
      </c>
      <c r="DT54" s="88">
        <v>0</v>
      </c>
      <c r="DU54" s="88">
        <v>0</v>
      </c>
      <c r="DV54" s="88">
        <v>0</v>
      </c>
      <c r="DW54" s="88">
        <v>0</v>
      </c>
      <c r="DX54" s="88">
        <v>0</v>
      </c>
      <c r="DY54" s="88">
        <v>0</v>
      </c>
      <c r="DZ54" s="88">
        <v>0</v>
      </c>
      <c r="EA54" s="88">
        <v>0</v>
      </c>
      <c r="EB54" s="152">
        <v>0</v>
      </c>
      <c r="EC54" s="52">
        <f t="shared" si="33"/>
        <v>0</v>
      </c>
      <c r="ED54" s="52">
        <f t="shared" si="33"/>
        <v>0</v>
      </c>
      <c r="EE54" s="52">
        <f t="shared" si="33"/>
        <v>0</v>
      </c>
      <c r="EF54" s="52">
        <f t="shared" si="33"/>
        <v>0</v>
      </c>
      <c r="EG54" s="52">
        <f t="shared" si="34"/>
        <v>0</v>
      </c>
      <c r="EH54" s="238">
        <v>0</v>
      </c>
      <c r="EI54" s="211">
        <v>0</v>
      </c>
      <c r="EJ54" s="211">
        <v>0</v>
      </c>
      <c r="EK54" s="211">
        <v>0</v>
      </c>
      <c r="EL54" s="217">
        <f>IF(C54&gt;=Summary!$E$26,MAX(0,SUM(EH54:EK54)),0)</f>
        <v>0</v>
      </c>
      <c r="EM54" s="52">
        <f>IF(C54&gt;=Summary!$E$26,DX54*BL54,0)</f>
        <v>0</v>
      </c>
      <c r="EN54" s="52">
        <f>IF(C54&gt;=Summary!$E$26,DY54*BM54,0)</f>
        <v>0</v>
      </c>
      <c r="EO54" s="52">
        <f>IF(C54&gt;=Summary!$E$26,DZ54*BN54,0)</f>
        <v>0</v>
      </c>
      <c r="EP54" s="52">
        <f>IF(C54&gt;=Summary!$E$26,EA54*BO54,0)</f>
        <v>0</v>
      </c>
      <c r="EQ54" s="52">
        <f>IF(C54&gt;=Summary!$E$26,DX54*BL54+DY54*BM54+DZ54*BN54+EA54*BO54,0)</f>
        <v>0</v>
      </c>
      <c r="ER54" s="826">
        <v>0</v>
      </c>
      <c r="ES54" s="278">
        <v>0</v>
      </c>
      <c r="ET54" s="278">
        <v>0</v>
      </c>
      <c r="EU54" s="278">
        <v>0</v>
      </c>
      <c r="EV54" s="212">
        <f>IF(C54&gt;=Summary!$E$26,MAX(0,SUM(ER54:EU54)),0)</f>
        <v>0</v>
      </c>
      <c r="EW54" s="52"/>
      <c r="EX54" s="1049">
        <f t="shared" si="35"/>
        <v>0</v>
      </c>
      <c r="EY54" s="1045" t="str">
        <f t="shared" si="36"/>
        <v/>
      </c>
      <c r="EZ54" s="1684" t="s">
        <v>525</v>
      </c>
      <c r="FA54" s="1046">
        <f t="shared" si="54"/>
        <v>45</v>
      </c>
      <c r="FB54" s="256">
        <f t="shared" si="37"/>
        <v>8865</v>
      </c>
      <c r="FC54" s="194">
        <f t="shared" si="38"/>
        <v>2659.5</v>
      </c>
      <c r="FD54" s="194">
        <f t="shared" si="39"/>
        <v>1773</v>
      </c>
      <c r="FE54" s="194">
        <f t="shared" si="40"/>
        <v>531.9</v>
      </c>
      <c r="FF54" s="194">
        <f t="shared" si="41"/>
        <v>1773</v>
      </c>
      <c r="FG54" s="194">
        <f t="shared" si="42"/>
        <v>531.9</v>
      </c>
      <c r="FH54" s="257">
        <f>IF(EZ54="No",IF((OR(MONTH(C54)=5,MONTH(C54)=6,MONTH(C54)=7,MONTH(C54)=8,MONTH(C54)=9)),Summary!$O$15*12*(AX54+AY54+AZ54+BA54)*(1-$BC54),Summary!$O$15*13*(AX54+AY54+AZ54+BA54)*(1-$BC54)+IF(Summary!$O$16="Yes",(CALC!FA54+Summary!$O$15)*6*(AX54+AY54+AZ54+BA54)*(1-$BC54),0)),0)</f>
        <v>0</v>
      </c>
      <c r="FI54" s="1412">
        <f>IF(MONTH(C54)=5,FI53*(IF(Summary!$E$70="no",(1+(Summary!$E$71*0.8)),1+HLOOKUP(YEAR(C54)-1,CCFMODEL!$I$127:$AF$128,2)*0.8)),+FI53)</f>
        <v>28.564297085197083</v>
      </c>
      <c r="FJ54" s="1411">
        <f>IF(MONTH(C54)=5,FJ53*(IF(Summary!$E$70="no",(1+(Summary!$E$71*0.8)),1+HLOOKUP(YEAR(CALC!C54)-1,CCFMODEL!$I$127:$AF$128,2)*0.8)),FJ53)</f>
        <v>24.965645483912407</v>
      </c>
      <c r="FK54" s="832">
        <f t="shared" si="1"/>
        <v>460864.93846169527</v>
      </c>
      <c r="FL54" s="1412">
        <f>IF(MONTH(C54)=5,FL53*(IF(Summary!$E$70="no",(1+(Summary!$E$71*0.8)),1+HLOOKUP(YEAR(CALC!C54)-1,CCFMODEL!$I$127:$AF$128,2)*0.8)),+FL53)</f>
        <v>60.073919141683703</v>
      </c>
      <c r="FM54" s="1411">
        <f>IF(MONTH(C54)=5,FM53*(IF(Summary!$E$70="no",(1+(Summary!$E$71*0.8)),1+HLOOKUP(YEAR(CALC!C54)-1,CCFMODEL!$I$127:$AF$128,2)*0.8)),+FM53)</f>
        <v>28.67139981142579</v>
      </c>
      <c r="FN54" s="832">
        <f t="shared" si="2"/>
        <v>469637.52891115443</v>
      </c>
      <c r="FO54" s="194">
        <f t="shared" si="43"/>
        <v>930502.4673728497</v>
      </c>
      <c r="FP54" s="263">
        <f t="shared" si="61"/>
        <v>8865</v>
      </c>
      <c r="FQ54" s="194">
        <f t="shared" si="61"/>
        <v>2659.5</v>
      </c>
      <c r="FR54" s="194">
        <f t="shared" si="61"/>
        <v>1773</v>
      </c>
      <c r="FS54" s="194">
        <f t="shared" si="61"/>
        <v>531.9</v>
      </c>
      <c r="FT54" s="194">
        <f t="shared" si="61"/>
        <v>1773</v>
      </c>
      <c r="FU54" s="194">
        <f t="shared" si="61"/>
        <v>531.9</v>
      </c>
      <c r="FV54" s="257">
        <f t="shared" si="61"/>
        <v>0</v>
      </c>
      <c r="FW54" s="189">
        <f t="shared" si="4"/>
        <v>0</v>
      </c>
      <c r="FX54" s="189">
        <f t="shared" si="5"/>
        <v>0</v>
      </c>
      <c r="FY54" s="189">
        <f t="shared" si="6"/>
        <v>0</v>
      </c>
      <c r="FZ54" s="258">
        <f t="shared" si="7"/>
        <v>0</v>
      </c>
      <c r="GA54" s="1293">
        <f>(SUM(FP54:FV54)+SUM(GU54:HB54)/(1-Summary!$O$25))*CY54/1000</f>
        <v>213315.596698176</v>
      </c>
      <c r="GB54" s="1369">
        <f>IF($C54&lt;Summary!$M$81,+Summary!$O$81,VLOOKUP(C54,GasTable,19))</f>
        <v>2.4</v>
      </c>
      <c r="GC54" s="1370">
        <f>IF(H54&lt;=Summary!$N$84,MIN(GA54,Summary!$O$75*(H54-G54+1)),0)</f>
        <v>140000</v>
      </c>
      <c r="GD54" s="1371">
        <f>IF(Summary!$O$75*(H54-G54+1)*0.8&gt;GC54,1,0)</f>
        <v>0</v>
      </c>
      <c r="GE54" s="1372">
        <v>0</v>
      </c>
      <c r="GF54" s="1370">
        <f t="shared" si="8"/>
        <v>73315.596698175999</v>
      </c>
      <c r="GG54" s="1371">
        <f>GF54*(IF(Summary!$O$74=1,VLOOKUP($C54,GasTable,16)+Summary!$O$92+Summary!$O$93,VLOOKUP($C54,GasTable,19)+Summary!$O$92+Summary!$O$93))</f>
        <v>200674.98710714845</v>
      </c>
      <c r="GH54" s="1373">
        <v>18099.2</v>
      </c>
      <c r="GI54" s="1466">
        <v>0</v>
      </c>
      <c r="GJ54" s="1374">
        <f t="shared" si="44"/>
        <v>554774.18710714835</v>
      </c>
      <c r="GK54" s="189">
        <f t="shared" si="9"/>
        <v>27152.785799999998</v>
      </c>
      <c r="GL54" s="266">
        <v>0.76028136896000009</v>
      </c>
      <c r="GM54" s="255">
        <f t="shared" si="10"/>
        <v>13748.000000000002</v>
      </c>
      <c r="GN54" s="189">
        <f>IF(SUM(GU54:HB54)=0,0,IF(Summary!$O$16="Yes",SUM(GX54:HB54),IF(Summary!$O$17="Yes",SUM(GY54:HB54),SUM(GU54:HB54))))</f>
        <v>11018.485799999999</v>
      </c>
      <c r="GO54" s="203">
        <v>2.6001718128832119</v>
      </c>
      <c r="GP54" s="258">
        <f t="shared" si="45"/>
        <v>28649.956197813925</v>
      </c>
      <c r="GQ54" s="189"/>
      <c r="GR54" s="189"/>
      <c r="GS54" s="189"/>
      <c r="GT54" s="189"/>
      <c r="GU54" s="268">
        <v>5132.835</v>
      </c>
      <c r="GV54" s="189">
        <v>1026.5670000000002</v>
      </c>
      <c r="GW54" s="189">
        <v>1026.5670000000002</v>
      </c>
      <c r="GX54" s="189"/>
      <c r="GY54" s="254">
        <v>2737.5120000000002</v>
      </c>
      <c r="GZ54" s="189">
        <v>547.50239999999997</v>
      </c>
      <c r="HA54" s="189">
        <v>547.50239999999997</v>
      </c>
      <c r="HB54" s="255"/>
      <c r="HC54" s="189">
        <v>11018.485799999999</v>
      </c>
      <c r="HD54" s="189"/>
      <c r="HE54" s="189">
        <v>18923.051699999996</v>
      </c>
      <c r="HF54" s="189">
        <v>346567.37710312603</v>
      </c>
      <c r="HG54" s="189"/>
      <c r="HH54" s="203">
        <v>31.218439868527206</v>
      </c>
      <c r="HI54" s="189">
        <v>590748.15162548143</v>
      </c>
      <c r="HJ54" s="268">
        <f t="shared" si="11"/>
        <v>0</v>
      </c>
      <c r="HK54" s="189">
        <f t="shared" si="12"/>
        <v>0</v>
      </c>
      <c r="HL54" s="189">
        <f t="shared" si="13"/>
        <v>0</v>
      </c>
      <c r="HM54" s="255">
        <f t="shared" si="14"/>
        <v>0</v>
      </c>
      <c r="HN54" s="189">
        <f t="shared" si="15"/>
        <v>0</v>
      </c>
      <c r="HO54" s="203">
        <f t="shared" si="46"/>
        <v>0</v>
      </c>
      <c r="HP54" s="258">
        <f t="shared" si="16"/>
        <v>0</v>
      </c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R54" s="223"/>
    </row>
    <row r="55" spans="1:252" ht="13.8" thickBot="1">
      <c r="A55" t="str">
        <f t="shared" si="23"/>
        <v>2003Q1</v>
      </c>
      <c r="B55">
        <f t="shared" si="24"/>
        <v>2003</v>
      </c>
      <c r="C55" s="49">
        <f t="shared" si="25"/>
        <v>37681</v>
      </c>
      <c r="D55" s="115">
        <f t="shared" si="26"/>
        <v>2003</v>
      </c>
      <c r="E55" s="10">
        <f t="shared" si="55"/>
        <v>3</v>
      </c>
      <c r="F55" s="248" t="str">
        <f t="shared" si="57"/>
        <v/>
      </c>
      <c r="G55" s="245">
        <v>37681</v>
      </c>
      <c r="H55" s="251">
        <v>37711</v>
      </c>
      <c r="I55" s="959">
        <f t="shared" si="53"/>
        <v>7.1499999999999994E-2</v>
      </c>
      <c r="J55" s="37">
        <f t="shared" si="27"/>
        <v>0.79054117530999934</v>
      </c>
      <c r="K55" s="1036" t="e">
        <f>IF(Summary!#REF!=1,+Summary!#REF!,I55+Summary!#REF!/10000)</f>
        <v>#REF!</v>
      </c>
      <c r="L55" s="37" t="e">
        <f t="shared" si="28"/>
        <v>#REF!</v>
      </c>
      <c r="M55" s="1004">
        <v>0</v>
      </c>
      <c r="N55" s="38">
        <f t="shared" si="63"/>
        <v>0</v>
      </c>
      <c r="O55" s="40">
        <f t="shared" si="63"/>
        <v>0</v>
      </c>
      <c r="P55" s="159">
        <f t="shared" si="60"/>
        <v>0</v>
      </c>
      <c r="Q55" s="38">
        <f t="shared" si="64"/>
        <v>0</v>
      </c>
      <c r="R55" s="40">
        <f t="shared" si="64"/>
        <v>0</v>
      </c>
      <c r="S55" s="38">
        <f t="shared" si="64"/>
        <v>0</v>
      </c>
      <c r="T55" s="38">
        <f t="shared" si="64"/>
        <v>0</v>
      </c>
      <c r="U55" s="38">
        <f t="shared" si="64"/>
        <v>0</v>
      </c>
      <c r="V55" s="159">
        <f t="shared" si="64"/>
        <v>0</v>
      </c>
      <c r="W55" s="38">
        <f t="shared" si="64"/>
        <v>0</v>
      </c>
      <c r="X55" s="39">
        <f t="shared" si="64"/>
        <v>0</v>
      </c>
      <c r="Y55" s="46">
        <v>0</v>
      </c>
      <c r="Z55" s="46">
        <v>0</v>
      </c>
      <c r="AA55" s="47">
        <v>0</v>
      </c>
      <c r="AB55" s="46">
        <v>0</v>
      </c>
      <c r="AC55" s="46">
        <v>0</v>
      </c>
      <c r="AD55" s="47">
        <v>0</v>
      </c>
      <c r="AE55" s="46">
        <v>0</v>
      </c>
      <c r="AF55" s="46">
        <v>0</v>
      </c>
      <c r="AG55" s="47">
        <v>0</v>
      </c>
      <c r="AH55" s="46">
        <v>0</v>
      </c>
      <c r="AI55" s="46">
        <v>0</v>
      </c>
      <c r="AJ55" s="47">
        <v>0</v>
      </c>
      <c r="AK55" s="46">
        <v>0</v>
      </c>
      <c r="AL55" s="46">
        <v>0</v>
      </c>
      <c r="AM55" s="47">
        <v>0</v>
      </c>
      <c r="AN55" s="46">
        <v>0</v>
      </c>
      <c r="AO55" s="46">
        <v>0</v>
      </c>
      <c r="AP55" s="47">
        <v>0</v>
      </c>
      <c r="AQ55" s="46">
        <v>0</v>
      </c>
      <c r="AR55" s="46">
        <v>0</v>
      </c>
      <c r="AS55" s="47">
        <v>0</v>
      </c>
      <c r="AT55" s="46">
        <v>0</v>
      </c>
      <c r="AU55" s="46">
        <v>0</v>
      </c>
      <c r="AV55" s="46">
        <v>0</v>
      </c>
      <c r="AW55" s="1545">
        <v>0</v>
      </c>
      <c r="AX55" s="10">
        <f t="shared" si="56"/>
        <v>21</v>
      </c>
      <c r="AY55" s="42">
        <f>IF(AND($E55=MONTH(Summary!$E$24),$D55=YEAR(Summary!$E$24)),Summary!$E$25,1)*IF(G55="",0,INT((H55-MOD(H55,7)-G55)/7)+1-IF(BA55,IF(WEEKDAY(F55)=7,1,0),0))</f>
        <v>5</v>
      </c>
      <c r="AZ55" s="42">
        <f>IF(AND($E55=MONTH(Summary!$E$24),$D55=YEAR(Summary!$E$24)),Summary!$E$25,1)*IF(G55="",0,INT((H55-MOD(H55-1,7)-G55)/7)+1-IF(BA55,IF(WEEKDAY(F55)=1,1,0),0))</f>
        <v>5</v>
      </c>
      <c r="BA55" s="42">
        <v>0</v>
      </c>
      <c r="BB55" s="10">
        <f>IF(AND($E55=MONTH(Summary!$E$24),$D55=YEAR(Summary!$E$24)),Summary!$E$25,1)*IF(G55="",0,H55-G55+1)</f>
        <v>31</v>
      </c>
      <c r="BC55" s="914">
        <f>Summary!$E$19</f>
        <v>1.4999999999999999E-2</v>
      </c>
      <c r="BD55" s="113">
        <v>14893.2</v>
      </c>
      <c r="BE55" s="171">
        <v>3546</v>
      </c>
      <c r="BF55" s="171">
        <v>3546</v>
      </c>
      <c r="BG55" s="174"/>
      <c r="BH55" s="1198">
        <v>1</v>
      </c>
      <c r="BI55" s="1198">
        <v>1</v>
      </c>
      <c r="BJ55" s="1198">
        <v>1</v>
      </c>
      <c r="BK55" s="1198">
        <v>1</v>
      </c>
      <c r="BL55" s="95">
        <v>2978.64</v>
      </c>
      <c r="BM55" s="171">
        <v>709.2</v>
      </c>
      <c r="BN55" s="171">
        <v>709.2</v>
      </c>
      <c r="BO55" s="174"/>
      <c r="BP55" s="1198">
        <v>1</v>
      </c>
      <c r="BQ55" s="1199">
        <v>1</v>
      </c>
      <c r="BR55" s="1199">
        <v>1</v>
      </c>
      <c r="BS55" s="1200">
        <v>1</v>
      </c>
      <c r="BT55" s="94">
        <f t="shared" si="29"/>
        <v>21985.200000000001</v>
      </c>
      <c r="BU55" s="233">
        <f t="shared" si="30"/>
        <v>21985.200000000001</v>
      </c>
      <c r="BV55" s="92">
        <f t="shared" si="31"/>
        <v>4397.04</v>
      </c>
      <c r="BW55" s="233">
        <f t="shared" si="32"/>
        <v>4397.04</v>
      </c>
      <c r="BX55" s="88">
        <v>3.2087611225188226</v>
      </c>
      <c r="BY55" s="90">
        <v>0</v>
      </c>
      <c r="BZ55" s="88">
        <v>0</v>
      </c>
      <c r="CA55" s="88">
        <v>0</v>
      </c>
      <c r="CB55" s="88">
        <v>0</v>
      </c>
      <c r="CC55" s="88">
        <v>0</v>
      </c>
      <c r="CD55" s="88">
        <v>0</v>
      </c>
      <c r="CE55" s="100">
        <v>0</v>
      </c>
      <c r="CF55" s="88">
        <v>0</v>
      </c>
      <c r="CG55" s="88">
        <v>0</v>
      </c>
      <c r="CH55" s="88">
        <v>0</v>
      </c>
      <c r="CI55" s="88">
        <v>0</v>
      </c>
      <c r="CJ55" s="228">
        <v>0</v>
      </c>
      <c r="CK55" s="88">
        <v>0</v>
      </c>
      <c r="CL55" s="88">
        <v>0</v>
      </c>
      <c r="CM55" s="88">
        <v>0</v>
      </c>
      <c r="CN55" s="88">
        <v>0</v>
      </c>
      <c r="CO55" s="88">
        <v>0</v>
      </c>
      <c r="CP55" s="88">
        <v>0</v>
      </c>
      <c r="CQ55" s="229">
        <v>0</v>
      </c>
      <c r="CR55" s="91">
        <v>0</v>
      </c>
      <c r="CS55" s="91">
        <v>0</v>
      </c>
      <c r="CT55" s="91">
        <v>0</v>
      </c>
      <c r="CU55" s="91">
        <v>0</v>
      </c>
      <c r="CV55" s="91">
        <v>0</v>
      </c>
      <c r="CW55" s="91">
        <v>0</v>
      </c>
      <c r="CX55" s="225">
        <v>0</v>
      </c>
      <c r="CY55" s="1265">
        <v>7744.127120000001</v>
      </c>
      <c r="CZ55" s="90">
        <v>0</v>
      </c>
      <c r="DA55" s="88">
        <v>0</v>
      </c>
      <c r="DB55" s="88">
        <v>0</v>
      </c>
      <c r="DC55" s="88">
        <v>0</v>
      </c>
      <c r="DD55" s="88">
        <v>0</v>
      </c>
      <c r="DE55" s="152">
        <v>0</v>
      </c>
      <c r="DF55" s="230">
        <v>0</v>
      </c>
      <c r="DG55" s="38">
        <v>0</v>
      </c>
      <c r="DH55" s="1237">
        <v>0</v>
      </c>
      <c r="DI55" s="956">
        <v>0</v>
      </c>
      <c r="DJ55" s="956">
        <v>0</v>
      </c>
      <c r="DK55" s="956">
        <v>0</v>
      </c>
      <c r="DL55" s="152">
        <v>0</v>
      </c>
      <c r="DM55" s="160">
        <v>0</v>
      </c>
      <c r="DN55" s="160">
        <v>0</v>
      </c>
      <c r="DO55" s="160">
        <v>0</v>
      </c>
      <c r="DP55" s="160">
        <v>0</v>
      </c>
      <c r="DQ55" s="160">
        <v>0</v>
      </c>
      <c r="DR55" s="230">
        <v>0</v>
      </c>
      <c r="DS55" s="88">
        <v>0</v>
      </c>
      <c r="DT55" s="88">
        <v>0</v>
      </c>
      <c r="DU55" s="88">
        <v>0</v>
      </c>
      <c r="DV55" s="88">
        <v>0</v>
      </c>
      <c r="DW55" s="88">
        <v>0</v>
      </c>
      <c r="DX55" s="88">
        <v>0</v>
      </c>
      <c r="DY55" s="88">
        <v>0</v>
      </c>
      <c r="DZ55" s="88">
        <v>0</v>
      </c>
      <c r="EA55" s="88">
        <v>0</v>
      </c>
      <c r="EB55" s="152">
        <v>0</v>
      </c>
      <c r="EC55" s="52">
        <f t="shared" si="33"/>
        <v>0</v>
      </c>
      <c r="ED55" s="52">
        <f t="shared" si="33"/>
        <v>0</v>
      </c>
      <c r="EE55" s="52">
        <f t="shared" si="33"/>
        <v>0</v>
      </c>
      <c r="EF55" s="52">
        <f t="shared" si="33"/>
        <v>0</v>
      </c>
      <c r="EG55" s="52">
        <f t="shared" si="34"/>
        <v>0</v>
      </c>
      <c r="EH55" s="238">
        <v>0</v>
      </c>
      <c r="EI55" s="211">
        <v>0</v>
      </c>
      <c r="EJ55" s="211">
        <v>0</v>
      </c>
      <c r="EK55" s="211">
        <v>0</v>
      </c>
      <c r="EL55" s="217">
        <f>IF(C55&gt;=Summary!$E$26,MAX(0,SUM(EH55:EK55)),0)</f>
        <v>0</v>
      </c>
      <c r="EM55" s="52">
        <f>IF(C55&gt;=Summary!$E$26,DX55*BL55,0)</f>
        <v>0</v>
      </c>
      <c r="EN55" s="52">
        <f>IF(C55&gt;=Summary!$E$26,DY55*BM55,0)</f>
        <v>0</v>
      </c>
      <c r="EO55" s="52">
        <f>IF(C55&gt;=Summary!$E$26,DZ55*BN55,0)</f>
        <v>0</v>
      </c>
      <c r="EP55" s="52">
        <f>IF(C55&gt;=Summary!$E$26,EA55*BO55,0)</f>
        <v>0</v>
      </c>
      <c r="EQ55" s="52">
        <f>IF(C55&gt;=Summary!$E$26,DX55*BL55+DY55*BM55+DZ55*BN55+EA55*BO55,0)</f>
        <v>0</v>
      </c>
      <c r="ER55" s="826">
        <v>0</v>
      </c>
      <c r="ES55" s="278">
        <v>0</v>
      </c>
      <c r="ET55" s="278">
        <v>0</v>
      </c>
      <c r="EU55" s="278">
        <v>0</v>
      </c>
      <c r="EV55" s="212">
        <f>IF(C55&gt;=Summary!$E$26,MAX(0,SUM(ER55:EU55)),0)</f>
        <v>0</v>
      </c>
      <c r="EW55" s="52"/>
      <c r="EX55" s="1049">
        <f t="shared" si="35"/>
        <v>0</v>
      </c>
      <c r="EY55" s="1045" t="str">
        <f t="shared" si="36"/>
        <v/>
      </c>
      <c r="EZ55" s="1684" t="s">
        <v>525</v>
      </c>
      <c r="FA55" s="1046">
        <f t="shared" si="54"/>
        <v>45</v>
      </c>
      <c r="FB55" s="256">
        <f t="shared" si="37"/>
        <v>9308.25</v>
      </c>
      <c r="FC55" s="194">
        <f t="shared" si="38"/>
        <v>2792.4749999999999</v>
      </c>
      <c r="FD55" s="194">
        <f t="shared" si="39"/>
        <v>2216.25</v>
      </c>
      <c r="FE55" s="194">
        <f t="shared" si="40"/>
        <v>664.875</v>
      </c>
      <c r="FF55" s="194">
        <f t="shared" si="41"/>
        <v>2216.25</v>
      </c>
      <c r="FG55" s="194">
        <f t="shared" si="42"/>
        <v>664.875</v>
      </c>
      <c r="FH55" s="257">
        <f>IF(EZ55="No",IF((OR(MONTH(C55)=5,MONTH(C55)=6,MONTH(C55)=7,MONTH(C55)=8,MONTH(C55)=9)),Summary!$O$15*12*(AX55+AY55+AZ55+BA55)*(1-$BC55),Summary!$O$15*13*(AX55+AY55+AZ55+BA55)*(1-$BC55)+IF(Summary!$O$16="Yes",(CALC!FA55+Summary!$O$15)*6*(AX55+AY55+AZ55+BA55)*(1-$BC55),0)),0)</f>
        <v>0</v>
      </c>
      <c r="FI55" s="1412">
        <f>IF(MONTH(C55)=5,FI54*(IF(Summary!$E$70="no",(1+(Summary!$E$71*0.8)),1+HLOOKUP(YEAR(C55)-1,CCFMODEL!$I$127:$AF$128,2)*0.8)),+FI54)</f>
        <v>28.564297085197083</v>
      </c>
      <c r="FJ55" s="1411">
        <f>IF(MONTH(C55)=5,FJ54*(IF(Summary!$E$70="no",(1+(Summary!$E$71*0.8)),1+HLOOKUP(YEAR(CALC!C55)-1,CCFMODEL!$I$127:$AF$128,2)*0.8)),FJ54)</f>
        <v>24.965645483912407</v>
      </c>
      <c r="FK55" s="832">
        <f t="shared" si="1"/>
        <v>510243.32472544833</v>
      </c>
      <c r="FL55" s="1412">
        <f>IF(MONTH(C55)=5,FL54*(IF(Summary!$E$70="no",(1+(Summary!$E$71*0.8)),1+HLOOKUP(YEAR(CALC!C55)-1,CCFMODEL!$I$127:$AF$128,2)*0.8)),+FL54)</f>
        <v>60.073919141683703</v>
      </c>
      <c r="FM55" s="1411">
        <f>IF(MONTH(C55)=5,FM54*(IF(Summary!$E$70="no",(1+(Summary!$E$71*0.8)),1+HLOOKUP(YEAR(CALC!C55)-1,CCFMODEL!$I$127:$AF$128,2)*0.8)),+FM54)</f>
        <v>28.67139981142579</v>
      </c>
      <c r="FN55" s="832">
        <f t="shared" si="2"/>
        <v>519955.83558020671</v>
      </c>
      <c r="FO55" s="194">
        <f t="shared" si="43"/>
        <v>1030199.1603056551</v>
      </c>
      <c r="FP55" s="263">
        <f t="shared" si="61"/>
        <v>9308.25</v>
      </c>
      <c r="FQ55" s="194">
        <f t="shared" si="61"/>
        <v>2792.4749999999999</v>
      </c>
      <c r="FR55" s="194">
        <f t="shared" si="61"/>
        <v>2216.25</v>
      </c>
      <c r="FS55" s="194">
        <f t="shared" si="61"/>
        <v>664.875</v>
      </c>
      <c r="FT55" s="194">
        <f t="shared" si="61"/>
        <v>2216.25</v>
      </c>
      <c r="FU55" s="194">
        <f t="shared" si="61"/>
        <v>664.875</v>
      </c>
      <c r="FV55" s="257">
        <f t="shared" si="61"/>
        <v>0</v>
      </c>
      <c r="FW55" s="189">
        <f t="shared" si="4"/>
        <v>0</v>
      </c>
      <c r="FX55" s="189">
        <f t="shared" si="5"/>
        <v>0</v>
      </c>
      <c r="FY55" s="189">
        <f t="shared" si="6"/>
        <v>0</v>
      </c>
      <c r="FZ55" s="258">
        <f t="shared" si="7"/>
        <v>0</v>
      </c>
      <c r="GA55" s="1293">
        <f>(SUM(FP55:FV55)+SUM(GU55:HB55)/(1-Summary!$O$25))*CY55/1000</f>
        <v>236230.45468759083</v>
      </c>
      <c r="GB55" s="1369">
        <f>IF($C55&lt;Summary!$M$81,+Summary!$O$81,VLOOKUP(C55,GasTable,19))</f>
        <v>2.4</v>
      </c>
      <c r="GC55" s="1370">
        <f>IF(H55&lt;=Summary!$N$84,MIN(GA55,Summary!$O$75*(H55-G55+1)),0)</f>
        <v>155000</v>
      </c>
      <c r="GD55" s="1371">
        <f>IF(Summary!$O$75*(H55-G55+1)*0.8&gt;GC55,1,0)</f>
        <v>0</v>
      </c>
      <c r="GE55" s="1372">
        <v>0</v>
      </c>
      <c r="GF55" s="1370">
        <f t="shared" si="8"/>
        <v>81230.454687590827</v>
      </c>
      <c r="GG55" s="1371">
        <f>GF55*(IF(Summary!$O$74=1,VLOOKUP($C55,GasTable,16)+Summary!$O$92+Summary!$O$93,VLOOKUP($C55,GasTable,19)+Summary!$O$92+Summary!$O$93))</f>
        <v>209781.00965248811</v>
      </c>
      <c r="GH55" s="1373">
        <v>19170.400000000001</v>
      </c>
      <c r="GI55" s="1466">
        <v>0</v>
      </c>
      <c r="GJ55" s="1374">
        <f t="shared" si="44"/>
        <v>600951.40965248819</v>
      </c>
      <c r="GK55" s="189">
        <f t="shared" si="9"/>
        <v>30062.012850000003</v>
      </c>
      <c r="GL55" s="266">
        <v>0.7604732831840002</v>
      </c>
      <c r="GM55" s="255">
        <f t="shared" si="10"/>
        <v>15221.000000000002</v>
      </c>
      <c r="GN55" s="189">
        <f>IF(SUM(GU55:HB55)=0,0,IF(Summary!$O$16="Yes",SUM(GX55:HB55),IF(Summary!$O$17="Yes",SUM(GY55:HB55),SUM(GU55:HB55))))</f>
        <v>12199.037850000001</v>
      </c>
      <c r="GO55" s="203">
        <v>2.6001718128832119</v>
      </c>
      <c r="GP55" s="258">
        <f t="shared" si="45"/>
        <v>31719.59436186542</v>
      </c>
      <c r="GQ55" s="189"/>
      <c r="GR55" s="189"/>
      <c r="GS55" s="189"/>
      <c r="GT55" s="189"/>
      <c r="GU55" s="268">
        <v>5389.4767500000007</v>
      </c>
      <c r="GV55" s="189">
        <v>1283.20875</v>
      </c>
      <c r="GW55" s="189">
        <v>1283.20875</v>
      </c>
      <c r="GX55" s="189"/>
      <c r="GY55" s="254">
        <v>2874.3875999999996</v>
      </c>
      <c r="GZ55" s="189">
        <v>684.37800000000004</v>
      </c>
      <c r="HA55" s="189">
        <v>684.37800000000004</v>
      </c>
      <c r="HB55" s="255"/>
      <c r="HC55" s="189">
        <v>12199.037850000001</v>
      </c>
      <c r="HD55" s="189"/>
      <c r="HE55" s="189">
        <v>20950.521525</v>
      </c>
      <c r="HF55" s="189">
        <v>347657.47162467707</v>
      </c>
      <c r="HG55" s="189"/>
      <c r="HH55" s="203">
        <v>28.031085257980795</v>
      </c>
      <c r="HI55" s="189">
        <v>587265.85506643681</v>
      </c>
      <c r="HJ55" s="268">
        <f t="shared" si="11"/>
        <v>0</v>
      </c>
      <c r="HK55" s="189">
        <f t="shared" si="12"/>
        <v>0</v>
      </c>
      <c r="HL55" s="189">
        <f t="shared" si="13"/>
        <v>0</v>
      </c>
      <c r="HM55" s="255">
        <f t="shared" si="14"/>
        <v>0</v>
      </c>
      <c r="HN55" s="189">
        <f t="shared" si="15"/>
        <v>0</v>
      </c>
      <c r="HO55" s="203">
        <f t="shared" si="46"/>
        <v>0</v>
      </c>
      <c r="HP55" s="258">
        <f t="shared" si="16"/>
        <v>0</v>
      </c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R55" s="223"/>
    </row>
    <row r="56" spans="1:252" ht="13.8" thickBot="1">
      <c r="A56" t="str">
        <f t="shared" si="23"/>
        <v>2003Q2</v>
      </c>
      <c r="B56">
        <f t="shared" si="24"/>
        <v>2003</v>
      </c>
      <c r="C56" s="49">
        <f t="shared" si="25"/>
        <v>37712</v>
      </c>
      <c r="D56" s="115">
        <f t="shared" si="26"/>
        <v>2003</v>
      </c>
      <c r="E56" s="10">
        <f t="shared" si="55"/>
        <v>4</v>
      </c>
      <c r="F56" s="248" t="str">
        <f t="shared" si="57"/>
        <v/>
      </c>
      <c r="G56" s="245">
        <v>37712</v>
      </c>
      <c r="H56" s="251">
        <v>37741</v>
      </c>
      <c r="I56" s="959">
        <f t="shared" si="53"/>
        <v>7.1499999999999994E-2</v>
      </c>
      <c r="J56" s="37">
        <f t="shared" si="27"/>
        <v>0.78599276747135183</v>
      </c>
      <c r="K56" s="1036" t="e">
        <f>IF(Summary!#REF!=1,+Summary!#REF!,I56+Summary!#REF!/10000)</f>
        <v>#REF!</v>
      </c>
      <c r="L56" s="37" t="e">
        <f t="shared" si="28"/>
        <v>#REF!</v>
      </c>
      <c r="M56" s="1004">
        <v>0</v>
      </c>
      <c r="N56" s="38">
        <f t="shared" si="63"/>
        <v>0</v>
      </c>
      <c r="O56" s="40">
        <f t="shared" si="63"/>
        <v>0</v>
      </c>
      <c r="P56" s="159">
        <f t="shared" si="60"/>
        <v>0</v>
      </c>
      <c r="Q56" s="38">
        <f t="shared" si="64"/>
        <v>0</v>
      </c>
      <c r="R56" s="40">
        <f t="shared" si="64"/>
        <v>0</v>
      </c>
      <c r="S56" s="38">
        <f t="shared" si="64"/>
        <v>0</v>
      </c>
      <c r="T56" s="38">
        <f t="shared" si="64"/>
        <v>0</v>
      </c>
      <c r="U56" s="38">
        <f t="shared" si="64"/>
        <v>0</v>
      </c>
      <c r="V56" s="159">
        <f t="shared" si="64"/>
        <v>0</v>
      </c>
      <c r="W56" s="38">
        <f t="shared" si="64"/>
        <v>0</v>
      </c>
      <c r="X56" s="39">
        <f t="shared" si="64"/>
        <v>0</v>
      </c>
      <c r="Y56" s="46">
        <v>0</v>
      </c>
      <c r="Z56" s="46">
        <v>0</v>
      </c>
      <c r="AA56" s="47">
        <v>0</v>
      </c>
      <c r="AB56" s="46">
        <v>0</v>
      </c>
      <c r="AC56" s="46">
        <v>0</v>
      </c>
      <c r="AD56" s="47">
        <v>0</v>
      </c>
      <c r="AE56" s="46">
        <v>0</v>
      </c>
      <c r="AF56" s="46">
        <v>0</v>
      </c>
      <c r="AG56" s="47">
        <v>0</v>
      </c>
      <c r="AH56" s="46">
        <v>0</v>
      </c>
      <c r="AI56" s="46">
        <v>0</v>
      </c>
      <c r="AJ56" s="47">
        <v>0</v>
      </c>
      <c r="AK56" s="46">
        <v>0</v>
      </c>
      <c r="AL56" s="46">
        <v>0</v>
      </c>
      <c r="AM56" s="47">
        <v>0</v>
      </c>
      <c r="AN56" s="46">
        <v>0</v>
      </c>
      <c r="AO56" s="46">
        <v>0</v>
      </c>
      <c r="AP56" s="47">
        <v>0</v>
      </c>
      <c r="AQ56" s="46">
        <v>0</v>
      </c>
      <c r="AR56" s="46">
        <v>0</v>
      </c>
      <c r="AS56" s="47">
        <v>0</v>
      </c>
      <c r="AT56" s="46">
        <v>0</v>
      </c>
      <c r="AU56" s="46">
        <v>0</v>
      </c>
      <c r="AV56" s="46">
        <v>0</v>
      </c>
      <c r="AW56" s="1545">
        <v>0</v>
      </c>
      <c r="AX56" s="10">
        <f t="shared" si="56"/>
        <v>22</v>
      </c>
      <c r="AY56" s="42">
        <f>IF(AND($E56=MONTH(Summary!$E$24),$D56=YEAR(Summary!$E$24)),Summary!$E$25,1)*IF(G56="",0,INT((H56-MOD(H56,7)-G56)/7)+1-IF(BA56,IF(WEEKDAY(F56)=7,1,0),0))</f>
        <v>4</v>
      </c>
      <c r="AZ56" s="42">
        <f>IF(AND($E56=MONTH(Summary!$E$24),$D56=YEAR(Summary!$E$24)),Summary!$E$25,1)*IF(G56="",0,INT((H56-MOD(H56-1,7)-G56)/7)+1-IF(BA56,IF(WEEKDAY(F56)=1,1,0),0))</f>
        <v>4</v>
      </c>
      <c r="BA56" s="42">
        <v>0</v>
      </c>
      <c r="BB56" s="10">
        <f>IF(AND($E56=MONTH(Summary!$E$24),$D56=YEAR(Summary!$E$24)),Summary!$E$25,1)*IF(G56="",0,H56-G56+1)</f>
        <v>30</v>
      </c>
      <c r="BC56" s="914">
        <f>Summary!$E$19</f>
        <v>1.4999999999999999E-2</v>
      </c>
      <c r="BD56" s="113">
        <v>15602.4</v>
      </c>
      <c r="BE56" s="171">
        <v>2836.8</v>
      </c>
      <c r="BF56" s="171">
        <v>2836.8</v>
      </c>
      <c r="BG56" s="174"/>
      <c r="BH56" s="1198">
        <v>1</v>
      </c>
      <c r="BI56" s="1198">
        <v>1</v>
      </c>
      <c r="BJ56" s="1198">
        <v>1</v>
      </c>
      <c r="BK56" s="1198">
        <v>1</v>
      </c>
      <c r="BL56" s="95">
        <v>3120.48</v>
      </c>
      <c r="BM56" s="171">
        <v>567.36</v>
      </c>
      <c r="BN56" s="171">
        <v>567.36</v>
      </c>
      <c r="BO56" s="174"/>
      <c r="BP56" s="1198">
        <v>1</v>
      </c>
      <c r="BQ56" s="1199">
        <v>1</v>
      </c>
      <c r="BR56" s="1199">
        <v>1</v>
      </c>
      <c r="BS56" s="1200">
        <v>1</v>
      </c>
      <c r="BT56" s="94">
        <f t="shared" si="29"/>
        <v>21276</v>
      </c>
      <c r="BU56" s="233">
        <f t="shared" si="30"/>
        <v>21276</v>
      </c>
      <c r="BV56" s="92">
        <f t="shared" si="31"/>
        <v>4255.2</v>
      </c>
      <c r="BW56" s="233">
        <f t="shared" si="32"/>
        <v>4255.2</v>
      </c>
      <c r="BX56" s="88">
        <v>3.2936344969199181</v>
      </c>
      <c r="BY56" s="90">
        <v>0</v>
      </c>
      <c r="BZ56" s="88">
        <v>0</v>
      </c>
      <c r="CA56" s="88">
        <v>0</v>
      </c>
      <c r="CB56" s="88">
        <v>0</v>
      </c>
      <c r="CC56" s="88">
        <v>0</v>
      </c>
      <c r="CD56" s="88">
        <v>0</v>
      </c>
      <c r="CE56" s="100">
        <v>0</v>
      </c>
      <c r="CF56" s="88">
        <v>0</v>
      </c>
      <c r="CG56" s="88">
        <v>0</v>
      </c>
      <c r="CH56" s="88">
        <v>0</v>
      </c>
      <c r="CI56" s="88">
        <v>0</v>
      </c>
      <c r="CJ56" s="228">
        <v>0</v>
      </c>
      <c r="CK56" s="88">
        <v>0</v>
      </c>
      <c r="CL56" s="88">
        <v>0</v>
      </c>
      <c r="CM56" s="88">
        <v>0</v>
      </c>
      <c r="CN56" s="88">
        <v>0</v>
      </c>
      <c r="CO56" s="88">
        <v>0</v>
      </c>
      <c r="CP56" s="88">
        <v>0</v>
      </c>
      <c r="CQ56" s="229">
        <v>0</v>
      </c>
      <c r="CR56" s="91">
        <v>0</v>
      </c>
      <c r="CS56" s="91">
        <v>0</v>
      </c>
      <c r="CT56" s="91">
        <v>0</v>
      </c>
      <c r="CU56" s="91">
        <v>0</v>
      </c>
      <c r="CV56" s="91">
        <v>0</v>
      </c>
      <c r="CW56" s="91">
        <v>0</v>
      </c>
      <c r="CX56" s="225">
        <v>0</v>
      </c>
      <c r="CY56" s="1265">
        <v>7746.0814399999999</v>
      </c>
      <c r="CZ56" s="90">
        <v>0</v>
      </c>
      <c r="DA56" s="88">
        <v>0</v>
      </c>
      <c r="DB56" s="88">
        <v>0</v>
      </c>
      <c r="DC56" s="88">
        <v>0</v>
      </c>
      <c r="DD56" s="88">
        <v>0</v>
      </c>
      <c r="DE56" s="152">
        <v>0</v>
      </c>
      <c r="DF56" s="230">
        <v>0</v>
      </c>
      <c r="DG56" s="38">
        <v>0</v>
      </c>
      <c r="DH56" s="1237">
        <v>0</v>
      </c>
      <c r="DI56" s="956">
        <v>0</v>
      </c>
      <c r="DJ56" s="956">
        <v>0</v>
      </c>
      <c r="DK56" s="956">
        <v>0</v>
      </c>
      <c r="DL56" s="152">
        <v>0</v>
      </c>
      <c r="DM56" s="160">
        <v>0</v>
      </c>
      <c r="DN56" s="160">
        <v>0</v>
      </c>
      <c r="DO56" s="160">
        <v>0</v>
      </c>
      <c r="DP56" s="160">
        <v>0</v>
      </c>
      <c r="DQ56" s="160">
        <v>0</v>
      </c>
      <c r="DR56" s="230">
        <v>0</v>
      </c>
      <c r="DS56" s="88">
        <v>0</v>
      </c>
      <c r="DT56" s="88">
        <v>0</v>
      </c>
      <c r="DU56" s="88">
        <v>0</v>
      </c>
      <c r="DV56" s="88">
        <v>0</v>
      </c>
      <c r="DW56" s="88">
        <v>0</v>
      </c>
      <c r="DX56" s="88">
        <v>0</v>
      </c>
      <c r="DY56" s="88">
        <v>0</v>
      </c>
      <c r="DZ56" s="88">
        <v>0</v>
      </c>
      <c r="EA56" s="88">
        <v>0</v>
      </c>
      <c r="EB56" s="152">
        <v>0</v>
      </c>
      <c r="EC56" s="52">
        <f t="shared" si="33"/>
        <v>0</v>
      </c>
      <c r="ED56" s="52">
        <f t="shared" si="33"/>
        <v>0</v>
      </c>
      <c r="EE56" s="52">
        <f t="shared" si="33"/>
        <v>0</v>
      </c>
      <c r="EF56" s="52">
        <f t="shared" si="33"/>
        <v>0</v>
      </c>
      <c r="EG56" s="52">
        <f t="shared" si="34"/>
        <v>0</v>
      </c>
      <c r="EH56" s="238">
        <v>0</v>
      </c>
      <c r="EI56" s="211">
        <v>0</v>
      </c>
      <c r="EJ56" s="211">
        <v>0</v>
      </c>
      <c r="EK56" s="211">
        <v>0</v>
      </c>
      <c r="EL56" s="217">
        <f>IF(C56&gt;=Summary!$E$26,MAX(0,SUM(EH56:EK56)),0)</f>
        <v>0</v>
      </c>
      <c r="EM56" s="52">
        <f>IF(C56&gt;=Summary!$E$26,DX56*BL56,0)</f>
        <v>0</v>
      </c>
      <c r="EN56" s="52">
        <f>IF(C56&gt;=Summary!$E$26,DY56*BM56,0)</f>
        <v>0</v>
      </c>
      <c r="EO56" s="52">
        <f>IF(C56&gt;=Summary!$E$26,DZ56*BN56,0)</f>
        <v>0</v>
      </c>
      <c r="EP56" s="52">
        <f>IF(C56&gt;=Summary!$E$26,EA56*BO56,0)</f>
        <v>0</v>
      </c>
      <c r="EQ56" s="52">
        <f>IF(C56&gt;=Summary!$E$26,DX56*BL56+DY56*BM56+DZ56*BN56+EA56*BO56,0)</f>
        <v>0</v>
      </c>
      <c r="ER56" s="826">
        <v>0</v>
      </c>
      <c r="ES56" s="278">
        <v>0</v>
      </c>
      <c r="ET56" s="278">
        <v>0</v>
      </c>
      <c r="EU56" s="278">
        <v>0</v>
      </c>
      <c r="EV56" s="212">
        <f>IF(C56&gt;=Summary!$E$26,MAX(0,SUM(ER56:EU56)),0)</f>
        <v>0</v>
      </c>
      <c r="EW56" s="52"/>
      <c r="EX56" s="1049">
        <f t="shared" si="35"/>
        <v>0</v>
      </c>
      <c r="EY56" s="1045" t="str">
        <f t="shared" si="36"/>
        <v/>
      </c>
      <c r="EZ56" s="1684" t="s">
        <v>525</v>
      </c>
      <c r="FA56" s="1046">
        <f t="shared" si="54"/>
        <v>45</v>
      </c>
      <c r="FB56" s="256">
        <f t="shared" si="37"/>
        <v>9751.5</v>
      </c>
      <c r="FC56" s="194">
        <f t="shared" si="38"/>
        <v>2925.45</v>
      </c>
      <c r="FD56" s="194">
        <f t="shared" si="39"/>
        <v>1773</v>
      </c>
      <c r="FE56" s="194">
        <f t="shared" si="40"/>
        <v>531.9</v>
      </c>
      <c r="FF56" s="194">
        <f t="shared" si="41"/>
        <v>1773</v>
      </c>
      <c r="FG56" s="194">
        <f t="shared" si="42"/>
        <v>531.9</v>
      </c>
      <c r="FH56" s="257">
        <f>IF(EZ56="No",IF((OR(MONTH(C56)=5,MONTH(C56)=6,MONTH(C56)=7,MONTH(C56)=8,MONTH(C56)=9)),Summary!$O$15*12*(AX56+AY56+AZ56+BA56)*(1-$BC56),Summary!$O$15*13*(AX56+AY56+AZ56+BA56)*(1-$BC56)+IF(Summary!$O$16="Yes",(CALC!FA56+Summary!$O$15)*6*(AX56+AY56+AZ56+BA56)*(1-$BC56),0)),0)</f>
        <v>0</v>
      </c>
      <c r="FI56" s="1412">
        <f>IF(MONTH(C56)=5,FI55*(IF(Summary!$E$70="no",(1+(Summary!$E$71*0.8)),1+HLOOKUP(YEAR(C56)-1,CCFMODEL!$I$127:$AF$128,2)*0.8)),+FI55)</f>
        <v>28.564297085197083</v>
      </c>
      <c r="FJ56" s="1411">
        <f>IF(MONTH(C56)=5,FJ55*(IF(Summary!$E$70="no",(1+(Summary!$E$71*0.8)),1+HLOOKUP(YEAR(CALC!C56)-1,CCFMODEL!$I$127:$AF$128,2)*0.8)),FJ55)</f>
        <v>24.965645483912407</v>
      </c>
      <c r="FK56" s="832">
        <f t="shared" si="1"/>
        <v>493783.86263753066</v>
      </c>
      <c r="FL56" s="1412">
        <f>IF(MONTH(C56)=5,FL55*(IF(Summary!$E$70="no",(1+(Summary!$E$71*0.8)),1+HLOOKUP(YEAR(CALC!C56)-1,CCFMODEL!$I$127:$AF$128,2)*0.8)),+FL55)</f>
        <v>60.073919141683703</v>
      </c>
      <c r="FM56" s="1411">
        <f>IF(MONTH(C56)=5,FM55*(IF(Summary!$E$70="no",(1+(Summary!$E$71*0.8)),1+HLOOKUP(YEAR(CALC!C56)-1,CCFMODEL!$I$127:$AF$128,2)*0.8)),+FM55)</f>
        <v>28.67139981142579</v>
      </c>
      <c r="FN56" s="832">
        <f t="shared" si="2"/>
        <v>503183.0666905226</v>
      </c>
      <c r="FO56" s="194">
        <f t="shared" si="43"/>
        <v>996966.92932805326</v>
      </c>
      <c r="FP56" s="263">
        <f t="shared" si="61"/>
        <v>9751.5</v>
      </c>
      <c r="FQ56" s="194">
        <f t="shared" si="61"/>
        <v>2925.45</v>
      </c>
      <c r="FR56" s="194">
        <f t="shared" si="61"/>
        <v>1773</v>
      </c>
      <c r="FS56" s="194">
        <f t="shared" si="61"/>
        <v>531.9</v>
      </c>
      <c r="FT56" s="194">
        <f t="shared" si="61"/>
        <v>1773</v>
      </c>
      <c r="FU56" s="194">
        <f t="shared" si="61"/>
        <v>531.9</v>
      </c>
      <c r="FV56" s="257">
        <f t="shared" si="61"/>
        <v>0</v>
      </c>
      <c r="FW56" s="189">
        <f t="shared" si="4"/>
        <v>0</v>
      </c>
      <c r="FX56" s="189">
        <f t="shared" si="5"/>
        <v>0</v>
      </c>
      <c r="FY56" s="189">
        <f t="shared" si="6"/>
        <v>0</v>
      </c>
      <c r="FZ56" s="258">
        <f t="shared" si="7"/>
        <v>0</v>
      </c>
      <c r="GA56" s="1293">
        <f>(SUM(FP56:FV56)+SUM(GU56:HB56)/(1-Summary!$O$25))*CY56/1000</f>
        <v>228667.80984544798</v>
      </c>
      <c r="GB56" s="1369">
        <f>IF($C56&lt;Summary!$M$81,+Summary!$O$81,VLOOKUP(C56,GasTable,19))</f>
        <v>2.4</v>
      </c>
      <c r="GC56" s="1370">
        <f>IF(H56&lt;=Summary!$N$84,MIN(GA56,Summary!$O$75*(H56-G56+1)),0)</f>
        <v>150000</v>
      </c>
      <c r="GD56" s="1371">
        <f>IF(Summary!$O$75*(H56-G56+1)*0.8&gt;GC56,1,0)</f>
        <v>0</v>
      </c>
      <c r="GE56" s="1372">
        <v>0</v>
      </c>
      <c r="GF56" s="1370">
        <f t="shared" si="8"/>
        <v>78667.809845447977</v>
      </c>
      <c r="GG56" s="1371">
        <f>GF56*(IF(Summary!$O$74=1,VLOOKUP($C56,GasTable,16)+Summary!$O$92+Summary!$O$93,VLOOKUP($C56,GasTable,19)+Summary!$O$92+Summary!$O$93))</f>
        <v>196266.11677415733</v>
      </c>
      <c r="GH56" s="1373">
        <v>17712</v>
      </c>
      <c r="GI56" s="1466">
        <v>0</v>
      </c>
      <c r="GJ56" s="1374">
        <f t="shared" si="44"/>
        <v>573978.11677415739</v>
      </c>
      <c r="GK56" s="189">
        <f t="shared" si="9"/>
        <v>29092.270500000002</v>
      </c>
      <c r="GL56" s="266">
        <v>0.76066519740799998</v>
      </c>
      <c r="GM56" s="255">
        <f t="shared" si="10"/>
        <v>14730</v>
      </c>
      <c r="GN56" s="189">
        <f>IF(SUM(GU56:HB56)=0,0,IF(Summary!$O$16="Yes",SUM(GX56:HB56),IF(Summary!$O$17="Yes",SUM(GY56:HB56),SUM(GU56:HB56))))</f>
        <v>11805.520499999999</v>
      </c>
      <c r="GO56" s="203">
        <v>2.6001718128832119</v>
      </c>
      <c r="GP56" s="258">
        <f t="shared" si="45"/>
        <v>30696.381640514919</v>
      </c>
      <c r="GQ56" s="189"/>
      <c r="GR56" s="189"/>
      <c r="GS56" s="189"/>
      <c r="GT56" s="189"/>
      <c r="GU56" s="268">
        <v>5646.1184999999996</v>
      </c>
      <c r="GV56" s="189">
        <v>1026.5670000000002</v>
      </c>
      <c r="GW56" s="189">
        <v>1026.5670000000002</v>
      </c>
      <c r="GX56" s="189"/>
      <c r="GY56" s="254">
        <v>3011.2631999999999</v>
      </c>
      <c r="GZ56" s="189">
        <v>547.50239999999997</v>
      </c>
      <c r="HA56" s="189">
        <v>547.50239999999997</v>
      </c>
      <c r="HB56" s="255"/>
      <c r="HC56" s="189">
        <v>11805.520499999999</v>
      </c>
      <c r="HD56" s="189"/>
      <c r="HE56" s="189">
        <v>13858.654499999999</v>
      </c>
      <c r="HF56" s="189">
        <v>323283.34033916908</v>
      </c>
      <c r="HG56" s="189"/>
      <c r="HH56" s="203">
        <v>27.384081908050483</v>
      </c>
      <c r="HI56" s="189">
        <v>379506.52996337239</v>
      </c>
      <c r="HJ56" s="268">
        <f t="shared" si="11"/>
        <v>0</v>
      </c>
      <c r="HK56" s="189">
        <f t="shared" si="12"/>
        <v>0</v>
      </c>
      <c r="HL56" s="189">
        <f t="shared" si="13"/>
        <v>0</v>
      </c>
      <c r="HM56" s="255">
        <f t="shared" si="14"/>
        <v>0</v>
      </c>
      <c r="HN56" s="189">
        <f t="shared" si="15"/>
        <v>0</v>
      </c>
      <c r="HO56" s="203">
        <f t="shared" si="46"/>
        <v>0</v>
      </c>
      <c r="HP56" s="258">
        <f t="shared" si="16"/>
        <v>0</v>
      </c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R56" s="223"/>
    </row>
    <row r="57" spans="1:252" ht="13.8" thickBot="1">
      <c r="A57" t="str">
        <f t="shared" si="23"/>
        <v>2003Q2</v>
      </c>
      <c r="B57">
        <f t="shared" si="24"/>
        <v>2003</v>
      </c>
      <c r="C57" s="49">
        <f t="shared" si="25"/>
        <v>37742</v>
      </c>
      <c r="D57" s="115">
        <f t="shared" si="26"/>
        <v>2003</v>
      </c>
      <c r="E57" s="10">
        <f t="shared" si="55"/>
        <v>5</v>
      </c>
      <c r="F57" s="248">
        <f t="shared" si="57"/>
        <v>37767</v>
      </c>
      <c r="G57" s="245">
        <v>37742</v>
      </c>
      <c r="H57" s="251">
        <v>37772</v>
      </c>
      <c r="I57" s="959">
        <f t="shared" si="53"/>
        <v>7.1499999999999994E-2</v>
      </c>
      <c r="J57" s="37">
        <f t="shared" si="27"/>
        <v>0.7813202367207116</v>
      </c>
      <c r="K57" s="1036" t="e">
        <f>IF(Summary!#REF!=1,+Summary!#REF!,I57+Summary!#REF!/10000)</f>
        <v>#REF!</v>
      </c>
      <c r="L57" s="37" t="e">
        <f t="shared" si="28"/>
        <v>#REF!</v>
      </c>
      <c r="M57" s="1004">
        <v>0</v>
      </c>
      <c r="N57" s="38">
        <f t="shared" si="63"/>
        <v>0</v>
      </c>
      <c r="O57" s="40">
        <f t="shared" si="63"/>
        <v>0</v>
      </c>
      <c r="P57" s="159">
        <f t="shared" si="60"/>
        <v>0</v>
      </c>
      <c r="Q57" s="38">
        <f t="shared" si="64"/>
        <v>0</v>
      </c>
      <c r="R57" s="40">
        <f t="shared" si="64"/>
        <v>0</v>
      </c>
      <c r="S57" s="38">
        <f t="shared" si="64"/>
        <v>0</v>
      </c>
      <c r="T57" s="38">
        <f t="shared" si="64"/>
        <v>0</v>
      </c>
      <c r="U57" s="38">
        <f t="shared" si="64"/>
        <v>0</v>
      </c>
      <c r="V57" s="159">
        <f t="shared" si="64"/>
        <v>0</v>
      </c>
      <c r="W57" s="38">
        <f t="shared" si="64"/>
        <v>0</v>
      </c>
      <c r="X57" s="39">
        <f t="shared" si="64"/>
        <v>0</v>
      </c>
      <c r="Y57" s="46">
        <v>0</v>
      </c>
      <c r="Z57" s="46">
        <v>0</v>
      </c>
      <c r="AA57" s="47">
        <v>0</v>
      </c>
      <c r="AB57" s="46">
        <v>0</v>
      </c>
      <c r="AC57" s="46">
        <v>0</v>
      </c>
      <c r="AD57" s="47">
        <v>0</v>
      </c>
      <c r="AE57" s="46">
        <v>0</v>
      </c>
      <c r="AF57" s="46">
        <v>0</v>
      </c>
      <c r="AG57" s="47">
        <v>0</v>
      </c>
      <c r="AH57" s="46">
        <v>0</v>
      </c>
      <c r="AI57" s="46">
        <v>0</v>
      </c>
      <c r="AJ57" s="47">
        <v>0</v>
      </c>
      <c r="AK57" s="46">
        <v>0</v>
      </c>
      <c r="AL57" s="46">
        <v>0</v>
      </c>
      <c r="AM57" s="47">
        <v>0</v>
      </c>
      <c r="AN57" s="46">
        <v>0</v>
      </c>
      <c r="AO57" s="46">
        <v>0</v>
      </c>
      <c r="AP57" s="47">
        <v>0</v>
      </c>
      <c r="AQ57" s="46">
        <v>0</v>
      </c>
      <c r="AR57" s="46">
        <v>0</v>
      </c>
      <c r="AS57" s="47">
        <v>0</v>
      </c>
      <c r="AT57" s="46">
        <v>0</v>
      </c>
      <c r="AU57" s="46">
        <v>0</v>
      </c>
      <c r="AV57" s="46">
        <v>0</v>
      </c>
      <c r="AW57" s="1545">
        <v>0</v>
      </c>
      <c r="AX57" s="10">
        <f t="shared" si="56"/>
        <v>21</v>
      </c>
      <c r="AY57" s="42">
        <f>IF(AND($E57=MONTH(Summary!$E$24),$D57=YEAR(Summary!$E$24)),Summary!$E$25,1)*IF(G57="",0,INT((H57-MOD(H57,7)-G57)/7)+1-IF(BA57,IF(WEEKDAY(F57)=7,1,0),0))</f>
        <v>5</v>
      </c>
      <c r="AZ57" s="42">
        <f>IF(AND($E57=MONTH(Summary!$E$24),$D57=YEAR(Summary!$E$24)),Summary!$E$25,1)*IF(G57="",0,INT((H57-MOD(H57-1,7)-G57)/7)+1-IF(BA57,IF(WEEKDAY(F57)=1,1,0),0))</f>
        <v>4</v>
      </c>
      <c r="BA57" s="42">
        <v>1</v>
      </c>
      <c r="BB57" s="10">
        <f>IF(AND($E57=MONTH(Summary!$E$24),$D57=YEAR(Summary!$E$24)),Summary!$E$25,1)*IF(G57="",0,H57-G57+1)</f>
        <v>31</v>
      </c>
      <c r="BC57" s="914">
        <f>Summary!$E$19</f>
        <v>1.4999999999999999E-2</v>
      </c>
      <c r="BD57" s="113">
        <v>14893.2</v>
      </c>
      <c r="BE57" s="171">
        <v>3546</v>
      </c>
      <c r="BF57" s="171">
        <v>3546</v>
      </c>
      <c r="BG57" s="174"/>
      <c r="BH57" s="1198">
        <v>1</v>
      </c>
      <c r="BI57" s="1198">
        <v>1</v>
      </c>
      <c r="BJ57" s="1198">
        <v>1</v>
      </c>
      <c r="BK57" s="1198">
        <v>1</v>
      </c>
      <c r="BL57" s="95">
        <v>2978.64</v>
      </c>
      <c r="BM57" s="171">
        <v>709.2</v>
      </c>
      <c r="BN57" s="171">
        <v>709.2</v>
      </c>
      <c r="BO57" s="174"/>
      <c r="BP57" s="1198">
        <v>1</v>
      </c>
      <c r="BQ57" s="1199">
        <v>1</v>
      </c>
      <c r="BR57" s="1199">
        <v>1</v>
      </c>
      <c r="BS57" s="1200">
        <v>1</v>
      </c>
      <c r="BT57" s="94">
        <f t="shared" si="29"/>
        <v>21985.200000000001</v>
      </c>
      <c r="BU57" s="233">
        <f t="shared" si="30"/>
        <v>21985.200000000001</v>
      </c>
      <c r="BV57" s="92">
        <f t="shared" si="31"/>
        <v>4397.04</v>
      </c>
      <c r="BW57" s="233">
        <f t="shared" si="32"/>
        <v>4397.04</v>
      </c>
      <c r="BX57" s="88">
        <v>3.375770020533881</v>
      </c>
      <c r="BY57" s="90">
        <v>0</v>
      </c>
      <c r="BZ57" s="88">
        <v>0</v>
      </c>
      <c r="CA57" s="88">
        <v>0</v>
      </c>
      <c r="CB57" s="88">
        <v>0</v>
      </c>
      <c r="CC57" s="88">
        <v>0</v>
      </c>
      <c r="CD57" s="88">
        <v>0</v>
      </c>
      <c r="CE57" s="100">
        <v>0</v>
      </c>
      <c r="CF57" s="88">
        <v>0</v>
      </c>
      <c r="CG57" s="88">
        <v>0</v>
      </c>
      <c r="CH57" s="88">
        <v>0</v>
      </c>
      <c r="CI57" s="88">
        <v>0</v>
      </c>
      <c r="CJ57" s="228">
        <v>0</v>
      </c>
      <c r="CK57" s="88">
        <v>0</v>
      </c>
      <c r="CL57" s="88">
        <v>0</v>
      </c>
      <c r="CM57" s="88">
        <v>0</v>
      </c>
      <c r="CN57" s="88">
        <v>0</v>
      </c>
      <c r="CO57" s="88">
        <v>0</v>
      </c>
      <c r="CP57" s="88">
        <v>0</v>
      </c>
      <c r="CQ57" s="229">
        <v>0</v>
      </c>
      <c r="CR57" s="91">
        <v>0</v>
      </c>
      <c r="CS57" s="91">
        <v>0</v>
      </c>
      <c r="CT57" s="91">
        <v>0</v>
      </c>
      <c r="CU57" s="91">
        <v>0</v>
      </c>
      <c r="CV57" s="91">
        <v>0</v>
      </c>
      <c r="CW57" s="91">
        <v>0</v>
      </c>
      <c r="CX57" s="225">
        <v>0</v>
      </c>
      <c r="CY57" s="1265">
        <v>7748.0357599999988</v>
      </c>
      <c r="CZ57" s="90">
        <v>0</v>
      </c>
      <c r="DA57" s="88">
        <v>0</v>
      </c>
      <c r="DB57" s="88">
        <v>0</v>
      </c>
      <c r="DC57" s="88">
        <v>0</v>
      </c>
      <c r="DD57" s="88">
        <v>0</v>
      </c>
      <c r="DE57" s="152">
        <v>0</v>
      </c>
      <c r="DF57" s="230">
        <v>0</v>
      </c>
      <c r="DG57" s="38">
        <v>0</v>
      </c>
      <c r="DH57" s="1237">
        <v>0</v>
      </c>
      <c r="DI57" s="956">
        <v>0</v>
      </c>
      <c r="DJ57" s="956">
        <v>0</v>
      </c>
      <c r="DK57" s="956">
        <v>0</v>
      </c>
      <c r="DL57" s="152">
        <v>0</v>
      </c>
      <c r="DM57" s="160">
        <v>0</v>
      </c>
      <c r="DN57" s="160">
        <v>0</v>
      </c>
      <c r="DO57" s="160">
        <v>0</v>
      </c>
      <c r="DP57" s="160">
        <v>0</v>
      </c>
      <c r="DQ57" s="160">
        <v>0</v>
      </c>
      <c r="DR57" s="230">
        <v>0</v>
      </c>
      <c r="DS57" s="88">
        <v>0</v>
      </c>
      <c r="DT57" s="88">
        <v>0</v>
      </c>
      <c r="DU57" s="88">
        <v>0</v>
      </c>
      <c r="DV57" s="88">
        <v>0</v>
      </c>
      <c r="DW57" s="88">
        <v>0</v>
      </c>
      <c r="DX57" s="88">
        <v>0</v>
      </c>
      <c r="DY57" s="88">
        <v>0</v>
      </c>
      <c r="DZ57" s="88">
        <v>0</v>
      </c>
      <c r="EA57" s="88">
        <v>0</v>
      </c>
      <c r="EB57" s="152">
        <v>0</v>
      </c>
      <c r="EC57" s="52">
        <f t="shared" si="33"/>
        <v>0</v>
      </c>
      <c r="ED57" s="52">
        <f t="shared" si="33"/>
        <v>0</v>
      </c>
      <c r="EE57" s="52">
        <f t="shared" si="33"/>
        <v>0</v>
      </c>
      <c r="EF57" s="52">
        <f t="shared" si="33"/>
        <v>0</v>
      </c>
      <c r="EG57" s="52">
        <f t="shared" si="34"/>
        <v>0</v>
      </c>
      <c r="EH57" s="238">
        <v>0</v>
      </c>
      <c r="EI57" s="211">
        <v>0</v>
      </c>
      <c r="EJ57" s="211">
        <v>0</v>
      </c>
      <c r="EK57" s="211">
        <v>0</v>
      </c>
      <c r="EL57" s="217">
        <f>IF(C57&gt;=Summary!$E$26,MAX(0,SUM(EH57:EK57)),0)</f>
        <v>0</v>
      </c>
      <c r="EM57" s="52">
        <f>IF(C57&gt;=Summary!$E$26,DX57*BL57,0)</f>
        <v>0</v>
      </c>
      <c r="EN57" s="52">
        <f>IF(C57&gt;=Summary!$E$26,DY57*BM57,0)</f>
        <v>0</v>
      </c>
      <c r="EO57" s="52">
        <f>IF(C57&gt;=Summary!$E$26,DZ57*BN57,0)</f>
        <v>0</v>
      </c>
      <c r="EP57" s="52">
        <f>IF(C57&gt;=Summary!$E$26,EA57*BO57,0)</f>
        <v>0</v>
      </c>
      <c r="EQ57" s="52">
        <f>IF(C57&gt;=Summary!$E$26,DX57*BL57+DY57*BM57+DZ57*BN57+EA57*BO57,0)</f>
        <v>0</v>
      </c>
      <c r="ER57" s="826">
        <v>0</v>
      </c>
      <c r="ES57" s="278">
        <v>0</v>
      </c>
      <c r="ET57" s="278">
        <v>0</v>
      </c>
      <c r="EU57" s="278">
        <v>0</v>
      </c>
      <c r="EV57" s="212">
        <f>IF(C57&gt;=Summary!$E$26,MAX(0,SUM(ER57:EU57)),0)</f>
        <v>0</v>
      </c>
      <c r="EW57" s="52"/>
      <c r="EX57" s="1049">
        <f t="shared" si="35"/>
        <v>0</v>
      </c>
      <c r="EY57" s="1045" t="str">
        <f t="shared" si="36"/>
        <v/>
      </c>
      <c r="EZ57" s="1684" t="s">
        <v>525</v>
      </c>
      <c r="FA57" s="1046">
        <f t="shared" si="54"/>
        <v>45</v>
      </c>
      <c r="FB57" s="256">
        <f t="shared" si="37"/>
        <v>11169.9</v>
      </c>
      <c r="FC57" s="194">
        <f t="shared" si="38"/>
        <v>0</v>
      </c>
      <c r="FD57" s="194">
        <f t="shared" si="39"/>
        <v>2659.5</v>
      </c>
      <c r="FE57" s="194">
        <f t="shared" si="40"/>
        <v>0</v>
      </c>
      <c r="FF57" s="194">
        <f t="shared" si="41"/>
        <v>2659.5</v>
      </c>
      <c r="FG57" s="194">
        <f t="shared" si="42"/>
        <v>0</v>
      </c>
      <c r="FH57" s="257">
        <f>IF(EZ57="No",IF((OR(MONTH(C57)=5,MONTH(C57)=6,MONTH(C57)=7,MONTH(C57)=8,MONTH(C57)=9)),Summary!$O$15*12*(AX57+AY57+AZ57+BA57)*(1-$BC57),Summary!$O$15*13*(AX57+AY57+AZ57+BA57)*(1-$BC57)+IF(Summary!$O$16="Yes",(CALC!FA57+Summary!$O$15)*6*(AX57+AY57+AZ57+BA57)*(1-$BC57),0)),0)</f>
        <v>0</v>
      </c>
      <c r="FI57" s="1412">
        <f>IF(MONTH(C57)=5,FI56*(IF(Summary!$E$70="no",(1+(Summary!$E$71*0.8)),1+HLOOKUP(YEAR(C57)-1,CCFMODEL!$I$127:$AF$128,2)*0.8)),+FI56)</f>
        <v>29.249840215241814</v>
      </c>
      <c r="FJ57" s="1411">
        <f>IF(MONTH(C57)=5,FJ56*(IF(Summary!$E$70="no",(1+(Summary!$E$71*0.8)),1+HLOOKUP(YEAR(CALC!C57)-1,CCFMODEL!$I$127:$AF$128,2)*0.8)),FJ56)</f>
        <v>25.564820975526306</v>
      </c>
      <c r="FK57" s="832">
        <f t="shared" si="1"/>
        <v>482297.69032510079</v>
      </c>
      <c r="FL57" s="1412">
        <f>IF(MONTH(C57)=5,FL56*(IF(Summary!$E$70="no",(1+(Summary!$E$71*0.8)),1+HLOOKUP(YEAR(CALC!C57)-1,CCFMODEL!$I$127:$AF$128,2)*0.8)),+FL56)</f>
        <v>61.515693201084112</v>
      </c>
      <c r="FM57" s="1411">
        <f>IF(MONTH(C57)=5,FM56*(IF(Summary!$E$70="no",(1+(Summary!$E$71*0.8)),1+HLOOKUP(YEAR(CALC!C57)-1,CCFMODEL!$I$127:$AF$128,2)*0.8)),+FM56)</f>
        <v>29.35951340690001</v>
      </c>
      <c r="FN57" s="832">
        <f t="shared" si="2"/>
        <v>1029772.704186148</v>
      </c>
      <c r="FO57" s="194">
        <f t="shared" si="43"/>
        <v>1512070.3945112489</v>
      </c>
      <c r="FP57" s="263">
        <f t="shared" si="61"/>
        <v>11169.9</v>
      </c>
      <c r="FQ57" s="194">
        <f t="shared" si="61"/>
        <v>0</v>
      </c>
      <c r="FR57" s="194">
        <f t="shared" si="61"/>
        <v>2659.5</v>
      </c>
      <c r="FS57" s="194">
        <f t="shared" si="61"/>
        <v>0</v>
      </c>
      <c r="FT57" s="194">
        <f t="shared" si="61"/>
        <v>2659.5</v>
      </c>
      <c r="FU57" s="194">
        <f t="shared" si="61"/>
        <v>0</v>
      </c>
      <c r="FV57" s="257">
        <f t="shared" si="61"/>
        <v>0</v>
      </c>
      <c r="FW57" s="189">
        <f t="shared" si="4"/>
        <v>0</v>
      </c>
      <c r="FX57" s="189">
        <f t="shared" si="5"/>
        <v>0</v>
      </c>
      <c r="FY57" s="189">
        <f t="shared" si="6"/>
        <v>0</v>
      </c>
      <c r="FZ57" s="258">
        <f t="shared" si="7"/>
        <v>0</v>
      </c>
      <c r="GA57" s="1293">
        <f>(SUM(FP57:FV57)+SUM(GU57:HB57)/(1-Summary!$O$25))*CY57/1000</f>
        <v>204410.53894890239</v>
      </c>
      <c r="GB57" s="1369">
        <f>IF($C57&lt;Summary!$M$81,+Summary!$O$81,VLOOKUP(C57,GasTable,19))</f>
        <v>2.4</v>
      </c>
      <c r="GC57" s="1370">
        <f>IF(H57&lt;=Summary!$N$84,MIN(GA57,Summary!$O$75*(H57-G57+1)),0)</f>
        <v>155000</v>
      </c>
      <c r="GD57" s="1371">
        <f>IF(Summary!$O$75*(H57-G57+1)*0.8&gt;GC57,1,0)</f>
        <v>0</v>
      </c>
      <c r="GE57" s="1372">
        <v>0</v>
      </c>
      <c r="GF57" s="1370">
        <f t="shared" si="8"/>
        <v>49410.538948902395</v>
      </c>
      <c r="GG57" s="1371">
        <f>GF57*(IF(Summary!$O$74=1,VLOOKUP($C57,GasTable,16)+Summary!$O$92+Summary!$O$93,VLOOKUP($C57,GasTable,19)+Summary!$O$92+Summary!$O$93))</f>
        <v>121747.36615512292</v>
      </c>
      <c r="GH57" s="1373">
        <v>18209.400000000001</v>
      </c>
      <c r="GI57" s="1466">
        <v>0</v>
      </c>
      <c r="GJ57" s="1374">
        <f t="shared" si="44"/>
        <v>511956.76615512295</v>
      </c>
      <c r="GK57" s="189">
        <f t="shared" si="9"/>
        <v>26035.973100000003</v>
      </c>
      <c r="GL57" s="266">
        <v>0.76085711163199987</v>
      </c>
      <c r="GM57" s="255">
        <f t="shared" si="10"/>
        <v>15221</v>
      </c>
      <c r="GN57" s="189">
        <f>IF(SUM(GU57:HB57)=0,0,IF(Summary!$O$16="Yes",SUM(GX57:HB57),IF(Summary!$O$17="Yes",SUM(GY57:HB57),SUM(GU57:HB57))))</f>
        <v>9547.0731000000014</v>
      </c>
      <c r="GO57" s="203">
        <v>2.6001718128832119</v>
      </c>
      <c r="GP57" s="258">
        <f t="shared" si="45"/>
        <v>24824.030370155549</v>
      </c>
      <c r="GQ57" s="189"/>
      <c r="GR57" s="189"/>
      <c r="GS57" s="189"/>
      <c r="GT57" s="189"/>
      <c r="GU57" s="268">
        <v>3592.9845000000009</v>
      </c>
      <c r="GV57" s="189">
        <v>855.47249999999997</v>
      </c>
      <c r="GW57" s="189">
        <v>855.47249999999997</v>
      </c>
      <c r="GX57" s="189"/>
      <c r="GY57" s="254">
        <v>2874.3875999999996</v>
      </c>
      <c r="GZ57" s="189">
        <v>684.37800000000004</v>
      </c>
      <c r="HA57" s="189">
        <v>684.37800000000004</v>
      </c>
      <c r="HB57" s="255"/>
      <c r="HC57" s="189">
        <v>9547.0731000000014</v>
      </c>
      <c r="HD57" s="189"/>
      <c r="HE57" s="189">
        <v>22276.503900000003</v>
      </c>
      <c r="HF57" s="189">
        <v>263091.09838729078</v>
      </c>
      <c r="HG57" s="189"/>
      <c r="HH57" s="203">
        <v>27.920859391778187</v>
      </c>
      <c r="HI57" s="189">
        <v>621979.13313229848</v>
      </c>
      <c r="HJ57" s="268">
        <f t="shared" si="11"/>
        <v>0</v>
      </c>
      <c r="HK57" s="189">
        <f t="shared" si="12"/>
        <v>0</v>
      </c>
      <c r="HL57" s="189">
        <f t="shared" si="13"/>
        <v>0</v>
      </c>
      <c r="HM57" s="255">
        <f t="shared" si="14"/>
        <v>0</v>
      </c>
      <c r="HN57" s="189">
        <f t="shared" si="15"/>
        <v>0</v>
      </c>
      <c r="HO57" s="203">
        <f t="shared" si="46"/>
        <v>0</v>
      </c>
      <c r="HP57" s="258">
        <f t="shared" si="16"/>
        <v>0</v>
      </c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R57" s="223"/>
    </row>
    <row r="58" spans="1:252" ht="13.8" thickBot="1">
      <c r="A58" t="str">
        <f t="shared" si="23"/>
        <v>2003Q2</v>
      </c>
      <c r="B58">
        <f t="shared" si="24"/>
        <v>2003</v>
      </c>
      <c r="C58" s="49">
        <f t="shared" si="25"/>
        <v>37773</v>
      </c>
      <c r="D58" s="115">
        <f t="shared" si="26"/>
        <v>2003</v>
      </c>
      <c r="E58" s="10">
        <f t="shared" si="55"/>
        <v>6</v>
      </c>
      <c r="F58" s="248" t="str">
        <f t="shared" si="57"/>
        <v/>
      </c>
      <c r="G58" s="245">
        <v>37773</v>
      </c>
      <c r="H58" s="251">
        <v>37802</v>
      </c>
      <c r="I58" s="959">
        <f t="shared" si="53"/>
        <v>7.1499999999999994E-2</v>
      </c>
      <c r="J58" s="37">
        <f t="shared" si="27"/>
        <v>0.7768248818926714</v>
      </c>
      <c r="K58" s="1036" t="e">
        <f>IF(Summary!#REF!=1,+Summary!#REF!,I58+Summary!#REF!/10000)</f>
        <v>#REF!</v>
      </c>
      <c r="L58" s="37" t="e">
        <f t="shared" si="28"/>
        <v>#REF!</v>
      </c>
      <c r="M58" s="1004">
        <v>0</v>
      </c>
      <c r="N58" s="38">
        <f t="shared" si="63"/>
        <v>0</v>
      </c>
      <c r="O58" s="40">
        <f t="shared" si="63"/>
        <v>0</v>
      </c>
      <c r="P58" s="159">
        <f t="shared" si="60"/>
        <v>0</v>
      </c>
      <c r="Q58" s="38">
        <f t="shared" si="64"/>
        <v>0</v>
      </c>
      <c r="R58" s="40">
        <f t="shared" si="64"/>
        <v>0</v>
      </c>
      <c r="S58" s="38">
        <f t="shared" si="64"/>
        <v>0</v>
      </c>
      <c r="T58" s="38">
        <f t="shared" si="64"/>
        <v>0</v>
      </c>
      <c r="U58" s="38">
        <f t="shared" si="64"/>
        <v>0</v>
      </c>
      <c r="V58" s="159">
        <f t="shared" si="64"/>
        <v>0</v>
      </c>
      <c r="W58" s="38">
        <f t="shared" si="64"/>
        <v>0</v>
      </c>
      <c r="X58" s="39">
        <f t="shared" si="64"/>
        <v>0</v>
      </c>
      <c r="Y58" s="46">
        <v>0</v>
      </c>
      <c r="Z58" s="46">
        <v>0</v>
      </c>
      <c r="AA58" s="47">
        <v>0</v>
      </c>
      <c r="AB58" s="46">
        <v>0</v>
      </c>
      <c r="AC58" s="46">
        <v>0</v>
      </c>
      <c r="AD58" s="47">
        <v>0</v>
      </c>
      <c r="AE58" s="46">
        <v>0</v>
      </c>
      <c r="AF58" s="46">
        <v>0</v>
      </c>
      <c r="AG58" s="47">
        <v>0</v>
      </c>
      <c r="AH58" s="46">
        <v>0</v>
      </c>
      <c r="AI58" s="46">
        <v>0</v>
      </c>
      <c r="AJ58" s="47">
        <v>0</v>
      </c>
      <c r="AK58" s="46">
        <v>0</v>
      </c>
      <c r="AL58" s="46">
        <v>0</v>
      </c>
      <c r="AM58" s="47">
        <v>0</v>
      </c>
      <c r="AN58" s="46">
        <v>0</v>
      </c>
      <c r="AO58" s="46">
        <v>0</v>
      </c>
      <c r="AP58" s="47">
        <v>0</v>
      </c>
      <c r="AQ58" s="46">
        <v>0</v>
      </c>
      <c r="AR58" s="46">
        <v>0</v>
      </c>
      <c r="AS58" s="47">
        <v>0</v>
      </c>
      <c r="AT58" s="46">
        <v>0</v>
      </c>
      <c r="AU58" s="46">
        <v>0</v>
      </c>
      <c r="AV58" s="46">
        <v>0</v>
      </c>
      <c r="AW58" s="1545">
        <v>0</v>
      </c>
      <c r="AX58" s="10">
        <f t="shared" si="56"/>
        <v>21</v>
      </c>
      <c r="AY58" s="42">
        <f>IF(AND($E58=MONTH(Summary!$E$24),$D58=YEAR(Summary!$E$24)),Summary!$E$25,1)*IF(G58="",0,INT((H58-MOD(H58,7)-G58)/7)+1-IF(BA58,IF(WEEKDAY(F58)=7,1,0),0))</f>
        <v>4</v>
      </c>
      <c r="AZ58" s="42">
        <f>IF(AND($E58=MONTH(Summary!$E$24),$D58=YEAR(Summary!$E$24)),Summary!$E$25,1)*IF(G58="",0,INT((H58-MOD(H58-1,7)-G58)/7)+1-IF(BA58,IF(WEEKDAY(F58)=1,1,0),0))</f>
        <v>5</v>
      </c>
      <c r="BA58" s="42">
        <v>0</v>
      </c>
      <c r="BB58" s="10">
        <f>IF(AND($E58=MONTH(Summary!$E$24),$D58=YEAR(Summary!$E$24)),Summary!$E$25,1)*IF(G58="",0,H58-G58+1)</f>
        <v>30</v>
      </c>
      <c r="BC58" s="914">
        <f>Summary!$E$19</f>
        <v>1.4999999999999999E-2</v>
      </c>
      <c r="BD58" s="113">
        <v>14893.2</v>
      </c>
      <c r="BE58" s="171">
        <v>2836.8</v>
      </c>
      <c r="BF58" s="171">
        <v>3546</v>
      </c>
      <c r="BG58" s="174"/>
      <c r="BH58" s="1198">
        <v>1</v>
      </c>
      <c r="BI58" s="1198">
        <v>1</v>
      </c>
      <c r="BJ58" s="1198">
        <v>1</v>
      </c>
      <c r="BK58" s="1198">
        <v>1</v>
      </c>
      <c r="BL58" s="95">
        <v>2978.64</v>
      </c>
      <c r="BM58" s="171">
        <v>567.36</v>
      </c>
      <c r="BN58" s="171">
        <v>709.2</v>
      </c>
      <c r="BO58" s="174"/>
      <c r="BP58" s="1198">
        <v>1</v>
      </c>
      <c r="BQ58" s="1199">
        <v>1</v>
      </c>
      <c r="BR58" s="1199">
        <v>1</v>
      </c>
      <c r="BS58" s="1200">
        <v>1</v>
      </c>
      <c r="BT58" s="94">
        <f t="shared" si="29"/>
        <v>21276</v>
      </c>
      <c r="BU58" s="233">
        <f t="shared" si="30"/>
        <v>21276</v>
      </c>
      <c r="BV58" s="92">
        <f t="shared" si="31"/>
        <v>4255.2</v>
      </c>
      <c r="BW58" s="233">
        <f t="shared" si="32"/>
        <v>4255.2</v>
      </c>
      <c r="BX58" s="88">
        <v>3.460643394934976</v>
      </c>
      <c r="BY58" s="90">
        <v>0</v>
      </c>
      <c r="BZ58" s="88">
        <v>0</v>
      </c>
      <c r="CA58" s="88">
        <v>0</v>
      </c>
      <c r="CB58" s="88">
        <v>0</v>
      </c>
      <c r="CC58" s="88">
        <v>0</v>
      </c>
      <c r="CD58" s="88">
        <v>0</v>
      </c>
      <c r="CE58" s="100">
        <v>0</v>
      </c>
      <c r="CF58" s="88">
        <v>0</v>
      </c>
      <c r="CG58" s="88">
        <v>0</v>
      </c>
      <c r="CH58" s="88">
        <v>0</v>
      </c>
      <c r="CI58" s="88">
        <v>0</v>
      </c>
      <c r="CJ58" s="228">
        <v>0</v>
      </c>
      <c r="CK58" s="88">
        <v>0</v>
      </c>
      <c r="CL58" s="88">
        <v>0</v>
      </c>
      <c r="CM58" s="88">
        <v>0</v>
      </c>
      <c r="CN58" s="88">
        <v>0</v>
      </c>
      <c r="CO58" s="88">
        <v>0</v>
      </c>
      <c r="CP58" s="88">
        <v>0</v>
      </c>
      <c r="CQ58" s="229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225">
        <v>0</v>
      </c>
      <c r="CY58" s="1265">
        <v>7749.9900800000005</v>
      </c>
      <c r="CZ58" s="90">
        <v>0</v>
      </c>
      <c r="DA58" s="88">
        <v>0</v>
      </c>
      <c r="DB58" s="88">
        <v>0</v>
      </c>
      <c r="DC58" s="88">
        <v>0</v>
      </c>
      <c r="DD58" s="88">
        <v>0</v>
      </c>
      <c r="DE58" s="152">
        <v>0</v>
      </c>
      <c r="DF58" s="230">
        <v>0</v>
      </c>
      <c r="DG58" s="38">
        <v>0</v>
      </c>
      <c r="DH58" s="1237">
        <v>0</v>
      </c>
      <c r="DI58" s="956">
        <v>0</v>
      </c>
      <c r="DJ58" s="956">
        <v>0</v>
      </c>
      <c r="DK58" s="956">
        <v>0</v>
      </c>
      <c r="DL58" s="152">
        <v>0</v>
      </c>
      <c r="DM58" s="160">
        <v>0</v>
      </c>
      <c r="DN58" s="160">
        <v>0</v>
      </c>
      <c r="DO58" s="160">
        <v>0</v>
      </c>
      <c r="DP58" s="160">
        <v>0</v>
      </c>
      <c r="DQ58" s="160">
        <v>0</v>
      </c>
      <c r="DR58" s="230">
        <v>0</v>
      </c>
      <c r="DS58" s="88">
        <v>0</v>
      </c>
      <c r="DT58" s="88">
        <v>0</v>
      </c>
      <c r="DU58" s="88">
        <v>0</v>
      </c>
      <c r="DV58" s="88">
        <v>0</v>
      </c>
      <c r="DW58" s="88">
        <v>0</v>
      </c>
      <c r="DX58" s="88">
        <v>0</v>
      </c>
      <c r="DY58" s="88">
        <v>0</v>
      </c>
      <c r="DZ58" s="88">
        <v>0</v>
      </c>
      <c r="EA58" s="88">
        <v>0</v>
      </c>
      <c r="EB58" s="152">
        <v>0</v>
      </c>
      <c r="EC58" s="52">
        <f t="shared" si="33"/>
        <v>0</v>
      </c>
      <c r="ED58" s="52">
        <f t="shared" si="33"/>
        <v>0</v>
      </c>
      <c r="EE58" s="52">
        <f t="shared" si="33"/>
        <v>0</v>
      </c>
      <c r="EF58" s="52">
        <f t="shared" si="33"/>
        <v>0</v>
      </c>
      <c r="EG58" s="52">
        <f t="shared" si="34"/>
        <v>0</v>
      </c>
      <c r="EH58" s="238">
        <v>0</v>
      </c>
      <c r="EI58" s="211">
        <v>0</v>
      </c>
      <c r="EJ58" s="211">
        <v>0</v>
      </c>
      <c r="EK58" s="211">
        <v>0</v>
      </c>
      <c r="EL58" s="217">
        <f>IF(C58&gt;=Summary!$E$26,MAX(0,SUM(EH58:EK58)),0)</f>
        <v>0</v>
      </c>
      <c r="EM58" s="52">
        <f>IF(C58&gt;=Summary!$E$26,DX58*BL58,0)</f>
        <v>0</v>
      </c>
      <c r="EN58" s="52">
        <f>IF(C58&gt;=Summary!$E$26,DY58*BM58,0)</f>
        <v>0</v>
      </c>
      <c r="EO58" s="52">
        <f>IF(C58&gt;=Summary!$E$26,DZ58*BN58,0)</f>
        <v>0</v>
      </c>
      <c r="EP58" s="52">
        <f>IF(C58&gt;=Summary!$E$26,EA58*BO58,0)</f>
        <v>0</v>
      </c>
      <c r="EQ58" s="52">
        <f>IF(C58&gt;=Summary!$E$26,DX58*BL58+DY58*BM58+DZ58*BN58+EA58*BO58,0)</f>
        <v>0</v>
      </c>
      <c r="ER58" s="826">
        <v>0</v>
      </c>
      <c r="ES58" s="278">
        <v>0</v>
      </c>
      <c r="ET58" s="278">
        <v>0</v>
      </c>
      <c r="EU58" s="278">
        <v>0</v>
      </c>
      <c r="EV58" s="212">
        <f>IF(C58&gt;=Summary!$E$26,MAX(0,SUM(ER58:EU58)),0)</f>
        <v>0</v>
      </c>
      <c r="EW58" s="52"/>
      <c r="EX58" s="1049">
        <f t="shared" si="35"/>
        <v>0</v>
      </c>
      <c r="EY58" s="1045" t="str">
        <f t="shared" si="36"/>
        <v/>
      </c>
      <c r="EZ58" s="1684" t="s">
        <v>525</v>
      </c>
      <c r="FA58" s="1046">
        <f t="shared" si="54"/>
        <v>45</v>
      </c>
      <c r="FB58" s="256">
        <f t="shared" si="37"/>
        <v>11169.9</v>
      </c>
      <c r="FC58" s="194">
        <f t="shared" si="38"/>
        <v>0</v>
      </c>
      <c r="FD58" s="194">
        <f t="shared" si="39"/>
        <v>2127.6</v>
      </c>
      <c r="FE58" s="194">
        <f t="shared" si="40"/>
        <v>0</v>
      </c>
      <c r="FF58" s="194">
        <f t="shared" si="41"/>
        <v>2659.5</v>
      </c>
      <c r="FG58" s="194">
        <f t="shared" si="42"/>
        <v>0</v>
      </c>
      <c r="FH58" s="257">
        <f>IF(EZ58="No",IF((OR(MONTH(C58)=5,MONTH(C58)=6,MONTH(C58)=7,MONTH(C58)=8,MONTH(C58)=9)),Summary!$O$15*12*(AX58+AY58+AZ58+BA58)*(1-$BC58),Summary!$O$15*13*(AX58+AY58+AZ58+BA58)*(1-$BC58)+IF(Summary!$O$16="Yes",(CALC!FA58+Summary!$O$15)*6*(AX58+AY58+AZ58+BA58)*(1-$BC58),0)),0)</f>
        <v>0</v>
      </c>
      <c r="FI58" s="1412">
        <f>IF(MONTH(C58)=5,FI57*(IF(Summary!$E$70="no",(1+(Summary!$E$71*0.8)),1+HLOOKUP(YEAR(C58)-1,CCFMODEL!$I$127:$AF$128,2)*0.8)),+FI57)</f>
        <v>29.249840215241814</v>
      </c>
      <c r="FJ58" s="1411">
        <f>IF(MONTH(C58)=5,FJ57*(IF(Summary!$E$70="no",(1+(Summary!$E$71*0.8)),1+HLOOKUP(YEAR(CALC!C58)-1,CCFMODEL!$I$127:$AF$128,2)*0.8)),FJ57)</f>
        <v>25.564820975526306</v>
      </c>
      <c r="FK58" s="832">
        <f t="shared" si="1"/>
        <v>466739.70031461364</v>
      </c>
      <c r="FL58" s="1412">
        <f>IF(MONTH(C58)=5,FL57*(IF(Summary!$E$70="no",(1+(Summary!$E$71*0.8)),1+HLOOKUP(YEAR(CALC!C58)-1,CCFMODEL!$I$127:$AF$128,2)*0.8)),+FL57)</f>
        <v>61.515693201084112</v>
      </c>
      <c r="FM58" s="1411">
        <f>IF(MONTH(C58)=5,FM57*(IF(Summary!$E$70="no",(1+(Summary!$E$71*0.8)),1+HLOOKUP(YEAR(CALC!C58)-1,CCFMODEL!$I$127:$AF$128,2)*0.8)),+FM57)</f>
        <v>29.35951340690001</v>
      </c>
      <c r="FN58" s="832">
        <f t="shared" si="2"/>
        <v>996554.22985756258</v>
      </c>
      <c r="FO58" s="194">
        <f t="shared" si="43"/>
        <v>1463293.9301721761</v>
      </c>
      <c r="FP58" s="263">
        <f t="shared" si="61"/>
        <v>11169.9</v>
      </c>
      <c r="FQ58" s="194">
        <f t="shared" si="61"/>
        <v>0</v>
      </c>
      <c r="FR58" s="194">
        <f t="shared" si="61"/>
        <v>2127.6</v>
      </c>
      <c r="FS58" s="194">
        <f t="shared" si="61"/>
        <v>0</v>
      </c>
      <c r="FT58" s="194">
        <f t="shared" si="61"/>
        <v>2659.5</v>
      </c>
      <c r="FU58" s="194">
        <f t="shared" si="61"/>
        <v>0</v>
      </c>
      <c r="FV58" s="257">
        <f t="shared" si="61"/>
        <v>0</v>
      </c>
      <c r="FW58" s="189">
        <f t="shared" si="4"/>
        <v>0</v>
      </c>
      <c r="FX58" s="189">
        <f t="shared" si="5"/>
        <v>0</v>
      </c>
      <c r="FY58" s="189">
        <f t="shared" si="6"/>
        <v>0</v>
      </c>
      <c r="FZ58" s="258">
        <f t="shared" si="7"/>
        <v>0</v>
      </c>
      <c r="GA58" s="1293">
        <f>(SUM(FP58:FV58)+SUM(GU58:HB58)/(1-Summary!$O$25))*CY58/1000</f>
        <v>156644.34949497599</v>
      </c>
      <c r="GB58" s="1369">
        <f>IF($C58&lt;Summary!$M$81,+Summary!$O$81,VLOOKUP(C58,GasTable,19))</f>
        <v>2.4</v>
      </c>
      <c r="GC58" s="1370">
        <f>IF(H58&lt;=Summary!$N$84,MIN(GA58,Summary!$O$75*(H58-G58+1)),0)</f>
        <v>150000</v>
      </c>
      <c r="GD58" s="1371">
        <f>IF(Summary!$O$75*(H58-G58+1)*0.8&gt;GC58,1,0)</f>
        <v>0</v>
      </c>
      <c r="GE58" s="1372">
        <v>0</v>
      </c>
      <c r="GF58" s="1370">
        <f t="shared" si="8"/>
        <v>6644.3494949759915</v>
      </c>
      <c r="GG58" s="1371">
        <f>GF58*(IF(Summary!$O$74=1,VLOOKUP($C58,GasTable,16)+Summary!$O$92+Summary!$O$93,VLOOKUP($C58,GasTable,19)+Summary!$O$92+Summary!$O$93))</f>
        <v>16565.228556523056</v>
      </c>
      <c r="GH58" s="1373">
        <v>17814</v>
      </c>
      <c r="GI58" s="1466">
        <v>0</v>
      </c>
      <c r="GJ58" s="1374">
        <f t="shared" si="44"/>
        <v>394379.22855652304</v>
      </c>
      <c r="GK58" s="189">
        <f t="shared" si="9"/>
        <v>20063.268</v>
      </c>
      <c r="GL58" s="266">
        <v>0.76104902585600009</v>
      </c>
      <c r="GM58" s="255">
        <f t="shared" si="10"/>
        <v>14730.000000000002</v>
      </c>
      <c r="GN58" s="189">
        <f>IF(SUM(GU58:HB58)=0,0,IF(Summary!$O$16="Yes",SUM(GX58:HB58),IF(Summary!$O$17="Yes",SUM(GY58:HB58),SUM(GU58:HB58))))</f>
        <v>4106.2679999999991</v>
      </c>
      <c r="GO58" s="203">
        <v>2.6001718128832119</v>
      </c>
      <c r="GP58" s="258">
        <f t="shared" si="45"/>
        <v>10677.002309744319</v>
      </c>
      <c r="GQ58" s="189"/>
      <c r="GR58" s="189"/>
      <c r="GS58" s="189"/>
      <c r="GT58" s="189"/>
      <c r="GU58" s="268">
        <v>0</v>
      </c>
      <c r="GV58" s="189">
        <v>0</v>
      </c>
      <c r="GW58" s="189">
        <v>0</v>
      </c>
      <c r="GX58" s="189"/>
      <c r="GY58" s="254">
        <v>2874.3875999999996</v>
      </c>
      <c r="GZ58" s="189">
        <v>547.50239999999997</v>
      </c>
      <c r="HA58" s="189">
        <v>684.37800000000004</v>
      </c>
      <c r="HB58" s="255"/>
      <c r="HC58" s="189">
        <v>4106.2679999999991</v>
      </c>
      <c r="HD58" s="189"/>
      <c r="HE58" s="189">
        <v>16425.072</v>
      </c>
      <c r="HF58" s="189">
        <v>110323.42265722255</v>
      </c>
      <c r="HG58" s="189"/>
      <c r="HH58" s="203">
        <v>26.867078002999943</v>
      </c>
      <c r="HI58" s="189">
        <v>441293.6906288903</v>
      </c>
      <c r="HJ58" s="268">
        <f t="shared" si="11"/>
        <v>0</v>
      </c>
      <c r="HK58" s="189">
        <f t="shared" si="12"/>
        <v>0</v>
      </c>
      <c r="HL58" s="189">
        <f t="shared" si="13"/>
        <v>0</v>
      </c>
      <c r="HM58" s="255">
        <f t="shared" si="14"/>
        <v>0</v>
      </c>
      <c r="HN58" s="189">
        <f t="shared" si="15"/>
        <v>0</v>
      </c>
      <c r="HO58" s="203">
        <f t="shared" si="46"/>
        <v>0</v>
      </c>
      <c r="HP58" s="258">
        <f t="shared" si="16"/>
        <v>0</v>
      </c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R58" s="223"/>
    </row>
    <row r="59" spans="1:252" ht="13.8" thickBot="1">
      <c r="A59" t="str">
        <f t="shared" si="23"/>
        <v>2003Q3</v>
      </c>
      <c r="B59">
        <f t="shared" si="24"/>
        <v>2003</v>
      </c>
      <c r="C59" s="49">
        <f t="shared" si="25"/>
        <v>37803</v>
      </c>
      <c r="D59" s="115">
        <f t="shared" si="26"/>
        <v>2003</v>
      </c>
      <c r="E59" s="10">
        <f t="shared" si="55"/>
        <v>7</v>
      </c>
      <c r="F59" s="248">
        <f t="shared" si="57"/>
        <v>37806</v>
      </c>
      <c r="G59" s="245">
        <v>37803</v>
      </c>
      <c r="H59" s="251">
        <v>37833</v>
      </c>
      <c r="I59" s="959">
        <f t="shared" si="53"/>
        <v>7.1499999999999994E-2</v>
      </c>
      <c r="J59" s="37">
        <f t="shared" si="27"/>
        <v>0.77220685193269689</v>
      </c>
      <c r="K59" s="1036" t="e">
        <f>IF(Summary!#REF!=1,+Summary!#REF!,I59+Summary!#REF!/10000)</f>
        <v>#REF!</v>
      </c>
      <c r="L59" s="37" t="e">
        <f t="shared" si="28"/>
        <v>#REF!</v>
      </c>
      <c r="M59" s="1004">
        <v>0</v>
      </c>
      <c r="N59" s="38">
        <f t="shared" si="63"/>
        <v>0</v>
      </c>
      <c r="O59" s="40">
        <f t="shared" si="63"/>
        <v>0</v>
      </c>
      <c r="P59" s="159">
        <f t="shared" si="60"/>
        <v>0</v>
      </c>
      <c r="Q59" s="38">
        <f t="shared" ref="Q59:X68" si="65">P59</f>
        <v>0</v>
      </c>
      <c r="R59" s="40">
        <f t="shared" si="65"/>
        <v>0</v>
      </c>
      <c r="S59" s="38">
        <f t="shared" si="65"/>
        <v>0</v>
      </c>
      <c r="T59" s="38">
        <f t="shared" si="65"/>
        <v>0</v>
      </c>
      <c r="U59" s="38">
        <f t="shared" si="65"/>
        <v>0</v>
      </c>
      <c r="V59" s="159">
        <f t="shared" si="65"/>
        <v>0</v>
      </c>
      <c r="W59" s="38">
        <f t="shared" si="65"/>
        <v>0</v>
      </c>
      <c r="X59" s="39">
        <f t="shared" si="65"/>
        <v>0</v>
      </c>
      <c r="Y59" s="46">
        <v>0</v>
      </c>
      <c r="Z59" s="46">
        <v>0</v>
      </c>
      <c r="AA59" s="47">
        <v>0</v>
      </c>
      <c r="AB59" s="46">
        <v>0</v>
      </c>
      <c r="AC59" s="46">
        <v>0</v>
      </c>
      <c r="AD59" s="47">
        <v>0</v>
      </c>
      <c r="AE59" s="46">
        <v>0</v>
      </c>
      <c r="AF59" s="46">
        <v>0</v>
      </c>
      <c r="AG59" s="47">
        <v>0</v>
      </c>
      <c r="AH59" s="46">
        <v>0</v>
      </c>
      <c r="AI59" s="46">
        <v>0</v>
      </c>
      <c r="AJ59" s="47">
        <v>0</v>
      </c>
      <c r="AK59" s="46">
        <v>0</v>
      </c>
      <c r="AL59" s="46">
        <v>0</v>
      </c>
      <c r="AM59" s="47">
        <v>0</v>
      </c>
      <c r="AN59" s="46">
        <v>0</v>
      </c>
      <c r="AO59" s="46">
        <v>0</v>
      </c>
      <c r="AP59" s="47">
        <v>0</v>
      </c>
      <c r="AQ59" s="46">
        <v>0</v>
      </c>
      <c r="AR59" s="46">
        <v>0</v>
      </c>
      <c r="AS59" s="47">
        <v>0</v>
      </c>
      <c r="AT59" s="46">
        <v>0</v>
      </c>
      <c r="AU59" s="46">
        <v>0</v>
      </c>
      <c r="AV59" s="46">
        <v>0</v>
      </c>
      <c r="AW59" s="1545">
        <v>0</v>
      </c>
      <c r="AX59" s="10">
        <f t="shared" si="56"/>
        <v>22</v>
      </c>
      <c r="AY59" s="42">
        <f>IF(AND($E59=MONTH(Summary!$E$24),$D59=YEAR(Summary!$E$24)),Summary!$E$25,1)*IF(G59="",0,INT((H59-MOD(H59,7)-G59)/7)+1-IF(BA59,IF(WEEKDAY(F59)=7,1,0),0))</f>
        <v>4</v>
      </c>
      <c r="AZ59" s="42">
        <f>IF(AND($E59=MONTH(Summary!$E$24),$D59=YEAR(Summary!$E$24)),Summary!$E$25,1)*IF(G59="",0,INT((H59-MOD(H59-1,7)-G59)/7)+1-IF(BA59,IF(WEEKDAY(F59)=1,1,0),0))</f>
        <v>4</v>
      </c>
      <c r="BA59" s="42">
        <v>1</v>
      </c>
      <c r="BB59" s="10">
        <f>IF(AND($E59=MONTH(Summary!$E$24),$D59=YEAR(Summary!$E$24)),Summary!$E$25,1)*IF(G59="",0,H59-G59+1)</f>
        <v>31</v>
      </c>
      <c r="BC59" s="914">
        <f>Summary!$E$19</f>
        <v>1.4999999999999999E-2</v>
      </c>
      <c r="BD59" s="113">
        <v>15602.4</v>
      </c>
      <c r="BE59" s="171">
        <v>2836.8</v>
      </c>
      <c r="BF59" s="171">
        <v>3546</v>
      </c>
      <c r="BG59" s="174"/>
      <c r="BH59" s="1198">
        <v>1</v>
      </c>
      <c r="BI59" s="1198">
        <v>1</v>
      </c>
      <c r="BJ59" s="1198">
        <v>1</v>
      </c>
      <c r="BK59" s="1198">
        <v>1</v>
      </c>
      <c r="BL59" s="95">
        <v>3120.48</v>
      </c>
      <c r="BM59" s="171">
        <v>567.36</v>
      </c>
      <c r="BN59" s="171">
        <v>709.2</v>
      </c>
      <c r="BO59" s="174"/>
      <c r="BP59" s="1198">
        <v>1</v>
      </c>
      <c r="BQ59" s="1199">
        <v>1</v>
      </c>
      <c r="BR59" s="1199">
        <v>1</v>
      </c>
      <c r="BS59" s="1200">
        <v>1</v>
      </c>
      <c r="BT59" s="94">
        <f t="shared" si="29"/>
        <v>21985.200000000001</v>
      </c>
      <c r="BU59" s="233">
        <f t="shared" si="30"/>
        <v>21985.200000000001</v>
      </c>
      <c r="BV59" s="92">
        <f t="shared" si="31"/>
        <v>4397.04</v>
      </c>
      <c r="BW59" s="233">
        <f t="shared" si="32"/>
        <v>4397.04</v>
      </c>
      <c r="BX59" s="88">
        <v>3.5427789185489389</v>
      </c>
      <c r="BY59" s="90">
        <v>0</v>
      </c>
      <c r="BZ59" s="88">
        <v>0</v>
      </c>
      <c r="CA59" s="88">
        <v>0</v>
      </c>
      <c r="CB59" s="88">
        <v>0</v>
      </c>
      <c r="CC59" s="88">
        <v>0</v>
      </c>
      <c r="CD59" s="88">
        <v>0</v>
      </c>
      <c r="CE59" s="100">
        <v>0</v>
      </c>
      <c r="CF59" s="88">
        <v>0</v>
      </c>
      <c r="CG59" s="88">
        <v>0</v>
      </c>
      <c r="CH59" s="88">
        <v>0</v>
      </c>
      <c r="CI59" s="88">
        <v>0</v>
      </c>
      <c r="CJ59" s="228">
        <v>0</v>
      </c>
      <c r="CK59" s="88">
        <v>0</v>
      </c>
      <c r="CL59" s="88">
        <v>0</v>
      </c>
      <c r="CM59" s="88">
        <v>0</v>
      </c>
      <c r="CN59" s="88">
        <v>0</v>
      </c>
      <c r="CO59" s="88">
        <v>0</v>
      </c>
      <c r="CP59" s="88">
        <v>0</v>
      </c>
      <c r="CQ59" s="229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225">
        <v>0</v>
      </c>
      <c r="CY59" s="1265">
        <v>7751.9443999999994</v>
      </c>
      <c r="CZ59" s="90">
        <v>0</v>
      </c>
      <c r="DA59" s="88">
        <v>0</v>
      </c>
      <c r="DB59" s="88">
        <v>0</v>
      </c>
      <c r="DC59" s="88">
        <v>0</v>
      </c>
      <c r="DD59" s="88">
        <v>0</v>
      </c>
      <c r="DE59" s="152">
        <v>0</v>
      </c>
      <c r="DF59" s="230">
        <v>0</v>
      </c>
      <c r="DG59" s="38">
        <v>0</v>
      </c>
      <c r="DH59" s="1237">
        <v>0</v>
      </c>
      <c r="DI59" s="956">
        <v>0</v>
      </c>
      <c r="DJ59" s="956">
        <v>0</v>
      </c>
      <c r="DK59" s="956">
        <v>0</v>
      </c>
      <c r="DL59" s="152">
        <v>0</v>
      </c>
      <c r="DM59" s="160">
        <v>0</v>
      </c>
      <c r="DN59" s="160">
        <v>0</v>
      </c>
      <c r="DO59" s="160">
        <v>0</v>
      </c>
      <c r="DP59" s="160">
        <v>0</v>
      </c>
      <c r="DQ59" s="160">
        <v>0</v>
      </c>
      <c r="DR59" s="230">
        <v>0</v>
      </c>
      <c r="DS59" s="88">
        <v>0</v>
      </c>
      <c r="DT59" s="88">
        <v>0</v>
      </c>
      <c r="DU59" s="88">
        <v>0</v>
      </c>
      <c r="DV59" s="88">
        <v>0</v>
      </c>
      <c r="DW59" s="88">
        <v>0</v>
      </c>
      <c r="DX59" s="88">
        <v>0</v>
      </c>
      <c r="DY59" s="88">
        <v>0</v>
      </c>
      <c r="DZ59" s="88">
        <v>0</v>
      </c>
      <c r="EA59" s="88">
        <v>0</v>
      </c>
      <c r="EB59" s="152">
        <v>0</v>
      </c>
      <c r="EC59" s="52">
        <f t="shared" si="33"/>
        <v>0</v>
      </c>
      <c r="ED59" s="52">
        <f t="shared" si="33"/>
        <v>0</v>
      </c>
      <c r="EE59" s="52">
        <f t="shared" si="33"/>
        <v>0</v>
      </c>
      <c r="EF59" s="52">
        <f t="shared" si="33"/>
        <v>0</v>
      </c>
      <c r="EG59" s="52">
        <f t="shared" si="34"/>
        <v>0</v>
      </c>
      <c r="EH59" s="238">
        <v>0</v>
      </c>
      <c r="EI59" s="211">
        <v>0</v>
      </c>
      <c r="EJ59" s="211">
        <v>0</v>
      </c>
      <c r="EK59" s="211">
        <v>0</v>
      </c>
      <c r="EL59" s="217">
        <f>IF(C59&gt;=Summary!$E$26,MAX(0,SUM(EH59:EK59)),0)</f>
        <v>0</v>
      </c>
      <c r="EM59" s="52">
        <f>IF(C59&gt;=Summary!$E$26,DX59*BL59,0)</f>
        <v>0</v>
      </c>
      <c r="EN59" s="52">
        <f>IF(C59&gt;=Summary!$E$26,DY59*BM59,0)</f>
        <v>0</v>
      </c>
      <c r="EO59" s="52">
        <f>IF(C59&gt;=Summary!$E$26,DZ59*BN59,0)</f>
        <v>0</v>
      </c>
      <c r="EP59" s="52">
        <f>IF(C59&gt;=Summary!$E$26,EA59*BO59,0)</f>
        <v>0</v>
      </c>
      <c r="EQ59" s="52">
        <f>IF(C59&gt;=Summary!$E$26,DX59*BL59+DY59*BM59+DZ59*BN59+EA59*BO59,0)</f>
        <v>0</v>
      </c>
      <c r="ER59" s="826">
        <v>0</v>
      </c>
      <c r="ES59" s="278">
        <v>0</v>
      </c>
      <c r="ET59" s="278">
        <v>0</v>
      </c>
      <c r="EU59" s="278">
        <v>0</v>
      </c>
      <c r="EV59" s="212">
        <f>IF(C59&gt;=Summary!$E$26,MAX(0,SUM(ER59:EU59)),0)</f>
        <v>0</v>
      </c>
      <c r="EW59" s="52"/>
      <c r="EX59" s="1049">
        <f t="shared" si="35"/>
        <v>0</v>
      </c>
      <c r="EY59" s="1045" t="str">
        <f t="shared" si="36"/>
        <v/>
      </c>
      <c r="EZ59" s="1684" t="s">
        <v>525</v>
      </c>
      <c r="FA59" s="1046">
        <f t="shared" si="54"/>
        <v>45</v>
      </c>
      <c r="FB59" s="256">
        <f t="shared" si="37"/>
        <v>11701.8</v>
      </c>
      <c r="FC59" s="194">
        <f t="shared" si="38"/>
        <v>0</v>
      </c>
      <c r="FD59" s="194">
        <f t="shared" si="39"/>
        <v>2127.6</v>
      </c>
      <c r="FE59" s="194">
        <f t="shared" si="40"/>
        <v>0</v>
      </c>
      <c r="FF59" s="194">
        <f t="shared" si="41"/>
        <v>2659.5</v>
      </c>
      <c r="FG59" s="194">
        <f t="shared" si="42"/>
        <v>0</v>
      </c>
      <c r="FH59" s="257">
        <f>IF(EZ59="No",IF((OR(MONTH(C59)=5,MONTH(C59)=6,MONTH(C59)=7,MONTH(C59)=8,MONTH(C59)=9)),Summary!$O$15*12*(AX59+AY59+AZ59+BA59)*(1-$BC59),Summary!$O$15*13*(AX59+AY59+AZ59+BA59)*(1-$BC59)+IF(Summary!$O$16="Yes",(CALC!FA59+Summary!$O$15)*6*(AX59+AY59+AZ59+BA59)*(1-$BC59),0)),0)</f>
        <v>0</v>
      </c>
      <c r="FI59" s="1412">
        <f>IF(MONTH(C59)=5,FI58*(IF(Summary!$E$70="no",(1+(Summary!$E$71*0.8)),1+HLOOKUP(YEAR(C59)-1,CCFMODEL!$I$127:$AF$128,2)*0.8)),+FI58)</f>
        <v>29.249840215241814</v>
      </c>
      <c r="FJ59" s="1411">
        <f>IF(MONTH(C59)=5,FJ58*(IF(Summary!$E$70="no",(1+(Summary!$E$71*0.8)),1+HLOOKUP(YEAR(CALC!C59)-1,CCFMODEL!$I$127:$AF$128,2)*0.8)),FJ58)</f>
        <v>25.564820975526306</v>
      </c>
      <c r="FK59" s="832">
        <f t="shared" si="1"/>
        <v>482297.69032510079</v>
      </c>
      <c r="FL59" s="1412">
        <f>IF(MONTH(C59)=5,FL58*(IF(Summary!$E$70="no",(1+(Summary!$E$71*0.8)),1+HLOOKUP(YEAR(CALC!C59)-1,CCFMODEL!$I$127:$AF$128,2)*0.8)),+FL58)</f>
        <v>61.515693201084112</v>
      </c>
      <c r="FM59" s="1411">
        <f>IF(MONTH(C59)=5,FM58*(IF(Summary!$E$70="no",(1+(Summary!$E$71*0.8)),1+HLOOKUP(YEAR(CALC!C59)-1,CCFMODEL!$I$127:$AF$128,2)*0.8)),+FM58)</f>
        <v>29.35951340690001</v>
      </c>
      <c r="FN59" s="832">
        <f t="shared" si="2"/>
        <v>1029772.704186148</v>
      </c>
      <c r="FO59" s="194">
        <f t="shared" si="43"/>
        <v>1512070.3945112489</v>
      </c>
      <c r="FP59" s="263">
        <f t="shared" si="61"/>
        <v>11701.8</v>
      </c>
      <c r="FQ59" s="194">
        <f t="shared" si="61"/>
        <v>0</v>
      </c>
      <c r="FR59" s="194">
        <f t="shared" si="61"/>
        <v>2127.6</v>
      </c>
      <c r="FS59" s="194">
        <f t="shared" si="61"/>
        <v>0</v>
      </c>
      <c r="FT59" s="194">
        <f t="shared" si="61"/>
        <v>2659.5</v>
      </c>
      <c r="FU59" s="194">
        <f t="shared" si="61"/>
        <v>0</v>
      </c>
      <c r="FV59" s="257">
        <f t="shared" si="61"/>
        <v>0</v>
      </c>
      <c r="FW59" s="189">
        <f t="shared" si="4"/>
        <v>0</v>
      </c>
      <c r="FX59" s="189">
        <f t="shared" si="5"/>
        <v>0</v>
      </c>
      <c r="FY59" s="189">
        <f t="shared" si="6"/>
        <v>0</v>
      </c>
      <c r="FZ59" s="258">
        <f t="shared" si="7"/>
        <v>0</v>
      </c>
      <c r="GA59" s="1293">
        <f>(SUM(FP59:FV59)+SUM(GU59:HB59)/(1-Summary!$O$25))*CY59/1000</f>
        <v>204513.65762745601</v>
      </c>
      <c r="GB59" s="1369">
        <f>IF($C59&lt;Summary!$M$81,+Summary!$O$81,VLOOKUP(C59,GasTable,19))</f>
        <v>2.4</v>
      </c>
      <c r="GC59" s="1370">
        <f>IF(H59&lt;=Summary!$N$84,MIN(GA59,Summary!$O$75*(H59-G59+1)),0)</f>
        <v>155000</v>
      </c>
      <c r="GD59" s="1371">
        <f>IF(Summary!$O$75*(H59-G59+1)*0.8&gt;GC59,1,0)</f>
        <v>0</v>
      </c>
      <c r="GE59" s="1372">
        <v>0</v>
      </c>
      <c r="GF59" s="1370">
        <f t="shared" si="8"/>
        <v>49513.657627456007</v>
      </c>
      <c r="GG59" s="1371">
        <f>GF59*(IF(Summary!$O$74=1,VLOOKUP($C59,GasTable,16)+Summary!$O$92+Summary!$O$93,VLOOKUP($C59,GasTable,19)+Summary!$O$92+Summary!$O$93))</f>
        <v>126743.12022755007</v>
      </c>
      <c r="GH59" s="1373">
        <v>18482.2</v>
      </c>
      <c r="GI59" s="1466">
        <v>0</v>
      </c>
      <c r="GJ59" s="1374">
        <f t="shared" si="44"/>
        <v>517225.32022755005</v>
      </c>
      <c r="GK59" s="189">
        <f t="shared" si="9"/>
        <v>26035.973100000007</v>
      </c>
      <c r="GL59" s="266">
        <v>0.76124094007999998</v>
      </c>
      <c r="GM59" s="255">
        <f t="shared" si="10"/>
        <v>15221.000000000002</v>
      </c>
      <c r="GN59" s="189">
        <f>IF(SUM(GU59:HB59)=0,0,IF(Summary!$O$16="Yes",SUM(GX59:HB59),IF(Summary!$O$17="Yes",SUM(GY59:HB59),SUM(GU59:HB59))))</f>
        <v>9547.0730999999996</v>
      </c>
      <c r="GO59" s="203">
        <v>2.6001718128832119</v>
      </c>
      <c r="GP59" s="258">
        <f t="shared" si="45"/>
        <v>24824.030370155546</v>
      </c>
      <c r="GQ59" s="189"/>
      <c r="GR59" s="189"/>
      <c r="GS59" s="189"/>
      <c r="GT59" s="189"/>
      <c r="GU59" s="268">
        <v>3764.0790000000002</v>
      </c>
      <c r="GV59" s="189">
        <v>684.37800000000027</v>
      </c>
      <c r="GW59" s="189">
        <v>855.47249999999997</v>
      </c>
      <c r="GX59" s="189"/>
      <c r="GY59" s="254">
        <v>3011.2631999999999</v>
      </c>
      <c r="GZ59" s="189">
        <v>547.50239999999997</v>
      </c>
      <c r="HA59" s="189">
        <v>684.37800000000004</v>
      </c>
      <c r="HB59" s="255"/>
      <c r="HC59" s="189">
        <v>9547.0730999999996</v>
      </c>
      <c r="HD59" s="189"/>
      <c r="HE59" s="189">
        <v>22276.5039</v>
      </c>
      <c r="HF59" s="189">
        <v>338102.23935677769</v>
      </c>
      <c r="HG59" s="189"/>
      <c r="HH59" s="203">
        <v>37.502782024243231</v>
      </c>
      <c r="HI59" s="189">
        <v>835430.87002390425</v>
      </c>
      <c r="HJ59" s="268">
        <f t="shared" si="11"/>
        <v>0</v>
      </c>
      <c r="HK59" s="189">
        <f t="shared" si="12"/>
        <v>0</v>
      </c>
      <c r="HL59" s="189">
        <f t="shared" si="13"/>
        <v>0</v>
      </c>
      <c r="HM59" s="255">
        <f t="shared" si="14"/>
        <v>0</v>
      </c>
      <c r="HN59" s="189">
        <f t="shared" si="15"/>
        <v>0</v>
      </c>
      <c r="HO59" s="203">
        <f t="shared" si="46"/>
        <v>0</v>
      </c>
      <c r="HP59" s="258">
        <f t="shared" si="16"/>
        <v>0</v>
      </c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R59" s="223"/>
    </row>
    <row r="60" spans="1:252" ht="13.8" thickBot="1">
      <c r="A60" t="str">
        <f t="shared" si="23"/>
        <v>2003Q3</v>
      </c>
      <c r="B60">
        <f t="shared" si="24"/>
        <v>2003</v>
      </c>
      <c r="C60" s="49">
        <f t="shared" si="25"/>
        <v>37834</v>
      </c>
      <c r="D60" s="115">
        <f t="shared" si="26"/>
        <v>2003</v>
      </c>
      <c r="E60" s="10">
        <f t="shared" si="55"/>
        <v>8</v>
      </c>
      <c r="F60" s="248" t="str">
        <f t="shared" si="57"/>
        <v/>
      </c>
      <c r="G60" s="245">
        <v>37834</v>
      </c>
      <c r="H60" s="251">
        <v>37864</v>
      </c>
      <c r="I60" s="959">
        <f t="shared" si="53"/>
        <v>7.1499999999999994E-2</v>
      </c>
      <c r="J60" s="37">
        <f t="shared" si="27"/>
        <v>0.76761627500777352</v>
      </c>
      <c r="K60" s="1036" t="e">
        <f>IF(Summary!#REF!=1,+Summary!#REF!,I60+Summary!#REF!/10000)</f>
        <v>#REF!</v>
      </c>
      <c r="L60" s="37" t="e">
        <f t="shared" si="28"/>
        <v>#REF!</v>
      </c>
      <c r="M60" s="1004">
        <v>0</v>
      </c>
      <c r="N60" s="38">
        <f t="shared" si="63"/>
        <v>0</v>
      </c>
      <c r="O60" s="40">
        <f t="shared" si="63"/>
        <v>0</v>
      </c>
      <c r="P60" s="159">
        <f t="shared" si="60"/>
        <v>0</v>
      </c>
      <c r="Q60" s="38">
        <f t="shared" si="65"/>
        <v>0</v>
      </c>
      <c r="R60" s="40">
        <f t="shared" si="65"/>
        <v>0</v>
      </c>
      <c r="S60" s="38">
        <f t="shared" si="65"/>
        <v>0</v>
      </c>
      <c r="T60" s="38">
        <f t="shared" si="65"/>
        <v>0</v>
      </c>
      <c r="U60" s="38">
        <f t="shared" si="65"/>
        <v>0</v>
      </c>
      <c r="V60" s="159">
        <f t="shared" si="65"/>
        <v>0</v>
      </c>
      <c r="W60" s="38">
        <f t="shared" si="65"/>
        <v>0</v>
      </c>
      <c r="X60" s="39">
        <f t="shared" si="65"/>
        <v>0</v>
      </c>
      <c r="Y60" s="46">
        <v>0</v>
      </c>
      <c r="Z60" s="46">
        <v>0</v>
      </c>
      <c r="AA60" s="47">
        <v>0</v>
      </c>
      <c r="AB60" s="46">
        <v>0</v>
      </c>
      <c r="AC60" s="46">
        <v>0</v>
      </c>
      <c r="AD60" s="47">
        <v>0</v>
      </c>
      <c r="AE60" s="46">
        <v>0</v>
      </c>
      <c r="AF60" s="46">
        <v>0</v>
      </c>
      <c r="AG60" s="47">
        <v>0</v>
      </c>
      <c r="AH60" s="46">
        <v>0</v>
      </c>
      <c r="AI60" s="46">
        <v>0</v>
      </c>
      <c r="AJ60" s="47">
        <v>0</v>
      </c>
      <c r="AK60" s="46">
        <v>0</v>
      </c>
      <c r="AL60" s="46">
        <v>0</v>
      </c>
      <c r="AM60" s="47">
        <v>0</v>
      </c>
      <c r="AN60" s="46">
        <v>0</v>
      </c>
      <c r="AO60" s="46">
        <v>0</v>
      </c>
      <c r="AP60" s="47">
        <v>0</v>
      </c>
      <c r="AQ60" s="46">
        <v>0</v>
      </c>
      <c r="AR60" s="46">
        <v>0</v>
      </c>
      <c r="AS60" s="47">
        <v>0</v>
      </c>
      <c r="AT60" s="46">
        <v>0</v>
      </c>
      <c r="AU60" s="46">
        <v>0</v>
      </c>
      <c r="AV60" s="46">
        <v>0</v>
      </c>
      <c r="AW60" s="1545">
        <v>0</v>
      </c>
      <c r="AX60" s="10">
        <f t="shared" si="56"/>
        <v>21</v>
      </c>
      <c r="AY60" s="42">
        <f>IF(AND($E60=MONTH(Summary!$E$24),$D60=YEAR(Summary!$E$24)),Summary!$E$25,1)*IF(G60="",0,INT((H60-MOD(H60,7)-G60)/7)+1-IF(BA60,IF(WEEKDAY(F60)=7,1,0),0))</f>
        <v>5</v>
      </c>
      <c r="AZ60" s="42">
        <f>IF(AND($E60=MONTH(Summary!$E$24),$D60=YEAR(Summary!$E$24)),Summary!$E$25,1)*IF(G60="",0,INT((H60-MOD(H60-1,7)-G60)/7)+1-IF(BA60,IF(WEEKDAY(F60)=1,1,0),0))</f>
        <v>5</v>
      </c>
      <c r="BA60" s="42">
        <v>0</v>
      </c>
      <c r="BB60" s="10">
        <f>IF(AND($E60=MONTH(Summary!$E$24),$D60=YEAR(Summary!$E$24)),Summary!$E$25,1)*IF(G60="",0,H60-G60+1)</f>
        <v>31</v>
      </c>
      <c r="BC60" s="914">
        <f>Summary!$E$19</f>
        <v>1.4999999999999999E-2</v>
      </c>
      <c r="BD60" s="113">
        <v>14893.2</v>
      </c>
      <c r="BE60" s="171">
        <v>3546</v>
      </c>
      <c r="BF60" s="171">
        <v>3546</v>
      </c>
      <c r="BG60" s="174"/>
      <c r="BH60" s="1198">
        <v>1</v>
      </c>
      <c r="BI60" s="1198">
        <v>1</v>
      </c>
      <c r="BJ60" s="1198">
        <v>1</v>
      </c>
      <c r="BK60" s="1198">
        <v>1</v>
      </c>
      <c r="BL60" s="95">
        <v>2978.64</v>
      </c>
      <c r="BM60" s="171">
        <v>709.2</v>
      </c>
      <c r="BN60" s="171">
        <v>709.2</v>
      </c>
      <c r="BO60" s="174"/>
      <c r="BP60" s="1198">
        <v>1</v>
      </c>
      <c r="BQ60" s="1199">
        <v>1</v>
      </c>
      <c r="BR60" s="1199">
        <v>1</v>
      </c>
      <c r="BS60" s="1200">
        <v>1</v>
      </c>
      <c r="BT60" s="94">
        <f t="shared" si="29"/>
        <v>21985.200000000001</v>
      </c>
      <c r="BU60" s="233">
        <f t="shared" si="30"/>
        <v>21985.200000000001</v>
      </c>
      <c r="BV60" s="92">
        <f t="shared" si="31"/>
        <v>4397.04</v>
      </c>
      <c r="BW60" s="233">
        <f t="shared" si="32"/>
        <v>4397.04</v>
      </c>
      <c r="BX60" s="88">
        <v>3.6276522929500343</v>
      </c>
      <c r="BY60" s="90">
        <v>0</v>
      </c>
      <c r="BZ60" s="88">
        <v>0</v>
      </c>
      <c r="CA60" s="88">
        <v>0</v>
      </c>
      <c r="CB60" s="88">
        <v>0</v>
      </c>
      <c r="CC60" s="88">
        <v>0</v>
      </c>
      <c r="CD60" s="88">
        <v>0</v>
      </c>
      <c r="CE60" s="100">
        <v>0</v>
      </c>
      <c r="CF60" s="88">
        <v>0</v>
      </c>
      <c r="CG60" s="88">
        <v>0</v>
      </c>
      <c r="CH60" s="88">
        <v>0</v>
      </c>
      <c r="CI60" s="88">
        <v>0</v>
      </c>
      <c r="CJ60" s="228">
        <v>0</v>
      </c>
      <c r="CK60" s="88">
        <v>0</v>
      </c>
      <c r="CL60" s="88">
        <v>0</v>
      </c>
      <c r="CM60" s="88">
        <v>0</v>
      </c>
      <c r="CN60" s="88">
        <v>0</v>
      </c>
      <c r="CO60" s="88">
        <v>0</v>
      </c>
      <c r="CP60" s="88">
        <v>0</v>
      </c>
      <c r="CQ60" s="229">
        <v>0</v>
      </c>
      <c r="CR60" s="91">
        <v>0</v>
      </c>
      <c r="CS60" s="91">
        <v>0</v>
      </c>
      <c r="CT60" s="91">
        <v>0</v>
      </c>
      <c r="CU60" s="91">
        <v>0</v>
      </c>
      <c r="CV60" s="91">
        <v>0</v>
      </c>
      <c r="CW60" s="91">
        <v>0</v>
      </c>
      <c r="CX60" s="225">
        <v>0</v>
      </c>
      <c r="CY60" s="1265">
        <v>7753.8987200000001</v>
      </c>
      <c r="CZ60" s="90">
        <v>0</v>
      </c>
      <c r="DA60" s="88">
        <v>0</v>
      </c>
      <c r="DB60" s="88">
        <v>0</v>
      </c>
      <c r="DC60" s="88">
        <v>0</v>
      </c>
      <c r="DD60" s="88">
        <v>0</v>
      </c>
      <c r="DE60" s="152">
        <v>0</v>
      </c>
      <c r="DF60" s="230">
        <v>0</v>
      </c>
      <c r="DG60" s="38">
        <v>0</v>
      </c>
      <c r="DH60" s="1237">
        <v>0</v>
      </c>
      <c r="DI60" s="956">
        <v>0</v>
      </c>
      <c r="DJ60" s="956">
        <v>0</v>
      </c>
      <c r="DK60" s="956">
        <v>0</v>
      </c>
      <c r="DL60" s="152">
        <v>0</v>
      </c>
      <c r="DM60" s="160">
        <v>0</v>
      </c>
      <c r="DN60" s="160">
        <v>0</v>
      </c>
      <c r="DO60" s="160">
        <v>0</v>
      </c>
      <c r="DP60" s="160">
        <v>0</v>
      </c>
      <c r="DQ60" s="160">
        <v>0</v>
      </c>
      <c r="DR60" s="230">
        <v>0</v>
      </c>
      <c r="DS60" s="88">
        <v>0</v>
      </c>
      <c r="DT60" s="88">
        <v>0</v>
      </c>
      <c r="DU60" s="88">
        <v>0</v>
      </c>
      <c r="DV60" s="88">
        <v>0</v>
      </c>
      <c r="DW60" s="88">
        <v>0</v>
      </c>
      <c r="DX60" s="88">
        <v>0</v>
      </c>
      <c r="DY60" s="88">
        <v>0</v>
      </c>
      <c r="DZ60" s="88">
        <v>0</v>
      </c>
      <c r="EA60" s="88">
        <v>0</v>
      </c>
      <c r="EB60" s="152">
        <v>0</v>
      </c>
      <c r="EC60" s="52">
        <f t="shared" si="33"/>
        <v>0</v>
      </c>
      <c r="ED60" s="52">
        <f t="shared" si="33"/>
        <v>0</v>
      </c>
      <c r="EE60" s="52">
        <f t="shared" si="33"/>
        <v>0</v>
      </c>
      <c r="EF60" s="52">
        <f t="shared" si="33"/>
        <v>0</v>
      </c>
      <c r="EG60" s="52">
        <f t="shared" si="34"/>
        <v>0</v>
      </c>
      <c r="EH60" s="238">
        <v>0</v>
      </c>
      <c r="EI60" s="211">
        <v>0</v>
      </c>
      <c r="EJ60" s="211">
        <v>0</v>
      </c>
      <c r="EK60" s="211">
        <v>0</v>
      </c>
      <c r="EL60" s="217">
        <f>IF(C60&gt;=Summary!$E$26,MAX(0,SUM(EH60:EK60)),0)</f>
        <v>0</v>
      </c>
      <c r="EM60" s="52">
        <f>IF(C60&gt;=Summary!$E$26,DX60*BL60,0)</f>
        <v>0</v>
      </c>
      <c r="EN60" s="52">
        <f>IF(C60&gt;=Summary!$E$26,DY60*BM60,0)</f>
        <v>0</v>
      </c>
      <c r="EO60" s="52">
        <f>IF(C60&gt;=Summary!$E$26,DZ60*BN60,0)</f>
        <v>0</v>
      </c>
      <c r="EP60" s="52">
        <f>IF(C60&gt;=Summary!$E$26,EA60*BO60,0)</f>
        <v>0</v>
      </c>
      <c r="EQ60" s="52">
        <f>IF(C60&gt;=Summary!$E$26,DX60*BL60+DY60*BM60+DZ60*BN60+EA60*BO60,0)</f>
        <v>0</v>
      </c>
      <c r="ER60" s="826">
        <v>0</v>
      </c>
      <c r="ES60" s="278">
        <v>0</v>
      </c>
      <c r="ET60" s="278">
        <v>0</v>
      </c>
      <c r="EU60" s="278">
        <v>0</v>
      </c>
      <c r="EV60" s="212">
        <f>IF(C60&gt;=Summary!$E$26,MAX(0,SUM(ER60:EU60)),0)</f>
        <v>0</v>
      </c>
      <c r="EW60" s="52"/>
      <c r="EX60" s="1049">
        <f t="shared" si="35"/>
        <v>0</v>
      </c>
      <c r="EY60" s="1045" t="str">
        <f t="shared" si="36"/>
        <v/>
      </c>
      <c r="EZ60" s="1684" t="s">
        <v>525</v>
      </c>
      <c r="FA60" s="1046">
        <f t="shared" si="54"/>
        <v>45</v>
      </c>
      <c r="FB60" s="256">
        <f t="shared" si="37"/>
        <v>11169.9</v>
      </c>
      <c r="FC60" s="194">
        <f t="shared" si="38"/>
        <v>0</v>
      </c>
      <c r="FD60" s="194">
        <f t="shared" si="39"/>
        <v>2659.5</v>
      </c>
      <c r="FE60" s="194">
        <f t="shared" si="40"/>
        <v>0</v>
      </c>
      <c r="FF60" s="194">
        <f t="shared" si="41"/>
        <v>2659.5</v>
      </c>
      <c r="FG60" s="194">
        <f t="shared" si="42"/>
        <v>0</v>
      </c>
      <c r="FH60" s="257">
        <f>IF(EZ60="No",IF((OR(MONTH(C60)=5,MONTH(C60)=6,MONTH(C60)=7,MONTH(C60)=8,MONTH(C60)=9)),Summary!$O$15*12*(AX60+AY60+AZ60+BA60)*(1-$BC60),Summary!$O$15*13*(AX60+AY60+AZ60+BA60)*(1-$BC60)+IF(Summary!$O$16="Yes",(CALC!FA60+Summary!$O$15)*6*(AX60+AY60+AZ60+BA60)*(1-$BC60),0)),0)</f>
        <v>0</v>
      </c>
      <c r="FI60" s="1412">
        <f>IF(MONTH(C60)=5,FI59*(IF(Summary!$E$70="no",(1+(Summary!$E$71*0.8)),1+HLOOKUP(YEAR(C60)-1,CCFMODEL!$I$127:$AF$128,2)*0.8)),+FI59)</f>
        <v>29.249840215241814</v>
      </c>
      <c r="FJ60" s="1411">
        <f>IF(MONTH(C60)=5,FJ59*(IF(Summary!$E$70="no",(1+(Summary!$E$71*0.8)),1+HLOOKUP(YEAR(CALC!C60)-1,CCFMODEL!$I$127:$AF$128,2)*0.8)),FJ59)</f>
        <v>25.564820975526306</v>
      </c>
      <c r="FK60" s="832">
        <f t="shared" si="1"/>
        <v>482297.69032510079</v>
      </c>
      <c r="FL60" s="1412">
        <f>IF(MONTH(C60)=5,FL59*(IF(Summary!$E$70="no",(1+(Summary!$E$71*0.8)),1+HLOOKUP(YEAR(CALC!C60)-1,CCFMODEL!$I$127:$AF$128,2)*0.8)),+FL59)</f>
        <v>61.515693201084112</v>
      </c>
      <c r="FM60" s="1411">
        <f>IF(MONTH(C60)=5,FM59*(IF(Summary!$E$70="no",(1+(Summary!$E$71*0.8)),1+HLOOKUP(YEAR(CALC!C60)-1,CCFMODEL!$I$127:$AF$128,2)*0.8)),+FM59)</f>
        <v>29.35951340690001</v>
      </c>
      <c r="FN60" s="832">
        <f t="shared" si="2"/>
        <v>1029772.704186148</v>
      </c>
      <c r="FO60" s="194">
        <f t="shared" si="43"/>
        <v>1512070.3945112489</v>
      </c>
      <c r="FP60" s="263">
        <f t="shared" si="61"/>
        <v>11169.9</v>
      </c>
      <c r="FQ60" s="194">
        <f t="shared" si="61"/>
        <v>0</v>
      </c>
      <c r="FR60" s="194">
        <f t="shared" si="61"/>
        <v>2659.5</v>
      </c>
      <c r="FS60" s="194">
        <f t="shared" si="61"/>
        <v>0</v>
      </c>
      <c r="FT60" s="194">
        <f t="shared" si="61"/>
        <v>2659.5</v>
      </c>
      <c r="FU60" s="194">
        <f t="shared" si="61"/>
        <v>0</v>
      </c>
      <c r="FV60" s="257">
        <f t="shared" si="61"/>
        <v>0</v>
      </c>
      <c r="FW60" s="189">
        <f t="shared" si="4"/>
        <v>0</v>
      </c>
      <c r="FX60" s="189">
        <f t="shared" si="5"/>
        <v>0</v>
      </c>
      <c r="FY60" s="189">
        <f t="shared" si="6"/>
        <v>0</v>
      </c>
      <c r="FZ60" s="258">
        <f t="shared" si="7"/>
        <v>0</v>
      </c>
      <c r="GA60" s="1293">
        <f>(SUM(FP60:FV60)+SUM(GU60:HB60)/(1-Summary!$O$25))*CY60/1000</f>
        <v>204565.21696673284</v>
      </c>
      <c r="GB60" s="1369">
        <f>IF($C60&lt;Summary!$M$81,+Summary!$O$81,VLOOKUP(C60,GasTable,19))</f>
        <v>2.4</v>
      </c>
      <c r="GC60" s="1370">
        <f>IF(H60&lt;=Summary!$N$84,MIN(GA60,Summary!$O$75*(H60-G60+1)),0)</f>
        <v>155000</v>
      </c>
      <c r="GD60" s="1371">
        <f>IF(Summary!$O$75*(H60-G60+1)*0.8&gt;GC60,1,0)</f>
        <v>0</v>
      </c>
      <c r="GE60" s="1372">
        <v>0</v>
      </c>
      <c r="GF60" s="1370">
        <f t="shared" si="8"/>
        <v>49565.216966732842</v>
      </c>
      <c r="GG60" s="1371">
        <f>GF60*(IF(Summary!$O$74=1,VLOOKUP($C60,GasTable,16)+Summary!$O$92+Summary!$O$93,VLOOKUP($C60,GasTable,19)+Summary!$O$92+Summary!$O$93))</f>
        <v>131565.41982286845</v>
      </c>
      <c r="GH60" s="1373">
        <v>18612.400000000001</v>
      </c>
      <c r="GI60" s="1466">
        <v>0</v>
      </c>
      <c r="GJ60" s="1374">
        <f t="shared" si="44"/>
        <v>522177.81982286845</v>
      </c>
      <c r="GK60" s="189">
        <f t="shared" si="9"/>
        <v>26035.973100000003</v>
      </c>
      <c r="GL60" s="266">
        <v>0.7614328543040001</v>
      </c>
      <c r="GM60" s="255">
        <f t="shared" si="10"/>
        <v>15221</v>
      </c>
      <c r="GN60" s="189">
        <f>IF(SUM(GU60:HB60)=0,0,IF(Summary!$O$16="Yes",SUM(GX60:HB60),IF(Summary!$O$17="Yes",SUM(GY60:HB60),SUM(GU60:HB60))))</f>
        <v>9547.0731000000014</v>
      </c>
      <c r="GO60" s="203">
        <v>2.6001718128832119</v>
      </c>
      <c r="GP60" s="258">
        <f t="shared" si="45"/>
        <v>24824.030370155549</v>
      </c>
      <c r="GQ60" s="189"/>
      <c r="GR60" s="189"/>
      <c r="GS60" s="189"/>
      <c r="GT60" s="189"/>
      <c r="GU60" s="268">
        <v>3592.9845000000009</v>
      </c>
      <c r="GV60" s="189">
        <v>855.47249999999997</v>
      </c>
      <c r="GW60" s="189">
        <v>855.47249999999997</v>
      </c>
      <c r="GX60" s="189"/>
      <c r="GY60" s="254">
        <v>2874.3875999999996</v>
      </c>
      <c r="GZ60" s="189">
        <v>684.37800000000004</v>
      </c>
      <c r="HA60" s="189">
        <v>684.37800000000004</v>
      </c>
      <c r="HB60" s="255"/>
      <c r="HC60" s="189">
        <v>9547.0731000000014</v>
      </c>
      <c r="HD60" s="189"/>
      <c r="HE60" s="189">
        <v>22276.503900000003</v>
      </c>
      <c r="HF60" s="189">
        <v>473351.44366217847</v>
      </c>
      <c r="HG60" s="189"/>
      <c r="HH60" s="203">
        <v>52.203787689087484</v>
      </c>
      <c r="HI60" s="189">
        <v>1162917.8800507295</v>
      </c>
      <c r="HJ60" s="268">
        <f t="shared" si="11"/>
        <v>0</v>
      </c>
      <c r="HK60" s="189">
        <f t="shared" si="12"/>
        <v>0</v>
      </c>
      <c r="HL60" s="189">
        <f t="shared" si="13"/>
        <v>0</v>
      </c>
      <c r="HM60" s="255">
        <f t="shared" si="14"/>
        <v>0</v>
      </c>
      <c r="HN60" s="189">
        <f t="shared" si="15"/>
        <v>0</v>
      </c>
      <c r="HO60" s="203">
        <f t="shared" si="46"/>
        <v>0</v>
      </c>
      <c r="HP60" s="258">
        <f t="shared" si="16"/>
        <v>0</v>
      </c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R60" s="223"/>
    </row>
    <row r="61" spans="1:252" ht="13.8" thickBot="1">
      <c r="A61" t="str">
        <f t="shared" si="23"/>
        <v>2003Q3</v>
      </c>
      <c r="B61">
        <f t="shared" si="24"/>
        <v>2003</v>
      </c>
      <c r="C61" s="49">
        <f t="shared" si="25"/>
        <v>37865</v>
      </c>
      <c r="D61" s="115">
        <f t="shared" si="26"/>
        <v>2003</v>
      </c>
      <c r="E61" s="10">
        <f t="shared" si="55"/>
        <v>9</v>
      </c>
      <c r="F61" s="248">
        <f t="shared" si="57"/>
        <v>37865</v>
      </c>
      <c r="G61" s="245">
        <v>37865</v>
      </c>
      <c r="H61" s="251">
        <v>37894</v>
      </c>
      <c r="I61" s="959">
        <f t="shared" si="53"/>
        <v>7.1499999999999994E-2</v>
      </c>
      <c r="J61" s="37">
        <f t="shared" si="27"/>
        <v>0.76319976642939413</v>
      </c>
      <c r="K61" s="1036" t="e">
        <f>IF(Summary!#REF!=1,+Summary!#REF!,I61+Summary!#REF!/10000)</f>
        <v>#REF!</v>
      </c>
      <c r="L61" s="37" t="e">
        <f t="shared" si="28"/>
        <v>#REF!</v>
      </c>
      <c r="M61" s="1004">
        <v>0</v>
      </c>
      <c r="N61" s="38">
        <f t="shared" si="63"/>
        <v>0</v>
      </c>
      <c r="O61" s="40">
        <f t="shared" si="63"/>
        <v>0</v>
      </c>
      <c r="P61" s="159">
        <f t="shared" si="60"/>
        <v>0</v>
      </c>
      <c r="Q61" s="38">
        <f t="shared" si="65"/>
        <v>0</v>
      </c>
      <c r="R61" s="40">
        <f t="shared" si="65"/>
        <v>0</v>
      </c>
      <c r="S61" s="38">
        <f t="shared" si="65"/>
        <v>0</v>
      </c>
      <c r="T61" s="38">
        <f t="shared" si="65"/>
        <v>0</v>
      </c>
      <c r="U61" s="38">
        <f t="shared" si="65"/>
        <v>0</v>
      </c>
      <c r="V61" s="159">
        <f t="shared" si="65"/>
        <v>0</v>
      </c>
      <c r="W61" s="38">
        <f t="shared" si="65"/>
        <v>0</v>
      </c>
      <c r="X61" s="39">
        <f t="shared" si="65"/>
        <v>0</v>
      </c>
      <c r="Y61" s="46">
        <v>0</v>
      </c>
      <c r="Z61" s="46">
        <v>0</v>
      </c>
      <c r="AA61" s="47">
        <v>0</v>
      </c>
      <c r="AB61" s="46">
        <v>0</v>
      </c>
      <c r="AC61" s="46">
        <v>0</v>
      </c>
      <c r="AD61" s="47">
        <v>0</v>
      </c>
      <c r="AE61" s="46">
        <v>0</v>
      </c>
      <c r="AF61" s="46">
        <v>0</v>
      </c>
      <c r="AG61" s="47">
        <v>0</v>
      </c>
      <c r="AH61" s="46">
        <v>0</v>
      </c>
      <c r="AI61" s="46">
        <v>0</v>
      </c>
      <c r="AJ61" s="47">
        <v>0</v>
      </c>
      <c r="AK61" s="46">
        <v>0</v>
      </c>
      <c r="AL61" s="46">
        <v>0</v>
      </c>
      <c r="AM61" s="47">
        <v>0</v>
      </c>
      <c r="AN61" s="46">
        <v>0</v>
      </c>
      <c r="AO61" s="46">
        <v>0</v>
      </c>
      <c r="AP61" s="47">
        <v>0</v>
      </c>
      <c r="AQ61" s="46">
        <v>0</v>
      </c>
      <c r="AR61" s="46">
        <v>0</v>
      </c>
      <c r="AS61" s="47">
        <v>0</v>
      </c>
      <c r="AT61" s="46">
        <v>0</v>
      </c>
      <c r="AU61" s="46">
        <v>0</v>
      </c>
      <c r="AV61" s="46">
        <v>0</v>
      </c>
      <c r="AW61" s="1545">
        <v>0</v>
      </c>
      <c r="AX61" s="10">
        <f t="shared" si="56"/>
        <v>21</v>
      </c>
      <c r="AY61" s="42">
        <f>IF(AND($E61=MONTH(Summary!$E$24),$D61=YEAR(Summary!$E$24)),Summary!$E$25,1)*IF(G61="",0,INT((H61-MOD(H61,7)-G61)/7)+1-IF(BA61,IF(WEEKDAY(F61)=7,1,0),0))</f>
        <v>4</v>
      </c>
      <c r="AZ61" s="42">
        <f>IF(AND($E61=MONTH(Summary!$E$24),$D61=YEAR(Summary!$E$24)),Summary!$E$25,1)*IF(G61="",0,INT((H61-MOD(H61-1,7)-G61)/7)+1-IF(BA61,IF(WEEKDAY(F61)=1,1,0),0))</f>
        <v>4</v>
      </c>
      <c r="BA61" s="42">
        <v>1</v>
      </c>
      <c r="BB61" s="10">
        <f>IF(AND($E61=MONTH(Summary!$E$24),$D61=YEAR(Summary!$E$24)),Summary!$E$25,1)*IF(G61="",0,H61-G61+1)</f>
        <v>30</v>
      </c>
      <c r="BC61" s="914">
        <f>Summary!$E$19</f>
        <v>1.4999999999999999E-2</v>
      </c>
      <c r="BD61" s="113">
        <v>14893.2</v>
      </c>
      <c r="BE61" s="171">
        <v>2836.8</v>
      </c>
      <c r="BF61" s="171">
        <v>3546</v>
      </c>
      <c r="BG61" s="174"/>
      <c r="BH61" s="1198">
        <v>1</v>
      </c>
      <c r="BI61" s="1198">
        <v>1</v>
      </c>
      <c r="BJ61" s="1198">
        <v>1</v>
      </c>
      <c r="BK61" s="1198">
        <v>1</v>
      </c>
      <c r="BL61" s="95">
        <v>2978.64</v>
      </c>
      <c r="BM61" s="171">
        <v>567.36</v>
      </c>
      <c r="BN61" s="171">
        <v>709.2</v>
      </c>
      <c r="BO61" s="174"/>
      <c r="BP61" s="1198">
        <v>1</v>
      </c>
      <c r="BQ61" s="1199">
        <v>1</v>
      </c>
      <c r="BR61" s="1199">
        <v>1</v>
      </c>
      <c r="BS61" s="1200">
        <v>1</v>
      </c>
      <c r="BT61" s="94">
        <f t="shared" si="29"/>
        <v>21276</v>
      </c>
      <c r="BU61" s="233">
        <f t="shared" si="30"/>
        <v>21276</v>
      </c>
      <c r="BV61" s="92">
        <f t="shared" si="31"/>
        <v>4255.2</v>
      </c>
      <c r="BW61" s="233">
        <f t="shared" si="32"/>
        <v>4255.2</v>
      </c>
      <c r="BX61" s="88">
        <v>3.7125256673511293</v>
      </c>
      <c r="BY61" s="90">
        <v>0</v>
      </c>
      <c r="BZ61" s="88">
        <v>0</v>
      </c>
      <c r="CA61" s="88">
        <v>0</v>
      </c>
      <c r="CB61" s="88">
        <v>0</v>
      </c>
      <c r="CC61" s="88">
        <v>0</v>
      </c>
      <c r="CD61" s="88">
        <v>0</v>
      </c>
      <c r="CE61" s="100">
        <v>0</v>
      </c>
      <c r="CF61" s="88">
        <v>0</v>
      </c>
      <c r="CG61" s="88">
        <v>0</v>
      </c>
      <c r="CH61" s="88">
        <v>0</v>
      </c>
      <c r="CI61" s="88">
        <v>0</v>
      </c>
      <c r="CJ61" s="228">
        <v>0</v>
      </c>
      <c r="CK61" s="88">
        <v>0</v>
      </c>
      <c r="CL61" s="88">
        <v>0</v>
      </c>
      <c r="CM61" s="88">
        <v>0</v>
      </c>
      <c r="CN61" s="88">
        <v>0</v>
      </c>
      <c r="CO61" s="88">
        <v>0</v>
      </c>
      <c r="CP61" s="88">
        <v>0</v>
      </c>
      <c r="CQ61" s="229">
        <v>0</v>
      </c>
      <c r="CR61" s="91">
        <v>0</v>
      </c>
      <c r="CS61" s="91">
        <v>0</v>
      </c>
      <c r="CT61" s="91">
        <v>0</v>
      </c>
      <c r="CU61" s="91">
        <v>0</v>
      </c>
      <c r="CV61" s="91">
        <v>0</v>
      </c>
      <c r="CW61" s="91">
        <v>0</v>
      </c>
      <c r="CX61" s="225">
        <v>0</v>
      </c>
      <c r="CY61" s="1265">
        <v>7755.8530399999991</v>
      </c>
      <c r="CZ61" s="90">
        <v>0</v>
      </c>
      <c r="DA61" s="88">
        <v>0</v>
      </c>
      <c r="DB61" s="88">
        <v>0</v>
      </c>
      <c r="DC61" s="88">
        <v>0</v>
      </c>
      <c r="DD61" s="88">
        <v>0</v>
      </c>
      <c r="DE61" s="152">
        <v>0</v>
      </c>
      <c r="DF61" s="230">
        <v>0</v>
      </c>
      <c r="DG61" s="38">
        <v>0</v>
      </c>
      <c r="DH61" s="1237">
        <v>0</v>
      </c>
      <c r="DI61" s="956">
        <v>0</v>
      </c>
      <c r="DJ61" s="956">
        <v>0</v>
      </c>
      <c r="DK61" s="956">
        <v>0</v>
      </c>
      <c r="DL61" s="152">
        <v>0</v>
      </c>
      <c r="DM61" s="160">
        <v>0</v>
      </c>
      <c r="DN61" s="160">
        <v>0</v>
      </c>
      <c r="DO61" s="160">
        <v>0</v>
      </c>
      <c r="DP61" s="160">
        <v>0</v>
      </c>
      <c r="DQ61" s="160">
        <v>0</v>
      </c>
      <c r="DR61" s="230">
        <v>0</v>
      </c>
      <c r="DS61" s="88">
        <v>0</v>
      </c>
      <c r="DT61" s="88">
        <v>0</v>
      </c>
      <c r="DU61" s="88">
        <v>0</v>
      </c>
      <c r="DV61" s="88">
        <v>0</v>
      </c>
      <c r="DW61" s="88">
        <v>0</v>
      </c>
      <c r="DX61" s="88">
        <v>0</v>
      </c>
      <c r="DY61" s="88">
        <v>0</v>
      </c>
      <c r="DZ61" s="88">
        <v>0</v>
      </c>
      <c r="EA61" s="88">
        <v>0</v>
      </c>
      <c r="EB61" s="152">
        <v>0</v>
      </c>
      <c r="EC61" s="52">
        <f t="shared" si="33"/>
        <v>0</v>
      </c>
      <c r="ED61" s="52">
        <f t="shared" si="33"/>
        <v>0</v>
      </c>
      <c r="EE61" s="52">
        <f t="shared" si="33"/>
        <v>0</v>
      </c>
      <c r="EF61" s="52">
        <f t="shared" si="33"/>
        <v>0</v>
      </c>
      <c r="EG61" s="52">
        <f t="shared" si="34"/>
        <v>0</v>
      </c>
      <c r="EH61" s="238">
        <v>0</v>
      </c>
      <c r="EI61" s="211">
        <v>0</v>
      </c>
      <c r="EJ61" s="211">
        <v>0</v>
      </c>
      <c r="EK61" s="211">
        <v>0</v>
      </c>
      <c r="EL61" s="217">
        <f>IF(C61&gt;=Summary!$E$26,MAX(0,SUM(EH61:EK61)),0)</f>
        <v>0</v>
      </c>
      <c r="EM61" s="52">
        <f>IF(C61&gt;=Summary!$E$26,DX61*BL61,0)</f>
        <v>0</v>
      </c>
      <c r="EN61" s="52">
        <f>IF(C61&gt;=Summary!$E$26,DY61*BM61,0)</f>
        <v>0</v>
      </c>
      <c r="EO61" s="52">
        <f>IF(C61&gt;=Summary!$E$26,DZ61*BN61,0)</f>
        <v>0</v>
      </c>
      <c r="EP61" s="52">
        <f>IF(C61&gt;=Summary!$E$26,EA61*BO61,0)</f>
        <v>0</v>
      </c>
      <c r="EQ61" s="52">
        <f>IF(C61&gt;=Summary!$E$26,DX61*BL61+DY61*BM61+DZ61*BN61+EA61*BO61,0)</f>
        <v>0</v>
      </c>
      <c r="ER61" s="826">
        <v>0</v>
      </c>
      <c r="ES61" s="278">
        <v>0</v>
      </c>
      <c r="ET61" s="278">
        <v>0</v>
      </c>
      <c r="EU61" s="278">
        <v>0</v>
      </c>
      <c r="EV61" s="212">
        <f>IF(C61&gt;=Summary!$E$26,MAX(0,SUM(ER61:EU61)),0)</f>
        <v>0</v>
      </c>
      <c r="EW61" s="52"/>
      <c r="EX61" s="1049">
        <f t="shared" si="35"/>
        <v>0</v>
      </c>
      <c r="EY61" s="1045" t="str">
        <f t="shared" si="36"/>
        <v/>
      </c>
      <c r="EZ61" s="1684" t="s">
        <v>525</v>
      </c>
      <c r="FA61" s="1046">
        <f t="shared" si="54"/>
        <v>45</v>
      </c>
      <c r="FB61" s="256">
        <f t="shared" si="37"/>
        <v>11169.9</v>
      </c>
      <c r="FC61" s="194">
        <f t="shared" si="38"/>
        <v>0</v>
      </c>
      <c r="FD61" s="194">
        <f t="shared" si="39"/>
        <v>2127.6</v>
      </c>
      <c r="FE61" s="194">
        <f t="shared" si="40"/>
        <v>0</v>
      </c>
      <c r="FF61" s="194">
        <f t="shared" si="41"/>
        <v>2659.5</v>
      </c>
      <c r="FG61" s="194">
        <f t="shared" si="42"/>
        <v>0</v>
      </c>
      <c r="FH61" s="257">
        <f>IF(EZ61="No",IF((OR(MONTH(C61)=5,MONTH(C61)=6,MONTH(C61)=7,MONTH(C61)=8,MONTH(C61)=9)),Summary!$O$15*12*(AX61+AY61+AZ61+BA61)*(1-$BC61),Summary!$O$15*13*(AX61+AY61+AZ61+BA61)*(1-$BC61)+IF(Summary!$O$16="Yes",(CALC!FA61+Summary!$O$15)*6*(AX61+AY61+AZ61+BA61)*(1-$BC61),0)),0)</f>
        <v>0</v>
      </c>
      <c r="FI61" s="1412">
        <f>IF(MONTH(C61)=5,FI60*(IF(Summary!$E$70="no",(1+(Summary!$E$71*0.8)),1+HLOOKUP(YEAR(C61)-1,CCFMODEL!$I$127:$AF$128,2)*0.8)),+FI60)</f>
        <v>29.249840215241814</v>
      </c>
      <c r="FJ61" s="1411">
        <f>IF(MONTH(C61)=5,FJ60*(IF(Summary!$E$70="no",(1+(Summary!$E$71*0.8)),1+HLOOKUP(YEAR(CALC!C61)-1,CCFMODEL!$I$127:$AF$128,2)*0.8)),FJ60)</f>
        <v>25.564820975526306</v>
      </c>
      <c r="FK61" s="832">
        <f t="shared" si="1"/>
        <v>466739.70031461364</v>
      </c>
      <c r="FL61" s="1412">
        <f>IF(MONTH(C61)=5,FL60*(IF(Summary!$E$70="no",(1+(Summary!$E$71*0.8)),1+HLOOKUP(YEAR(CALC!C61)-1,CCFMODEL!$I$127:$AF$128,2)*0.8)),+FL60)</f>
        <v>61.515693201084112</v>
      </c>
      <c r="FM61" s="1411">
        <f>IF(MONTH(C61)=5,FM60*(IF(Summary!$E$70="no",(1+(Summary!$E$71*0.8)),1+HLOOKUP(YEAR(CALC!C61)-1,CCFMODEL!$I$127:$AF$128,2)*0.8)),+FM60)</f>
        <v>29.35951340690001</v>
      </c>
      <c r="FN61" s="832">
        <f t="shared" si="2"/>
        <v>996554.22985756258</v>
      </c>
      <c r="FO61" s="194">
        <f t="shared" si="43"/>
        <v>1463293.9301721761</v>
      </c>
      <c r="FP61" s="263">
        <f t="shared" si="61"/>
        <v>11169.9</v>
      </c>
      <c r="FQ61" s="194">
        <f t="shared" si="61"/>
        <v>0</v>
      </c>
      <c r="FR61" s="194">
        <f t="shared" si="61"/>
        <v>2127.6</v>
      </c>
      <c r="FS61" s="194">
        <f t="shared" si="61"/>
        <v>0</v>
      </c>
      <c r="FT61" s="194">
        <f t="shared" si="61"/>
        <v>2659.5</v>
      </c>
      <c r="FU61" s="194">
        <f t="shared" si="61"/>
        <v>0</v>
      </c>
      <c r="FV61" s="257">
        <f t="shared" si="61"/>
        <v>0</v>
      </c>
      <c r="FW61" s="189">
        <f t="shared" si="4"/>
        <v>0</v>
      </c>
      <c r="FX61" s="189">
        <f t="shared" si="5"/>
        <v>0</v>
      </c>
      <c r="FY61" s="189">
        <f t="shared" si="6"/>
        <v>0</v>
      </c>
      <c r="FZ61" s="258">
        <f t="shared" si="7"/>
        <v>0</v>
      </c>
      <c r="GA61" s="1293">
        <f>(SUM(FP61:FV61)+SUM(GU61:HB61)/(1-Summary!$O$25))*CY61/1000</f>
        <v>198016.23513484796</v>
      </c>
      <c r="GB61" s="1369">
        <f>IF($C61&lt;Summary!$M$81,+Summary!$O$81,VLOOKUP(C61,GasTable,19))</f>
        <v>2.4</v>
      </c>
      <c r="GC61" s="1370">
        <f>IF(H61&lt;=Summary!$N$84,MIN(GA61,Summary!$O$75*(H61-G61+1)),0)</f>
        <v>150000</v>
      </c>
      <c r="GD61" s="1371">
        <f>IF(Summary!$O$75*(H61-G61+1)*0.8&gt;GC61,1,0)</f>
        <v>0</v>
      </c>
      <c r="GE61" s="1372">
        <v>0</v>
      </c>
      <c r="GF61" s="1370">
        <f t="shared" si="8"/>
        <v>48016.235134847957</v>
      </c>
      <c r="GG61" s="1371">
        <f>GF61*(IF(Summary!$O$74=1,VLOOKUP($C61,GasTable,16)+Summary!$O$92+Summary!$O$93,VLOOKUP($C61,GasTable,19)+Summary!$O$92+Summary!$O$93))</f>
        <v>132863.58720433933</v>
      </c>
      <c r="GH61" s="1373">
        <v>18192</v>
      </c>
      <c r="GI61" s="1466">
        <v>0</v>
      </c>
      <c r="GJ61" s="1374">
        <f t="shared" si="44"/>
        <v>511055.58720433933</v>
      </c>
      <c r="GK61" s="189">
        <f t="shared" si="9"/>
        <v>25196.103000000003</v>
      </c>
      <c r="GL61" s="266">
        <v>0.76162476852799998</v>
      </c>
      <c r="GM61" s="255">
        <f t="shared" si="10"/>
        <v>14730.000000000002</v>
      </c>
      <c r="GN61" s="189">
        <f>IF(SUM(GU61:HB61)=0,0,IF(Summary!$O$16="Yes",SUM(GX61:HB61),IF(Summary!$O$17="Yes",SUM(GY61:HB61),SUM(GU61:HB61))))</f>
        <v>9239.103000000001</v>
      </c>
      <c r="GO61" s="203">
        <v>2.6001718128832119</v>
      </c>
      <c r="GP61" s="258">
        <f t="shared" si="45"/>
        <v>24023.255196924725</v>
      </c>
      <c r="GQ61" s="189"/>
      <c r="GR61" s="189"/>
      <c r="GS61" s="189"/>
      <c r="GT61" s="189"/>
      <c r="GU61" s="268">
        <v>3592.9845000000009</v>
      </c>
      <c r="GV61" s="189">
        <v>684.37800000000027</v>
      </c>
      <c r="GW61" s="189">
        <v>855.47249999999997</v>
      </c>
      <c r="GX61" s="189"/>
      <c r="GY61" s="254">
        <v>2874.3875999999996</v>
      </c>
      <c r="GZ61" s="189">
        <v>547.50239999999997</v>
      </c>
      <c r="HA61" s="189">
        <v>684.37800000000004</v>
      </c>
      <c r="HB61" s="255"/>
      <c r="HC61" s="189">
        <v>9239.103000000001</v>
      </c>
      <c r="HD61" s="189"/>
      <c r="HE61" s="189">
        <v>21557.906999999999</v>
      </c>
      <c r="HF61" s="189">
        <v>398583.42559396487</v>
      </c>
      <c r="HG61" s="189"/>
      <c r="HH61" s="203">
        <v>44.777765230743512</v>
      </c>
      <c r="HI61" s="189">
        <v>965314.8985122022</v>
      </c>
      <c r="HJ61" s="268">
        <f t="shared" si="11"/>
        <v>0</v>
      </c>
      <c r="HK61" s="189">
        <f t="shared" si="12"/>
        <v>0</v>
      </c>
      <c r="HL61" s="189">
        <f t="shared" si="13"/>
        <v>0</v>
      </c>
      <c r="HM61" s="255">
        <f t="shared" si="14"/>
        <v>0</v>
      </c>
      <c r="HN61" s="189">
        <f t="shared" si="15"/>
        <v>0</v>
      </c>
      <c r="HO61" s="203">
        <f t="shared" si="46"/>
        <v>0</v>
      </c>
      <c r="HP61" s="258">
        <f t="shared" si="16"/>
        <v>0</v>
      </c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R61" s="223"/>
    </row>
    <row r="62" spans="1:252" ht="13.8" thickBot="1">
      <c r="A62" t="str">
        <f t="shared" si="23"/>
        <v>2003Q4</v>
      </c>
      <c r="B62">
        <f t="shared" si="24"/>
        <v>2003</v>
      </c>
      <c r="C62" s="49">
        <f t="shared" si="25"/>
        <v>37895</v>
      </c>
      <c r="D62" s="115">
        <f t="shared" si="26"/>
        <v>2003</v>
      </c>
      <c r="E62" s="10">
        <f t="shared" si="55"/>
        <v>10</v>
      </c>
      <c r="F62" s="248" t="str">
        <f t="shared" si="57"/>
        <v/>
      </c>
      <c r="G62" s="245">
        <v>37895</v>
      </c>
      <c r="H62" s="251">
        <v>37925</v>
      </c>
      <c r="I62" s="959">
        <f t="shared" si="53"/>
        <v>7.1499999999999994E-2</v>
      </c>
      <c r="J62" s="37">
        <f t="shared" si="27"/>
        <v>0.75866273437883824</v>
      </c>
      <c r="K62" s="1036" t="e">
        <f>IF(Summary!#REF!=1,+Summary!#REF!,I62+Summary!#REF!/10000)</f>
        <v>#REF!</v>
      </c>
      <c r="L62" s="37" t="e">
        <f t="shared" si="28"/>
        <v>#REF!</v>
      </c>
      <c r="M62" s="1004">
        <v>0</v>
      </c>
      <c r="N62" s="38">
        <f t="shared" si="63"/>
        <v>0</v>
      </c>
      <c r="O62" s="40">
        <f t="shared" si="63"/>
        <v>0</v>
      </c>
      <c r="P62" s="159">
        <f t="shared" si="60"/>
        <v>0</v>
      </c>
      <c r="Q62" s="38">
        <f t="shared" si="65"/>
        <v>0</v>
      </c>
      <c r="R62" s="40">
        <f t="shared" si="65"/>
        <v>0</v>
      </c>
      <c r="S62" s="38">
        <f t="shared" si="65"/>
        <v>0</v>
      </c>
      <c r="T62" s="38">
        <f t="shared" si="65"/>
        <v>0</v>
      </c>
      <c r="U62" s="38">
        <f t="shared" si="65"/>
        <v>0</v>
      </c>
      <c r="V62" s="159">
        <f t="shared" si="65"/>
        <v>0</v>
      </c>
      <c r="W62" s="38">
        <f t="shared" si="65"/>
        <v>0</v>
      </c>
      <c r="X62" s="39">
        <f t="shared" si="65"/>
        <v>0</v>
      </c>
      <c r="Y62" s="46">
        <v>0</v>
      </c>
      <c r="Z62" s="46">
        <v>0</v>
      </c>
      <c r="AA62" s="47">
        <v>0</v>
      </c>
      <c r="AB62" s="46">
        <v>0</v>
      </c>
      <c r="AC62" s="46">
        <v>0</v>
      </c>
      <c r="AD62" s="47">
        <v>0</v>
      </c>
      <c r="AE62" s="46">
        <v>0</v>
      </c>
      <c r="AF62" s="46">
        <v>0</v>
      </c>
      <c r="AG62" s="47">
        <v>0</v>
      </c>
      <c r="AH62" s="46">
        <v>0</v>
      </c>
      <c r="AI62" s="46">
        <v>0</v>
      </c>
      <c r="AJ62" s="47">
        <v>0</v>
      </c>
      <c r="AK62" s="46">
        <v>0</v>
      </c>
      <c r="AL62" s="46">
        <v>0</v>
      </c>
      <c r="AM62" s="47">
        <v>0</v>
      </c>
      <c r="AN62" s="46">
        <v>0</v>
      </c>
      <c r="AO62" s="46">
        <v>0</v>
      </c>
      <c r="AP62" s="47">
        <v>0</v>
      </c>
      <c r="AQ62" s="46">
        <v>0</v>
      </c>
      <c r="AR62" s="46">
        <v>0</v>
      </c>
      <c r="AS62" s="47">
        <v>0</v>
      </c>
      <c r="AT62" s="46">
        <v>0</v>
      </c>
      <c r="AU62" s="46">
        <v>0</v>
      </c>
      <c r="AV62" s="46">
        <v>0</v>
      </c>
      <c r="AW62" s="1545">
        <v>0</v>
      </c>
      <c r="AX62" s="10">
        <f t="shared" si="56"/>
        <v>23</v>
      </c>
      <c r="AY62" s="42">
        <f>IF(AND($E62=MONTH(Summary!$E$24),$D62=YEAR(Summary!$E$24)),Summary!$E$25,1)*IF(G62="",0,INT((H62-MOD(H62,7)-G62)/7)+1-IF(BA62,IF(WEEKDAY(F62)=7,1,0),0))</f>
        <v>4</v>
      </c>
      <c r="AZ62" s="42">
        <f>IF(AND($E62=MONTH(Summary!$E$24),$D62=YEAR(Summary!$E$24)),Summary!$E$25,1)*IF(G62="",0,INT((H62-MOD(H62-1,7)-G62)/7)+1-IF(BA62,IF(WEEKDAY(F62)=1,1,0),0))</f>
        <v>4</v>
      </c>
      <c r="BA62" s="42">
        <v>0</v>
      </c>
      <c r="BB62" s="10">
        <f>IF(AND($E62=MONTH(Summary!$E$24),$D62=YEAR(Summary!$E$24)),Summary!$E$25,1)*IF(G62="",0,H62-G62+1)</f>
        <v>31</v>
      </c>
      <c r="BC62" s="914">
        <f>Summary!$E$19</f>
        <v>1.4999999999999999E-2</v>
      </c>
      <c r="BD62" s="113">
        <v>16311.6</v>
      </c>
      <c r="BE62" s="171">
        <v>2836.8</v>
      </c>
      <c r="BF62" s="171">
        <v>2836.8</v>
      </c>
      <c r="BG62" s="174"/>
      <c r="BH62" s="1198">
        <v>1</v>
      </c>
      <c r="BI62" s="1198">
        <v>1</v>
      </c>
      <c r="BJ62" s="1198">
        <v>1</v>
      </c>
      <c r="BK62" s="1198">
        <v>1</v>
      </c>
      <c r="BL62" s="95">
        <v>3262.32</v>
      </c>
      <c r="BM62" s="171">
        <v>567.36</v>
      </c>
      <c r="BN62" s="171">
        <v>567.36</v>
      </c>
      <c r="BO62" s="174"/>
      <c r="BP62" s="1198">
        <v>1</v>
      </c>
      <c r="BQ62" s="1199">
        <v>1</v>
      </c>
      <c r="BR62" s="1199">
        <v>1</v>
      </c>
      <c r="BS62" s="1200">
        <v>1</v>
      </c>
      <c r="BT62" s="94">
        <f t="shared" si="29"/>
        <v>21985.200000000001</v>
      </c>
      <c r="BU62" s="233">
        <f t="shared" si="30"/>
        <v>21985.200000000001</v>
      </c>
      <c r="BV62" s="92">
        <f t="shared" si="31"/>
        <v>4397.04</v>
      </c>
      <c r="BW62" s="233">
        <f t="shared" si="32"/>
        <v>4397.04</v>
      </c>
      <c r="BX62" s="88">
        <v>3.7946611909650922</v>
      </c>
      <c r="BY62" s="90">
        <v>0</v>
      </c>
      <c r="BZ62" s="88">
        <v>0</v>
      </c>
      <c r="CA62" s="88">
        <v>0</v>
      </c>
      <c r="CB62" s="88">
        <v>0</v>
      </c>
      <c r="CC62" s="88">
        <v>0</v>
      </c>
      <c r="CD62" s="88">
        <v>0</v>
      </c>
      <c r="CE62" s="100">
        <v>0</v>
      </c>
      <c r="CF62" s="88">
        <v>0</v>
      </c>
      <c r="CG62" s="88">
        <v>0</v>
      </c>
      <c r="CH62" s="88">
        <v>0</v>
      </c>
      <c r="CI62" s="88">
        <v>0</v>
      </c>
      <c r="CJ62" s="228">
        <v>0</v>
      </c>
      <c r="CK62" s="88">
        <v>0</v>
      </c>
      <c r="CL62" s="88">
        <v>0</v>
      </c>
      <c r="CM62" s="88">
        <v>0</v>
      </c>
      <c r="CN62" s="88">
        <v>0</v>
      </c>
      <c r="CO62" s="88">
        <v>0</v>
      </c>
      <c r="CP62" s="88">
        <v>0</v>
      </c>
      <c r="CQ62" s="229">
        <v>0</v>
      </c>
      <c r="CR62" s="91">
        <v>0</v>
      </c>
      <c r="CS62" s="91">
        <v>0</v>
      </c>
      <c r="CT62" s="91">
        <v>0</v>
      </c>
      <c r="CU62" s="91">
        <v>0</v>
      </c>
      <c r="CV62" s="91">
        <v>0</v>
      </c>
      <c r="CW62" s="91">
        <v>0</v>
      </c>
      <c r="CX62" s="225">
        <v>0</v>
      </c>
      <c r="CY62" s="1265">
        <v>7757.8073599999998</v>
      </c>
      <c r="CZ62" s="90">
        <v>0</v>
      </c>
      <c r="DA62" s="88">
        <v>0</v>
      </c>
      <c r="DB62" s="88">
        <v>0</v>
      </c>
      <c r="DC62" s="88">
        <v>0</v>
      </c>
      <c r="DD62" s="88">
        <v>0</v>
      </c>
      <c r="DE62" s="152">
        <v>0</v>
      </c>
      <c r="DF62" s="230">
        <v>0</v>
      </c>
      <c r="DG62" s="38">
        <v>0</v>
      </c>
      <c r="DH62" s="1237">
        <v>0</v>
      </c>
      <c r="DI62" s="956">
        <v>0</v>
      </c>
      <c r="DJ62" s="956">
        <v>0</v>
      </c>
      <c r="DK62" s="956">
        <v>0</v>
      </c>
      <c r="DL62" s="152">
        <v>0</v>
      </c>
      <c r="DM62" s="160">
        <v>0</v>
      </c>
      <c r="DN62" s="160">
        <v>0</v>
      </c>
      <c r="DO62" s="160">
        <v>0</v>
      </c>
      <c r="DP62" s="160">
        <v>0</v>
      </c>
      <c r="DQ62" s="160">
        <v>0</v>
      </c>
      <c r="DR62" s="230">
        <v>0</v>
      </c>
      <c r="DS62" s="88">
        <v>0</v>
      </c>
      <c r="DT62" s="88">
        <v>0</v>
      </c>
      <c r="DU62" s="88">
        <v>0</v>
      </c>
      <c r="DV62" s="88">
        <v>0</v>
      </c>
      <c r="DW62" s="88">
        <v>0</v>
      </c>
      <c r="DX62" s="88">
        <v>0</v>
      </c>
      <c r="DY62" s="88">
        <v>0</v>
      </c>
      <c r="DZ62" s="88">
        <v>0</v>
      </c>
      <c r="EA62" s="88">
        <v>0</v>
      </c>
      <c r="EB62" s="152">
        <v>0</v>
      </c>
      <c r="EC62" s="52">
        <f t="shared" si="33"/>
        <v>0</v>
      </c>
      <c r="ED62" s="52">
        <f t="shared" si="33"/>
        <v>0</v>
      </c>
      <c r="EE62" s="52">
        <f t="shared" si="33"/>
        <v>0</v>
      </c>
      <c r="EF62" s="52">
        <f t="shared" si="33"/>
        <v>0</v>
      </c>
      <c r="EG62" s="52">
        <f t="shared" si="34"/>
        <v>0</v>
      </c>
      <c r="EH62" s="238">
        <v>0</v>
      </c>
      <c r="EI62" s="211">
        <v>0</v>
      </c>
      <c r="EJ62" s="211">
        <v>0</v>
      </c>
      <c r="EK62" s="211">
        <v>0</v>
      </c>
      <c r="EL62" s="217">
        <f>IF(C62&gt;=Summary!$E$26,MAX(0,SUM(EH62:EK62)),0)</f>
        <v>0</v>
      </c>
      <c r="EM62" s="52">
        <f>IF(C62&gt;=Summary!$E$26,DX62*BL62,0)</f>
        <v>0</v>
      </c>
      <c r="EN62" s="52">
        <f>IF(C62&gt;=Summary!$E$26,DY62*BM62,0)</f>
        <v>0</v>
      </c>
      <c r="EO62" s="52">
        <f>IF(C62&gt;=Summary!$E$26,DZ62*BN62,0)</f>
        <v>0</v>
      </c>
      <c r="EP62" s="52">
        <f>IF(C62&gt;=Summary!$E$26,EA62*BO62,0)</f>
        <v>0</v>
      </c>
      <c r="EQ62" s="52">
        <f>IF(C62&gt;=Summary!$E$26,DX62*BL62+DY62*BM62+DZ62*BN62+EA62*BO62,0)</f>
        <v>0</v>
      </c>
      <c r="ER62" s="826">
        <v>0</v>
      </c>
      <c r="ES62" s="278">
        <v>0</v>
      </c>
      <c r="ET62" s="278">
        <v>0</v>
      </c>
      <c r="EU62" s="278">
        <v>0</v>
      </c>
      <c r="EV62" s="212">
        <f>IF(C62&gt;=Summary!$E$26,MAX(0,SUM(ER62:EU62)),0)</f>
        <v>0</v>
      </c>
      <c r="EW62" s="52"/>
      <c r="EX62" s="1049">
        <f t="shared" si="35"/>
        <v>0</v>
      </c>
      <c r="EY62" s="1045" t="str">
        <f t="shared" si="36"/>
        <v/>
      </c>
      <c r="EZ62" s="1684" t="s">
        <v>525</v>
      </c>
      <c r="FA62" s="1046">
        <f t="shared" si="54"/>
        <v>45</v>
      </c>
      <c r="FB62" s="256">
        <f t="shared" si="37"/>
        <v>10194.75</v>
      </c>
      <c r="FC62" s="194">
        <f t="shared" si="38"/>
        <v>3058.4250000000002</v>
      </c>
      <c r="FD62" s="194">
        <f t="shared" si="39"/>
        <v>1773</v>
      </c>
      <c r="FE62" s="194">
        <f t="shared" si="40"/>
        <v>531.9</v>
      </c>
      <c r="FF62" s="194">
        <f t="shared" si="41"/>
        <v>1773</v>
      </c>
      <c r="FG62" s="194">
        <f t="shared" si="42"/>
        <v>531.9</v>
      </c>
      <c r="FH62" s="257">
        <f>IF(EZ62="No",IF((OR(MONTH(C62)=5,MONTH(C62)=6,MONTH(C62)=7,MONTH(C62)=8,MONTH(C62)=9)),Summary!$O$15*12*(AX62+AY62+AZ62+BA62)*(1-$BC62),Summary!$O$15*13*(AX62+AY62+AZ62+BA62)*(1-$BC62)+IF(Summary!$O$16="Yes",(CALC!FA62+Summary!$O$15)*6*(AX62+AY62+AZ62+BA62)*(1-$BC62),0)),0)</f>
        <v>0</v>
      </c>
      <c r="FI62" s="1412">
        <f>IF(MONTH(C62)=5,FI61*(IF(Summary!$E$70="no",(1+(Summary!$E$71*0.8)),1+HLOOKUP(YEAR(C62)-1,CCFMODEL!$I$127:$AF$128,2)*0.8)),+FI61)</f>
        <v>29.249840215241814</v>
      </c>
      <c r="FJ62" s="1411">
        <f>IF(MONTH(C62)=5,FJ61*(IF(Summary!$E$70="no",(1+(Summary!$E$71*0.8)),1+HLOOKUP(YEAR(CALC!C62)-1,CCFMODEL!$I$127:$AF$128,2)*0.8)),FJ61)</f>
        <v>25.564820975526306</v>
      </c>
      <c r="FK62" s="832">
        <f t="shared" si="1"/>
        <v>522489.16451885912</v>
      </c>
      <c r="FL62" s="1412">
        <f>IF(MONTH(C62)=5,FL61*(IF(Summary!$E$70="no",(1+(Summary!$E$71*0.8)),1+HLOOKUP(YEAR(CALC!C62)-1,CCFMODEL!$I$127:$AF$128,2)*0.8)),+FL61)</f>
        <v>61.515693201084112</v>
      </c>
      <c r="FM62" s="1411">
        <f>IF(MONTH(C62)=5,FM61*(IF(Summary!$E$70="no",(1+(Summary!$E$71*0.8)),1+HLOOKUP(YEAR(CALC!C62)-1,CCFMODEL!$I$127:$AF$128,2)*0.8)),+FM61)</f>
        <v>29.35951340690001</v>
      </c>
      <c r="FN62" s="832">
        <f t="shared" si="2"/>
        <v>532434.77563413174</v>
      </c>
      <c r="FO62" s="194">
        <f t="shared" si="43"/>
        <v>1054923.9401529909</v>
      </c>
      <c r="FP62" s="263">
        <f t="shared" si="61"/>
        <v>10194.75</v>
      </c>
      <c r="FQ62" s="194">
        <f t="shared" si="61"/>
        <v>3058.4250000000002</v>
      </c>
      <c r="FR62" s="194">
        <f t="shared" si="61"/>
        <v>1773</v>
      </c>
      <c r="FS62" s="194">
        <f t="shared" si="61"/>
        <v>531.9</v>
      </c>
      <c r="FT62" s="194">
        <f t="shared" si="61"/>
        <v>1773</v>
      </c>
      <c r="FU62" s="194">
        <f t="shared" si="61"/>
        <v>531.9</v>
      </c>
      <c r="FV62" s="257">
        <f t="shared" si="61"/>
        <v>0</v>
      </c>
      <c r="FW62" s="189">
        <f t="shared" si="4"/>
        <v>0</v>
      </c>
      <c r="FX62" s="189">
        <f t="shared" si="5"/>
        <v>0</v>
      </c>
      <c r="FY62" s="189">
        <f t="shared" si="6"/>
        <v>0</v>
      </c>
      <c r="FZ62" s="258">
        <f t="shared" si="7"/>
        <v>0</v>
      </c>
      <c r="GA62" s="1293">
        <f>(SUM(FP62:FV62)+SUM(GU62:HB62)/(1-Summary!$O$25))*CY62/1000</f>
        <v>236647.76308986239</v>
      </c>
      <c r="GB62" s="1369">
        <f>IF($C62&lt;Summary!$M$81,+Summary!$O$81,VLOOKUP(C62,GasTable,19))</f>
        <v>2.4</v>
      </c>
      <c r="GC62" s="1370">
        <f>IF(H62&lt;=Summary!$N$84,MIN(GA62,Summary!$O$75*(H62-G62+1)),0)</f>
        <v>155000</v>
      </c>
      <c r="GD62" s="1371">
        <f>IF(Summary!$O$75*(H62-G62+1)*0.8&gt;GC62,1,0)</f>
        <v>0</v>
      </c>
      <c r="GE62" s="1372">
        <v>0</v>
      </c>
      <c r="GF62" s="1370">
        <f t="shared" si="8"/>
        <v>81647.76308986239</v>
      </c>
      <c r="GG62" s="1371">
        <f>GF62*(IF(Summary!$O$74=1,VLOOKUP($C62,GasTable,16)+Summary!$O$92+Summary!$O$93,VLOOKUP($C62,GasTable,19)+Summary!$O$92+Summary!$O$93))</f>
        <v>235774.77881545832</v>
      </c>
      <c r="GH62" s="1373">
        <v>18891.400000000001</v>
      </c>
      <c r="GI62" s="1466">
        <v>0</v>
      </c>
      <c r="GJ62" s="1374">
        <f t="shared" si="44"/>
        <v>626666.17881545832</v>
      </c>
      <c r="GK62" s="189">
        <f t="shared" si="9"/>
        <v>30062.012849999999</v>
      </c>
      <c r="GL62" s="266">
        <v>0.76181668275199999</v>
      </c>
      <c r="GM62" s="255">
        <f t="shared" si="10"/>
        <v>15220.999999999998</v>
      </c>
      <c r="GN62" s="189">
        <f>IF(SUM(GU62:HB62)=0,0,IF(Summary!$O$16="Yes",SUM(GX62:HB62),IF(Summary!$O$17="Yes",SUM(GY62:HB62),SUM(GU62:HB62))))</f>
        <v>12199.037849999999</v>
      </c>
      <c r="GO62" s="203">
        <v>2.6001718128832119</v>
      </c>
      <c r="GP62" s="258">
        <f t="shared" si="45"/>
        <v>31719.594361865416</v>
      </c>
      <c r="GQ62" s="189"/>
      <c r="GR62" s="189"/>
      <c r="GS62" s="189"/>
      <c r="GT62" s="189"/>
      <c r="GU62" s="268">
        <v>5902.7602500000003</v>
      </c>
      <c r="GV62" s="189">
        <v>1026.5670000000002</v>
      </c>
      <c r="GW62" s="189">
        <v>1026.5670000000002</v>
      </c>
      <c r="GX62" s="189"/>
      <c r="GY62" s="254">
        <v>3148.1388000000002</v>
      </c>
      <c r="GZ62" s="189">
        <v>547.50239999999997</v>
      </c>
      <c r="HA62" s="189">
        <v>547.50239999999997</v>
      </c>
      <c r="HB62" s="255"/>
      <c r="HC62" s="189">
        <v>12199.037849999999</v>
      </c>
      <c r="HD62" s="189"/>
      <c r="HE62" s="189">
        <v>20950.521524999996</v>
      </c>
      <c r="HF62" s="189">
        <v>471299.79339533247</v>
      </c>
      <c r="HG62" s="189"/>
      <c r="HH62" s="203">
        <v>38.023121724592876</v>
      </c>
      <c r="HI62" s="189">
        <v>796604.2301387781</v>
      </c>
      <c r="HJ62" s="268">
        <f t="shared" si="11"/>
        <v>0</v>
      </c>
      <c r="HK62" s="189">
        <f t="shared" si="12"/>
        <v>0</v>
      </c>
      <c r="HL62" s="189">
        <f t="shared" si="13"/>
        <v>0</v>
      </c>
      <c r="HM62" s="255">
        <f t="shared" si="14"/>
        <v>0</v>
      </c>
      <c r="HN62" s="189">
        <f t="shared" si="15"/>
        <v>0</v>
      </c>
      <c r="HO62" s="203">
        <f t="shared" si="46"/>
        <v>0</v>
      </c>
      <c r="HP62" s="258">
        <f t="shared" si="16"/>
        <v>0</v>
      </c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R62" s="223"/>
    </row>
    <row r="63" spans="1:252" ht="13.8" thickBot="1">
      <c r="A63" t="str">
        <f t="shared" si="23"/>
        <v>2003Q4</v>
      </c>
      <c r="B63">
        <f t="shared" si="24"/>
        <v>2003</v>
      </c>
      <c r="C63" s="49">
        <f t="shared" si="25"/>
        <v>37926</v>
      </c>
      <c r="D63" s="115">
        <f t="shared" si="26"/>
        <v>2003</v>
      </c>
      <c r="E63" s="10">
        <f t="shared" si="55"/>
        <v>11</v>
      </c>
      <c r="F63" s="248">
        <f t="shared" si="57"/>
        <v>37952</v>
      </c>
      <c r="G63" s="245">
        <v>37926</v>
      </c>
      <c r="H63" s="251">
        <v>37955</v>
      </c>
      <c r="I63" s="959">
        <f t="shared" si="53"/>
        <v>7.1499999999999994E-2</v>
      </c>
      <c r="J63" s="37">
        <f t="shared" si="27"/>
        <v>0.75429774032702901</v>
      </c>
      <c r="K63" s="1036" t="e">
        <f>IF(Summary!#REF!=1,+Summary!#REF!,I63+Summary!#REF!/10000)</f>
        <v>#REF!</v>
      </c>
      <c r="L63" s="37" t="e">
        <f t="shared" si="28"/>
        <v>#REF!</v>
      </c>
      <c r="M63" s="1004">
        <v>0</v>
      </c>
      <c r="N63" s="38">
        <f t="shared" si="63"/>
        <v>0</v>
      </c>
      <c r="O63" s="40">
        <f t="shared" si="63"/>
        <v>0</v>
      </c>
      <c r="P63" s="159">
        <f t="shared" si="60"/>
        <v>0</v>
      </c>
      <c r="Q63" s="38">
        <f t="shared" si="65"/>
        <v>0</v>
      </c>
      <c r="R63" s="40">
        <f t="shared" si="65"/>
        <v>0</v>
      </c>
      <c r="S63" s="38">
        <f t="shared" si="65"/>
        <v>0</v>
      </c>
      <c r="T63" s="38">
        <f t="shared" si="65"/>
        <v>0</v>
      </c>
      <c r="U63" s="38">
        <f t="shared" si="65"/>
        <v>0</v>
      </c>
      <c r="V63" s="159">
        <f t="shared" si="65"/>
        <v>0</v>
      </c>
      <c r="W63" s="38">
        <f t="shared" si="65"/>
        <v>0</v>
      </c>
      <c r="X63" s="39">
        <f t="shared" si="65"/>
        <v>0</v>
      </c>
      <c r="Y63" s="46">
        <v>0</v>
      </c>
      <c r="Z63" s="46">
        <v>0</v>
      </c>
      <c r="AA63" s="47">
        <v>0</v>
      </c>
      <c r="AB63" s="46">
        <v>0</v>
      </c>
      <c r="AC63" s="46">
        <v>0</v>
      </c>
      <c r="AD63" s="47">
        <v>0</v>
      </c>
      <c r="AE63" s="46">
        <v>0</v>
      </c>
      <c r="AF63" s="46">
        <v>0</v>
      </c>
      <c r="AG63" s="47">
        <v>0</v>
      </c>
      <c r="AH63" s="46">
        <v>0</v>
      </c>
      <c r="AI63" s="46">
        <v>0</v>
      </c>
      <c r="AJ63" s="47">
        <v>0</v>
      </c>
      <c r="AK63" s="46">
        <v>0</v>
      </c>
      <c r="AL63" s="46">
        <v>0</v>
      </c>
      <c r="AM63" s="47">
        <v>0</v>
      </c>
      <c r="AN63" s="46">
        <v>0</v>
      </c>
      <c r="AO63" s="46">
        <v>0</v>
      </c>
      <c r="AP63" s="47">
        <v>0</v>
      </c>
      <c r="AQ63" s="46">
        <v>0</v>
      </c>
      <c r="AR63" s="46">
        <v>0</v>
      </c>
      <c r="AS63" s="47">
        <v>0</v>
      </c>
      <c r="AT63" s="46">
        <v>0</v>
      </c>
      <c r="AU63" s="46">
        <v>0</v>
      </c>
      <c r="AV63" s="46">
        <v>0</v>
      </c>
      <c r="AW63" s="1545">
        <v>0</v>
      </c>
      <c r="AX63" s="10">
        <f t="shared" si="56"/>
        <v>19</v>
      </c>
      <c r="AY63" s="42">
        <f>IF(AND($E63=MONTH(Summary!$E$24),$D63=YEAR(Summary!$E$24)),Summary!$E$25,1)*IF(G63="",0,INT((H63-MOD(H63,7)-G63)/7)+1-IF(BA63,IF(WEEKDAY(F63)=7,1,0),0))</f>
        <v>5</v>
      </c>
      <c r="AZ63" s="42">
        <f>IF(AND($E63=MONTH(Summary!$E$24),$D63=YEAR(Summary!$E$24)),Summary!$E$25,1)*IF(G63="",0,INT((H63-MOD(H63-1,7)-G63)/7)+1-IF(BA63,IF(WEEKDAY(F63)=1,1,0),0))</f>
        <v>5</v>
      </c>
      <c r="BA63" s="42">
        <v>1</v>
      </c>
      <c r="BB63" s="10">
        <f>IF(AND($E63=MONTH(Summary!$E$24),$D63=YEAR(Summary!$E$24)),Summary!$E$25,1)*IF(G63="",0,H63-G63+1)</f>
        <v>30</v>
      </c>
      <c r="BC63" s="914">
        <f>Summary!$E$19</f>
        <v>1.4999999999999999E-2</v>
      </c>
      <c r="BD63" s="113">
        <v>13474.8</v>
      </c>
      <c r="BE63" s="171">
        <v>3546</v>
      </c>
      <c r="BF63" s="171">
        <v>4255.2</v>
      </c>
      <c r="BG63" s="174"/>
      <c r="BH63" s="1198">
        <v>1</v>
      </c>
      <c r="BI63" s="1198">
        <v>1</v>
      </c>
      <c r="BJ63" s="1198">
        <v>1</v>
      </c>
      <c r="BK63" s="1198">
        <v>1</v>
      </c>
      <c r="BL63" s="95">
        <v>2694.96</v>
      </c>
      <c r="BM63" s="171">
        <v>709.2</v>
      </c>
      <c r="BN63" s="171">
        <v>851.04</v>
      </c>
      <c r="BO63" s="174"/>
      <c r="BP63" s="1198">
        <v>1</v>
      </c>
      <c r="BQ63" s="1199">
        <v>1</v>
      </c>
      <c r="BR63" s="1199">
        <v>1</v>
      </c>
      <c r="BS63" s="1200">
        <v>1</v>
      </c>
      <c r="BT63" s="94">
        <f t="shared" si="29"/>
        <v>21276</v>
      </c>
      <c r="BU63" s="233">
        <f t="shared" si="30"/>
        <v>21276</v>
      </c>
      <c r="BV63" s="92">
        <f t="shared" si="31"/>
        <v>4255.2</v>
      </c>
      <c r="BW63" s="233">
        <f t="shared" si="32"/>
        <v>4255.2</v>
      </c>
      <c r="BX63" s="88">
        <v>3.8795345653661877</v>
      </c>
      <c r="BY63" s="90">
        <v>0</v>
      </c>
      <c r="BZ63" s="88">
        <v>0</v>
      </c>
      <c r="CA63" s="88">
        <v>0</v>
      </c>
      <c r="CB63" s="88">
        <v>0</v>
      </c>
      <c r="CC63" s="88">
        <v>0</v>
      </c>
      <c r="CD63" s="88">
        <v>0</v>
      </c>
      <c r="CE63" s="100">
        <v>0</v>
      </c>
      <c r="CF63" s="88">
        <v>0</v>
      </c>
      <c r="CG63" s="88">
        <v>0</v>
      </c>
      <c r="CH63" s="88">
        <v>0</v>
      </c>
      <c r="CI63" s="88">
        <v>0</v>
      </c>
      <c r="CJ63" s="228">
        <v>0</v>
      </c>
      <c r="CK63" s="88">
        <v>0</v>
      </c>
      <c r="CL63" s="88">
        <v>0</v>
      </c>
      <c r="CM63" s="88">
        <v>0</v>
      </c>
      <c r="CN63" s="88">
        <v>0</v>
      </c>
      <c r="CO63" s="88">
        <v>0</v>
      </c>
      <c r="CP63" s="88">
        <v>0</v>
      </c>
      <c r="CQ63" s="229">
        <v>0</v>
      </c>
      <c r="CR63" s="91">
        <v>0</v>
      </c>
      <c r="CS63" s="91">
        <v>0</v>
      </c>
      <c r="CT63" s="91">
        <v>0</v>
      </c>
      <c r="CU63" s="91">
        <v>0</v>
      </c>
      <c r="CV63" s="91">
        <v>0</v>
      </c>
      <c r="CW63" s="91">
        <v>0</v>
      </c>
      <c r="CX63" s="225">
        <v>0</v>
      </c>
      <c r="CY63" s="1265">
        <v>7759.7616799999996</v>
      </c>
      <c r="CZ63" s="90">
        <v>0</v>
      </c>
      <c r="DA63" s="88">
        <v>0</v>
      </c>
      <c r="DB63" s="88">
        <v>0</v>
      </c>
      <c r="DC63" s="88">
        <v>0</v>
      </c>
      <c r="DD63" s="88">
        <v>0</v>
      </c>
      <c r="DE63" s="152">
        <v>0</v>
      </c>
      <c r="DF63" s="230">
        <v>0</v>
      </c>
      <c r="DG63" s="38">
        <v>0</v>
      </c>
      <c r="DH63" s="1237">
        <v>0</v>
      </c>
      <c r="DI63" s="956">
        <v>0</v>
      </c>
      <c r="DJ63" s="956">
        <v>0</v>
      </c>
      <c r="DK63" s="956">
        <v>0</v>
      </c>
      <c r="DL63" s="152">
        <v>0</v>
      </c>
      <c r="DM63" s="160">
        <v>0</v>
      </c>
      <c r="DN63" s="160">
        <v>0</v>
      </c>
      <c r="DO63" s="160">
        <v>0</v>
      </c>
      <c r="DP63" s="160">
        <v>0</v>
      </c>
      <c r="DQ63" s="160">
        <v>0</v>
      </c>
      <c r="DR63" s="230">
        <v>0</v>
      </c>
      <c r="DS63" s="88">
        <v>0</v>
      </c>
      <c r="DT63" s="88">
        <v>0</v>
      </c>
      <c r="DU63" s="88">
        <v>0</v>
      </c>
      <c r="DV63" s="88">
        <v>0</v>
      </c>
      <c r="DW63" s="88">
        <v>0</v>
      </c>
      <c r="DX63" s="88">
        <v>0</v>
      </c>
      <c r="DY63" s="88">
        <v>0</v>
      </c>
      <c r="DZ63" s="88">
        <v>0</v>
      </c>
      <c r="EA63" s="88">
        <v>0</v>
      </c>
      <c r="EB63" s="152">
        <v>0</v>
      </c>
      <c r="EC63" s="52">
        <f t="shared" si="33"/>
        <v>0</v>
      </c>
      <c r="ED63" s="52">
        <f t="shared" si="33"/>
        <v>0</v>
      </c>
      <c r="EE63" s="52">
        <f t="shared" si="33"/>
        <v>0</v>
      </c>
      <c r="EF63" s="52">
        <f t="shared" si="33"/>
        <v>0</v>
      </c>
      <c r="EG63" s="52">
        <f t="shared" si="34"/>
        <v>0</v>
      </c>
      <c r="EH63" s="238">
        <v>0</v>
      </c>
      <c r="EI63" s="211">
        <v>0</v>
      </c>
      <c r="EJ63" s="211">
        <v>0</v>
      </c>
      <c r="EK63" s="211">
        <v>0</v>
      </c>
      <c r="EL63" s="217">
        <f>IF(C63&gt;=Summary!$E$26,MAX(0,SUM(EH63:EK63)),0)</f>
        <v>0</v>
      </c>
      <c r="EM63" s="52">
        <f>IF(C63&gt;=Summary!$E$26,DX63*BL63,0)</f>
        <v>0</v>
      </c>
      <c r="EN63" s="52">
        <f>IF(C63&gt;=Summary!$E$26,DY63*BM63,0)</f>
        <v>0</v>
      </c>
      <c r="EO63" s="52">
        <f>IF(C63&gt;=Summary!$E$26,DZ63*BN63,0)</f>
        <v>0</v>
      </c>
      <c r="EP63" s="52">
        <f>IF(C63&gt;=Summary!$E$26,EA63*BO63,0)</f>
        <v>0</v>
      </c>
      <c r="EQ63" s="52">
        <f>IF(C63&gt;=Summary!$E$26,DX63*BL63+DY63*BM63+DZ63*BN63+EA63*BO63,0)</f>
        <v>0</v>
      </c>
      <c r="ER63" s="826">
        <v>0</v>
      </c>
      <c r="ES63" s="278">
        <v>0</v>
      </c>
      <c r="ET63" s="278">
        <v>0</v>
      </c>
      <c r="EU63" s="278">
        <v>0</v>
      </c>
      <c r="EV63" s="212">
        <f>IF(C63&gt;=Summary!$E$26,MAX(0,SUM(ER63:EU63)),0)</f>
        <v>0</v>
      </c>
      <c r="EW63" s="52"/>
      <c r="EX63" s="1049">
        <f t="shared" si="35"/>
        <v>0</v>
      </c>
      <c r="EY63" s="1045" t="str">
        <f t="shared" si="36"/>
        <v/>
      </c>
      <c r="EZ63" s="1684" t="s">
        <v>525</v>
      </c>
      <c r="FA63" s="1046">
        <f t="shared" si="54"/>
        <v>45</v>
      </c>
      <c r="FB63" s="256">
        <f t="shared" si="37"/>
        <v>8421.75</v>
      </c>
      <c r="FC63" s="194">
        <f t="shared" si="38"/>
        <v>2526.5250000000001</v>
      </c>
      <c r="FD63" s="194">
        <f t="shared" si="39"/>
        <v>2216.25</v>
      </c>
      <c r="FE63" s="194">
        <f t="shared" si="40"/>
        <v>664.875</v>
      </c>
      <c r="FF63" s="194">
        <f t="shared" si="41"/>
        <v>2659.5</v>
      </c>
      <c r="FG63" s="194">
        <f t="shared" si="42"/>
        <v>797.85</v>
      </c>
      <c r="FH63" s="257">
        <f>IF(EZ63="No",IF((OR(MONTH(C63)=5,MONTH(C63)=6,MONTH(C63)=7,MONTH(C63)=8,MONTH(C63)=9)),Summary!$O$15*12*(AX63+AY63+AZ63+BA63)*(1-$BC63),Summary!$O$15*13*(AX63+AY63+AZ63+BA63)*(1-$BC63)+IF(Summary!$O$16="Yes",(CALC!FA63+Summary!$O$15)*6*(AX63+AY63+AZ63+BA63)*(1-$BC63),0)),0)</f>
        <v>0</v>
      </c>
      <c r="FI63" s="1412">
        <f>IF(MONTH(C63)=5,FI62*(IF(Summary!$E$70="no",(1+(Summary!$E$71*0.8)),1+HLOOKUP(YEAR(C63)-1,CCFMODEL!$I$127:$AF$128,2)*0.8)),+FI62)</f>
        <v>29.249840215241814</v>
      </c>
      <c r="FJ63" s="1411">
        <f>IF(MONTH(C63)=5,FJ62*(IF(Summary!$E$70="no",(1+(Summary!$E$71*0.8)),1+HLOOKUP(YEAR(CALC!C63)-1,CCFMODEL!$I$127:$AF$128,2)*0.8)),FJ62)</f>
        <v>25.564820975526306</v>
      </c>
      <c r="FK63" s="832">
        <f t="shared" si="1"/>
        <v>505634.67534083145</v>
      </c>
      <c r="FL63" s="1412">
        <f>IF(MONTH(C63)=5,FL62*(IF(Summary!$E$70="no",(1+(Summary!$E$71*0.8)),1+HLOOKUP(YEAR(CALC!C63)-1,CCFMODEL!$I$127:$AF$128,2)*0.8)),+FL62)</f>
        <v>61.515693201084112</v>
      </c>
      <c r="FM63" s="1411">
        <f>IF(MONTH(C63)=5,FM62*(IF(Summary!$E$70="no",(1+(Summary!$E$71*0.8)),1+HLOOKUP(YEAR(CALC!C63)-1,CCFMODEL!$I$127:$AF$128,2)*0.8)),+FM62)</f>
        <v>29.35951340690001</v>
      </c>
      <c r="FN63" s="832">
        <f t="shared" si="2"/>
        <v>515259.46029109519</v>
      </c>
      <c r="FO63" s="194">
        <f t="shared" si="43"/>
        <v>1020894.1356319266</v>
      </c>
      <c r="FP63" s="263">
        <f t="shared" si="61"/>
        <v>8421.75</v>
      </c>
      <c r="FQ63" s="194">
        <f t="shared" si="61"/>
        <v>2526.5250000000001</v>
      </c>
      <c r="FR63" s="194">
        <f t="shared" si="61"/>
        <v>2216.25</v>
      </c>
      <c r="FS63" s="194">
        <f t="shared" si="61"/>
        <v>664.875</v>
      </c>
      <c r="FT63" s="194">
        <f t="shared" si="61"/>
        <v>2659.5</v>
      </c>
      <c r="FU63" s="194">
        <f t="shared" si="61"/>
        <v>797.85</v>
      </c>
      <c r="FV63" s="257">
        <f t="shared" si="61"/>
        <v>0</v>
      </c>
      <c r="FW63" s="189">
        <f t="shared" si="4"/>
        <v>0</v>
      </c>
      <c r="FX63" s="189">
        <f t="shared" si="5"/>
        <v>0</v>
      </c>
      <c r="FY63" s="189">
        <f t="shared" si="6"/>
        <v>0</v>
      </c>
      <c r="FZ63" s="258">
        <f t="shared" si="7"/>
        <v>0</v>
      </c>
      <c r="GA63" s="1293">
        <f>(SUM(FP63:FV63)+SUM(GU63:HB63)/(1-Summary!$O$25))*CY63/1000</f>
        <v>229071.65668635597</v>
      </c>
      <c r="GB63" s="1369">
        <f>IF($C63&lt;Summary!$M$81,+Summary!$O$81,VLOOKUP(C63,GasTable,19))</f>
        <v>2.4</v>
      </c>
      <c r="GC63" s="1370">
        <f>IF(H63&lt;=Summary!$N$84,MIN(GA63,Summary!$O$75*(H63-G63+1)),0)</f>
        <v>150000</v>
      </c>
      <c r="GD63" s="1371">
        <f>IF(Summary!$O$75*(H63-G63+1)*0.8&gt;GC63,1,0)</f>
        <v>0</v>
      </c>
      <c r="GE63" s="1372">
        <v>0</v>
      </c>
      <c r="GF63" s="1370">
        <f t="shared" si="8"/>
        <v>79071.656686355971</v>
      </c>
      <c r="GG63" s="1371">
        <f>GF63*(IF(Summary!$O$74=1,VLOOKUP($C63,GasTable,16)+Summary!$O$92+Summary!$O$93,VLOOKUP($C63,GasTable,19)+Summary!$O$92+Summary!$O$93))</f>
        <v>237743.210307959</v>
      </c>
      <c r="GH63" s="1373">
        <v>18846</v>
      </c>
      <c r="GI63" s="1466">
        <v>0</v>
      </c>
      <c r="GJ63" s="1374">
        <f t="shared" si="44"/>
        <v>616589.210307959</v>
      </c>
      <c r="GK63" s="189">
        <f t="shared" si="9"/>
        <v>29092.270500000002</v>
      </c>
      <c r="GL63" s="266">
        <v>0.7620085969760001</v>
      </c>
      <c r="GM63" s="255">
        <f t="shared" si="10"/>
        <v>14730.000000000002</v>
      </c>
      <c r="GN63" s="189">
        <f>IF(SUM(GU63:HB63)=0,0,IF(Summary!$O$16="Yes",SUM(GX63:HB63),IF(Summary!$O$17="Yes",SUM(GY63:HB63),SUM(GU63:HB63))))</f>
        <v>11805.520499999999</v>
      </c>
      <c r="GO63" s="203">
        <v>2.6001718128832119</v>
      </c>
      <c r="GP63" s="258">
        <f t="shared" si="45"/>
        <v>30696.381640514919</v>
      </c>
      <c r="GQ63" s="189"/>
      <c r="GR63" s="189"/>
      <c r="GS63" s="189"/>
      <c r="GT63" s="189"/>
      <c r="GU63" s="268">
        <v>4876.1932499999994</v>
      </c>
      <c r="GV63" s="189">
        <v>1283.20875</v>
      </c>
      <c r="GW63" s="189">
        <v>1539.8504999999998</v>
      </c>
      <c r="GX63" s="189"/>
      <c r="GY63" s="254">
        <v>2600.6363999999999</v>
      </c>
      <c r="GZ63" s="189">
        <v>684.37800000000004</v>
      </c>
      <c r="HA63" s="189">
        <v>821.25359999999989</v>
      </c>
      <c r="HB63" s="255"/>
      <c r="HC63" s="189">
        <v>11805.520499999999</v>
      </c>
      <c r="HD63" s="189"/>
      <c r="HE63" s="189">
        <v>20274.698249999998</v>
      </c>
      <c r="HF63" s="189">
        <v>471273.88196618267</v>
      </c>
      <c r="HG63" s="189"/>
      <c r="HH63" s="203">
        <v>39.684790965111695</v>
      </c>
      <c r="HI63" s="189">
        <v>804597.16193196573</v>
      </c>
      <c r="HJ63" s="268">
        <f t="shared" si="11"/>
        <v>0</v>
      </c>
      <c r="HK63" s="189">
        <f t="shared" si="12"/>
        <v>0</v>
      </c>
      <c r="HL63" s="189">
        <f t="shared" si="13"/>
        <v>0</v>
      </c>
      <c r="HM63" s="255">
        <f t="shared" si="14"/>
        <v>0</v>
      </c>
      <c r="HN63" s="189">
        <f t="shared" si="15"/>
        <v>0</v>
      </c>
      <c r="HO63" s="203">
        <f t="shared" si="46"/>
        <v>0</v>
      </c>
      <c r="HP63" s="258">
        <f t="shared" si="16"/>
        <v>0</v>
      </c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R63" s="223"/>
    </row>
    <row r="64" spans="1:252" ht="13.8" thickBot="1">
      <c r="A64" t="str">
        <f t="shared" si="23"/>
        <v>2003Q4</v>
      </c>
      <c r="B64">
        <f t="shared" si="24"/>
        <v>2003</v>
      </c>
      <c r="C64" s="49">
        <f t="shared" si="25"/>
        <v>37956</v>
      </c>
      <c r="D64" s="115">
        <f t="shared" si="26"/>
        <v>2003</v>
      </c>
      <c r="E64" s="10">
        <f t="shared" si="55"/>
        <v>12</v>
      </c>
      <c r="F64" s="248">
        <f t="shared" si="57"/>
        <v>37980</v>
      </c>
      <c r="G64" s="245">
        <v>37956</v>
      </c>
      <c r="H64" s="251">
        <v>37986</v>
      </c>
      <c r="I64" s="959">
        <f t="shared" si="53"/>
        <v>7.1499999999999994E-2</v>
      </c>
      <c r="J64" s="37">
        <f t="shared" si="27"/>
        <v>0.74981362859893352</v>
      </c>
      <c r="K64" s="1036" t="e">
        <f>IF(Summary!#REF!=1,+Summary!#REF!,I64+Summary!#REF!/10000)</f>
        <v>#REF!</v>
      </c>
      <c r="L64" s="37" t="e">
        <f t="shared" si="28"/>
        <v>#REF!</v>
      </c>
      <c r="M64" s="1004">
        <v>0</v>
      </c>
      <c r="N64" s="38">
        <f t="shared" si="63"/>
        <v>0</v>
      </c>
      <c r="O64" s="40">
        <f t="shared" si="63"/>
        <v>0</v>
      </c>
      <c r="P64" s="159">
        <f t="shared" si="60"/>
        <v>0</v>
      </c>
      <c r="Q64" s="38">
        <f t="shared" si="65"/>
        <v>0</v>
      </c>
      <c r="R64" s="40">
        <f t="shared" si="65"/>
        <v>0</v>
      </c>
      <c r="S64" s="38">
        <f t="shared" si="65"/>
        <v>0</v>
      </c>
      <c r="T64" s="38">
        <f t="shared" si="65"/>
        <v>0</v>
      </c>
      <c r="U64" s="38">
        <f t="shared" si="65"/>
        <v>0</v>
      </c>
      <c r="V64" s="159">
        <f t="shared" si="65"/>
        <v>0</v>
      </c>
      <c r="W64" s="38">
        <f t="shared" si="65"/>
        <v>0</v>
      </c>
      <c r="X64" s="39">
        <f t="shared" si="65"/>
        <v>0</v>
      </c>
      <c r="Y64" s="46">
        <v>0</v>
      </c>
      <c r="Z64" s="46">
        <v>0</v>
      </c>
      <c r="AA64" s="47">
        <v>0</v>
      </c>
      <c r="AB64" s="46">
        <v>0</v>
      </c>
      <c r="AC64" s="46">
        <v>0</v>
      </c>
      <c r="AD64" s="47">
        <v>0</v>
      </c>
      <c r="AE64" s="46">
        <v>0</v>
      </c>
      <c r="AF64" s="46">
        <v>0</v>
      </c>
      <c r="AG64" s="47">
        <v>0</v>
      </c>
      <c r="AH64" s="46">
        <v>0</v>
      </c>
      <c r="AI64" s="46">
        <v>0</v>
      </c>
      <c r="AJ64" s="47">
        <v>0</v>
      </c>
      <c r="AK64" s="46">
        <v>0</v>
      </c>
      <c r="AL64" s="46">
        <v>0</v>
      </c>
      <c r="AM64" s="47">
        <v>0</v>
      </c>
      <c r="AN64" s="46">
        <v>0</v>
      </c>
      <c r="AO64" s="46">
        <v>0</v>
      </c>
      <c r="AP64" s="47">
        <v>0</v>
      </c>
      <c r="AQ64" s="46">
        <v>0</v>
      </c>
      <c r="AR64" s="46">
        <v>0</v>
      </c>
      <c r="AS64" s="47">
        <v>0</v>
      </c>
      <c r="AT64" s="46">
        <v>0</v>
      </c>
      <c r="AU64" s="46">
        <v>0</v>
      </c>
      <c r="AV64" s="46">
        <v>0</v>
      </c>
      <c r="AW64" s="1545">
        <v>0</v>
      </c>
      <c r="AX64" s="10">
        <f t="shared" si="56"/>
        <v>22</v>
      </c>
      <c r="AY64" s="42">
        <f>IF(AND($E64=MONTH(Summary!$E$24),$D64=YEAR(Summary!$E$24)),Summary!$E$25,1)*IF(G64="",0,INT((H64-MOD(H64,7)-G64)/7)+1-IF(BA64,IF(WEEKDAY(F64)=7,1,0),0))</f>
        <v>4</v>
      </c>
      <c r="AZ64" s="42">
        <f>IF(AND($E64=MONTH(Summary!$E$24),$D64=YEAR(Summary!$E$24)),Summary!$E$25,1)*IF(G64="",0,INT((H64-MOD(H64-1,7)-G64)/7)+1-IF(BA64,IF(WEEKDAY(F64)=1,1,0),0))</f>
        <v>4</v>
      </c>
      <c r="BA64" s="42">
        <v>1</v>
      </c>
      <c r="BB64" s="10">
        <f>IF(AND($E64=MONTH(Summary!$E$24),$D64=YEAR(Summary!$E$24)),Summary!$E$25,1)*IF(G64="",0,H64-G64+1)</f>
        <v>31</v>
      </c>
      <c r="BC64" s="914">
        <f>Summary!$E$19</f>
        <v>1.4999999999999999E-2</v>
      </c>
      <c r="BD64" s="113">
        <v>15602.4</v>
      </c>
      <c r="BE64" s="171">
        <v>2836.8</v>
      </c>
      <c r="BF64" s="171">
        <v>3546</v>
      </c>
      <c r="BG64" s="174"/>
      <c r="BH64" s="1198">
        <v>1</v>
      </c>
      <c r="BI64" s="1198">
        <v>1</v>
      </c>
      <c r="BJ64" s="1198">
        <v>1</v>
      </c>
      <c r="BK64" s="1198">
        <v>1</v>
      </c>
      <c r="BL64" s="95">
        <v>3120.48</v>
      </c>
      <c r="BM64" s="171">
        <v>567.36</v>
      </c>
      <c r="BN64" s="171">
        <v>709.2</v>
      </c>
      <c r="BO64" s="174"/>
      <c r="BP64" s="1198">
        <v>1</v>
      </c>
      <c r="BQ64" s="1199">
        <v>1</v>
      </c>
      <c r="BR64" s="1199">
        <v>1</v>
      </c>
      <c r="BS64" s="1200">
        <v>1</v>
      </c>
      <c r="BT64" s="94">
        <f t="shared" si="29"/>
        <v>21985.200000000001</v>
      </c>
      <c r="BU64" s="233">
        <f t="shared" si="30"/>
        <v>21985.200000000001</v>
      </c>
      <c r="BV64" s="92">
        <f t="shared" si="31"/>
        <v>4397.04</v>
      </c>
      <c r="BW64" s="233">
        <f t="shared" si="32"/>
        <v>4397.04</v>
      </c>
      <c r="BX64" s="88">
        <v>3.9616700889801506</v>
      </c>
      <c r="BY64" s="90">
        <v>0</v>
      </c>
      <c r="BZ64" s="88">
        <v>0</v>
      </c>
      <c r="CA64" s="88">
        <v>0</v>
      </c>
      <c r="CB64" s="88">
        <v>0</v>
      </c>
      <c r="CC64" s="88">
        <v>0</v>
      </c>
      <c r="CD64" s="88">
        <v>0</v>
      </c>
      <c r="CE64" s="100">
        <v>0</v>
      </c>
      <c r="CF64" s="88">
        <v>0</v>
      </c>
      <c r="CG64" s="88">
        <v>0</v>
      </c>
      <c r="CH64" s="88">
        <v>0</v>
      </c>
      <c r="CI64" s="88">
        <v>0</v>
      </c>
      <c r="CJ64" s="228">
        <v>0</v>
      </c>
      <c r="CK64" s="88">
        <v>0</v>
      </c>
      <c r="CL64" s="88">
        <v>0</v>
      </c>
      <c r="CM64" s="88">
        <v>0</v>
      </c>
      <c r="CN64" s="88">
        <v>0</v>
      </c>
      <c r="CO64" s="88">
        <v>0</v>
      </c>
      <c r="CP64" s="88">
        <v>0</v>
      </c>
      <c r="CQ64" s="229">
        <v>0</v>
      </c>
      <c r="CR64" s="91">
        <v>0</v>
      </c>
      <c r="CS64" s="91">
        <v>0</v>
      </c>
      <c r="CT64" s="91">
        <v>0</v>
      </c>
      <c r="CU64" s="91">
        <v>0</v>
      </c>
      <c r="CV64" s="91">
        <v>0</v>
      </c>
      <c r="CW64" s="91">
        <v>0</v>
      </c>
      <c r="CX64" s="225">
        <v>0</v>
      </c>
      <c r="CY64" s="1265">
        <v>7717.6479999999992</v>
      </c>
      <c r="CZ64" s="90">
        <v>0</v>
      </c>
      <c r="DA64" s="88">
        <v>0</v>
      </c>
      <c r="DB64" s="88">
        <v>0</v>
      </c>
      <c r="DC64" s="88">
        <v>0</v>
      </c>
      <c r="DD64" s="88">
        <v>0</v>
      </c>
      <c r="DE64" s="152">
        <v>0</v>
      </c>
      <c r="DF64" s="230">
        <v>0</v>
      </c>
      <c r="DG64" s="38">
        <v>0</v>
      </c>
      <c r="DH64" s="1237">
        <v>0</v>
      </c>
      <c r="DI64" s="956">
        <v>0</v>
      </c>
      <c r="DJ64" s="956">
        <v>0</v>
      </c>
      <c r="DK64" s="956">
        <v>0</v>
      </c>
      <c r="DL64" s="152">
        <v>0</v>
      </c>
      <c r="DM64" s="160">
        <v>0</v>
      </c>
      <c r="DN64" s="160">
        <v>0</v>
      </c>
      <c r="DO64" s="160">
        <v>0</v>
      </c>
      <c r="DP64" s="160">
        <v>0</v>
      </c>
      <c r="DQ64" s="160">
        <v>0</v>
      </c>
      <c r="DR64" s="230">
        <v>0</v>
      </c>
      <c r="DS64" s="88">
        <v>0</v>
      </c>
      <c r="DT64" s="88">
        <v>0</v>
      </c>
      <c r="DU64" s="88">
        <v>0</v>
      </c>
      <c r="DV64" s="88">
        <v>0</v>
      </c>
      <c r="DW64" s="88">
        <v>0</v>
      </c>
      <c r="DX64" s="88">
        <v>0</v>
      </c>
      <c r="DY64" s="88">
        <v>0</v>
      </c>
      <c r="DZ64" s="88">
        <v>0</v>
      </c>
      <c r="EA64" s="88">
        <v>0</v>
      </c>
      <c r="EB64" s="152">
        <v>0</v>
      </c>
      <c r="EC64" s="52">
        <f t="shared" si="33"/>
        <v>0</v>
      </c>
      <c r="ED64" s="52">
        <f t="shared" si="33"/>
        <v>0</v>
      </c>
      <c r="EE64" s="52">
        <f t="shared" si="33"/>
        <v>0</v>
      </c>
      <c r="EF64" s="52">
        <f t="shared" si="33"/>
        <v>0</v>
      </c>
      <c r="EG64" s="52">
        <f t="shared" si="34"/>
        <v>0</v>
      </c>
      <c r="EH64" s="238">
        <v>0</v>
      </c>
      <c r="EI64" s="211">
        <v>0</v>
      </c>
      <c r="EJ64" s="211">
        <v>0</v>
      </c>
      <c r="EK64" s="211">
        <v>0</v>
      </c>
      <c r="EL64" s="217">
        <f>IF(C64&gt;=Summary!$E$26,MAX(0,SUM(EH64:EK64)),0)</f>
        <v>0</v>
      </c>
      <c r="EM64" s="52">
        <f>IF(C64&gt;=Summary!$E$26,DX64*BL64,0)</f>
        <v>0</v>
      </c>
      <c r="EN64" s="52">
        <f>IF(C64&gt;=Summary!$E$26,DY64*BM64,0)</f>
        <v>0</v>
      </c>
      <c r="EO64" s="52">
        <f>IF(C64&gt;=Summary!$E$26,DZ64*BN64,0)</f>
        <v>0</v>
      </c>
      <c r="EP64" s="52">
        <f>IF(C64&gt;=Summary!$E$26,EA64*BO64,0)</f>
        <v>0</v>
      </c>
      <c r="EQ64" s="52">
        <f>IF(C64&gt;=Summary!$E$26,DX64*BL64+DY64*BM64+DZ64*BN64+EA64*BO64,0)</f>
        <v>0</v>
      </c>
      <c r="ER64" s="826">
        <v>0</v>
      </c>
      <c r="ES64" s="278">
        <v>0</v>
      </c>
      <c r="ET64" s="278">
        <v>0</v>
      </c>
      <c r="EU64" s="278">
        <v>0</v>
      </c>
      <c r="EV64" s="212">
        <f>IF(C64&gt;=Summary!$E$26,MAX(0,SUM(ER64:EU64)),0)</f>
        <v>0</v>
      </c>
      <c r="EW64" s="52"/>
      <c r="EX64" s="1049">
        <f t="shared" si="35"/>
        <v>0</v>
      </c>
      <c r="EY64" s="1045" t="str">
        <f t="shared" si="36"/>
        <v/>
      </c>
      <c r="EZ64" s="1684" t="s">
        <v>525</v>
      </c>
      <c r="FA64" s="1046">
        <f t="shared" si="54"/>
        <v>45</v>
      </c>
      <c r="FB64" s="256">
        <f t="shared" si="37"/>
        <v>9751.5</v>
      </c>
      <c r="FC64" s="194">
        <f t="shared" si="38"/>
        <v>2925.45</v>
      </c>
      <c r="FD64" s="194">
        <f t="shared" si="39"/>
        <v>1773</v>
      </c>
      <c r="FE64" s="194">
        <f t="shared" si="40"/>
        <v>531.9</v>
      </c>
      <c r="FF64" s="194">
        <f t="shared" si="41"/>
        <v>2216.25</v>
      </c>
      <c r="FG64" s="194">
        <f t="shared" si="42"/>
        <v>664.875</v>
      </c>
      <c r="FH64" s="257">
        <f>IF(EZ64="No",IF((OR(MONTH(C64)=5,MONTH(C64)=6,MONTH(C64)=7,MONTH(C64)=8,MONTH(C64)=9)),Summary!$O$15*12*(AX64+AY64+AZ64+BA64)*(1-$BC64),Summary!$O$15*13*(AX64+AY64+AZ64+BA64)*(1-$BC64)+IF(Summary!$O$16="Yes",(CALC!FA64+Summary!$O$15)*6*(AX64+AY64+AZ64+BA64)*(1-$BC64),0)),0)</f>
        <v>0</v>
      </c>
      <c r="FI64" s="1412">
        <f>IF(MONTH(C64)=5,FI63*(IF(Summary!$E$70="no",(1+(Summary!$E$71*0.8)),1+HLOOKUP(YEAR(C64)-1,CCFMODEL!$I$127:$AF$128,2)*0.8)),+FI63)</f>
        <v>29.249840215241814</v>
      </c>
      <c r="FJ64" s="1411">
        <f>IF(MONTH(C64)=5,FJ63*(IF(Summary!$E$70="no",(1+(Summary!$E$71*0.8)),1+HLOOKUP(YEAR(CALC!C64)-1,CCFMODEL!$I$127:$AF$128,2)*0.8)),FJ63)</f>
        <v>25.564820975526306</v>
      </c>
      <c r="FK64" s="832">
        <f t="shared" si="1"/>
        <v>522489.16451885912</v>
      </c>
      <c r="FL64" s="1412">
        <f>IF(MONTH(C64)=5,FL63*(IF(Summary!$E$70="no",(1+(Summary!$E$71*0.8)),1+HLOOKUP(YEAR(CALC!C64)-1,CCFMODEL!$I$127:$AF$128,2)*0.8)),+FL63)</f>
        <v>61.515693201084112</v>
      </c>
      <c r="FM64" s="1411">
        <f>IF(MONTH(C64)=5,FM63*(IF(Summary!$E$70="no",(1+(Summary!$E$71*0.8)),1+HLOOKUP(YEAR(CALC!C64)-1,CCFMODEL!$I$127:$AF$128,2)*0.8)),+FM63)</f>
        <v>29.35951340690001</v>
      </c>
      <c r="FN64" s="832">
        <f t="shared" si="2"/>
        <v>532434.77563413174</v>
      </c>
      <c r="FO64" s="194">
        <f t="shared" si="43"/>
        <v>1054923.9401529909</v>
      </c>
      <c r="FP64" s="263">
        <f t="shared" si="61"/>
        <v>9751.5</v>
      </c>
      <c r="FQ64" s="194">
        <f t="shared" si="61"/>
        <v>2925.45</v>
      </c>
      <c r="FR64" s="194">
        <f t="shared" si="61"/>
        <v>1773</v>
      </c>
      <c r="FS64" s="194">
        <f t="shared" si="61"/>
        <v>531.9</v>
      </c>
      <c r="FT64" s="194">
        <f t="shared" si="61"/>
        <v>2216.25</v>
      </c>
      <c r="FU64" s="194">
        <f t="shared" si="61"/>
        <v>664.875</v>
      </c>
      <c r="FV64" s="257">
        <f t="shared" si="61"/>
        <v>0</v>
      </c>
      <c r="FW64" s="189">
        <f t="shared" si="4"/>
        <v>0</v>
      </c>
      <c r="FX64" s="189">
        <f t="shared" si="5"/>
        <v>0</v>
      </c>
      <c r="FY64" s="189">
        <f t="shared" si="6"/>
        <v>0</v>
      </c>
      <c r="FZ64" s="258">
        <f t="shared" si="7"/>
        <v>0</v>
      </c>
      <c r="GA64" s="1293">
        <f>(SUM(FP64:FV64)+SUM(GU64:HB64)/(1-Summary!$O$25))*CY64/1000</f>
        <v>235422.72329831994</v>
      </c>
      <c r="GB64" s="1369">
        <f>IF($C64&lt;Summary!$M$81,+Summary!$O$81,VLOOKUP(C64,GasTable,19))</f>
        <v>2.4</v>
      </c>
      <c r="GC64" s="1370">
        <f>IF(H64&lt;=Summary!$N$84,MIN(GA64,Summary!$O$75*(H64-G64+1)),0)</f>
        <v>155000</v>
      </c>
      <c r="GD64" s="1371">
        <f>IF(Summary!$O$75*(H64-G64+1)*0.8&gt;GC64,1,0)</f>
        <v>0</v>
      </c>
      <c r="GE64" s="1372">
        <v>0</v>
      </c>
      <c r="GF64" s="1370">
        <f t="shared" si="8"/>
        <v>80422.723298319936</v>
      </c>
      <c r="GG64" s="1371">
        <f>GF64*(IF(Summary!$O$74=1,VLOOKUP($C64,GasTable,16)+Summary!$O$92+Summary!$O$93,VLOOKUP($C64,GasTable,19)+Summary!$O$92+Summary!$O$93))</f>
        <v>251912.43159991576</v>
      </c>
      <c r="GH64" s="1373">
        <v>20038.400000000001</v>
      </c>
      <c r="GI64" s="1466">
        <v>0</v>
      </c>
      <c r="GJ64" s="1374">
        <f t="shared" si="44"/>
        <v>643950.83159991575</v>
      </c>
      <c r="GK64" s="189">
        <f t="shared" si="9"/>
        <v>30062.012850000003</v>
      </c>
      <c r="GL64" s="266">
        <v>0.75787303359999991</v>
      </c>
      <c r="GM64" s="255">
        <f t="shared" si="10"/>
        <v>15221</v>
      </c>
      <c r="GN64" s="189">
        <f>IF(SUM(GU64:HB64)=0,0,IF(Summary!$O$16="Yes",SUM(GX64:HB64),IF(Summary!$O$17="Yes",SUM(GY64:HB64),SUM(GU64:HB64))))</f>
        <v>12199.037849999999</v>
      </c>
      <c r="GO64" s="203">
        <v>2.6001718128832119</v>
      </c>
      <c r="GP64" s="258">
        <f t="shared" si="45"/>
        <v>31719.594361865416</v>
      </c>
      <c r="GQ64" s="189"/>
      <c r="GR64" s="189"/>
      <c r="GS64" s="189"/>
      <c r="GT64" s="189"/>
      <c r="GU64" s="268">
        <v>5646.1184999999996</v>
      </c>
      <c r="GV64" s="189">
        <v>1026.5670000000002</v>
      </c>
      <c r="GW64" s="189">
        <v>1283.20875</v>
      </c>
      <c r="GX64" s="189"/>
      <c r="GY64" s="254">
        <v>3011.2631999999999</v>
      </c>
      <c r="GZ64" s="189">
        <v>547.50239999999997</v>
      </c>
      <c r="HA64" s="189">
        <v>684.37800000000004</v>
      </c>
      <c r="HB64" s="255"/>
      <c r="HC64" s="189">
        <v>12199.037849999999</v>
      </c>
      <c r="HD64" s="189"/>
      <c r="HE64" s="189">
        <v>20950.521524999996</v>
      </c>
      <c r="HF64" s="189">
        <v>473060.23001981457</v>
      </c>
      <c r="HG64" s="189"/>
      <c r="HH64" s="203">
        <v>38.52825874882933</v>
      </c>
      <c r="HI64" s="189">
        <v>807187.11423811829</v>
      </c>
      <c r="HJ64" s="268">
        <f t="shared" si="11"/>
        <v>0</v>
      </c>
      <c r="HK64" s="189">
        <f t="shared" si="12"/>
        <v>0</v>
      </c>
      <c r="HL64" s="189">
        <f t="shared" si="13"/>
        <v>0</v>
      </c>
      <c r="HM64" s="255">
        <f t="shared" si="14"/>
        <v>0</v>
      </c>
      <c r="HN64" s="189">
        <f t="shared" si="15"/>
        <v>0</v>
      </c>
      <c r="HO64" s="203">
        <f t="shared" si="46"/>
        <v>0</v>
      </c>
      <c r="HP64" s="258">
        <f t="shared" si="16"/>
        <v>0</v>
      </c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R64" s="223"/>
    </row>
    <row r="65" spans="1:252" ht="13.8" thickBot="1">
      <c r="A65" t="str">
        <f t="shared" si="23"/>
        <v>2004Q1</v>
      </c>
      <c r="B65">
        <f t="shared" si="24"/>
        <v>2004</v>
      </c>
      <c r="C65" s="49">
        <f t="shared" si="25"/>
        <v>37987</v>
      </c>
      <c r="D65" s="115">
        <f t="shared" si="26"/>
        <v>2004</v>
      </c>
      <c r="E65" s="10">
        <f t="shared" si="55"/>
        <v>1</v>
      </c>
      <c r="F65" s="248">
        <f t="shared" si="57"/>
        <v>37987</v>
      </c>
      <c r="G65" s="245">
        <v>37987</v>
      </c>
      <c r="H65" s="251">
        <v>38017</v>
      </c>
      <c r="I65" s="959">
        <f t="shared" si="53"/>
        <v>7.1499999999999994E-2</v>
      </c>
      <c r="J65" s="37">
        <f t="shared" si="27"/>
        <v>0.74535617379543828</v>
      </c>
      <c r="K65" s="1036" t="e">
        <f>IF(Summary!#REF!=1,+Summary!#REF!,I65+Summary!#REF!/10000)</f>
        <v>#REF!</v>
      </c>
      <c r="L65" s="37" t="e">
        <f t="shared" si="28"/>
        <v>#REF!</v>
      </c>
      <c r="M65" s="1004">
        <v>0</v>
      </c>
      <c r="N65" s="38">
        <f t="shared" si="63"/>
        <v>0</v>
      </c>
      <c r="O65" s="40">
        <f t="shared" si="63"/>
        <v>0</v>
      </c>
      <c r="P65" s="159">
        <f t="shared" si="60"/>
        <v>0</v>
      </c>
      <c r="Q65" s="38">
        <f t="shared" si="65"/>
        <v>0</v>
      </c>
      <c r="R65" s="40">
        <f t="shared" si="65"/>
        <v>0</v>
      </c>
      <c r="S65" s="38">
        <f t="shared" si="65"/>
        <v>0</v>
      </c>
      <c r="T65" s="38">
        <f t="shared" si="65"/>
        <v>0</v>
      </c>
      <c r="U65" s="38">
        <f t="shared" si="65"/>
        <v>0</v>
      </c>
      <c r="V65" s="159">
        <f t="shared" si="65"/>
        <v>0</v>
      </c>
      <c r="W65" s="38">
        <f t="shared" si="65"/>
        <v>0</v>
      </c>
      <c r="X65" s="39">
        <f t="shared" si="65"/>
        <v>0</v>
      </c>
      <c r="Y65" s="46">
        <v>0</v>
      </c>
      <c r="Z65" s="46">
        <v>0</v>
      </c>
      <c r="AA65" s="47">
        <v>0</v>
      </c>
      <c r="AB65" s="46">
        <v>0</v>
      </c>
      <c r="AC65" s="46">
        <v>0</v>
      </c>
      <c r="AD65" s="47">
        <v>0</v>
      </c>
      <c r="AE65" s="46">
        <v>0</v>
      </c>
      <c r="AF65" s="46">
        <v>0</v>
      </c>
      <c r="AG65" s="47">
        <v>0</v>
      </c>
      <c r="AH65" s="46">
        <v>0</v>
      </c>
      <c r="AI65" s="46">
        <v>0</v>
      </c>
      <c r="AJ65" s="47">
        <v>0</v>
      </c>
      <c r="AK65" s="46">
        <v>0</v>
      </c>
      <c r="AL65" s="46">
        <v>0</v>
      </c>
      <c r="AM65" s="47">
        <v>0</v>
      </c>
      <c r="AN65" s="46">
        <v>0</v>
      </c>
      <c r="AO65" s="46">
        <v>0</v>
      </c>
      <c r="AP65" s="47">
        <v>0</v>
      </c>
      <c r="AQ65" s="46">
        <v>0</v>
      </c>
      <c r="AR65" s="46">
        <v>0</v>
      </c>
      <c r="AS65" s="47">
        <v>0</v>
      </c>
      <c r="AT65" s="46">
        <v>0</v>
      </c>
      <c r="AU65" s="46">
        <v>0</v>
      </c>
      <c r="AV65" s="46">
        <v>0</v>
      </c>
      <c r="AW65" s="1545">
        <v>0</v>
      </c>
      <c r="AX65" s="10">
        <f t="shared" si="56"/>
        <v>21</v>
      </c>
      <c r="AY65" s="42">
        <f>IF(AND($E65=MONTH(Summary!$E$24),$D65=YEAR(Summary!$E$24)),Summary!$E$25,1)*IF(G65="",0,INT((H65-MOD(H65,7)-G65)/7)+1-IF(BA65,IF(WEEKDAY(F65)=7,1,0),0))</f>
        <v>5</v>
      </c>
      <c r="AZ65" s="42">
        <f>IF(AND($E65=MONTH(Summary!$E$24),$D65=YEAR(Summary!$E$24)),Summary!$E$25,1)*IF(G65="",0,INT((H65-MOD(H65-1,7)-G65)/7)+1-IF(BA65,IF(WEEKDAY(F65)=1,1,0),0))</f>
        <v>4</v>
      </c>
      <c r="BA65" s="42">
        <v>1</v>
      </c>
      <c r="BB65" s="10">
        <f>IF(AND($E65=MONTH(Summary!$E$24),$D65=YEAR(Summary!$E$24)),Summary!$E$25,1)*IF(G65="",0,H65-G65+1)</f>
        <v>31</v>
      </c>
      <c r="BC65" s="914">
        <f>Summary!$E$19</f>
        <v>1.4999999999999999E-2</v>
      </c>
      <c r="BD65" s="113">
        <v>14893.2</v>
      </c>
      <c r="BE65" s="171">
        <v>3546</v>
      </c>
      <c r="BF65" s="171">
        <v>3546</v>
      </c>
      <c r="BG65" s="174"/>
      <c r="BH65" s="1198">
        <v>1</v>
      </c>
      <c r="BI65" s="1198">
        <v>1</v>
      </c>
      <c r="BJ65" s="1198">
        <v>1</v>
      </c>
      <c r="BK65" s="1198">
        <v>1</v>
      </c>
      <c r="BL65" s="95">
        <v>2978.64</v>
      </c>
      <c r="BM65" s="171">
        <v>709.2</v>
      </c>
      <c r="BN65" s="171">
        <v>709.2</v>
      </c>
      <c r="BO65" s="174"/>
      <c r="BP65" s="1198">
        <v>1</v>
      </c>
      <c r="BQ65" s="1199">
        <v>1</v>
      </c>
      <c r="BR65" s="1199">
        <v>1</v>
      </c>
      <c r="BS65" s="1200">
        <v>1</v>
      </c>
      <c r="BT65" s="94">
        <f t="shared" si="29"/>
        <v>21985.200000000001</v>
      </c>
      <c r="BU65" s="233">
        <f t="shared" si="30"/>
        <v>21985.200000000001</v>
      </c>
      <c r="BV65" s="92">
        <f t="shared" si="31"/>
        <v>4397.04</v>
      </c>
      <c r="BW65" s="233">
        <f t="shared" si="32"/>
        <v>4397.04</v>
      </c>
      <c r="BX65" s="88">
        <v>4.046543463381246</v>
      </c>
      <c r="BY65" s="90">
        <v>0</v>
      </c>
      <c r="BZ65" s="88">
        <v>0</v>
      </c>
      <c r="CA65" s="88">
        <v>0</v>
      </c>
      <c r="CB65" s="88">
        <v>0</v>
      </c>
      <c r="CC65" s="88">
        <v>0</v>
      </c>
      <c r="CD65" s="88">
        <v>0</v>
      </c>
      <c r="CE65" s="100">
        <v>0</v>
      </c>
      <c r="CF65" s="88">
        <v>0</v>
      </c>
      <c r="CG65" s="88">
        <v>0</v>
      </c>
      <c r="CH65" s="88">
        <v>0</v>
      </c>
      <c r="CI65" s="88">
        <v>0</v>
      </c>
      <c r="CJ65" s="228">
        <v>0</v>
      </c>
      <c r="CK65" s="88">
        <v>0</v>
      </c>
      <c r="CL65" s="88">
        <v>0</v>
      </c>
      <c r="CM65" s="88">
        <v>0</v>
      </c>
      <c r="CN65" s="88">
        <v>0</v>
      </c>
      <c r="CO65" s="88">
        <v>0</v>
      </c>
      <c r="CP65" s="88">
        <v>0</v>
      </c>
      <c r="CQ65" s="229">
        <v>0</v>
      </c>
      <c r="CR65" s="91">
        <v>0</v>
      </c>
      <c r="CS65" s="91">
        <v>0</v>
      </c>
      <c r="CT65" s="91">
        <v>0</v>
      </c>
      <c r="CU65" s="91">
        <v>0</v>
      </c>
      <c r="CV65" s="91">
        <v>0</v>
      </c>
      <c r="CW65" s="91">
        <v>0</v>
      </c>
      <c r="CX65" s="225">
        <v>0</v>
      </c>
      <c r="CY65" s="1265">
        <v>7718.9508799999994</v>
      </c>
      <c r="CZ65" s="90">
        <v>0</v>
      </c>
      <c r="DA65" s="88">
        <v>0</v>
      </c>
      <c r="DB65" s="88">
        <v>0</v>
      </c>
      <c r="DC65" s="88">
        <v>0</v>
      </c>
      <c r="DD65" s="88">
        <v>0</v>
      </c>
      <c r="DE65" s="152">
        <v>0</v>
      </c>
      <c r="DF65" s="230">
        <v>0</v>
      </c>
      <c r="DG65" s="38">
        <v>0</v>
      </c>
      <c r="DH65" s="1237">
        <v>0</v>
      </c>
      <c r="DI65" s="956">
        <v>0</v>
      </c>
      <c r="DJ65" s="956">
        <v>0</v>
      </c>
      <c r="DK65" s="956">
        <v>0</v>
      </c>
      <c r="DL65" s="152">
        <v>0</v>
      </c>
      <c r="DM65" s="160">
        <v>0</v>
      </c>
      <c r="DN65" s="160">
        <v>0</v>
      </c>
      <c r="DO65" s="160">
        <v>0</v>
      </c>
      <c r="DP65" s="160">
        <v>0</v>
      </c>
      <c r="DQ65" s="160">
        <v>0</v>
      </c>
      <c r="DR65" s="230">
        <v>0</v>
      </c>
      <c r="DS65" s="88">
        <v>0</v>
      </c>
      <c r="DT65" s="88">
        <v>0</v>
      </c>
      <c r="DU65" s="88">
        <v>0</v>
      </c>
      <c r="DV65" s="88">
        <v>0</v>
      </c>
      <c r="DW65" s="88">
        <v>0</v>
      </c>
      <c r="DX65" s="88">
        <v>0</v>
      </c>
      <c r="DY65" s="88">
        <v>0</v>
      </c>
      <c r="DZ65" s="88">
        <v>0</v>
      </c>
      <c r="EA65" s="88">
        <v>0</v>
      </c>
      <c r="EB65" s="152">
        <v>0</v>
      </c>
      <c r="EC65" s="52">
        <f t="shared" si="33"/>
        <v>0</v>
      </c>
      <c r="ED65" s="52">
        <f t="shared" si="33"/>
        <v>0</v>
      </c>
      <c r="EE65" s="52">
        <f t="shared" si="33"/>
        <v>0</v>
      </c>
      <c r="EF65" s="52">
        <f t="shared" si="33"/>
        <v>0</v>
      </c>
      <c r="EG65" s="52">
        <f t="shared" si="34"/>
        <v>0</v>
      </c>
      <c r="EH65" s="238">
        <v>0</v>
      </c>
      <c r="EI65" s="211">
        <v>0</v>
      </c>
      <c r="EJ65" s="211">
        <v>0</v>
      </c>
      <c r="EK65" s="211">
        <v>0</v>
      </c>
      <c r="EL65" s="217">
        <f>IF(C65&gt;=Summary!$E$26,MAX(0,SUM(EH65:EK65)),0)</f>
        <v>0</v>
      </c>
      <c r="EM65" s="52">
        <f>IF(C65&gt;=Summary!$E$26,DX65*BL65,0)</f>
        <v>0</v>
      </c>
      <c r="EN65" s="52">
        <f>IF(C65&gt;=Summary!$E$26,DY65*BM65,0)</f>
        <v>0</v>
      </c>
      <c r="EO65" s="52">
        <f>IF(C65&gt;=Summary!$E$26,DZ65*BN65,0)</f>
        <v>0</v>
      </c>
      <c r="EP65" s="52">
        <f>IF(C65&gt;=Summary!$E$26,EA65*BO65,0)</f>
        <v>0</v>
      </c>
      <c r="EQ65" s="52">
        <f>IF(C65&gt;=Summary!$E$26,DX65*BL65+DY65*BM65+DZ65*BN65+EA65*BO65,0)</f>
        <v>0</v>
      </c>
      <c r="ER65" s="826">
        <v>0</v>
      </c>
      <c r="ES65" s="278">
        <v>0</v>
      </c>
      <c r="ET65" s="278">
        <v>0</v>
      </c>
      <c r="EU65" s="278">
        <v>0</v>
      </c>
      <c r="EV65" s="212">
        <f>IF(C65&gt;=Summary!$E$26,MAX(0,SUM(ER65:EU65)),0)</f>
        <v>0</v>
      </c>
      <c r="EW65" s="52"/>
      <c r="EX65" s="1049">
        <f t="shared" si="35"/>
        <v>0</v>
      </c>
      <c r="EY65" s="1045" t="str">
        <f t="shared" si="36"/>
        <v/>
      </c>
      <c r="EZ65" s="1684" t="s">
        <v>525</v>
      </c>
      <c r="FA65" s="1046">
        <f t="shared" si="54"/>
        <v>45</v>
      </c>
      <c r="FB65" s="256">
        <f t="shared" si="37"/>
        <v>9308.25</v>
      </c>
      <c r="FC65" s="194">
        <f t="shared" si="38"/>
        <v>2792.4749999999999</v>
      </c>
      <c r="FD65" s="194">
        <f t="shared" si="39"/>
        <v>2216.25</v>
      </c>
      <c r="FE65" s="194">
        <f t="shared" si="40"/>
        <v>664.875</v>
      </c>
      <c r="FF65" s="194">
        <f t="shared" si="41"/>
        <v>2216.25</v>
      </c>
      <c r="FG65" s="194">
        <f t="shared" si="42"/>
        <v>664.875</v>
      </c>
      <c r="FH65" s="257">
        <f>IF(EZ65="No",IF((OR(MONTH(C65)=5,MONTH(C65)=6,MONTH(C65)=7,MONTH(C65)=8,MONTH(C65)=9)),Summary!$O$15*12*(AX65+AY65+AZ65+BA65)*(1-$BC65),Summary!$O$15*13*(AX65+AY65+AZ65+BA65)*(1-$BC65)+IF(Summary!$O$16="Yes",(CALC!FA65+Summary!$O$15)*6*(AX65+AY65+AZ65+BA65)*(1-$BC65),0)),0)</f>
        <v>0</v>
      </c>
      <c r="FI65" s="1412">
        <f>IF(MONTH(C65)=5,FI64*(IF(Summary!$E$70="no",(1+(Summary!$E$71*0.8)),1+HLOOKUP(YEAR(C65)-1,CCFMODEL!$I$127:$AF$128,2)*0.8)),+FI64)</f>
        <v>29.249840215241814</v>
      </c>
      <c r="FJ65" s="1411">
        <f>IF(MONTH(C65)=5,FJ64*(IF(Summary!$E$70="no",(1+(Summary!$E$71*0.8)),1+HLOOKUP(YEAR(CALC!C65)-1,CCFMODEL!$I$127:$AF$128,2)*0.8)),FJ64)</f>
        <v>25.564820975526306</v>
      </c>
      <c r="FK65" s="832">
        <f t="shared" si="1"/>
        <v>522489.16451885912</v>
      </c>
      <c r="FL65" s="1412">
        <f>IF(MONTH(C65)=5,FL64*(IF(Summary!$E$70="no",(1+(Summary!$E$71*0.8)),1+HLOOKUP(YEAR(CALC!C65)-1,CCFMODEL!$I$127:$AF$128,2)*0.8)),+FL64)</f>
        <v>61.515693201084112</v>
      </c>
      <c r="FM65" s="1411">
        <f>IF(MONTH(C65)=5,FM64*(IF(Summary!$E$70="no",(1+(Summary!$E$71*0.8)),1+HLOOKUP(YEAR(CALC!C65)-1,CCFMODEL!$I$127:$AF$128,2)*0.8)),+FM64)</f>
        <v>29.35951340690001</v>
      </c>
      <c r="FN65" s="832">
        <f t="shared" si="2"/>
        <v>532434.77563413174</v>
      </c>
      <c r="FO65" s="194">
        <f t="shared" si="43"/>
        <v>1054923.9401529909</v>
      </c>
      <c r="FP65" s="263">
        <f t="shared" si="61"/>
        <v>9308.25</v>
      </c>
      <c r="FQ65" s="194">
        <f t="shared" si="61"/>
        <v>2792.4749999999999</v>
      </c>
      <c r="FR65" s="194">
        <f t="shared" si="61"/>
        <v>2216.25</v>
      </c>
      <c r="FS65" s="194">
        <f t="shared" si="61"/>
        <v>664.875</v>
      </c>
      <c r="FT65" s="194">
        <f t="shared" si="61"/>
        <v>2216.25</v>
      </c>
      <c r="FU65" s="194">
        <f t="shared" si="61"/>
        <v>664.875</v>
      </c>
      <c r="FV65" s="257">
        <f t="shared" si="61"/>
        <v>0</v>
      </c>
      <c r="FW65" s="189">
        <f t="shared" si="4"/>
        <v>0</v>
      </c>
      <c r="FX65" s="189">
        <f t="shared" si="5"/>
        <v>0</v>
      </c>
      <c r="FY65" s="189">
        <f t="shared" si="6"/>
        <v>0</v>
      </c>
      <c r="FZ65" s="258">
        <f t="shared" si="7"/>
        <v>0</v>
      </c>
      <c r="GA65" s="1293">
        <f>(SUM(FP65:FV65)+SUM(GU65:HB65)/(1-Summary!$O$25))*CY65/1000</f>
        <v>235462.46695567918</v>
      </c>
      <c r="GB65" s="1369">
        <f>IF($C65&lt;Summary!$M$81,+Summary!$O$81,VLOOKUP(C65,GasTable,19))</f>
        <v>2.4</v>
      </c>
      <c r="GC65" s="1370">
        <f>IF(H65&lt;=Summary!$N$84,MIN(GA65,Summary!$O$75*(H65-G65+1)),0)</f>
        <v>155000</v>
      </c>
      <c r="GD65" s="1371">
        <f>IF(Summary!$O$75*(H65-G65+1)*0.8&gt;GC65,1,0)</f>
        <v>0</v>
      </c>
      <c r="GE65" s="1372">
        <v>0</v>
      </c>
      <c r="GF65" s="1370">
        <f t="shared" si="8"/>
        <v>80462.466955679178</v>
      </c>
      <c r="GG65" s="1371">
        <f>GF65*(IF(Summary!$O$74=1,VLOOKUP($C65,GasTable,16)+Summary!$O$92+Summary!$O$93,VLOOKUP($C65,GasTable,19)+Summary!$O$92+Summary!$O$93))</f>
        <v>242248.08289225158</v>
      </c>
      <c r="GH65" s="1373">
        <v>20639.8</v>
      </c>
      <c r="GI65" s="1466">
        <v>0</v>
      </c>
      <c r="GJ65" s="1374">
        <f t="shared" si="44"/>
        <v>634887.8828922516</v>
      </c>
      <c r="GK65" s="189">
        <f t="shared" si="9"/>
        <v>30062.012850000003</v>
      </c>
      <c r="GL65" s="266">
        <v>0.75800097641600006</v>
      </c>
      <c r="GM65" s="255">
        <f t="shared" si="10"/>
        <v>15221.000000000004</v>
      </c>
      <c r="GN65" s="189">
        <f>IF(SUM(GU65:HB65)=0,0,IF(Summary!$O$16="Yes",SUM(GX65:HB65),IF(Summary!$O$17="Yes",SUM(GY65:HB65),SUM(GU65:HB65))))</f>
        <v>12199.037850000001</v>
      </c>
      <c r="GO65" s="203">
        <v>2.6781769672697084</v>
      </c>
      <c r="GP65" s="258">
        <f t="shared" si="45"/>
        <v>32671.182192721386</v>
      </c>
      <c r="GQ65" s="189"/>
      <c r="GR65" s="189"/>
      <c r="GS65" s="189"/>
      <c r="GT65" s="189"/>
      <c r="GU65" s="268">
        <v>5389.4767500000007</v>
      </c>
      <c r="GV65" s="189">
        <v>1283.20875</v>
      </c>
      <c r="GW65" s="189">
        <v>1283.20875</v>
      </c>
      <c r="GX65" s="189"/>
      <c r="GY65" s="254">
        <v>2874.3875999999996</v>
      </c>
      <c r="GZ65" s="189">
        <v>684.37800000000004</v>
      </c>
      <c r="HA65" s="189">
        <v>684.37800000000004</v>
      </c>
      <c r="HB65" s="255"/>
      <c r="HC65" s="189">
        <v>12199.037850000001</v>
      </c>
      <c r="HD65" s="189"/>
      <c r="HE65" s="189">
        <v>20950.521525</v>
      </c>
      <c r="HF65" s="189">
        <v>439326.81115506793</v>
      </c>
      <c r="HG65" s="189"/>
      <c r="HH65" s="203">
        <v>35.737458569462497</v>
      </c>
      <c r="HI65" s="189">
        <v>748718.39500831976</v>
      </c>
      <c r="HJ65" s="268">
        <f t="shared" si="11"/>
        <v>0</v>
      </c>
      <c r="HK65" s="189">
        <f t="shared" si="12"/>
        <v>0</v>
      </c>
      <c r="HL65" s="189">
        <f t="shared" si="13"/>
        <v>0</v>
      </c>
      <c r="HM65" s="255">
        <f t="shared" si="14"/>
        <v>0</v>
      </c>
      <c r="HN65" s="189">
        <f t="shared" si="15"/>
        <v>0</v>
      </c>
      <c r="HO65" s="203">
        <f t="shared" si="46"/>
        <v>0</v>
      </c>
      <c r="HP65" s="258">
        <f t="shared" si="16"/>
        <v>0</v>
      </c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R65" s="223"/>
    </row>
    <row r="66" spans="1:252" ht="13.8" thickBot="1">
      <c r="A66" t="str">
        <f t="shared" si="23"/>
        <v>2004Q1</v>
      </c>
      <c r="B66">
        <f t="shared" si="24"/>
        <v>2004</v>
      </c>
      <c r="C66" s="49">
        <f t="shared" si="25"/>
        <v>38018</v>
      </c>
      <c r="D66" s="115">
        <f t="shared" si="26"/>
        <v>2004</v>
      </c>
      <c r="E66" s="10">
        <f t="shared" si="55"/>
        <v>2</v>
      </c>
      <c r="F66" s="248" t="str">
        <f t="shared" si="57"/>
        <v/>
      </c>
      <c r="G66" s="245">
        <v>38018</v>
      </c>
      <c r="H66" s="251">
        <v>38046</v>
      </c>
      <c r="I66" s="959">
        <f t="shared" si="53"/>
        <v>7.1499999999999994E-2</v>
      </c>
      <c r="J66" s="37">
        <f t="shared" si="27"/>
        <v>0.74121028902976316</v>
      </c>
      <c r="K66" s="1036" t="e">
        <f>IF(Summary!#REF!=1,+Summary!#REF!,I66+Summary!#REF!/10000)</f>
        <v>#REF!</v>
      </c>
      <c r="L66" s="37" t="e">
        <f t="shared" si="28"/>
        <v>#REF!</v>
      </c>
      <c r="M66" s="1004">
        <v>0</v>
      </c>
      <c r="N66" s="38">
        <f t="shared" si="63"/>
        <v>0</v>
      </c>
      <c r="O66" s="40">
        <f t="shared" si="63"/>
        <v>0</v>
      </c>
      <c r="P66" s="159">
        <f t="shared" si="60"/>
        <v>0</v>
      </c>
      <c r="Q66" s="38">
        <f t="shared" si="65"/>
        <v>0</v>
      </c>
      <c r="R66" s="40">
        <f t="shared" si="65"/>
        <v>0</v>
      </c>
      <c r="S66" s="38">
        <f t="shared" si="65"/>
        <v>0</v>
      </c>
      <c r="T66" s="38">
        <f t="shared" si="65"/>
        <v>0</v>
      </c>
      <c r="U66" s="38">
        <f t="shared" si="65"/>
        <v>0</v>
      </c>
      <c r="V66" s="159">
        <f t="shared" si="65"/>
        <v>0</v>
      </c>
      <c r="W66" s="38">
        <f t="shared" si="65"/>
        <v>0</v>
      </c>
      <c r="X66" s="39">
        <f t="shared" si="65"/>
        <v>0</v>
      </c>
      <c r="Y66" s="46">
        <v>0</v>
      </c>
      <c r="Z66" s="46">
        <v>0</v>
      </c>
      <c r="AA66" s="47">
        <v>0</v>
      </c>
      <c r="AB66" s="46">
        <v>0</v>
      </c>
      <c r="AC66" s="46">
        <v>0</v>
      </c>
      <c r="AD66" s="47">
        <v>0</v>
      </c>
      <c r="AE66" s="46">
        <v>0</v>
      </c>
      <c r="AF66" s="46">
        <v>0</v>
      </c>
      <c r="AG66" s="47">
        <v>0</v>
      </c>
      <c r="AH66" s="46">
        <v>0</v>
      </c>
      <c r="AI66" s="46">
        <v>0</v>
      </c>
      <c r="AJ66" s="47">
        <v>0</v>
      </c>
      <c r="AK66" s="46">
        <v>0</v>
      </c>
      <c r="AL66" s="46">
        <v>0</v>
      </c>
      <c r="AM66" s="47">
        <v>0</v>
      </c>
      <c r="AN66" s="46">
        <v>0</v>
      </c>
      <c r="AO66" s="46">
        <v>0</v>
      </c>
      <c r="AP66" s="47">
        <v>0</v>
      </c>
      <c r="AQ66" s="46">
        <v>0</v>
      </c>
      <c r="AR66" s="46">
        <v>0</v>
      </c>
      <c r="AS66" s="47">
        <v>0</v>
      </c>
      <c r="AT66" s="46">
        <v>0</v>
      </c>
      <c r="AU66" s="46">
        <v>0</v>
      </c>
      <c r="AV66" s="46">
        <v>0</v>
      </c>
      <c r="AW66" s="1545">
        <v>0</v>
      </c>
      <c r="AX66" s="10">
        <f t="shared" si="56"/>
        <v>20</v>
      </c>
      <c r="AY66" s="42">
        <f>IF(AND($E66=MONTH(Summary!$E$24),$D66=YEAR(Summary!$E$24)),Summary!$E$25,1)*IF(G66="",0,INT((H66-MOD(H66,7)-G66)/7)+1-IF(BA66,IF(WEEKDAY(F66)=7,1,0),0))</f>
        <v>4</v>
      </c>
      <c r="AZ66" s="42">
        <f>IF(AND($E66=MONTH(Summary!$E$24),$D66=YEAR(Summary!$E$24)),Summary!$E$25,1)*IF(G66="",0,INT((H66-MOD(H66-1,7)-G66)/7)+1-IF(BA66,IF(WEEKDAY(F66)=1,1,0),0))</f>
        <v>5</v>
      </c>
      <c r="BA66" s="42">
        <v>0</v>
      </c>
      <c r="BB66" s="10">
        <f>IF(AND($E66=MONTH(Summary!$E$24),$D66=YEAR(Summary!$E$24)),Summary!$E$25,1)*IF(G66="",0,H66-G66+1)</f>
        <v>29</v>
      </c>
      <c r="BC66" s="914">
        <f>Summary!$E$19</f>
        <v>1.4999999999999999E-2</v>
      </c>
      <c r="BD66" s="113">
        <v>14184</v>
      </c>
      <c r="BE66" s="171">
        <v>2836.8</v>
      </c>
      <c r="BF66" s="171">
        <v>3546</v>
      </c>
      <c r="BG66" s="174"/>
      <c r="BH66" s="1198">
        <v>1</v>
      </c>
      <c r="BI66" s="1198">
        <v>1</v>
      </c>
      <c r="BJ66" s="1198">
        <v>1</v>
      </c>
      <c r="BK66" s="1198">
        <v>1</v>
      </c>
      <c r="BL66" s="95">
        <v>2836.8</v>
      </c>
      <c r="BM66" s="171">
        <v>567.36</v>
      </c>
      <c r="BN66" s="171">
        <v>709.2</v>
      </c>
      <c r="BO66" s="174"/>
      <c r="BP66" s="1198">
        <v>1</v>
      </c>
      <c r="BQ66" s="1199">
        <v>1</v>
      </c>
      <c r="BR66" s="1199">
        <v>1</v>
      </c>
      <c r="BS66" s="1200">
        <v>1</v>
      </c>
      <c r="BT66" s="94">
        <f t="shared" si="29"/>
        <v>20566.8</v>
      </c>
      <c r="BU66" s="233">
        <f t="shared" si="30"/>
        <v>20566.8</v>
      </c>
      <c r="BV66" s="92">
        <f t="shared" si="31"/>
        <v>4113.3600000000006</v>
      </c>
      <c r="BW66" s="233">
        <f t="shared" si="32"/>
        <v>4113.3600000000006</v>
      </c>
      <c r="BX66" s="88">
        <v>4.131416837782341</v>
      </c>
      <c r="BY66" s="90">
        <v>0</v>
      </c>
      <c r="BZ66" s="88">
        <v>0</v>
      </c>
      <c r="CA66" s="88">
        <v>0</v>
      </c>
      <c r="CB66" s="88">
        <v>0</v>
      </c>
      <c r="CC66" s="88">
        <v>0</v>
      </c>
      <c r="CD66" s="88">
        <v>0</v>
      </c>
      <c r="CE66" s="100">
        <v>0</v>
      </c>
      <c r="CF66" s="88">
        <v>0</v>
      </c>
      <c r="CG66" s="88">
        <v>0</v>
      </c>
      <c r="CH66" s="88">
        <v>0</v>
      </c>
      <c r="CI66" s="88">
        <v>0</v>
      </c>
      <c r="CJ66" s="228">
        <v>0</v>
      </c>
      <c r="CK66" s="88">
        <v>0</v>
      </c>
      <c r="CL66" s="88">
        <v>0</v>
      </c>
      <c r="CM66" s="88">
        <v>0</v>
      </c>
      <c r="CN66" s="88">
        <v>0</v>
      </c>
      <c r="CO66" s="88">
        <v>0</v>
      </c>
      <c r="CP66" s="88">
        <v>0</v>
      </c>
      <c r="CQ66" s="229">
        <v>0</v>
      </c>
      <c r="CR66" s="91">
        <v>0</v>
      </c>
      <c r="CS66" s="91">
        <v>0</v>
      </c>
      <c r="CT66" s="91">
        <v>0</v>
      </c>
      <c r="CU66" s="91">
        <v>0</v>
      </c>
      <c r="CV66" s="91">
        <v>0</v>
      </c>
      <c r="CW66" s="91">
        <v>0</v>
      </c>
      <c r="CX66" s="225">
        <v>0</v>
      </c>
      <c r="CY66" s="1265">
        <v>7720.2537599999996</v>
      </c>
      <c r="CZ66" s="90">
        <v>0</v>
      </c>
      <c r="DA66" s="88">
        <v>0</v>
      </c>
      <c r="DB66" s="88">
        <v>0</v>
      </c>
      <c r="DC66" s="88">
        <v>0</v>
      </c>
      <c r="DD66" s="88">
        <v>0</v>
      </c>
      <c r="DE66" s="152">
        <v>0</v>
      </c>
      <c r="DF66" s="230">
        <v>0</v>
      </c>
      <c r="DG66" s="38">
        <v>0</v>
      </c>
      <c r="DH66" s="1237">
        <v>0</v>
      </c>
      <c r="DI66" s="956">
        <v>0</v>
      </c>
      <c r="DJ66" s="956">
        <v>0</v>
      </c>
      <c r="DK66" s="956">
        <v>0</v>
      </c>
      <c r="DL66" s="152">
        <v>0</v>
      </c>
      <c r="DM66" s="160">
        <v>0</v>
      </c>
      <c r="DN66" s="160">
        <v>0</v>
      </c>
      <c r="DO66" s="160">
        <v>0</v>
      </c>
      <c r="DP66" s="160">
        <v>0</v>
      </c>
      <c r="DQ66" s="160">
        <v>0</v>
      </c>
      <c r="DR66" s="230">
        <v>0</v>
      </c>
      <c r="DS66" s="88">
        <v>0</v>
      </c>
      <c r="DT66" s="88">
        <v>0</v>
      </c>
      <c r="DU66" s="88">
        <v>0</v>
      </c>
      <c r="DV66" s="88">
        <v>0</v>
      </c>
      <c r="DW66" s="88">
        <v>0</v>
      </c>
      <c r="DX66" s="88">
        <v>0</v>
      </c>
      <c r="DY66" s="88">
        <v>0</v>
      </c>
      <c r="DZ66" s="88">
        <v>0</v>
      </c>
      <c r="EA66" s="88">
        <v>0</v>
      </c>
      <c r="EB66" s="152">
        <v>0</v>
      </c>
      <c r="EC66" s="52">
        <f t="shared" si="33"/>
        <v>0</v>
      </c>
      <c r="ED66" s="52">
        <f t="shared" si="33"/>
        <v>0</v>
      </c>
      <c r="EE66" s="52">
        <f t="shared" si="33"/>
        <v>0</v>
      </c>
      <c r="EF66" s="52">
        <f t="shared" si="33"/>
        <v>0</v>
      </c>
      <c r="EG66" s="52">
        <f t="shared" si="34"/>
        <v>0</v>
      </c>
      <c r="EH66" s="238">
        <v>0</v>
      </c>
      <c r="EI66" s="211">
        <v>0</v>
      </c>
      <c r="EJ66" s="211">
        <v>0</v>
      </c>
      <c r="EK66" s="211">
        <v>0</v>
      </c>
      <c r="EL66" s="217">
        <f>IF(C66&gt;=Summary!$E$26,MAX(0,SUM(EH66:EK66)),0)</f>
        <v>0</v>
      </c>
      <c r="EM66" s="52">
        <f>IF(C66&gt;=Summary!$E$26,DX66*BL66,0)</f>
        <v>0</v>
      </c>
      <c r="EN66" s="52">
        <f>IF(C66&gt;=Summary!$E$26,DY66*BM66,0)</f>
        <v>0</v>
      </c>
      <c r="EO66" s="52">
        <f>IF(C66&gt;=Summary!$E$26,DZ66*BN66,0)</f>
        <v>0</v>
      </c>
      <c r="EP66" s="52">
        <f>IF(C66&gt;=Summary!$E$26,EA66*BO66,0)</f>
        <v>0</v>
      </c>
      <c r="EQ66" s="52">
        <f>IF(C66&gt;=Summary!$E$26,DX66*BL66+DY66*BM66+DZ66*BN66+EA66*BO66,0)</f>
        <v>0</v>
      </c>
      <c r="ER66" s="826">
        <v>0</v>
      </c>
      <c r="ES66" s="278">
        <v>0</v>
      </c>
      <c r="ET66" s="278">
        <v>0</v>
      </c>
      <c r="EU66" s="278">
        <v>0</v>
      </c>
      <c r="EV66" s="212">
        <f>IF(C66&gt;=Summary!$E$26,MAX(0,SUM(ER66:EU66)),0)</f>
        <v>0</v>
      </c>
      <c r="EW66" s="52"/>
      <c r="EX66" s="1049">
        <f t="shared" si="35"/>
        <v>0</v>
      </c>
      <c r="EY66" s="1045" t="str">
        <f t="shared" si="36"/>
        <v/>
      </c>
      <c r="EZ66" s="1684" t="s">
        <v>525</v>
      </c>
      <c r="FA66" s="1046">
        <f t="shared" si="54"/>
        <v>45</v>
      </c>
      <c r="FB66" s="256">
        <f t="shared" si="37"/>
        <v>8865</v>
      </c>
      <c r="FC66" s="194">
        <f t="shared" si="38"/>
        <v>2659.5</v>
      </c>
      <c r="FD66" s="194">
        <f t="shared" si="39"/>
        <v>1773</v>
      </c>
      <c r="FE66" s="194">
        <f t="shared" si="40"/>
        <v>531.9</v>
      </c>
      <c r="FF66" s="194">
        <f t="shared" si="41"/>
        <v>2216.25</v>
      </c>
      <c r="FG66" s="194">
        <f t="shared" si="42"/>
        <v>664.875</v>
      </c>
      <c r="FH66" s="257">
        <f>IF(EZ66="No",IF((OR(MONTH(C66)=5,MONTH(C66)=6,MONTH(C66)=7,MONTH(C66)=8,MONTH(C66)=9)),Summary!$O$15*12*(AX66+AY66+AZ66+BA66)*(1-$BC66),Summary!$O$15*13*(AX66+AY66+AZ66+BA66)*(1-$BC66)+IF(Summary!$O$16="Yes",(CALC!FA66+Summary!$O$15)*6*(AX66+AY66+AZ66+BA66)*(1-$BC66),0)),0)</f>
        <v>0</v>
      </c>
      <c r="FI66" s="1412">
        <f>IF(MONTH(C66)=5,FI65*(IF(Summary!$E$70="no",(1+(Summary!$E$71*0.8)),1+HLOOKUP(YEAR(C66)-1,CCFMODEL!$I$127:$AF$128,2)*0.8)),+FI65)</f>
        <v>29.249840215241814</v>
      </c>
      <c r="FJ66" s="1411">
        <f>IF(MONTH(C66)=5,FJ65*(IF(Summary!$E$70="no",(1+(Summary!$E$71*0.8)),1+HLOOKUP(YEAR(CALC!C66)-1,CCFMODEL!$I$127:$AF$128,2)*0.8)),FJ65)</f>
        <v>25.564820975526306</v>
      </c>
      <c r="FK66" s="832">
        <f t="shared" si="1"/>
        <v>488780.18616280379</v>
      </c>
      <c r="FL66" s="1412">
        <f>IF(MONTH(C66)=5,FL65*(IF(Summary!$E$70="no",(1+(Summary!$E$71*0.8)),1+HLOOKUP(YEAR(CALC!C66)-1,CCFMODEL!$I$127:$AF$128,2)*0.8)),+FL65)</f>
        <v>61.515693201084112</v>
      </c>
      <c r="FM66" s="1411">
        <f>IF(MONTH(C66)=5,FM65*(IF(Summary!$E$70="no",(1+(Summary!$E$71*0.8)),1+HLOOKUP(YEAR(CALC!C66)-1,CCFMODEL!$I$127:$AF$128,2)*0.8)),+FM65)</f>
        <v>29.35951340690001</v>
      </c>
      <c r="FN66" s="832">
        <f t="shared" si="2"/>
        <v>498084.1449480587</v>
      </c>
      <c r="FO66" s="194">
        <f t="shared" si="43"/>
        <v>986864.33111086255</v>
      </c>
      <c r="FP66" s="263">
        <f t="shared" si="61"/>
        <v>8865</v>
      </c>
      <c r="FQ66" s="194">
        <f t="shared" si="61"/>
        <v>2659.5</v>
      </c>
      <c r="FR66" s="194">
        <f t="shared" si="61"/>
        <v>1773</v>
      </c>
      <c r="FS66" s="194">
        <f t="shared" si="61"/>
        <v>531.9</v>
      </c>
      <c r="FT66" s="194">
        <f t="shared" si="61"/>
        <v>2216.25</v>
      </c>
      <c r="FU66" s="194">
        <f t="shared" si="61"/>
        <v>664.875</v>
      </c>
      <c r="FV66" s="257">
        <f t="shared" si="61"/>
        <v>0</v>
      </c>
      <c r="FW66" s="189">
        <f t="shared" si="4"/>
        <v>0</v>
      </c>
      <c r="FX66" s="189">
        <f t="shared" si="5"/>
        <v>0</v>
      </c>
      <c r="FY66" s="189">
        <f t="shared" si="6"/>
        <v>0</v>
      </c>
      <c r="FZ66" s="258">
        <f t="shared" si="7"/>
        <v>0</v>
      </c>
      <c r="GA66" s="1293">
        <f>(SUM(FP66:FV66)+SUM(GU66:HB66)/(1-Summary!$O$25))*CY66/1000</f>
        <v>160765.67646905762</v>
      </c>
      <c r="GB66" s="1369">
        <f>IF($C66&lt;Summary!$M$81,+Summary!$O$81,VLOOKUP(C66,GasTable,19))</f>
        <v>2.4</v>
      </c>
      <c r="GC66" s="1370">
        <f>IF(H66&lt;=Summary!$N$84,MIN(GA66,Summary!$O$75*(H66-G66+1)),0)</f>
        <v>145000</v>
      </c>
      <c r="GD66" s="1371">
        <f>IF(Summary!$O$75*(H66-G66+1)*0.8&gt;GC66,1,0)</f>
        <v>0</v>
      </c>
      <c r="GE66" s="1372">
        <v>0</v>
      </c>
      <c r="GF66" s="1370">
        <f t="shared" si="8"/>
        <v>15765.676469057624</v>
      </c>
      <c r="GG66" s="1371">
        <f>GF66*(IF(Summary!$O$74=1,VLOOKUP($C66,GasTable,16)+Summary!$O$92+Summary!$O$93,VLOOKUP($C66,GasTable,19)+Summary!$O$92+Summary!$O$93))</f>
        <v>43902.850940981007</v>
      </c>
      <c r="GH66" s="1373">
        <v>18577.400000000001</v>
      </c>
      <c r="GI66" s="1466">
        <v>0</v>
      </c>
      <c r="GJ66" s="1374">
        <f t="shared" si="44"/>
        <v>410480.25094098103</v>
      </c>
      <c r="GK66" s="189">
        <f t="shared" si="9"/>
        <v>20679.917400000002</v>
      </c>
      <c r="GL66" s="266">
        <v>0.75812891923199999</v>
      </c>
      <c r="GM66" s="255">
        <f t="shared" si="10"/>
        <v>14239</v>
      </c>
      <c r="GN66" s="189">
        <f>IF(SUM(GU66:HB66)=0,0,IF(Summary!$O$16="Yes",SUM(GX66:HB66),IF(Summary!$O$17="Yes",SUM(GY66:HB66),SUM(GU66:HB66))))</f>
        <v>3969.3924000000002</v>
      </c>
      <c r="GO66" s="203">
        <v>2.6781769672697084</v>
      </c>
      <c r="GP66" s="258">
        <f t="shared" si="45"/>
        <v>10630.73529973543</v>
      </c>
      <c r="GQ66" s="189"/>
      <c r="GR66" s="189"/>
      <c r="GS66" s="189"/>
      <c r="GT66" s="189"/>
      <c r="GU66" s="268">
        <v>0</v>
      </c>
      <c r="GV66" s="189">
        <v>0</v>
      </c>
      <c r="GW66" s="189">
        <v>0</v>
      </c>
      <c r="GX66" s="189"/>
      <c r="GY66" s="254">
        <v>2737.5120000000002</v>
      </c>
      <c r="GZ66" s="189">
        <v>547.50239999999997</v>
      </c>
      <c r="HA66" s="189">
        <v>684.37800000000004</v>
      </c>
      <c r="HB66" s="255"/>
      <c r="HC66" s="189">
        <v>3969.3924000000002</v>
      </c>
      <c r="HD66" s="189"/>
      <c r="HE66" s="189">
        <v>5954.0886</v>
      </c>
      <c r="HF66" s="189">
        <v>117340.51513142837</v>
      </c>
      <c r="HG66" s="189"/>
      <c r="HH66" s="203">
        <v>29.561329117128448</v>
      </c>
      <c r="HI66" s="189">
        <v>176010.77269714256</v>
      </c>
      <c r="HJ66" s="268">
        <f t="shared" si="11"/>
        <v>0</v>
      </c>
      <c r="HK66" s="189">
        <f t="shared" si="12"/>
        <v>0</v>
      </c>
      <c r="HL66" s="189">
        <f t="shared" si="13"/>
        <v>0</v>
      </c>
      <c r="HM66" s="255">
        <f t="shared" si="14"/>
        <v>0</v>
      </c>
      <c r="HN66" s="189">
        <f t="shared" si="15"/>
        <v>0</v>
      </c>
      <c r="HO66" s="203">
        <f t="shared" si="46"/>
        <v>0</v>
      </c>
      <c r="HP66" s="258">
        <f t="shared" si="16"/>
        <v>0</v>
      </c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R66" s="223"/>
    </row>
    <row r="67" spans="1:252" ht="13.8" thickBot="1">
      <c r="A67" t="str">
        <f t="shared" si="23"/>
        <v>2004Q1</v>
      </c>
      <c r="B67">
        <f t="shared" si="24"/>
        <v>2004</v>
      </c>
      <c r="C67" s="49">
        <f t="shared" si="25"/>
        <v>38047</v>
      </c>
      <c r="D67" s="115">
        <f t="shared" si="26"/>
        <v>2004</v>
      </c>
      <c r="E67" s="10">
        <f t="shared" si="55"/>
        <v>3</v>
      </c>
      <c r="F67" s="248" t="str">
        <f t="shared" si="57"/>
        <v/>
      </c>
      <c r="G67" s="245">
        <v>38047</v>
      </c>
      <c r="H67" s="251">
        <v>38077</v>
      </c>
      <c r="I67" s="959">
        <f t="shared" si="53"/>
        <v>7.1499999999999994E-2</v>
      </c>
      <c r="J67" s="37">
        <f t="shared" si="27"/>
        <v>0.73680397893186689</v>
      </c>
      <c r="K67" s="1036" t="e">
        <f>IF(Summary!#REF!=1,+Summary!#REF!,I67+Summary!#REF!/10000)</f>
        <v>#REF!</v>
      </c>
      <c r="L67" s="37" t="e">
        <f t="shared" si="28"/>
        <v>#REF!</v>
      </c>
      <c r="M67" s="1004">
        <v>0</v>
      </c>
      <c r="N67" s="38">
        <f t="shared" si="63"/>
        <v>0</v>
      </c>
      <c r="O67" s="40">
        <f t="shared" si="63"/>
        <v>0</v>
      </c>
      <c r="P67" s="159">
        <f t="shared" si="60"/>
        <v>0</v>
      </c>
      <c r="Q67" s="38">
        <f t="shared" si="65"/>
        <v>0</v>
      </c>
      <c r="R67" s="40">
        <f t="shared" si="65"/>
        <v>0</v>
      </c>
      <c r="S67" s="38">
        <f t="shared" si="65"/>
        <v>0</v>
      </c>
      <c r="T67" s="38">
        <f t="shared" si="65"/>
        <v>0</v>
      </c>
      <c r="U67" s="38">
        <f t="shared" si="65"/>
        <v>0</v>
      </c>
      <c r="V67" s="159">
        <f t="shared" si="65"/>
        <v>0</v>
      </c>
      <c r="W67" s="38">
        <f t="shared" si="65"/>
        <v>0</v>
      </c>
      <c r="X67" s="39">
        <f t="shared" si="65"/>
        <v>0</v>
      </c>
      <c r="Y67" s="46">
        <v>0</v>
      </c>
      <c r="Z67" s="46">
        <v>0</v>
      </c>
      <c r="AA67" s="47">
        <v>0</v>
      </c>
      <c r="AB67" s="46">
        <v>0</v>
      </c>
      <c r="AC67" s="46">
        <v>0</v>
      </c>
      <c r="AD67" s="47">
        <v>0</v>
      </c>
      <c r="AE67" s="46">
        <v>0</v>
      </c>
      <c r="AF67" s="46">
        <v>0</v>
      </c>
      <c r="AG67" s="47">
        <v>0</v>
      </c>
      <c r="AH67" s="46">
        <v>0</v>
      </c>
      <c r="AI67" s="46">
        <v>0</v>
      </c>
      <c r="AJ67" s="47">
        <v>0</v>
      </c>
      <c r="AK67" s="46">
        <v>0</v>
      </c>
      <c r="AL67" s="46">
        <v>0</v>
      </c>
      <c r="AM67" s="47">
        <v>0</v>
      </c>
      <c r="AN67" s="46">
        <v>0</v>
      </c>
      <c r="AO67" s="46">
        <v>0</v>
      </c>
      <c r="AP67" s="47">
        <v>0</v>
      </c>
      <c r="AQ67" s="46">
        <v>0</v>
      </c>
      <c r="AR67" s="46">
        <v>0</v>
      </c>
      <c r="AS67" s="47">
        <v>0</v>
      </c>
      <c r="AT67" s="46">
        <v>0</v>
      </c>
      <c r="AU67" s="46">
        <v>0</v>
      </c>
      <c r="AV67" s="46">
        <v>0</v>
      </c>
      <c r="AW67" s="1545">
        <v>0</v>
      </c>
      <c r="AX67" s="10">
        <f t="shared" si="56"/>
        <v>23</v>
      </c>
      <c r="AY67" s="42">
        <f>IF(AND($E67=MONTH(Summary!$E$24),$D67=YEAR(Summary!$E$24)),Summary!$E$25,1)*IF(G67="",0,INT((H67-MOD(H67,7)-G67)/7)+1-IF(BA67,IF(WEEKDAY(F67)=7,1,0),0))</f>
        <v>4</v>
      </c>
      <c r="AZ67" s="42">
        <f>IF(AND($E67=MONTH(Summary!$E$24),$D67=YEAR(Summary!$E$24)),Summary!$E$25,1)*IF(G67="",0,INT((H67-MOD(H67-1,7)-G67)/7)+1-IF(BA67,IF(WEEKDAY(F67)=1,1,0),0))</f>
        <v>4</v>
      </c>
      <c r="BA67" s="42">
        <v>0</v>
      </c>
      <c r="BB67" s="10">
        <f>IF(AND($E67=MONTH(Summary!$E$24),$D67=YEAR(Summary!$E$24)),Summary!$E$25,1)*IF(G67="",0,H67-G67+1)</f>
        <v>31</v>
      </c>
      <c r="BC67" s="914">
        <f>Summary!$E$19</f>
        <v>1.4999999999999999E-2</v>
      </c>
      <c r="BD67" s="113">
        <v>16311.6</v>
      </c>
      <c r="BE67" s="171">
        <v>2836.8</v>
      </c>
      <c r="BF67" s="171">
        <v>2836.8</v>
      </c>
      <c r="BG67" s="174"/>
      <c r="BH67" s="1198">
        <v>1</v>
      </c>
      <c r="BI67" s="1198">
        <v>1</v>
      </c>
      <c r="BJ67" s="1198">
        <v>1</v>
      </c>
      <c r="BK67" s="1198">
        <v>1</v>
      </c>
      <c r="BL67" s="95">
        <v>3262.32</v>
      </c>
      <c r="BM67" s="171">
        <v>567.36</v>
      </c>
      <c r="BN67" s="171">
        <v>567.36</v>
      </c>
      <c r="BO67" s="174"/>
      <c r="BP67" s="1198">
        <v>1</v>
      </c>
      <c r="BQ67" s="1199">
        <v>1</v>
      </c>
      <c r="BR67" s="1199">
        <v>1</v>
      </c>
      <c r="BS67" s="1200">
        <v>1</v>
      </c>
      <c r="BT67" s="94">
        <f t="shared" si="29"/>
        <v>21985.200000000001</v>
      </c>
      <c r="BU67" s="233">
        <f t="shared" si="30"/>
        <v>21985.200000000001</v>
      </c>
      <c r="BV67" s="92">
        <f t="shared" si="31"/>
        <v>4397.04</v>
      </c>
      <c r="BW67" s="233">
        <f t="shared" si="32"/>
        <v>4397.04</v>
      </c>
      <c r="BX67" s="88">
        <v>4.2108145106091719</v>
      </c>
      <c r="BY67" s="90">
        <v>0</v>
      </c>
      <c r="BZ67" s="88">
        <v>0</v>
      </c>
      <c r="CA67" s="88">
        <v>0</v>
      </c>
      <c r="CB67" s="88">
        <v>0</v>
      </c>
      <c r="CC67" s="88">
        <v>0</v>
      </c>
      <c r="CD67" s="88">
        <v>0</v>
      </c>
      <c r="CE67" s="100">
        <v>0</v>
      </c>
      <c r="CF67" s="88">
        <v>0</v>
      </c>
      <c r="CG67" s="88">
        <v>0</v>
      </c>
      <c r="CH67" s="88">
        <v>0</v>
      </c>
      <c r="CI67" s="88">
        <v>0</v>
      </c>
      <c r="CJ67" s="228">
        <v>0</v>
      </c>
      <c r="CK67" s="88">
        <v>0</v>
      </c>
      <c r="CL67" s="88">
        <v>0</v>
      </c>
      <c r="CM67" s="88">
        <v>0</v>
      </c>
      <c r="CN67" s="88">
        <v>0</v>
      </c>
      <c r="CO67" s="88">
        <v>0</v>
      </c>
      <c r="CP67" s="88">
        <v>0</v>
      </c>
      <c r="CQ67" s="229">
        <v>0</v>
      </c>
      <c r="CR67" s="91">
        <v>0</v>
      </c>
      <c r="CS67" s="91">
        <v>0</v>
      </c>
      <c r="CT67" s="91">
        <v>0</v>
      </c>
      <c r="CU67" s="91">
        <v>0</v>
      </c>
      <c r="CV67" s="91">
        <v>0</v>
      </c>
      <c r="CW67" s="91">
        <v>0</v>
      </c>
      <c r="CX67" s="225">
        <v>0</v>
      </c>
      <c r="CY67" s="1265">
        <v>7721.5566399999989</v>
      </c>
      <c r="CZ67" s="90">
        <v>0</v>
      </c>
      <c r="DA67" s="88">
        <v>0</v>
      </c>
      <c r="DB67" s="88">
        <v>0</v>
      </c>
      <c r="DC67" s="88">
        <v>0</v>
      </c>
      <c r="DD67" s="88">
        <v>0</v>
      </c>
      <c r="DE67" s="152">
        <v>0</v>
      </c>
      <c r="DF67" s="230">
        <v>0</v>
      </c>
      <c r="DG67" s="38">
        <v>0</v>
      </c>
      <c r="DH67" s="1237">
        <v>0</v>
      </c>
      <c r="DI67" s="956">
        <v>0</v>
      </c>
      <c r="DJ67" s="956">
        <v>0</v>
      </c>
      <c r="DK67" s="956">
        <v>0</v>
      </c>
      <c r="DL67" s="152">
        <v>0</v>
      </c>
      <c r="DM67" s="160">
        <v>0</v>
      </c>
      <c r="DN67" s="160">
        <v>0</v>
      </c>
      <c r="DO67" s="160">
        <v>0</v>
      </c>
      <c r="DP67" s="160">
        <v>0</v>
      </c>
      <c r="DQ67" s="160">
        <v>0</v>
      </c>
      <c r="DR67" s="230">
        <v>0</v>
      </c>
      <c r="DS67" s="88">
        <v>0</v>
      </c>
      <c r="DT67" s="88">
        <v>0</v>
      </c>
      <c r="DU67" s="88">
        <v>0</v>
      </c>
      <c r="DV67" s="88">
        <v>0</v>
      </c>
      <c r="DW67" s="88">
        <v>0</v>
      </c>
      <c r="DX67" s="88">
        <v>0</v>
      </c>
      <c r="DY67" s="88">
        <v>0</v>
      </c>
      <c r="DZ67" s="88">
        <v>0</v>
      </c>
      <c r="EA67" s="88">
        <v>0</v>
      </c>
      <c r="EB67" s="152">
        <v>0</v>
      </c>
      <c r="EC67" s="52">
        <f t="shared" si="33"/>
        <v>0</v>
      </c>
      <c r="ED67" s="52">
        <f t="shared" si="33"/>
        <v>0</v>
      </c>
      <c r="EE67" s="52">
        <f t="shared" si="33"/>
        <v>0</v>
      </c>
      <c r="EF67" s="52">
        <f t="shared" si="33"/>
        <v>0</v>
      </c>
      <c r="EG67" s="52">
        <f t="shared" si="34"/>
        <v>0</v>
      </c>
      <c r="EH67" s="238">
        <v>0</v>
      </c>
      <c r="EI67" s="211">
        <v>0</v>
      </c>
      <c r="EJ67" s="211">
        <v>0</v>
      </c>
      <c r="EK67" s="211">
        <v>0</v>
      </c>
      <c r="EL67" s="217">
        <f>IF(C67&gt;=Summary!$E$26,MAX(0,SUM(EH67:EK67)),0)</f>
        <v>0</v>
      </c>
      <c r="EM67" s="52">
        <f>IF(C67&gt;=Summary!$E$26,DX67*BL67,0)</f>
        <v>0</v>
      </c>
      <c r="EN67" s="52">
        <f>IF(C67&gt;=Summary!$E$26,DY67*BM67,0)</f>
        <v>0</v>
      </c>
      <c r="EO67" s="52">
        <f>IF(C67&gt;=Summary!$E$26,DZ67*BN67,0)</f>
        <v>0</v>
      </c>
      <c r="EP67" s="52">
        <f>IF(C67&gt;=Summary!$E$26,EA67*BO67,0)</f>
        <v>0</v>
      </c>
      <c r="EQ67" s="52">
        <f>IF(C67&gt;=Summary!$E$26,DX67*BL67+DY67*BM67+DZ67*BN67+EA67*BO67,0)</f>
        <v>0</v>
      </c>
      <c r="ER67" s="826">
        <v>0</v>
      </c>
      <c r="ES67" s="278">
        <v>0</v>
      </c>
      <c r="ET67" s="278">
        <v>0</v>
      </c>
      <c r="EU67" s="278">
        <v>0</v>
      </c>
      <c r="EV67" s="212">
        <f>IF(C67&gt;=Summary!$E$26,MAX(0,SUM(ER67:EU67)),0)</f>
        <v>0</v>
      </c>
      <c r="EW67" s="52"/>
      <c r="EX67" s="1049">
        <f t="shared" si="35"/>
        <v>0</v>
      </c>
      <c r="EY67" s="1045" t="str">
        <f t="shared" si="36"/>
        <v/>
      </c>
      <c r="EZ67" s="1684" t="s">
        <v>525</v>
      </c>
      <c r="FA67" s="1046">
        <f t="shared" si="54"/>
        <v>45</v>
      </c>
      <c r="FB67" s="256">
        <f t="shared" si="37"/>
        <v>10194.75</v>
      </c>
      <c r="FC67" s="194">
        <f t="shared" si="38"/>
        <v>3058.4250000000002</v>
      </c>
      <c r="FD67" s="194">
        <f t="shared" si="39"/>
        <v>1773</v>
      </c>
      <c r="FE67" s="194">
        <f t="shared" si="40"/>
        <v>531.9</v>
      </c>
      <c r="FF67" s="194">
        <f t="shared" si="41"/>
        <v>1773</v>
      </c>
      <c r="FG67" s="194">
        <f t="shared" si="42"/>
        <v>531.9</v>
      </c>
      <c r="FH67" s="257">
        <f>IF(EZ67="No",IF((OR(MONTH(C67)=5,MONTH(C67)=6,MONTH(C67)=7,MONTH(C67)=8,MONTH(C67)=9)),Summary!$O$15*12*(AX67+AY67+AZ67+BA67)*(1-$BC67),Summary!$O$15*13*(AX67+AY67+AZ67+BA67)*(1-$BC67)+IF(Summary!$O$16="Yes",(CALC!FA67+Summary!$O$15)*6*(AX67+AY67+AZ67+BA67)*(1-$BC67),0)),0)</f>
        <v>0</v>
      </c>
      <c r="FI67" s="1412">
        <f>IF(MONTH(C67)=5,FI66*(IF(Summary!$E$70="no",(1+(Summary!$E$71*0.8)),1+HLOOKUP(YEAR(C67)-1,CCFMODEL!$I$127:$AF$128,2)*0.8)),+FI66)</f>
        <v>29.249840215241814</v>
      </c>
      <c r="FJ67" s="1411">
        <f>IF(MONTH(C67)=5,FJ66*(IF(Summary!$E$70="no",(1+(Summary!$E$71*0.8)),1+HLOOKUP(YEAR(CALC!C67)-1,CCFMODEL!$I$127:$AF$128,2)*0.8)),FJ66)</f>
        <v>25.564820975526306</v>
      </c>
      <c r="FK67" s="832">
        <f t="shared" si="1"/>
        <v>522489.16451885912</v>
      </c>
      <c r="FL67" s="1412">
        <f>IF(MONTH(C67)=5,FL66*(IF(Summary!$E$70="no",(1+(Summary!$E$71*0.8)),1+HLOOKUP(YEAR(CALC!C67)-1,CCFMODEL!$I$127:$AF$128,2)*0.8)),+FL66)</f>
        <v>61.515693201084112</v>
      </c>
      <c r="FM67" s="1411">
        <f>IF(MONTH(C67)=5,FM66*(IF(Summary!$E$70="no",(1+(Summary!$E$71*0.8)),1+HLOOKUP(YEAR(CALC!C67)-1,CCFMODEL!$I$127:$AF$128,2)*0.8)),+FM66)</f>
        <v>29.35951340690001</v>
      </c>
      <c r="FN67" s="832">
        <f t="shared" si="2"/>
        <v>532434.77563413174</v>
      </c>
      <c r="FO67" s="194">
        <f t="shared" si="43"/>
        <v>1054923.9401529909</v>
      </c>
      <c r="FP67" s="263">
        <f t="shared" si="61"/>
        <v>10194.75</v>
      </c>
      <c r="FQ67" s="194">
        <f t="shared" si="61"/>
        <v>3058.4250000000002</v>
      </c>
      <c r="FR67" s="194">
        <f t="shared" si="61"/>
        <v>1773</v>
      </c>
      <c r="FS67" s="194">
        <f t="shared" si="61"/>
        <v>531.9</v>
      </c>
      <c r="FT67" s="194">
        <f t="shared" si="61"/>
        <v>1773</v>
      </c>
      <c r="FU67" s="194">
        <f t="shared" si="61"/>
        <v>531.9</v>
      </c>
      <c r="FV67" s="257">
        <f t="shared" si="61"/>
        <v>0</v>
      </c>
      <c r="FW67" s="189">
        <f t="shared" si="4"/>
        <v>0</v>
      </c>
      <c r="FX67" s="189">
        <f t="shared" si="5"/>
        <v>0</v>
      </c>
      <c r="FY67" s="189">
        <f t="shared" si="6"/>
        <v>0</v>
      </c>
      <c r="FZ67" s="258">
        <f t="shared" si="7"/>
        <v>0</v>
      </c>
      <c r="GA67" s="1293">
        <f>(SUM(FP67:FV67)+SUM(GU67:HB67)/(1-Summary!$O$25))*CY67/1000</f>
        <v>171881.96662974957</v>
      </c>
      <c r="GB67" s="1369">
        <f>IF($C67&lt;Summary!$M$81,+Summary!$O$81,VLOOKUP(C67,GasTable,19))</f>
        <v>2.4</v>
      </c>
      <c r="GC67" s="1370">
        <f>IF(H67&lt;=Summary!$N$84,MIN(GA67,Summary!$O$75*(H67-G67+1)),0)</f>
        <v>155000</v>
      </c>
      <c r="GD67" s="1371">
        <f>IF(Summary!$O$75*(H67-G67+1)*0.8&gt;GC67,1,0)</f>
        <v>0</v>
      </c>
      <c r="GE67" s="1372">
        <v>0</v>
      </c>
      <c r="GF67" s="1370">
        <f t="shared" si="8"/>
        <v>16881.966629749571</v>
      </c>
      <c r="GG67" s="1371">
        <f>GF67*(IF(Summary!$O$74=1,VLOOKUP($C67,GasTable,16)+Summary!$O$92+Summary!$O$93,VLOOKUP($C67,GasTable,19)+Summary!$O$92+Summary!$O$93))</f>
        <v>44537.246877342972</v>
      </c>
      <c r="GH67" s="1373">
        <v>19009.2</v>
      </c>
      <c r="GI67" s="1466">
        <v>0</v>
      </c>
      <c r="GJ67" s="1374">
        <f t="shared" si="44"/>
        <v>435546.446877343</v>
      </c>
      <c r="GK67" s="189">
        <f t="shared" si="9"/>
        <v>22106.118600000002</v>
      </c>
      <c r="GL67" s="266">
        <v>0.75825686204799991</v>
      </c>
      <c r="GM67" s="255">
        <f t="shared" si="10"/>
        <v>15221</v>
      </c>
      <c r="GN67" s="189">
        <f>IF(SUM(GU67:HB67)=0,0,IF(Summary!$O$16="Yes",SUM(GX67:HB67),IF(Summary!$O$17="Yes",SUM(GY67:HB67),SUM(GU67:HB67))))</f>
        <v>4243.1436000000003</v>
      </c>
      <c r="GO67" s="203">
        <v>2.6781769672697084</v>
      </c>
      <c r="GP67" s="258">
        <f t="shared" si="45"/>
        <v>11363.889458337873</v>
      </c>
      <c r="GQ67" s="189"/>
      <c r="GR67" s="189"/>
      <c r="GS67" s="189"/>
      <c r="GT67" s="189"/>
      <c r="GU67" s="268">
        <v>0</v>
      </c>
      <c r="GV67" s="189">
        <v>0</v>
      </c>
      <c r="GW67" s="189">
        <v>0</v>
      </c>
      <c r="GX67" s="189"/>
      <c r="GY67" s="254">
        <v>3148.1388000000002</v>
      </c>
      <c r="GZ67" s="189">
        <v>547.50239999999997</v>
      </c>
      <c r="HA67" s="189">
        <v>547.50239999999997</v>
      </c>
      <c r="HB67" s="255"/>
      <c r="HC67" s="189">
        <v>4243.1436000000003</v>
      </c>
      <c r="HD67" s="189"/>
      <c r="HE67" s="189">
        <v>6364.7154</v>
      </c>
      <c r="HF67" s="189">
        <v>116652.13371007978</v>
      </c>
      <c r="HG67" s="189"/>
      <c r="HH67" s="203">
        <v>27.491912767241665</v>
      </c>
      <c r="HI67" s="189">
        <v>174978.20056511965</v>
      </c>
      <c r="HJ67" s="268">
        <f t="shared" si="11"/>
        <v>0</v>
      </c>
      <c r="HK67" s="189">
        <f t="shared" si="12"/>
        <v>0</v>
      </c>
      <c r="HL67" s="189">
        <f t="shared" si="13"/>
        <v>0</v>
      </c>
      <c r="HM67" s="255">
        <f t="shared" si="14"/>
        <v>0</v>
      </c>
      <c r="HN67" s="189">
        <f t="shared" si="15"/>
        <v>0</v>
      </c>
      <c r="HO67" s="203">
        <f t="shared" si="46"/>
        <v>0</v>
      </c>
      <c r="HP67" s="258">
        <f t="shared" si="16"/>
        <v>0</v>
      </c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R67" s="223"/>
    </row>
    <row r="68" spans="1:252" ht="13.8" thickBot="1">
      <c r="A68" t="str">
        <f t="shared" si="23"/>
        <v>2004Q2</v>
      </c>
      <c r="B68">
        <f t="shared" si="24"/>
        <v>2004</v>
      </c>
      <c r="C68" s="49">
        <f t="shared" si="25"/>
        <v>38078</v>
      </c>
      <c r="D68" s="115">
        <f t="shared" si="26"/>
        <v>2004</v>
      </c>
      <c r="E68" s="10">
        <f t="shared" si="55"/>
        <v>4</v>
      </c>
      <c r="F68" s="248" t="str">
        <f t="shared" si="57"/>
        <v/>
      </c>
      <c r="G68" s="245">
        <v>38078</v>
      </c>
      <c r="H68" s="251">
        <v>38107</v>
      </c>
      <c r="I68" s="959">
        <f t="shared" si="53"/>
        <v>7.1499999999999994E-2</v>
      </c>
      <c r="J68" s="37">
        <f t="shared" si="27"/>
        <v>0.73256475003653931</v>
      </c>
      <c r="K68" s="1036" t="e">
        <f>IF(Summary!#REF!=1,+Summary!#REF!,I68+Summary!#REF!/10000)</f>
        <v>#REF!</v>
      </c>
      <c r="L68" s="37" t="e">
        <f t="shared" si="28"/>
        <v>#REF!</v>
      </c>
      <c r="M68" s="1004">
        <v>0</v>
      </c>
      <c r="N68" s="38">
        <f t="shared" si="63"/>
        <v>0</v>
      </c>
      <c r="O68" s="40">
        <f t="shared" si="63"/>
        <v>0</v>
      </c>
      <c r="P68" s="159">
        <f t="shared" si="60"/>
        <v>0</v>
      </c>
      <c r="Q68" s="38">
        <f t="shared" si="65"/>
        <v>0</v>
      </c>
      <c r="R68" s="40">
        <f t="shared" si="65"/>
        <v>0</v>
      </c>
      <c r="S68" s="38">
        <f t="shared" si="65"/>
        <v>0</v>
      </c>
      <c r="T68" s="38">
        <f t="shared" si="65"/>
        <v>0</v>
      </c>
      <c r="U68" s="38">
        <f t="shared" si="65"/>
        <v>0</v>
      </c>
      <c r="V68" s="159">
        <f t="shared" si="65"/>
        <v>0</v>
      </c>
      <c r="W68" s="38">
        <f t="shared" si="65"/>
        <v>0</v>
      </c>
      <c r="X68" s="39">
        <f t="shared" si="65"/>
        <v>0</v>
      </c>
      <c r="Y68" s="46">
        <v>0</v>
      </c>
      <c r="Z68" s="46">
        <v>0</v>
      </c>
      <c r="AA68" s="47">
        <v>0</v>
      </c>
      <c r="AB68" s="46">
        <v>0</v>
      </c>
      <c r="AC68" s="46">
        <v>0</v>
      </c>
      <c r="AD68" s="47">
        <v>0</v>
      </c>
      <c r="AE68" s="46">
        <v>0</v>
      </c>
      <c r="AF68" s="46">
        <v>0</v>
      </c>
      <c r="AG68" s="47">
        <v>0</v>
      </c>
      <c r="AH68" s="46">
        <v>0</v>
      </c>
      <c r="AI68" s="46">
        <v>0</v>
      </c>
      <c r="AJ68" s="47">
        <v>0</v>
      </c>
      <c r="AK68" s="46">
        <v>0</v>
      </c>
      <c r="AL68" s="46">
        <v>0</v>
      </c>
      <c r="AM68" s="47">
        <v>0</v>
      </c>
      <c r="AN68" s="46">
        <v>0</v>
      </c>
      <c r="AO68" s="46">
        <v>0</v>
      </c>
      <c r="AP68" s="47">
        <v>0</v>
      </c>
      <c r="AQ68" s="46">
        <v>0</v>
      </c>
      <c r="AR68" s="46">
        <v>0</v>
      </c>
      <c r="AS68" s="47">
        <v>0</v>
      </c>
      <c r="AT68" s="46">
        <v>0</v>
      </c>
      <c r="AU68" s="46">
        <v>0</v>
      </c>
      <c r="AV68" s="46">
        <v>0</v>
      </c>
      <c r="AW68" s="1545">
        <v>0</v>
      </c>
      <c r="AX68" s="10">
        <f t="shared" si="56"/>
        <v>22</v>
      </c>
      <c r="AY68" s="42">
        <f>IF(AND($E68=MONTH(Summary!$E$24),$D68=YEAR(Summary!$E$24)),Summary!$E$25,1)*IF(G68="",0,INT((H68-MOD(H68,7)-G68)/7)+1-IF(BA68,IF(WEEKDAY(F68)=7,1,0),0))</f>
        <v>4</v>
      </c>
      <c r="AZ68" s="42">
        <f>IF(AND($E68=MONTH(Summary!$E$24),$D68=YEAR(Summary!$E$24)),Summary!$E$25,1)*IF(G68="",0,INT((H68-MOD(H68-1,7)-G68)/7)+1-IF(BA68,IF(WEEKDAY(F68)=1,1,0),0))</f>
        <v>4</v>
      </c>
      <c r="BA68" s="42">
        <v>0</v>
      </c>
      <c r="BB68" s="10">
        <f>IF(AND($E68=MONTH(Summary!$E$24),$D68=YEAR(Summary!$E$24)),Summary!$E$25,1)*IF(G68="",0,H68-G68+1)</f>
        <v>30</v>
      </c>
      <c r="BC68" s="914">
        <f>Summary!$E$19</f>
        <v>1.4999999999999999E-2</v>
      </c>
      <c r="BD68" s="113">
        <v>15602.4</v>
      </c>
      <c r="BE68" s="171">
        <v>2836.8</v>
      </c>
      <c r="BF68" s="171">
        <v>2836.8</v>
      </c>
      <c r="BG68" s="174"/>
      <c r="BH68" s="1198">
        <v>1</v>
      </c>
      <c r="BI68" s="1198">
        <v>1</v>
      </c>
      <c r="BJ68" s="1198">
        <v>1</v>
      </c>
      <c r="BK68" s="1198">
        <v>1</v>
      </c>
      <c r="BL68" s="95">
        <v>3120.48</v>
      </c>
      <c r="BM68" s="171">
        <v>567.36</v>
      </c>
      <c r="BN68" s="171">
        <v>567.36</v>
      </c>
      <c r="BO68" s="174"/>
      <c r="BP68" s="1198">
        <v>1</v>
      </c>
      <c r="BQ68" s="1199">
        <v>1</v>
      </c>
      <c r="BR68" s="1199">
        <v>1</v>
      </c>
      <c r="BS68" s="1200">
        <v>1</v>
      </c>
      <c r="BT68" s="94">
        <f t="shared" si="29"/>
        <v>21276</v>
      </c>
      <c r="BU68" s="233">
        <f t="shared" si="30"/>
        <v>21276</v>
      </c>
      <c r="BV68" s="92">
        <f t="shared" si="31"/>
        <v>4255.2</v>
      </c>
      <c r="BW68" s="233">
        <f t="shared" si="32"/>
        <v>4255.2</v>
      </c>
      <c r="BX68" s="88">
        <v>4.2956878850102669</v>
      </c>
      <c r="BY68" s="90">
        <v>0</v>
      </c>
      <c r="BZ68" s="88">
        <v>0</v>
      </c>
      <c r="CA68" s="88">
        <v>0</v>
      </c>
      <c r="CB68" s="88">
        <v>0</v>
      </c>
      <c r="CC68" s="88">
        <v>0</v>
      </c>
      <c r="CD68" s="88">
        <v>0</v>
      </c>
      <c r="CE68" s="100">
        <v>0</v>
      </c>
      <c r="CF68" s="88">
        <v>0</v>
      </c>
      <c r="CG68" s="88">
        <v>0</v>
      </c>
      <c r="CH68" s="88">
        <v>0</v>
      </c>
      <c r="CI68" s="88">
        <v>0</v>
      </c>
      <c r="CJ68" s="228">
        <v>0</v>
      </c>
      <c r="CK68" s="88">
        <v>0</v>
      </c>
      <c r="CL68" s="88">
        <v>0</v>
      </c>
      <c r="CM68" s="88">
        <v>0</v>
      </c>
      <c r="CN68" s="88">
        <v>0</v>
      </c>
      <c r="CO68" s="88">
        <v>0</v>
      </c>
      <c r="CP68" s="88">
        <v>0</v>
      </c>
      <c r="CQ68" s="229">
        <v>0</v>
      </c>
      <c r="CR68" s="91">
        <v>0</v>
      </c>
      <c r="CS68" s="91">
        <v>0</v>
      </c>
      <c r="CT68" s="91">
        <v>0</v>
      </c>
      <c r="CU68" s="91">
        <v>0</v>
      </c>
      <c r="CV68" s="91">
        <v>0</v>
      </c>
      <c r="CW68" s="91">
        <v>0</v>
      </c>
      <c r="CX68" s="225">
        <v>0</v>
      </c>
      <c r="CY68" s="1265">
        <v>7722.8595199999991</v>
      </c>
      <c r="CZ68" s="90">
        <v>0</v>
      </c>
      <c r="DA68" s="88">
        <v>0</v>
      </c>
      <c r="DB68" s="88">
        <v>0</v>
      </c>
      <c r="DC68" s="88">
        <v>0</v>
      </c>
      <c r="DD68" s="88">
        <v>0</v>
      </c>
      <c r="DE68" s="152">
        <v>0</v>
      </c>
      <c r="DF68" s="230">
        <v>0</v>
      </c>
      <c r="DG68" s="38">
        <v>0</v>
      </c>
      <c r="DH68" s="1237">
        <v>0</v>
      </c>
      <c r="DI68" s="956">
        <v>0</v>
      </c>
      <c r="DJ68" s="956">
        <v>0</v>
      </c>
      <c r="DK68" s="956">
        <v>0</v>
      </c>
      <c r="DL68" s="152">
        <v>0</v>
      </c>
      <c r="DM68" s="160">
        <v>0</v>
      </c>
      <c r="DN68" s="160">
        <v>0</v>
      </c>
      <c r="DO68" s="160">
        <v>0</v>
      </c>
      <c r="DP68" s="160">
        <v>0</v>
      </c>
      <c r="DQ68" s="160">
        <v>0</v>
      </c>
      <c r="DR68" s="230">
        <v>0</v>
      </c>
      <c r="DS68" s="88">
        <v>0</v>
      </c>
      <c r="DT68" s="88">
        <v>0</v>
      </c>
      <c r="DU68" s="88">
        <v>0</v>
      </c>
      <c r="DV68" s="88">
        <v>0</v>
      </c>
      <c r="DW68" s="88">
        <v>0</v>
      </c>
      <c r="DX68" s="88">
        <v>0</v>
      </c>
      <c r="DY68" s="88">
        <v>0</v>
      </c>
      <c r="DZ68" s="88">
        <v>0</v>
      </c>
      <c r="EA68" s="88">
        <v>0</v>
      </c>
      <c r="EB68" s="152">
        <v>0</v>
      </c>
      <c r="EC68" s="52">
        <f t="shared" si="33"/>
        <v>0</v>
      </c>
      <c r="ED68" s="52">
        <f t="shared" si="33"/>
        <v>0</v>
      </c>
      <c r="EE68" s="52">
        <f t="shared" si="33"/>
        <v>0</v>
      </c>
      <c r="EF68" s="52">
        <f t="shared" si="33"/>
        <v>0</v>
      </c>
      <c r="EG68" s="52">
        <f t="shared" si="34"/>
        <v>0</v>
      </c>
      <c r="EH68" s="238">
        <v>0</v>
      </c>
      <c r="EI68" s="211">
        <v>0</v>
      </c>
      <c r="EJ68" s="211">
        <v>0</v>
      </c>
      <c r="EK68" s="211">
        <v>0</v>
      </c>
      <c r="EL68" s="217">
        <f>IF(C68&gt;=Summary!$E$26,MAX(0,SUM(EH68:EK68)),0)</f>
        <v>0</v>
      </c>
      <c r="EM68" s="52">
        <f>IF(C68&gt;=Summary!$E$26,DX68*BL68,0)</f>
        <v>0</v>
      </c>
      <c r="EN68" s="52">
        <f>IF(C68&gt;=Summary!$E$26,DY68*BM68,0)</f>
        <v>0</v>
      </c>
      <c r="EO68" s="52">
        <f>IF(C68&gt;=Summary!$E$26,DZ68*BN68,0)</f>
        <v>0</v>
      </c>
      <c r="EP68" s="52">
        <f>IF(C68&gt;=Summary!$E$26,EA68*BO68,0)</f>
        <v>0</v>
      </c>
      <c r="EQ68" s="52">
        <f>IF(C68&gt;=Summary!$E$26,DX68*BL68+DY68*BM68+DZ68*BN68+EA68*BO68,0)</f>
        <v>0</v>
      </c>
      <c r="ER68" s="826">
        <v>0</v>
      </c>
      <c r="ES68" s="278">
        <v>0</v>
      </c>
      <c r="ET68" s="278">
        <v>0</v>
      </c>
      <c r="EU68" s="278">
        <v>0</v>
      </c>
      <c r="EV68" s="212">
        <f>IF(C68&gt;=Summary!$E$26,MAX(0,SUM(ER68:EU68)),0)</f>
        <v>0</v>
      </c>
      <c r="EW68" s="52"/>
      <c r="EX68" s="1049">
        <f t="shared" si="35"/>
        <v>0</v>
      </c>
      <c r="EY68" s="1045" t="str">
        <f t="shared" si="36"/>
        <v/>
      </c>
      <c r="EZ68" s="1684" t="s">
        <v>525</v>
      </c>
      <c r="FA68" s="1046">
        <f t="shared" si="54"/>
        <v>45</v>
      </c>
      <c r="FB68" s="256">
        <f t="shared" si="37"/>
        <v>9751.5</v>
      </c>
      <c r="FC68" s="194">
        <f t="shared" si="38"/>
        <v>2925.45</v>
      </c>
      <c r="FD68" s="194">
        <f t="shared" si="39"/>
        <v>1773</v>
      </c>
      <c r="FE68" s="194">
        <f t="shared" si="40"/>
        <v>531.9</v>
      </c>
      <c r="FF68" s="194">
        <f t="shared" si="41"/>
        <v>1773</v>
      </c>
      <c r="FG68" s="194">
        <f t="shared" si="42"/>
        <v>531.9</v>
      </c>
      <c r="FH68" s="257">
        <f>IF(EZ68="No",IF((OR(MONTH(C68)=5,MONTH(C68)=6,MONTH(C68)=7,MONTH(C68)=8,MONTH(C68)=9)),Summary!$O$15*12*(AX68+AY68+AZ68+BA68)*(1-$BC68),Summary!$O$15*13*(AX68+AY68+AZ68+BA68)*(1-$BC68)+IF(Summary!$O$16="Yes",(CALC!FA68+Summary!$O$15)*6*(AX68+AY68+AZ68+BA68)*(1-$BC68),0)),0)</f>
        <v>0</v>
      </c>
      <c r="FI68" s="1412">
        <f>IF(MONTH(C68)=5,FI67*(IF(Summary!$E$70="no",(1+(Summary!$E$71*0.8)),1+HLOOKUP(YEAR(C68)-1,CCFMODEL!$I$127:$AF$128,2)*0.8)),+FI67)</f>
        <v>29.249840215241814</v>
      </c>
      <c r="FJ68" s="1411">
        <f>IF(MONTH(C68)=5,FJ67*(IF(Summary!$E$70="no",(1+(Summary!$E$71*0.8)),1+HLOOKUP(YEAR(CALC!C68)-1,CCFMODEL!$I$127:$AF$128,2)*0.8)),FJ67)</f>
        <v>25.564820975526306</v>
      </c>
      <c r="FK68" s="832">
        <f t="shared" si="1"/>
        <v>505634.67534083145</v>
      </c>
      <c r="FL68" s="1412">
        <f>IF(MONTH(C68)=5,FL67*(IF(Summary!$E$70="no",(1+(Summary!$E$71*0.8)),1+HLOOKUP(YEAR(CALC!C68)-1,CCFMODEL!$I$127:$AF$128,2)*0.8)),+FL67)</f>
        <v>61.515693201084112</v>
      </c>
      <c r="FM68" s="1411">
        <f>IF(MONTH(C68)=5,FM67*(IF(Summary!$E$70="no",(1+(Summary!$E$71*0.8)),1+HLOOKUP(YEAR(CALC!C68)-1,CCFMODEL!$I$127:$AF$128,2)*0.8)),+FM67)</f>
        <v>29.35951340690001</v>
      </c>
      <c r="FN68" s="832">
        <f t="shared" si="2"/>
        <v>515259.46029109519</v>
      </c>
      <c r="FO68" s="194">
        <f t="shared" si="43"/>
        <v>1020894.1356319266</v>
      </c>
      <c r="FP68" s="263">
        <f t="shared" si="61"/>
        <v>9751.5</v>
      </c>
      <c r="FQ68" s="194">
        <f t="shared" si="61"/>
        <v>2925.45</v>
      </c>
      <c r="FR68" s="194">
        <f t="shared" si="61"/>
        <v>1773</v>
      </c>
      <c r="FS68" s="194">
        <f t="shared" si="61"/>
        <v>531.9</v>
      </c>
      <c r="FT68" s="194">
        <f t="shared" si="61"/>
        <v>1773</v>
      </c>
      <c r="FU68" s="194">
        <f t="shared" si="61"/>
        <v>531.9</v>
      </c>
      <c r="FV68" s="257">
        <f t="shared" si="61"/>
        <v>0</v>
      </c>
      <c r="FW68" s="189">
        <f t="shared" si="4"/>
        <v>0</v>
      </c>
      <c r="FX68" s="189">
        <f t="shared" si="5"/>
        <v>0</v>
      </c>
      <c r="FY68" s="189">
        <f t="shared" si="6"/>
        <v>0</v>
      </c>
      <c r="FZ68" s="258">
        <f t="shared" si="7"/>
        <v>0</v>
      </c>
      <c r="GA68" s="1293">
        <f>(SUM(FP68:FV68)+SUM(GU68:HB68)/(1-Summary!$O$25))*CY68/1000</f>
        <v>227982.28831718393</v>
      </c>
      <c r="GB68" s="1369">
        <f>IF($C68&lt;Summary!$M$81,+Summary!$O$81,VLOOKUP(C68,GasTable,19))</f>
        <v>2.4</v>
      </c>
      <c r="GC68" s="1370">
        <f>IF(H68&lt;=Summary!$N$84,MIN(GA68,Summary!$O$75*(H68-G68+1)),0)</f>
        <v>150000</v>
      </c>
      <c r="GD68" s="1371">
        <f>IF(Summary!$O$75*(H68-G68+1)*0.8&gt;GC68,1,0)</f>
        <v>0</v>
      </c>
      <c r="GE68" s="1372">
        <v>0</v>
      </c>
      <c r="GF68" s="1370">
        <f t="shared" si="8"/>
        <v>77982.288317183935</v>
      </c>
      <c r="GG68" s="1371">
        <f>GF68*(IF(Summary!$O$74=1,VLOOKUP($C68,GasTable,16)+Summary!$O$92+Summary!$O$93,VLOOKUP($C68,GasTable,19)+Summary!$O$92+Summary!$O$93))</f>
        <v>199679.23514487103</v>
      </c>
      <c r="GH68" s="1373">
        <v>17574</v>
      </c>
      <c r="GI68" s="1466">
        <v>0</v>
      </c>
      <c r="GJ68" s="1374">
        <f t="shared" si="44"/>
        <v>577253.23514487105</v>
      </c>
      <c r="GK68" s="189">
        <f t="shared" si="9"/>
        <v>29092.270500000002</v>
      </c>
      <c r="GL68" s="266">
        <v>0.75838480486399995</v>
      </c>
      <c r="GM68" s="255">
        <f t="shared" si="10"/>
        <v>14730</v>
      </c>
      <c r="GN68" s="189">
        <f>IF(SUM(GU68:HB68)=0,0,IF(Summary!$O$16="Yes",SUM(GX68:HB68),IF(Summary!$O$17="Yes",SUM(GY68:HB68),SUM(GU68:HB68))))</f>
        <v>11805.520499999999</v>
      </c>
      <c r="GO68" s="203">
        <v>2.6781769672697084</v>
      </c>
      <c r="GP68" s="258">
        <f t="shared" si="45"/>
        <v>31617.27308973037</v>
      </c>
      <c r="GQ68" s="189"/>
      <c r="GR68" s="189"/>
      <c r="GS68" s="189"/>
      <c r="GT68" s="189"/>
      <c r="GU68" s="268">
        <v>5646.1184999999996</v>
      </c>
      <c r="GV68" s="189">
        <v>1026.5670000000002</v>
      </c>
      <c r="GW68" s="189">
        <v>1026.5670000000002</v>
      </c>
      <c r="GX68" s="189"/>
      <c r="GY68" s="254">
        <v>3011.2631999999999</v>
      </c>
      <c r="GZ68" s="189">
        <v>547.50239999999997</v>
      </c>
      <c r="HA68" s="189">
        <v>547.50239999999997</v>
      </c>
      <c r="HB68" s="255"/>
      <c r="HC68" s="189">
        <v>11805.520499999999</v>
      </c>
      <c r="HD68" s="189"/>
      <c r="HE68" s="189">
        <v>13858.654499999999</v>
      </c>
      <c r="HF68" s="189">
        <v>319375.39367478795</v>
      </c>
      <c r="HG68" s="189"/>
      <c r="HH68" s="203">
        <v>27.053054854700221</v>
      </c>
      <c r="HI68" s="189">
        <v>374918.94040083804</v>
      </c>
      <c r="HJ68" s="268">
        <f t="shared" si="11"/>
        <v>0</v>
      </c>
      <c r="HK68" s="189">
        <f t="shared" si="12"/>
        <v>0</v>
      </c>
      <c r="HL68" s="189">
        <f t="shared" si="13"/>
        <v>0</v>
      </c>
      <c r="HM68" s="255">
        <f t="shared" si="14"/>
        <v>0</v>
      </c>
      <c r="HN68" s="189">
        <f t="shared" si="15"/>
        <v>0</v>
      </c>
      <c r="HO68" s="203">
        <f t="shared" si="46"/>
        <v>0</v>
      </c>
      <c r="HP68" s="258">
        <f t="shared" si="16"/>
        <v>0</v>
      </c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R68" s="223"/>
    </row>
    <row r="69" spans="1:252" ht="13.8" thickBot="1">
      <c r="A69" t="str">
        <f t="shared" si="23"/>
        <v>2004Q2</v>
      </c>
      <c r="B69">
        <f t="shared" si="24"/>
        <v>2004</v>
      </c>
      <c r="C69" s="49">
        <f t="shared" si="25"/>
        <v>38108</v>
      </c>
      <c r="D69" s="115">
        <f t="shared" si="26"/>
        <v>2004</v>
      </c>
      <c r="E69" s="10">
        <f t="shared" si="55"/>
        <v>5</v>
      </c>
      <c r="F69" s="248">
        <f t="shared" si="57"/>
        <v>38138</v>
      </c>
      <c r="G69" s="245">
        <v>38108</v>
      </c>
      <c r="H69" s="251">
        <v>38138</v>
      </c>
      <c r="I69" s="959">
        <f t="shared" si="53"/>
        <v>7.1499999999999994E-2</v>
      </c>
      <c r="J69" s="37">
        <f t="shared" si="27"/>
        <v>0.7282098355092812</v>
      </c>
      <c r="K69" s="1036" t="e">
        <f>IF(Summary!#REF!=1,+Summary!#REF!,I69+Summary!#REF!/10000)</f>
        <v>#REF!</v>
      </c>
      <c r="L69" s="37" t="e">
        <f t="shared" si="28"/>
        <v>#REF!</v>
      </c>
      <c r="M69" s="1004">
        <v>0</v>
      </c>
      <c r="N69" s="38">
        <f t="shared" ref="N69:O88" si="66">M69</f>
        <v>0</v>
      </c>
      <c r="O69" s="40">
        <f t="shared" si="66"/>
        <v>0</v>
      </c>
      <c r="P69" s="159">
        <f t="shared" si="60"/>
        <v>0</v>
      </c>
      <c r="Q69" s="38">
        <f t="shared" ref="Q69:X78" si="67">P69</f>
        <v>0</v>
      </c>
      <c r="R69" s="40">
        <f t="shared" si="67"/>
        <v>0</v>
      </c>
      <c r="S69" s="38">
        <f t="shared" si="67"/>
        <v>0</v>
      </c>
      <c r="T69" s="38">
        <f t="shared" si="67"/>
        <v>0</v>
      </c>
      <c r="U69" s="38">
        <f t="shared" si="67"/>
        <v>0</v>
      </c>
      <c r="V69" s="159">
        <f t="shared" si="67"/>
        <v>0</v>
      </c>
      <c r="W69" s="38">
        <f t="shared" si="67"/>
        <v>0</v>
      </c>
      <c r="X69" s="39">
        <f t="shared" si="67"/>
        <v>0</v>
      </c>
      <c r="Y69" s="46">
        <v>0</v>
      </c>
      <c r="Z69" s="46">
        <v>0</v>
      </c>
      <c r="AA69" s="47">
        <v>0</v>
      </c>
      <c r="AB69" s="46">
        <v>0</v>
      </c>
      <c r="AC69" s="46">
        <v>0</v>
      </c>
      <c r="AD69" s="47">
        <v>0</v>
      </c>
      <c r="AE69" s="46">
        <v>0</v>
      </c>
      <c r="AF69" s="46">
        <v>0</v>
      </c>
      <c r="AG69" s="47">
        <v>0</v>
      </c>
      <c r="AH69" s="46">
        <v>0</v>
      </c>
      <c r="AI69" s="46">
        <v>0</v>
      </c>
      <c r="AJ69" s="47">
        <v>0</v>
      </c>
      <c r="AK69" s="46">
        <v>0</v>
      </c>
      <c r="AL69" s="46">
        <v>0</v>
      </c>
      <c r="AM69" s="47">
        <v>0</v>
      </c>
      <c r="AN69" s="46">
        <v>0</v>
      </c>
      <c r="AO69" s="46">
        <v>0</v>
      </c>
      <c r="AP69" s="47">
        <v>0</v>
      </c>
      <c r="AQ69" s="46">
        <v>0</v>
      </c>
      <c r="AR69" s="46">
        <v>0</v>
      </c>
      <c r="AS69" s="47">
        <v>0</v>
      </c>
      <c r="AT69" s="46">
        <v>0</v>
      </c>
      <c r="AU69" s="46">
        <v>0</v>
      </c>
      <c r="AV69" s="46">
        <v>0</v>
      </c>
      <c r="AW69" s="1545">
        <v>0</v>
      </c>
      <c r="AX69" s="10">
        <f t="shared" si="56"/>
        <v>20</v>
      </c>
      <c r="AY69" s="42">
        <f>IF(AND($E69=MONTH(Summary!$E$24),$D69=YEAR(Summary!$E$24)),Summary!$E$25,1)*IF(G69="",0,INT((H69-MOD(H69,7)-G69)/7)+1-IF(BA69,IF(WEEKDAY(F69)=7,1,0),0))</f>
        <v>5</v>
      </c>
      <c r="AZ69" s="42">
        <f>IF(AND($E69=MONTH(Summary!$E$24),$D69=YEAR(Summary!$E$24)),Summary!$E$25,1)*IF(G69="",0,INT((H69-MOD(H69-1,7)-G69)/7)+1-IF(BA69,IF(WEEKDAY(F69)=1,1,0),0))</f>
        <v>5</v>
      </c>
      <c r="BA69" s="42">
        <v>1</v>
      </c>
      <c r="BB69" s="10">
        <f>IF(AND($E69=MONTH(Summary!$E$24),$D69=YEAR(Summary!$E$24)),Summary!$E$25,1)*IF(G69="",0,H69-G69+1)</f>
        <v>31</v>
      </c>
      <c r="BC69" s="914">
        <f>Summary!$E$19</f>
        <v>1.4999999999999999E-2</v>
      </c>
      <c r="BD69" s="113">
        <v>14184</v>
      </c>
      <c r="BE69" s="171">
        <v>3546</v>
      </c>
      <c r="BF69" s="171">
        <v>4255.2</v>
      </c>
      <c r="BG69" s="174"/>
      <c r="BH69" s="1198">
        <v>1</v>
      </c>
      <c r="BI69" s="1198">
        <v>1</v>
      </c>
      <c r="BJ69" s="1198">
        <v>1</v>
      </c>
      <c r="BK69" s="1198">
        <v>1</v>
      </c>
      <c r="BL69" s="95">
        <v>2836.8</v>
      </c>
      <c r="BM69" s="171">
        <v>709.2</v>
      </c>
      <c r="BN69" s="171">
        <v>851.04</v>
      </c>
      <c r="BO69" s="174"/>
      <c r="BP69" s="1198">
        <v>1</v>
      </c>
      <c r="BQ69" s="1199">
        <v>1</v>
      </c>
      <c r="BR69" s="1199">
        <v>1</v>
      </c>
      <c r="BS69" s="1200">
        <v>1</v>
      </c>
      <c r="BT69" s="94">
        <f t="shared" si="29"/>
        <v>21985.200000000001</v>
      </c>
      <c r="BU69" s="233">
        <f t="shared" si="30"/>
        <v>21985.200000000001</v>
      </c>
      <c r="BV69" s="92">
        <f t="shared" si="31"/>
        <v>4397.04</v>
      </c>
      <c r="BW69" s="233">
        <f t="shared" si="32"/>
        <v>4397.04</v>
      </c>
      <c r="BX69" s="88">
        <v>4.3778234086242298</v>
      </c>
      <c r="BY69" s="90">
        <v>0</v>
      </c>
      <c r="BZ69" s="88">
        <v>0</v>
      </c>
      <c r="CA69" s="88">
        <v>0</v>
      </c>
      <c r="CB69" s="88">
        <v>0</v>
      </c>
      <c r="CC69" s="88">
        <v>0</v>
      </c>
      <c r="CD69" s="88">
        <v>0</v>
      </c>
      <c r="CE69" s="100">
        <v>0</v>
      </c>
      <c r="CF69" s="88">
        <v>0</v>
      </c>
      <c r="CG69" s="88">
        <v>0</v>
      </c>
      <c r="CH69" s="88">
        <v>0</v>
      </c>
      <c r="CI69" s="88">
        <v>0</v>
      </c>
      <c r="CJ69" s="228">
        <v>0</v>
      </c>
      <c r="CK69" s="88">
        <v>0</v>
      </c>
      <c r="CL69" s="88">
        <v>0</v>
      </c>
      <c r="CM69" s="88">
        <v>0</v>
      </c>
      <c r="CN69" s="88">
        <v>0</v>
      </c>
      <c r="CO69" s="88">
        <v>0</v>
      </c>
      <c r="CP69" s="88">
        <v>0</v>
      </c>
      <c r="CQ69" s="229">
        <v>0</v>
      </c>
      <c r="CR69" s="91">
        <v>0</v>
      </c>
      <c r="CS69" s="91">
        <v>0</v>
      </c>
      <c r="CT69" s="91">
        <v>0</v>
      </c>
      <c r="CU69" s="91">
        <v>0</v>
      </c>
      <c r="CV69" s="91">
        <v>0</v>
      </c>
      <c r="CW69" s="91">
        <v>0</v>
      </c>
      <c r="CX69" s="225">
        <v>0</v>
      </c>
      <c r="CY69" s="1265">
        <v>7724.1623999999993</v>
      </c>
      <c r="CZ69" s="90">
        <v>0</v>
      </c>
      <c r="DA69" s="88">
        <v>0</v>
      </c>
      <c r="DB69" s="88">
        <v>0</v>
      </c>
      <c r="DC69" s="88">
        <v>0</v>
      </c>
      <c r="DD69" s="88">
        <v>0</v>
      </c>
      <c r="DE69" s="152">
        <v>0</v>
      </c>
      <c r="DF69" s="230">
        <v>0</v>
      </c>
      <c r="DG69" s="38">
        <v>0</v>
      </c>
      <c r="DH69" s="1237">
        <v>0</v>
      </c>
      <c r="DI69" s="956">
        <v>0</v>
      </c>
      <c r="DJ69" s="956">
        <v>0</v>
      </c>
      <c r="DK69" s="956">
        <v>0</v>
      </c>
      <c r="DL69" s="152">
        <v>0</v>
      </c>
      <c r="DM69" s="160">
        <v>0</v>
      </c>
      <c r="DN69" s="160">
        <v>0</v>
      </c>
      <c r="DO69" s="160">
        <v>0</v>
      </c>
      <c r="DP69" s="160">
        <v>0</v>
      </c>
      <c r="DQ69" s="160">
        <v>0</v>
      </c>
      <c r="DR69" s="230">
        <v>0</v>
      </c>
      <c r="DS69" s="88">
        <v>0</v>
      </c>
      <c r="DT69" s="88">
        <v>0</v>
      </c>
      <c r="DU69" s="88">
        <v>0</v>
      </c>
      <c r="DV69" s="88">
        <v>0</v>
      </c>
      <c r="DW69" s="88">
        <v>0</v>
      </c>
      <c r="DX69" s="88">
        <v>0</v>
      </c>
      <c r="DY69" s="88">
        <v>0</v>
      </c>
      <c r="DZ69" s="88">
        <v>0</v>
      </c>
      <c r="EA69" s="88">
        <v>0</v>
      </c>
      <c r="EB69" s="152">
        <v>0</v>
      </c>
      <c r="EC69" s="52">
        <f t="shared" si="33"/>
        <v>0</v>
      </c>
      <c r="ED69" s="52">
        <f t="shared" si="33"/>
        <v>0</v>
      </c>
      <c r="EE69" s="52">
        <f t="shared" si="33"/>
        <v>0</v>
      </c>
      <c r="EF69" s="52">
        <f t="shared" si="33"/>
        <v>0</v>
      </c>
      <c r="EG69" s="52">
        <f t="shared" si="34"/>
        <v>0</v>
      </c>
      <c r="EH69" s="238">
        <v>0</v>
      </c>
      <c r="EI69" s="211">
        <v>0</v>
      </c>
      <c r="EJ69" s="211">
        <v>0</v>
      </c>
      <c r="EK69" s="211">
        <v>0</v>
      </c>
      <c r="EL69" s="217">
        <f>IF(C69&gt;=Summary!$E$26,MAX(0,SUM(EH69:EK69)),0)</f>
        <v>0</v>
      </c>
      <c r="EM69" s="52">
        <f>IF(C69&gt;=Summary!$E$26,DX69*BL69,0)</f>
        <v>0</v>
      </c>
      <c r="EN69" s="52">
        <f>IF(C69&gt;=Summary!$E$26,DY69*BM69,0)</f>
        <v>0</v>
      </c>
      <c r="EO69" s="52">
        <f>IF(C69&gt;=Summary!$E$26,DZ69*BN69,0)</f>
        <v>0</v>
      </c>
      <c r="EP69" s="52">
        <f>IF(C69&gt;=Summary!$E$26,EA69*BO69,0)</f>
        <v>0</v>
      </c>
      <c r="EQ69" s="52">
        <f>IF(C69&gt;=Summary!$E$26,DX69*BL69+DY69*BM69+DZ69*BN69+EA69*BO69,0)</f>
        <v>0</v>
      </c>
      <c r="ER69" s="826">
        <v>0</v>
      </c>
      <c r="ES69" s="278">
        <v>0</v>
      </c>
      <c r="ET69" s="278">
        <v>0</v>
      </c>
      <c r="EU69" s="278">
        <v>0</v>
      </c>
      <c r="EV69" s="212">
        <f>IF(C69&gt;=Summary!$E$26,MAX(0,SUM(ER69:EU69)),0)</f>
        <v>0</v>
      </c>
      <c r="EW69" s="52"/>
      <c r="EX69" s="1049">
        <f t="shared" si="35"/>
        <v>0</v>
      </c>
      <c r="EY69" s="1045" t="str">
        <f t="shared" si="36"/>
        <v/>
      </c>
      <c r="EZ69" s="1684" t="s">
        <v>525</v>
      </c>
      <c r="FA69" s="1046">
        <f t="shared" si="54"/>
        <v>45</v>
      </c>
      <c r="FB69" s="256">
        <f t="shared" si="37"/>
        <v>10638</v>
      </c>
      <c r="FC69" s="194">
        <f t="shared" si="38"/>
        <v>0</v>
      </c>
      <c r="FD69" s="194">
        <f t="shared" si="39"/>
        <v>2659.5</v>
      </c>
      <c r="FE69" s="194">
        <f t="shared" si="40"/>
        <v>0</v>
      </c>
      <c r="FF69" s="194">
        <f t="shared" si="41"/>
        <v>3191.4</v>
      </c>
      <c r="FG69" s="194">
        <f t="shared" si="42"/>
        <v>0</v>
      </c>
      <c r="FH69" s="257">
        <f>IF(EZ69="No",IF((OR(MONTH(C69)=5,MONTH(C69)=6,MONTH(C69)=7,MONTH(C69)=8,MONTH(C69)=9)),Summary!$O$15*12*(AX69+AY69+AZ69+BA69)*(1-$BC69),Summary!$O$15*13*(AX69+AY69+AZ69+BA69)*(1-$BC69)+IF(Summary!$O$16="Yes",(CALC!FA69+Summary!$O$15)*6*(AX69+AY69+AZ69+BA69)*(1-$BC69),0)),0)</f>
        <v>0</v>
      </c>
      <c r="FI69" s="1412">
        <f>IF(MONTH(C69)=5,FI68*(IF(Summary!$E$70="no",(1+(Summary!$E$71*0.8)),1+HLOOKUP(YEAR(C69)-1,CCFMODEL!$I$127:$AF$128,2)*0.8)),+FI68)</f>
        <v>29.95183638040762</v>
      </c>
      <c r="FJ69" s="1411">
        <f>IF(MONTH(C69)=5,FJ68*(IF(Summary!$E$70="no",(1+(Summary!$E$71*0.8)),1+HLOOKUP(YEAR(CALC!C69)-1,CCFMODEL!$I$127:$AF$128,2)*0.8)),FJ68)</f>
        <v>26.178376678938939</v>
      </c>
      <c r="FK69" s="832">
        <f t="shared" si="1"/>
        <v>493872.83489290328</v>
      </c>
      <c r="FL69" s="1412">
        <f>IF(MONTH(C69)=5,FL68*(IF(Summary!$E$70="no",(1+(Summary!$E$71*0.8)),1+HLOOKUP(YEAR(CALC!C69)-1,CCFMODEL!$I$127:$AF$128,2)*0.8)),+FL68)</f>
        <v>62.99206983791013</v>
      </c>
      <c r="FM69" s="1411">
        <f>IF(MONTH(C69)=5,FM68*(IF(Summary!$E$70="no",(1+(Summary!$E$71*0.8)),1+HLOOKUP(YEAR(CALC!C69)-1,CCFMODEL!$I$127:$AF$128,2)*0.8)),+FM68)</f>
        <v>30.064141728665611</v>
      </c>
      <c r="FN69" s="832">
        <f t="shared" si="2"/>
        <v>1054487.2490866156</v>
      </c>
      <c r="FO69" s="194">
        <f t="shared" si="43"/>
        <v>1548360.0839795189</v>
      </c>
      <c r="FP69" s="263">
        <f t="shared" si="61"/>
        <v>10638</v>
      </c>
      <c r="FQ69" s="194">
        <f t="shared" si="61"/>
        <v>0</v>
      </c>
      <c r="FR69" s="194">
        <f t="shared" si="61"/>
        <v>2659.5</v>
      </c>
      <c r="FS69" s="194">
        <f t="shared" ref="FS69:FV132" si="68">FE69</f>
        <v>0</v>
      </c>
      <c r="FT69" s="194">
        <f t="shared" si="68"/>
        <v>3191.4</v>
      </c>
      <c r="FU69" s="194">
        <f t="shared" si="68"/>
        <v>0</v>
      </c>
      <c r="FV69" s="257">
        <f t="shared" si="68"/>
        <v>0</v>
      </c>
      <c r="FW69" s="189">
        <f t="shared" si="4"/>
        <v>0</v>
      </c>
      <c r="FX69" s="189">
        <f t="shared" si="5"/>
        <v>0</v>
      </c>
      <c r="FY69" s="189">
        <f t="shared" si="6"/>
        <v>0</v>
      </c>
      <c r="FZ69" s="258">
        <f t="shared" si="7"/>
        <v>0</v>
      </c>
      <c r="GA69" s="1293">
        <f>(SUM(FP69:FV69)+SUM(GU69:HB69)/(1-Summary!$O$25))*CY69/1000</f>
        <v>203780.70623577602</v>
      </c>
      <c r="GB69" s="1369">
        <f>IF($C69&lt;Summary!$M$81,+Summary!$O$81,VLOOKUP(C69,GasTable,19))</f>
        <v>2.4</v>
      </c>
      <c r="GC69" s="1370">
        <f>IF(H69&lt;=Summary!$N$84,MIN(GA69,Summary!$O$75*(H69-G69+1)),0)</f>
        <v>155000</v>
      </c>
      <c r="GD69" s="1371">
        <f>IF(Summary!$O$75*(H69-G69+1)*0.8&gt;GC69,1,0)</f>
        <v>0</v>
      </c>
      <c r="GE69" s="1372">
        <v>0</v>
      </c>
      <c r="GF69" s="1370">
        <f t="shared" si="8"/>
        <v>48780.706235776015</v>
      </c>
      <c r="GG69" s="1371">
        <f>GF69*(IF(Summary!$O$74=1,VLOOKUP($C69,GasTable,16)+Summary!$O$92+Summary!$O$93,VLOOKUP($C69,GasTable,19)+Summary!$O$92+Summary!$O$93))</f>
        <v>123983.65339023551</v>
      </c>
      <c r="GH69" s="1373">
        <v>18073</v>
      </c>
      <c r="GI69" s="1466">
        <v>0</v>
      </c>
      <c r="GJ69" s="1374">
        <f t="shared" si="44"/>
        <v>514056.6533902355</v>
      </c>
      <c r="GK69" s="189">
        <f t="shared" si="9"/>
        <v>26035.973099999999</v>
      </c>
      <c r="GL69" s="266">
        <v>0.7585127476800001</v>
      </c>
      <c r="GM69" s="255">
        <f t="shared" si="10"/>
        <v>15221.000000000004</v>
      </c>
      <c r="GN69" s="189">
        <f>IF(SUM(GU69:HB69)=0,0,IF(Summary!$O$16="Yes",SUM(GX69:HB69),IF(Summary!$O$17="Yes",SUM(GY69:HB69),SUM(GU69:HB69))))</f>
        <v>9547.0731000000014</v>
      </c>
      <c r="GO69" s="203">
        <v>2.6781769672697084</v>
      </c>
      <c r="GP69" s="258">
        <f t="shared" si="45"/>
        <v>25568.751281260218</v>
      </c>
      <c r="GQ69" s="189"/>
      <c r="GR69" s="189"/>
      <c r="GS69" s="189"/>
      <c r="GT69" s="189"/>
      <c r="GU69" s="268">
        <v>3421.89</v>
      </c>
      <c r="GV69" s="189">
        <v>855.47249999999997</v>
      </c>
      <c r="GW69" s="189">
        <v>1026.5669999999998</v>
      </c>
      <c r="GX69" s="189"/>
      <c r="GY69" s="254">
        <v>2737.5120000000002</v>
      </c>
      <c r="GZ69" s="189">
        <v>684.37800000000004</v>
      </c>
      <c r="HA69" s="189">
        <v>821.25359999999989</v>
      </c>
      <c r="HB69" s="255"/>
      <c r="HC69" s="189">
        <v>9547.0731000000014</v>
      </c>
      <c r="HD69" s="189"/>
      <c r="HE69" s="189">
        <v>22276.503900000003</v>
      </c>
      <c r="HF69" s="189">
        <v>260453.37495487818</v>
      </c>
      <c r="HG69" s="189"/>
      <c r="HH69" s="203">
        <v>27.640927818561764</v>
      </c>
      <c r="HI69" s="189">
        <v>615743.23634980968</v>
      </c>
      <c r="HJ69" s="268">
        <f t="shared" si="11"/>
        <v>0</v>
      </c>
      <c r="HK69" s="189">
        <f t="shared" si="12"/>
        <v>0</v>
      </c>
      <c r="HL69" s="189">
        <f t="shared" si="13"/>
        <v>0</v>
      </c>
      <c r="HM69" s="255">
        <f t="shared" si="14"/>
        <v>0</v>
      </c>
      <c r="HN69" s="189">
        <f t="shared" si="15"/>
        <v>0</v>
      </c>
      <c r="HO69" s="203">
        <f t="shared" si="46"/>
        <v>0</v>
      </c>
      <c r="HP69" s="258">
        <f t="shared" si="16"/>
        <v>0</v>
      </c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R69" s="223"/>
    </row>
    <row r="70" spans="1:252" ht="13.8" thickBot="1">
      <c r="A70" t="str">
        <f t="shared" si="23"/>
        <v>2004Q2</v>
      </c>
      <c r="B70">
        <f t="shared" si="24"/>
        <v>2004</v>
      </c>
      <c r="C70" s="49">
        <f t="shared" si="25"/>
        <v>38139</v>
      </c>
      <c r="D70" s="115">
        <f t="shared" si="26"/>
        <v>2004</v>
      </c>
      <c r="E70" s="10">
        <f t="shared" si="55"/>
        <v>6</v>
      </c>
      <c r="F70" s="248" t="str">
        <f t="shared" si="57"/>
        <v/>
      </c>
      <c r="G70" s="245">
        <v>38139</v>
      </c>
      <c r="H70" s="251">
        <v>38168</v>
      </c>
      <c r="I70" s="959">
        <f t="shared" si="53"/>
        <v>7.1499999999999994E-2</v>
      </c>
      <c r="J70" s="37">
        <f t="shared" si="27"/>
        <v>0.72402005333542818</v>
      </c>
      <c r="K70" s="1036" t="e">
        <f>IF(Summary!#REF!=1,+Summary!#REF!,I70+Summary!#REF!/10000)</f>
        <v>#REF!</v>
      </c>
      <c r="L70" s="37" t="e">
        <f t="shared" si="28"/>
        <v>#REF!</v>
      </c>
      <c r="M70" s="1004">
        <v>0</v>
      </c>
      <c r="N70" s="38">
        <f t="shared" si="66"/>
        <v>0</v>
      </c>
      <c r="O70" s="40">
        <f t="shared" si="66"/>
        <v>0</v>
      </c>
      <c r="P70" s="159">
        <f t="shared" si="60"/>
        <v>0</v>
      </c>
      <c r="Q70" s="38">
        <f t="shared" si="67"/>
        <v>0</v>
      </c>
      <c r="R70" s="40">
        <f t="shared" si="67"/>
        <v>0</v>
      </c>
      <c r="S70" s="38">
        <f t="shared" si="67"/>
        <v>0</v>
      </c>
      <c r="T70" s="38">
        <f t="shared" si="67"/>
        <v>0</v>
      </c>
      <c r="U70" s="38">
        <f t="shared" si="67"/>
        <v>0</v>
      </c>
      <c r="V70" s="159">
        <f t="shared" si="67"/>
        <v>0</v>
      </c>
      <c r="W70" s="38">
        <f t="shared" si="67"/>
        <v>0</v>
      </c>
      <c r="X70" s="39">
        <f t="shared" si="67"/>
        <v>0</v>
      </c>
      <c r="Y70" s="46">
        <v>0</v>
      </c>
      <c r="Z70" s="46">
        <v>0</v>
      </c>
      <c r="AA70" s="47">
        <v>0</v>
      </c>
      <c r="AB70" s="46">
        <v>0</v>
      </c>
      <c r="AC70" s="46">
        <v>0</v>
      </c>
      <c r="AD70" s="47">
        <v>0</v>
      </c>
      <c r="AE70" s="46">
        <v>0</v>
      </c>
      <c r="AF70" s="46">
        <v>0</v>
      </c>
      <c r="AG70" s="47">
        <v>0</v>
      </c>
      <c r="AH70" s="46">
        <v>0</v>
      </c>
      <c r="AI70" s="46">
        <v>0</v>
      </c>
      <c r="AJ70" s="47">
        <v>0</v>
      </c>
      <c r="AK70" s="46">
        <v>0</v>
      </c>
      <c r="AL70" s="46">
        <v>0</v>
      </c>
      <c r="AM70" s="47">
        <v>0</v>
      </c>
      <c r="AN70" s="46">
        <v>0</v>
      </c>
      <c r="AO70" s="46">
        <v>0</v>
      </c>
      <c r="AP70" s="47">
        <v>0</v>
      </c>
      <c r="AQ70" s="46">
        <v>0</v>
      </c>
      <c r="AR70" s="46">
        <v>0</v>
      </c>
      <c r="AS70" s="47">
        <v>0</v>
      </c>
      <c r="AT70" s="46">
        <v>0</v>
      </c>
      <c r="AU70" s="46">
        <v>0</v>
      </c>
      <c r="AV70" s="46">
        <v>0</v>
      </c>
      <c r="AW70" s="1545">
        <v>0</v>
      </c>
      <c r="AX70" s="10">
        <f t="shared" si="56"/>
        <v>22</v>
      </c>
      <c r="AY70" s="42">
        <f>IF(AND($E70=MONTH(Summary!$E$24),$D70=YEAR(Summary!$E$24)),Summary!$E$25,1)*IF(G70="",0,INT((H70-MOD(H70,7)-G70)/7)+1-IF(BA70,IF(WEEKDAY(F70)=7,1,0),0))</f>
        <v>4</v>
      </c>
      <c r="AZ70" s="42">
        <f>IF(AND($E70=MONTH(Summary!$E$24),$D70=YEAR(Summary!$E$24)),Summary!$E$25,1)*IF(G70="",0,INT((H70-MOD(H70-1,7)-G70)/7)+1-IF(BA70,IF(WEEKDAY(F70)=1,1,0),0))</f>
        <v>4</v>
      </c>
      <c r="BA70" s="42">
        <v>0</v>
      </c>
      <c r="BB70" s="10">
        <f>IF(AND($E70=MONTH(Summary!$E$24),$D70=YEAR(Summary!$E$24)),Summary!$E$25,1)*IF(G70="",0,H70-G70+1)</f>
        <v>30</v>
      </c>
      <c r="BC70" s="914">
        <f>Summary!$E$19</f>
        <v>1.4999999999999999E-2</v>
      </c>
      <c r="BD70" s="113">
        <v>15602.4</v>
      </c>
      <c r="BE70" s="171">
        <v>2836.8</v>
      </c>
      <c r="BF70" s="171">
        <v>2836.8</v>
      </c>
      <c r="BG70" s="174"/>
      <c r="BH70" s="1198">
        <v>1</v>
      </c>
      <c r="BI70" s="1198">
        <v>1</v>
      </c>
      <c r="BJ70" s="1198">
        <v>1</v>
      </c>
      <c r="BK70" s="1198">
        <v>1</v>
      </c>
      <c r="BL70" s="95">
        <v>3120.48</v>
      </c>
      <c r="BM70" s="171">
        <v>567.36</v>
      </c>
      <c r="BN70" s="171">
        <v>567.36</v>
      </c>
      <c r="BO70" s="174"/>
      <c r="BP70" s="1198">
        <v>1</v>
      </c>
      <c r="BQ70" s="1199">
        <v>1</v>
      </c>
      <c r="BR70" s="1199">
        <v>1</v>
      </c>
      <c r="BS70" s="1200">
        <v>1</v>
      </c>
      <c r="BT70" s="94">
        <f t="shared" si="29"/>
        <v>21276</v>
      </c>
      <c r="BU70" s="233">
        <f t="shared" si="30"/>
        <v>21276</v>
      </c>
      <c r="BV70" s="92">
        <f t="shared" si="31"/>
        <v>4255.2</v>
      </c>
      <c r="BW70" s="233">
        <f t="shared" si="32"/>
        <v>4255.2</v>
      </c>
      <c r="BX70" s="88">
        <v>4.4626967830253248</v>
      </c>
      <c r="BY70" s="90">
        <v>0</v>
      </c>
      <c r="BZ70" s="88">
        <v>0</v>
      </c>
      <c r="CA70" s="88">
        <v>0</v>
      </c>
      <c r="CB70" s="88">
        <v>0</v>
      </c>
      <c r="CC70" s="88">
        <v>0</v>
      </c>
      <c r="CD70" s="88">
        <v>0</v>
      </c>
      <c r="CE70" s="100">
        <v>0</v>
      </c>
      <c r="CF70" s="88">
        <v>0</v>
      </c>
      <c r="CG70" s="88">
        <v>0</v>
      </c>
      <c r="CH70" s="88">
        <v>0</v>
      </c>
      <c r="CI70" s="88">
        <v>0</v>
      </c>
      <c r="CJ70" s="228">
        <v>0</v>
      </c>
      <c r="CK70" s="88">
        <v>0</v>
      </c>
      <c r="CL70" s="88">
        <v>0</v>
      </c>
      <c r="CM70" s="88">
        <v>0</v>
      </c>
      <c r="CN70" s="88">
        <v>0</v>
      </c>
      <c r="CO70" s="88">
        <v>0</v>
      </c>
      <c r="CP70" s="88">
        <v>0</v>
      </c>
      <c r="CQ70" s="229">
        <v>0</v>
      </c>
      <c r="CR70" s="91">
        <v>0</v>
      </c>
      <c r="CS70" s="91">
        <v>0</v>
      </c>
      <c r="CT70" s="91">
        <v>0</v>
      </c>
      <c r="CU70" s="91">
        <v>0</v>
      </c>
      <c r="CV70" s="91">
        <v>0</v>
      </c>
      <c r="CW70" s="91">
        <v>0</v>
      </c>
      <c r="CX70" s="225">
        <v>0</v>
      </c>
      <c r="CY70" s="1265">
        <v>7725.4652799999994</v>
      </c>
      <c r="CZ70" s="90">
        <v>0</v>
      </c>
      <c r="DA70" s="88">
        <v>0</v>
      </c>
      <c r="DB70" s="88">
        <v>0</v>
      </c>
      <c r="DC70" s="88">
        <v>0</v>
      </c>
      <c r="DD70" s="88">
        <v>0</v>
      </c>
      <c r="DE70" s="152">
        <v>0</v>
      </c>
      <c r="DF70" s="230">
        <v>0</v>
      </c>
      <c r="DG70" s="38">
        <v>0</v>
      </c>
      <c r="DH70" s="1237">
        <v>0</v>
      </c>
      <c r="DI70" s="956">
        <v>0</v>
      </c>
      <c r="DJ70" s="956">
        <v>0</v>
      </c>
      <c r="DK70" s="956">
        <v>0</v>
      </c>
      <c r="DL70" s="152">
        <v>0</v>
      </c>
      <c r="DM70" s="160">
        <v>0</v>
      </c>
      <c r="DN70" s="160">
        <v>0</v>
      </c>
      <c r="DO70" s="160">
        <v>0</v>
      </c>
      <c r="DP70" s="160">
        <v>0</v>
      </c>
      <c r="DQ70" s="160">
        <v>0</v>
      </c>
      <c r="DR70" s="230">
        <v>0</v>
      </c>
      <c r="DS70" s="88">
        <v>0</v>
      </c>
      <c r="DT70" s="88">
        <v>0</v>
      </c>
      <c r="DU70" s="88">
        <v>0</v>
      </c>
      <c r="DV70" s="88">
        <v>0</v>
      </c>
      <c r="DW70" s="88">
        <v>0</v>
      </c>
      <c r="DX70" s="88">
        <v>0</v>
      </c>
      <c r="DY70" s="88">
        <v>0</v>
      </c>
      <c r="DZ70" s="88">
        <v>0</v>
      </c>
      <c r="EA70" s="88">
        <v>0</v>
      </c>
      <c r="EB70" s="152">
        <v>0</v>
      </c>
      <c r="EC70" s="52">
        <f t="shared" si="33"/>
        <v>0</v>
      </c>
      <c r="ED70" s="52">
        <f t="shared" si="33"/>
        <v>0</v>
      </c>
      <c r="EE70" s="52">
        <f t="shared" si="33"/>
        <v>0</v>
      </c>
      <c r="EF70" s="52">
        <f t="shared" si="33"/>
        <v>0</v>
      </c>
      <c r="EG70" s="52">
        <f t="shared" si="34"/>
        <v>0</v>
      </c>
      <c r="EH70" s="238">
        <v>0</v>
      </c>
      <c r="EI70" s="211">
        <v>0</v>
      </c>
      <c r="EJ70" s="211">
        <v>0</v>
      </c>
      <c r="EK70" s="211">
        <v>0</v>
      </c>
      <c r="EL70" s="217">
        <f>IF(C70&gt;=Summary!$E$26,MAX(0,SUM(EH70:EK70)),0)</f>
        <v>0</v>
      </c>
      <c r="EM70" s="52">
        <f>IF(C70&gt;=Summary!$E$26,DX70*BL70,0)</f>
        <v>0</v>
      </c>
      <c r="EN70" s="52">
        <f>IF(C70&gt;=Summary!$E$26,DY70*BM70,0)</f>
        <v>0</v>
      </c>
      <c r="EO70" s="52">
        <f>IF(C70&gt;=Summary!$E$26,DZ70*BN70,0)</f>
        <v>0</v>
      </c>
      <c r="EP70" s="52">
        <f>IF(C70&gt;=Summary!$E$26,EA70*BO70,0)</f>
        <v>0</v>
      </c>
      <c r="EQ70" s="52">
        <f>IF(C70&gt;=Summary!$E$26,DX70*BL70+DY70*BM70+DZ70*BN70+EA70*BO70,0)</f>
        <v>0</v>
      </c>
      <c r="ER70" s="826">
        <v>0</v>
      </c>
      <c r="ES70" s="278">
        <v>0</v>
      </c>
      <c r="ET70" s="278">
        <v>0</v>
      </c>
      <c r="EU70" s="278">
        <v>0</v>
      </c>
      <c r="EV70" s="212">
        <f>IF(C70&gt;=Summary!$E$26,MAX(0,SUM(ER70:EU70)),0)</f>
        <v>0</v>
      </c>
      <c r="EW70" s="52"/>
      <c r="EX70" s="1049">
        <f t="shared" si="35"/>
        <v>0</v>
      </c>
      <c r="EY70" s="1045" t="str">
        <f t="shared" si="36"/>
        <v/>
      </c>
      <c r="EZ70" s="1684" t="s">
        <v>525</v>
      </c>
      <c r="FA70" s="1046">
        <f t="shared" si="54"/>
        <v>45</v>
      </c>
      <c r="FB70" s="256">
        <f t="shared" si="37"/>
        <v>11701.8</v>
      </c>
      <c r="FC70" s="194">
        <f t="shared" si="38"/>
        <v>0</v>
      </c>
      <c r="FD70" s="194">
        <f t="shared" si="39"/>
        <v>2127.6</v>
      </c>
      <c r="FE70" s="194">
        <f t="shared" si="40"/>
        <v>0</v>
      </c>
      <c r="FF70" s="194">
        <f t="shared" si="41"/>
        <v>2127.6</v>
      </c>
      <c r="FG70" s="194">
        <f t="shared" si="42"/>
        <v>0</v>
      </c>
      <c r="FH70" s="257">
        <f>IF(EZ70="No",IF((OR(MONTH(C70)=5,MONTH(C70)=6,MONTH(C70)=7,MONTH(C70)=8,MONTH(C70)=9)),Summary!$O$15*12*(AX70+AY70+AZ70+BA70)*(1-$BC70),Summary!$O$15*13*(AX70+AY70+AZ70+BA70)*(1-$BC70)+IF(Summary!$O$16="Yes",(CALC!FA70+Summary!$O$15)*6*(AX70+AY70+AZ70+BA70)*(1-$BC70),0)),0)</f>
        <v>0</v>
      </c>
      <c r="FI70" s="1412">
        <f>IF(MONTH(C70)=5,FI69*(IF(Summary!$E$70="no",(1+(Summary!$E$71*0.8)),1+HLOOKUP(YEAR(C70)-1,CCFMODEL!$I$127:$AF$128,2)*0.8)),+FI69)</f>
        <v>29.95183638040762</v>
      </c>
      <c r="FJ70" s="1411">
        <f>IF(MONTH(C70)=5,FJ69*(IF(Summary!$E$70="no",(1+(Summary!$E$71*0.8)),1+HLOOKUP(YEAR(CALC!C70)-1,CCFMODEL!$I$127:$AF$128,2)*0.8)),FJ69)</f>
        <v>26.178376678938939</v>
      </c>
      <c r="FK70" s="832">
        <f t="shared" si="1"/>
        <v>477941.45312216441</v>
      </c>
      <c r="FL70" s="1412">
        <f>IF(MONTH(C70)=5,FL69*(IF(Summary!$E$70="no",(1+(Summary!$E$71*0.8)),1+HLOOKUP(YEAR(CALC!C70)-1,CCFMODEL!$I$127:$AF$128,2)*0.8)),+FL69)</f>
        <v>62.99206983791013</v>
      </c>
      <c r="FM70" s="1411">
        <f>IF(MONTH(C70)=5,FM69*(IF(Summary!$E$70="no",(1+(Summary!$E$71*0.8)),1+HLOOKUP(YEAR(CALC!C70)-1,CCFMODEL!$I$127:$AF$128,2)*0.8)),+FM69)</f>
        <v>30.064141728665611</v>
      </c>
      <c r="FN70" s="832">
        <f t="shared" si="2"/>
        <v>1020471.5313741441</v>
      </c>
      <c r="FO70" s="194">
        <f t="shared" si="43"/>
        <v>1498412.9844963085</v>
      </c>
      <c r="FP70" s="263">
        <f t="shared" ref="FP70:FU133" si="69">FB70</f>
        <v>11701.8</v>
      </c>
      <c r="FQ70" s="194">
        <f t="shared" si="69"/>
        <v>0</v>
      </c>
      <c r="FR70" s="194">
        <f t="shared" si="69"/>
        <v>2127.6</v>
      </c>
      <c r="FS70" s="194">
        <f t="shared" si="68"/>
        <v>0</v>
      </c>
      <c r="FT70" s="194">
        <f t="shared" si="68"/>
        <v>2127.6</v>
      </c>
      <c r="FU70" s="194">
        <f t="shared" si="68"/>
        <v>0</v>
      </c>
      <c r="FV70" s="257">
        <f t="shared" si="68"/>
        <v>0</v>
      </c>
      <c r="FW70" s="189">
        <f t="shared" si="4"/>
        <v>0</v>
      </c>
      <c r="FX70" s="189">
        <f t="shared" si="5"/>
        <v>0</v>
      </c>
      <c r="FY70" s="189">
        <f t="shared" si="6"/>
        <v>0</v>
      </c>
      <c r="FZ70" s="258">
        <f t="shared" si="7"/>
        <v>0</v>
      </c>
      <c r="GA70" s="1293">
        <f>(SUM(FP70:FV70)+SUM(GU70:HB70)/(1-Summary!$O$25))*CY70/1000</f>
        <v>123275.24947296</v>
      </c>
      <c r="GB70" s="1369">
        <f>IF($C70&lt;Summary!$M$81,+Summary!$O$81,VLOOKUP(C70,GasTable,19))</f>
        <v>2.4</v>
      </c>
      <c r="GC70" s="1370">
        <f>IF(H70&lt;=Summary!$N$84,MIN(GA70,Summary!$O$75*(H70-G70+1)),0)</f>
        <v>123275.24947296</v>
      </c>
      <c r="GD70" s="1371">
        <f>IF(Summary!$O$75*(H70-G70+1)*0.8&gt;GC70,1,0)</f>
        <v>0</v>
      </c>
      <c r="GE70" s="1372">
        <v>0</v>
      </c>
      <c r="GF70" s="1370">
        <f t="shared" si="8"/>
        <v>0</v>
      </c>
      <c r="GG70" s="1371">
        <f>GF70*(IF(Summary!$O$74=1,VLOOKUP($C70,GasTable,16)+Summary!$O$92+Summary!$O$93,VLOOKUP($C70,GasTable,19)+Summary!$O$92+Summary!$O$93))</f>
        <v>0</v>
      </c>
      <c r="GH70" s="1373">
        <v>17688</v>
      </c>
      <c r="GI70" s="1466">
        <v>0</v>
      </c>
      <c r="GJ70" s="1374">
        <f t="shared" si="44"/>
        <v>313548.59873510397</v>
      </c>
      <c r="GK70" s="189">
        <f t="shared" si="9"/>
        <v>15957</v>
      </c>
      <c r="GL70" s="266">
        <v>0.75864069049600003</v>
      </c>
      <c r="GM70" s="255">
        <f t="shared" si="10"/>
        <v>12105.629498244673</v>
      </c>
      <c r="GN70" s="189">
        <f>IF(SUM(GU70:HB70)=0,0,IF(Summary!$O$16="Yes",SUM(GX70:HB70),IF(Summary!$O$17="Yes",SUM(GY70:HB70),SUM(GU70:HB70))))</f>
        <v>0</v>
      </c>
      <c r="GO70" s="203">
        <v>2.6781769672697084</v>
      </c>
      <c r="GP70" s="258">
        <f t="shared" si="45"/>
        <v>0</v>
      </c>
      <c r="GQ70" s="189"/>
      <c r="GR70" s="189"/>
      <c r="GS70" s="189"/>
      <c r="GT70" s="189"/>
      <c r="GU70" s="268">
        <v>0</v>
      </c>
      <c r="GV70" s="189">
        <v>0</v>
      </c>
      <c r="GW70" s="189">
        <v>0</v>
      </c>
      <c r="GX70" s="189"/>
      <c r="GY70" s="254">
        <v>0</v>
      </c>
      <c r="GZ70" s="189">
        <v>0</v>
      </c>
      <c r="HA70" s="189">
        <v>0</v>
      </c>
      <c r="HB70" s="255"/>
      <c r="HC70" s="189">
        <v>0</v>
      </c>
      <c r="HD70" s="189"/>
      <c r="HE70" s="189">
        <v>0</v>
      </c>
      <c r="HF70" s="189">
        <v>0</v>
      </c>
      <c r="HG70" s="189"/>
      <c r="HH70" s="203">
        <v>0</v>
      </c>
      <c r="HI70" s="189">
        <v>0</v>
      </c>
      <c r="HJ70" s="268">
        <f t="shared" si="11"/>
        <v>0</v>
      </c>
      <c r="HK70" s="189">
        <f t="shared" si="12"/>
        <v>0</v>
      </c>
      <c r="HL70" s="189">
        <f t="shared" si="13"/>
        <v>0</v>
      </c>
      <c r="HM70" s="255">
        <f t="shared" si="14"/>
        <v>0</v>
      </c>
      <c r="HN70" s="189">
        <f t="shared" si="15"/>
        <v>0</v>
      </c>
      <c r="HO70" s="203">
        <f t="shared" si="46"/>
        <v>0</v>
      </c>
      <c r="HP70" s="258">
        <f t="shared" si="16"/>
        <v>0</v>
      </c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R70" s="223"/>
    </row>
    <row r="71" spans="1:252" ht="13.8" thickBot="1">
      <c r="A71" t="str">
        <f t="shared" si="23"/>
        <v>2004Q3</v>
      </c>
      <c r="B71">
        <f t="shared" si="24"/>
        <v>2004</v>
      </c>
      <c r="C71" s="49">
        <f t="shared" si="25"/>
        <v>38169</v>
      </c>
      <c r="D71" s="115">
        <f t="shared" si="26"/>
        <v>2004</v>
      </c>
      <c r="E71" s="10">
        <f t="shared" si="55"/>
        <v>7</v>
      </c>
      <c r="F71" s="248">
        <f t="shared" si="57"/>
        <v>38173</v>
      </c>
      <c r="G71" s="245">
        <v>38169</v>
      </c>
      <c r="H71" s="251">
        <v>38199</v>
      </c>
      <c r="I71" s="959">
        <f t="shared" si="53"/>
        <v>7.1499999999999994E-2</v>
      </c>
      <c r="J71" s="37">
        <f t="shared" si="27"/>
        <v>0.71971593489656072</v>
      </c>
      <c r="K71" s="1036" t="e">
        <f>IF(Summary!#REF!=1,+Summary!#REF!,I71+Summary!#REF!/10000)</f>
        <v>#REF!</v>
      </c>
      <c r="L71" s="37" t="e">
        <f t="shared" si="28"/>
        <v>#REF!</v>
      </c>
      <c r="M71" s="1004">
        <v>0</v>
      </c>
      <c r="N71" s="38">
        <f t="shared" si="66"/>
        <v>0</v>
      </c>
      <c r="O71" s="40">
        <f t="shared" si="66"/>
        <v>0</v>
      </c>
      <c r="P71" s="159">
        <f t="shared" si="60"/>
        <v>0</v>
      </c>
      <c r="Q71" s="38">
        <f t="shared" si="67"/>
        <v>0</v>
      </c>
      <c r="R71" s="40">
        <f t="shared" si="67"/>
        <v>0</v>
      </c>
      <c r="S71" s="38">
        <f t="shared" si="67"/>
        <v>0</v>
      </c>
      <c r="T71" s="38">
        <f t="shared" si="67"/>
        <v>0</v>
      </c>
      <c r="U71" s="38">
        <f t="shared" si="67"/>
        <v>0</v>
      </c>
      <c r="V71" s="159">
        <f t="shared" si="67"/>
        <v>0</v>
      </c>
      <c r="W71" s="38">
        <f t="shared" si="67"/>
        <v>0</v>
      </c>
      <c r="X71" s="39">
        <f t="shared" si="67"/>
        <v>0</v>
      </c>
      <c r="Y71" s="46">
        <v>0</v>
      </c>
      <c r="Z71" s="46">
        <v>0</v>
      </c>
      <c r="AA71" s="47">
        <v>0</v>
      </c>
      <c r="AB71" s="46">
        <v>0</v>
      </c>
      <c r="AC71" s="46">
        <v>0</v>
      </c>
      <c r="AD71" s="47">
        <v>0</v>
      </c>
      <c r="AE71" s="46">
        <v>0</v>
      </c>
      <c r="AF71" s="46">
        <v>0</v>
      </c>
      <c r="AG71" s="47">
        <v>0</v>
      </c>
      <c r="AH71" s="46">
        <v>0</v>
      </c>
      <c r="AI71" s="46">
        <v>0</v>
      </c>
      <c r="AJ71" s="47">
        <v>0</v>
      </c>
      <c r="AK71" s="46">
        <v>0</v>
      </c>
      <c r="AL71" s="46">
        <v>0</v>
      </c>
      <c r="AM71" s="47">
        <v>0</v>
      </c>
      <c r="AN71" s="46">
        <v>0</v>
      </c>
      <c r="AO71" s="46">
        <v>0</v>
      </c>
      <c r="AP71" s="47">
        <v>0</v>
      </c>
      <c r="AQ71" s="46">
        <v>0</v>
      </c>
      <c r="AR71" s="46">
        <v>0</v>
      </c>
      <c r="AS71" s="47">
        <v>0</v>
      </c>
      <c r="AT71" s="46">
        <v>0</v>
      </c>
      <c r="AU71" s="46">
        <v>0</v>
      </c>
      <c r="AV71" s="46">
        <v>0</v>
      </c>
      <c r="AW71" s="1545">
        <v>0</v>
      </c>
      <c r="AX71" s="10">
        <f t="shared" si="56"/>
        <v>21</v>
      </c>
      <c r="AY71" s="42">
        <f>IF(AND($E71=MONTH(Summary!$E$24),$D71=YEAR(Summary!$E$24)),Summary!$E$25,1)*IF(G71="",0,INT((H71-MOD(H71,7)-G71)/7)+1-IF(BA71,IF(WEEKDAY(F71)=7,1,0),0))</f>
        <v>5</v>
      </c>
      <c r="AZ71" s="42">
        <f>IF(AND($E71=MONTH(Summary!$E$24),$D71=YEAR(Summary!$E$24)),Summary!$E$25,1)*IF(G71="",0,INT((H71-MOD(H71-1,7)-G71)/7)+1-IF(BA71,IF(WEEKDAY(F71)=1,1,0),0))</f>
        <v>4</v>
      </c>
      <c r="BA71" s="42">
        <v>1</v>
      </c>
      <c r="BB71" s="10">
        <f>IF(AND($E71=MONTH(Summary!$E$24),$D71=YEAR(Summary!$E$24)),Summary!$E$25,1)*IF(G71="",0,H71-G71+1)</f>
        <v>31</v>
      </c>
      <c r="BC71" s="914">
        <f>Summary!$E$19</f>
        <v>1.4999999999999999E-2</v>
      </c>
      <c r="BD71" s="113">
        <v>14893.2</v>
      </c>
      <c r="BE71" s="171">
        <v>3546</v>
      </c>
      <c r="BF71" s="171">
        <v>3546</v>
      </c>
      <c r="BG71" s="174"/>
      <c r="BH71" s="1198">
        <v>1</v>
      </c>
      <c r="BI71" s="1198">
        <v>1</v>
      </c>
      <c r="BJ71" s="1198">
        <v>1</v>
      </c>
      <c r="BK71" s="1198">
        <v>1</v>
      </c>
      <c r="BL71" s="95">
        <v>2978.64</v>
      </c>
      <c r="BM71" s="171">
        <v>709.2</v>
      </c>
      <c r="BN71" s="171">
        <v>709.2</v>
      </c>
      <c r="BO71" s="174"/>
      <c r="BP71" s="1198">
        <v>1</v>
      </c>
      <c r="BQ71" s="1199">
        <v>1</v>
      </c>
      <c r="BR71" s="1199">
        <v>1</v>
      </c>
      <c r="BS71" s="1200">
        <v>1</v>
      </c>
      <c r="BT71" s="94">
        <f t="shared" si="29"/>
        <v>21985.200000000001</v>
      </c>
      <c r="BU71" s="233">
        <f t="shared" si="30"/>
        <v>21985.200000000001</v>
      </c>
      <c r="BV71" s="92">
        <f t="shared" si="31"/>
        <v>4397.04</v>
      </c>
      <c r="BW71" s="233">
        <f t="shared" si="32"/>
        <v>4397.04</v>
      </c>
      <c r="BX71" s="88">
        <v>4.5448323066392877</v>
      </c>
      <c r="BY71" s="90">
        <v>0</v>
      </c>
      <c r="BZ71" s="88">
        <v>0</v>
      </c>
      <c r="CA71" s="88">
        <v>0</v>
      </c>
      <c r="CB71" s="88">
        <v>0</v>
      </c>
      <c r="CC71" s="88">
        <v>0</v>
      </c>
      <c r="CD71" s="88">
        <v>0</v>
      </c>
      <c r="CE71" s="100">
        <v>0</v>
      </c>
      <c r="CF71" s="88">
        <v>0</v>
      </c>
      <c r="CG71" s="88">
        <v>0</v>
      </c>
      <c r="CH71" s="88">
        <v>0</v>
      </c>
      <c r="CI71" s="88">
        <v>0</v>
      </c>
      <c r="CJ71" s="228">
        <v>0</v>
      </c>
      <c r="CK71" s="88">
        <v>0</v>
      </c>
      <c r="CL71" s="88">
        <v>0</v>
      </c>
      <c r="CM71" s="88">
        <v>0</v>
      </c>
      <c r="CN71" s="88">
        <v>0</v>
      </c>
      <c r="CO71" s="88">
        <v>0</v>
      </c>
      <c r="CP71" s="88">
        <v>0</v>
      </c>
      <c r="CQ71" s="229">
        <v>0</v>
      </c>
      <c r="CR71" s="91">
        <v>0</v>
      </c>
      <c r="CS71" s="91">
        <v>0</v>
      </c>
      <c r="CT71" s="91">
        <v>0</v>
      </c>
      <c r="CU71" s="91">
        <v>0</v>
      </c>
      <c r="CV71" s="91">
        <v>0</v>
      </c>
      <c r="CW71" s="91">
        <v>0</v>
      </c>
      <c r="CX71" s="225">
        <v>0</v>
      </c>
      <c r="CY71" s="1265">
        <v>7726.7681599999996</v>
      </c>
      <c r="CZ71" s="90">
        <v>0</v>
      </c>
      <c r="DA71" s="88">
        <v>0</v>
      </c>
      <c r="DB71" s="88">
        <v>0</v>
      </c>
      <c r="DC71" s="88">
        <v>0</v>
      </c>
      <c r="DD71" s="88">
        <v>0</v>
      </c>
      <c r="DE71" s="152">
        <v>0</v>
      </c>
      <c r="DF71" s="230">
        <v>0</v>
      </c>
      <c r="DG71" s="38">
        <v>0</v>
      </c>
      <c r="DH71" s="1237">
        <v>0</v>
      </c>
      <c r="DI71" s="956">
        <v>0</v>
      </c>
      <c r="DJ71" s="956">
        <v>0</v>
      </c>
      <c r="DK71" s="956">
        <v>0</v>
      </c>
      <c r="DL71" s="152">
        <v>0</v>
      </c>
      <c r="DM71" s="160">
        <v>0</v>
      </c>
      <c r="DN71" s="160">
        <v>0</v>
      </c>
      <c r="DO71" s="160">
        <v>0</v>
      </c>
      <c r="DP71" s="160">
        <v>0</v>
      </c>
      <c r="DQ71" s="160">
        <v>0</v>
      </c>
      <c r="DR71" s="230">
        <v>0</v>
      </c>
      <c r="DS71" s="88">
        <v>0</v>
      </c>
      <c r="DT71" s="88">
        <v>0</v>
      </c>
      <c r="DU71" s="88">
        <v>0</v>
      </c>
      <c r="DV71" s="88">
        <v>0</v>
      </c>
      <c r="DW71" s="88">
        <v>0</v>
      </c>
      <c r="DX71" s="88">
        <v>0</v>
      </c>
      <c r="DY71" s="88">
        <v>0</v>
      </c>
      <c r="DZ71" s="88">
        <v>0</v>
      </c>
      <c r="EA71" s="88">
        <v>0</v>
      </c>
      <c r="EB71" s="152">
        <v>0</v>
      </c>
      <c r="EC71" s="52">
        <f t="shared" si="33"/>
        <v>0</v>
      </c>
      <c r="ED71" s="52">
        <f t="shared" si="33"/>
        <v>0</v>
      </c>
      <c r="EE71" s="52">
        <f t="shared" si="33"/>
        <v>0</v>
      </c>
      <c r="EF71" s="52">
        <f t="shared" si="33"/>
        <v>0</v>
      </c>
      <c r="EG71" s="52">
        <f t="shared" si="34"/>
        <v>0</v>
      </c>
      <c r="EH71" s="238">
        <v>0</v>
      </c>
      <c r="EI71" s="211">
        <v>0</v>
      </c>
      <c r="EJ71" s="211">
        <v>0</v>
      </c>
      <c r="EK71" s="211">
        <v>0</v>
      </c>
      <c r="EL71" s="217">
        <f>IF(C71&gt;=Summary!$E$26,MAX(0,SUM(EH71:EK71)),0)</f>
        <v>0</v>
      </c>
      <c r="EM71" s="52">
        <f>IF(C71&gt;=Summary!$E$26,DX71*BL71,0)</f>
        <v>0</v>
      </c>
      <c r="EN71" s="52">
        <f>IF(C71&gt;=Summary!$E$26,DY71*BM71,0)</f>
        <v>0</v>
      </c>
      <c r="EO71" s="52">
        <f>IF(C71&gt;=Summary!$E$26,DZ71*BN71,0)</f>
        <v>0</v>
      </c>
      <c r="EP71" s="52">
        <f>IF(C71&gt;=Summary!$E$26,EA71*BO71,0)</f>
        <v>0</v>
      </c>
      <c r="EQ71" s="52">
        <f>IF(C71&gt;=Summary!$E$26,DX71*BL71+DY71*BM71+DZ71*BN71+EA71*BO71,0)</f>
        <v>0</v>
      </c>
      <c r="ER71" s="826">
        <v>0</v>
      </c>
      <c r="ES71" s="278">
        <v>0</v>
      </c>
      <c r="ET71" s="278">
        <v>0</v>
      </c>
      <c r="EU71" s="278">
        <v>0</v>
      </c>
      <c r="EV71" s="212">
        <f>IF(C71&gt;=Summary!$E$26,MAX(0,SUM(ER71:EU71)),0)</f>
        <v>0</v>
      </c>
      <c r="EW71" s="52"/>
      <c r="EX71" s="1049">
        <f t="shared" si="35"/>
        <v>0</v>
      </c>
      <c r="EY71" s="1045" t="str">
        <f t="shared" si="36"/>
        <v/>
      </c>
      <c r="EZ71" s="1684" t="s">
        <v>525</v>
      </c>
      <c r="FA71" s="1046">
        <f t="shared" si="54"/>
        <v>45</v>
      </c>
      <c r="FB71" s="256">
        <f t="shared" si="37"/>
        <v>11169.9</v>
      </c>
      <c r="FC71" s="194">
        <f t="shared" si="38"/>
        <v>0</v>
      </c>
      <c r="FD71" s="194">
        <f t="shared" si="39"/>
        <v>2659.5</v>
      </c>
      <c r="FE71" s="194">
        <f t="shared" si="40"/>
        <v>0</v>
      </c>
      <c r="FF71" s="194">
        <f t="shared" si="41"/>
        <v>2659.5</v>
      </c>
      <c r="FG71" s="194">
        <f t="shared" si="42"/>
        <v>0</v>
      </c>
      <c r="FH71" s="257">
        <f>IF(EZ71="No",IF((OR(MONTH(C71)=5,MONTH(C71)=6,MONTH(C71)=7,MONTH(C71)=8,MONTH(C71)=9)),Summary!$O$15*12*(AX71+AY71+AZ71+BA71)*(1-$BC71),Summary!$O$15*13*(AX71+AY71+AZ71+BA71)*(1-$BC71)+IF(Summary!$O$16="Yes",(CALC!FA71+Summary!$O$15)*6*(AX71+AY71+AZ71+BA71)*(1-$BC71),0)),0)</f>
        <v>0</v>
      </c>
      <c r="FI71" s="1412">
        <f>IF(MONTH(C71)=5,FI70*(IF(Summary!$E$70="no",(1+(Summary!$E$71*0.8)),1+HLOOKUP(YEAR(C71)-1,CCFMODEL!$I$127:$AF$128,2)*0.8)),+FI70)</f>
        <v>29.95183638040762</v>
      </c>
      <c r="FJ71" s="1411">
        <f>IF(MONTH(C71)=5,FJ70*(IF(Summary!$E$70="no",(1+(Summary!$E$71*0.8)),1+HLOOKUP(YEAR(CALC!C71)-1,CCFMODEL!$I$127:$AF$128,2)*0.8)),FJ70)</f>
        <v>26.178376678938939</v>
      </c>
      <c r="FK71" s="832">
        <f t="shared" si="1"/>
        <v>493872.83489290328</v>
      </c>
      <c r="FL71" s="1412">
        <f>IF(MONTH(C71)=5,FL70*(IF(Summary!$E$70="no",(1+(Summary!$E$71*0.8)),1+HLOOKUP(YEAR(CALC!C71)-1,CCFMODEL!$I$127:$AF$128,2)*0.8)),+FL70)</f>
        <v>62.99206983791013</v>
      </c>
      <c r="FM71" s="1411">
        <f>IF(MONTH(C71)=5,FM70*(IF(Summary!$E$70="no",(1+(Summary!$E$71*0.8)),1+HLOOKUP(YEAR(CALC!C71)-1,CCFMODEL!$I$127:$AF$128,2)*0.8)),+FM70)</f>
        <v>30.064141728665611</v>
      </c>
      <c r="FN71" s="832">
        <f t="shared" si="2"/>
        <v>1054487.2490866156</v>
      </c>
      <c r="FO71" s="194">
        <f t="shared" si="43"/>
        <v>1548360.0839795189</v>
      </c>
      <c r="FP71" s="263">
        <f t="shared" si="69"/>
        <v>11169.9</v>
      </c>
      <c r="FQ71" s="194">
        <f t="shared" si="69"/>
        <v>0</v>
      </c>
      <c r="FR71" s="194">
        <f t="shared" si="69"/>
        <v>2659.5</v>
      </c>
      <c r="FS71" s="194">
        <f t="shared" si="68"/>
        <v>0</v>
      </c>
      <c r="FT71" s="194">
        <f t="shared" si="68"/>
        <v>2659.5</v>
      </c>
      <c r="FU71" s="194">
        <f t="shared" si="68"/>
        <v>0</v>
      </c>
      <c r="FV71" s="257">
        <f t="shared" si="68"/>
        <v>0</v>
      </c>
      <c r="FW71" s="189">
        <f t="shared" si="4"/>
        <v>0</v>
      </c>
      <c r="FX71" s="189">
        <f t="shared" si="5"/>
        <v>0</v>
      </c>
      <c r="FY71" s="189">
        <f t="shared" si="6"/>
        <v>0</v>
      </c>
      <c r="FZ71" s="258">
        <f t="shared" si="7"/>
        <v>0</v>
      </c>
      <c r="GA71" s="1293">
        <f>(SUM(FP71:FV71)+SUM(GU71:HB71)/(1-Summary!$O$25))*CY71/1000</f>
        <v>203849.45202147844</v>
      </c>
      <c r="GB71" s="1369">
        <f>IF($C71&lt;Summary!$M$81,+Summary!$O$81,VLOOKUP(C71,GasTable,19))</f>
        <v>2.4</v>
      </c>
      <c r="GC71" s="1370">
        <f>IF(H71&lt;=Summary!$N$84,MIN(GA71,Summary!$O$75*(H71-G71+1)),0)</f>
        <v>155000</v>
      </c>
      <c r="GD71" s="1371">
        <f>IF(Summary!$O$75*(H71-G71+1)*0.8&gt;GC71,1,0)</f>
        <v>0</v>
      </c>
      <c r="GE71" s="1372">
        <v>0</v>
      </c>
      <c r="GF71" s="1370">
        <f t="shared" si="8"/>
        <v>48849.452021478442</v>
      </c>
      <c r="GG71" s="1371">
        <f>GF71*(IF(Summary!$O$74=1,VLOOKUP($C71,GasTable,16)+Summary!$O$92+Summary!$O$93,VLOOKUP($C71,GasTable,19)+Summary!$O$92+Summary!$O$93))</f>
        <v>128987.06688990709</v>
      </c>
      <c r="GH71" s="1373">
        <v>18352</v>
      </c>
      <c r="GI71" s="1466">
        <v>0</v>
      </c>
      <c r="GJ71" s="1374">
        <f t="shared" si="44"/>
        <v>519339.06688990712</v>
      </c>
      <c r="GK71" s="189">
        <f t="shared" si="9"/>
        <v>26035.973100000003</v>
      </c>
      <c r="GL71" s="266">
        <v>0.75876863331200006</v>
      </c>
      <c r="GM71" s="255">
        <f t="shared" si="10"/>
        <v>15221.000000000004</v>
      </c>
      <c r="GN71" s="189">
        <f>IF(SUM(GU71:HB71)=0,0,IF(Summary!$O$16="Yes",SUM(GX71:HB71),IF(Summary!$O$17="Yes",SUM(GY71:HB71),SUM(GU71:HB71))))</f>
        <v>9547.0731000000014</v>
      </c>
      <c r="GO71" s="203">
        <v>2.6781769672697084</v>
      </c>
      <c r="GP71" s="258">
        <f t="shared" si="45"/>
        <v>25568.751281260218</v>
      </c>
      <c r="GQ71" s="189"/>
      <c r="GR71" s="189"/>
      <c r="GS71" s="189"/>
      <c r="GT71" s="189"/>
      <c r="GU71" s="268">
        <v>3592.9845000000009</v>
      </c>
      <c r="GV71" s="189">
        <v>855.47249999999997</v>
      </c>
      <c r="GW71" s="189">
        <v>855.47249999999997</v>
      </c>
      <c r="GX71" s="189"/>
      <c r="GY71" s="254">
        <v>2874.3875999999996</v>
      </c>
      <c r="GZ71" s="189">
        <v>684.37800000000004</v>
      </c>
      <c r="HA71" s="189">
        <v>684.37800000000004</v>
      </c>
      <c r="HB71" s="255"/>
      <c r="HC71" s="189">
        <v>9547.0731000000014</v>
      </c>
      <c r="HD71" s="189"/>
      <c r="HE71" s="189">
        <v>22276.503900000003</v>
      </c>
      <c r="HF71" s="189">
        <v>325070.93038025679</v>
      </c>
      <c r="HG71" s="189"/>
      <c r="HH71" s="203">
        <v>36.057330669153792</v>
      </c>
      <c r="HI71" s="189">
        <v>803231.26727499417</v>
      </c>
      <c r="HJ71" s="268">
        <f t="shared" si="11"/>
        <v>0</v>
      </c>
      <c r="HK71" s="189">
        <f t="shared" si="12"/>
        <v>0</v>
      </c>
      <c r="HL71" s="189">
        <f t="shared" si="13"/>
        <v>0</v>
      </c>
      <c r="HM71" s="255">
        <f t="shared" si="14"/>
        <v>0</v>
      </c>
      <c r="HN71" s="189">
        <f t="shared" si="15"/>
        <v>0</v>
      </c>
      <c r="HO71" s="203">
        <f t="shared" si="46"/>
        <v>0</v>
      </c>
      <c r="HP71" s="258">
        <f t="shared" si="16"/>
        <v>0</v>
      </c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P71" s="820"/>
      <c r="IQ71" s="820"/>
      <c r="IR71" s="223"/>
    </row>
    <row r="72" spans="1:252" ht="13.8" thickBot="1">
      <c r="A72" t="str">
        <f t="shared" si="23"/>
        <v>2004Q3</v>
      </c>
      <c r="B72">
        <f t="shared" si="24"/>
        <v>2004</v>
      </c>
      <c r="C72" s="49">
        <f t="shared" si="25"/>
        <v>38200</v>
      </c>
      <c r="D72" s="115">
        <f t="shared" si="26"/>
        <v>2004</v>
      </c>
      <c r="E72" s="10">
        <f t="shared" si="55"/>
        <v>8</v>
      </c>
      <c r="F72" s="248" t="str">
        <f t="shared" si="57"/>
        <v/>
      </c>
      <c r="G72" s="245">
        <v>38200</v>
      </c>
      <c r="H72" s="251">
        <v>38230</v>
      </c>
      <c r="I72" s="959">
        <f t="shared" si="53"/>
        <v>7.1499999999999994E-2</v>
      </c>
      <c r="J72" s="37">
        <f t="shared" si="27"/>
        <v>0.71543740336713091</v>
      </c>
      <c r="K72" s="1036" t="e">
        <f>IF(Summary!#REF!=1,+Summary!#REF!,I72+Summary!#REF!/10000)</f>
        <v>#REF!</v>
      </c>
      <c r="L72" s="37" t="e">
        <f t="shared" si="28"/>
        <v>#REF!</v>
      </c>
      <c r="M72" s="1004">
        <v>0</v>
      </c>
      <c r="N72" s="38">
        <f t="shared" si="66"/>
        <v>0</v>
      </c>
      <c r="O72" s="40">
        <f t="shared" si="66"/>
        <v>0</v>
      </c>
      <c r="P72" s="159">
        <f t="shared" si="60"/>
        <v>0</v>
      </c>
      <c r="Q72" s="38">
        <f t="shared" si="67"/>
        <v>0</v>
      </c>
      <c r="R72" s="40">
        <f t="shared" si="67"/>
        <v>0</v>
      </c>
      <c r="S72" s="38">
        <f t="shared" si="67"/>
        <v>0</v>
      </c>
      <c r="T72" s="38">
        <f t="shared" si="67"/>
        <v>0</v>
      </c>
      <c r="U72" s="38">
        <f t="shared" si="67"/>
        <v>0</v>
      </c>
      <c r="V72" s="159">
        <f t="shared" si="67"/>
        <v>0</v>
      </c>
      <c r="W72" s="38">
        <f t="shared" si="67"/>
        <v>0</v>
      </c>
      <c r="X72" s="39">
        <f t="shared" si="67"/>
        <v>0</v>
      </c>
      <c r="Y72" s="46">
        <v>0</v>
      </c>
      <c r="Z72" s="46">
        <v>0</v>
      </c>
      <c r="AA72" s="47">
        <v>0</v>
      </c>
      <c r="AB72" s="46">
        <v>0</v>
      </c>
      <c r="AC72" s="46">
        <v>0</v>
      </c>
      <c r="AD72" s="47">
        <v>0</v>
      </c>
      <c r="AE72" s="46">
        <v>0</v>
      </c>
      <c r="AF72" s="46">
        <v>0</v>
      </c>
      <c r="AG72" s="47">
        <v>0</v>
      </c>
      <c r="AH72" s="46">
        <v>0</v>
      </c>
      <c r="AI72" s="46">
        <v>0</v>
      </c>
      <c r="AJ72" s="47">
        <v>0</v>
      </c>
      <c r="AK72" s="46">
        <v>0</v>
      </c>
      <c r="AL72" s="46">
        <v>0</v>
      </c>
      <c r="AM72" s="47">
        <v>0</v>
      </c>
      <c r="AN72" s="46">
        <v>0</v>
      </c>
      <c r="AO72" s="46">
        <v>0</v>
      </c>
      <c r="AP72" s="47">
        <v>0</v>
      </c>
      <c r="AQ72" s="46">
        <v>0</v>
      </c>
      <c r="AR72" s="46">
        <v>0</v>
      </c>
      <c r="AS72" s="47">
        <v>0</v>
      </c>
      <c r="AT72" s="46">
        <v>0</v>
      </c>
      <c r="AU72" s="46">
        <v>0</v>
      </c>
      <c r="AV72" s="46">
        <v>0</v>
      </c>
      <c r="AW72" s="1545">
        <v>0</v>
      </c>
      <c r="AX72" s="10">
        <f t="shared" si="56"/>
        <v>22</v>
      </c>
      <c r="AY72" s="42">
        <f>IF(AND($E72=MONTH(Summary!$E$24),$D72=YEAR(Summary!$E$24)),Summary!$E$25,1)*IF(G72="",0,INT((H72-MOD(H72,7)-G72)/7)+1-IF(BA72,IF(WEEKDAY(F72)=7,1,0),0))</f>
        <v>4</v>
      </c>
      <c r="AZ72" s="42">
        <f>IF(AND($E72=MONTH(Summary!$E$24),$D72=YEAR(Summary!$E$24)),Summary!$E$25,1)*IF(G72="",0,INT((H72-MOD(H72-1,7)-G72)/7)+1-IF(BA72,IF(WEEKDAY(F72)=1,1,0),0))</f>
        <v>5</v>
      </c>
      <c r="BA72" s="42">
        <v>0</v>
      </c>
      <c r="BB72" s="10">
        <f>IF(AND($E72=MONTH(Summary!$E$24),$D72=YEAR(Summary!$E$24)),Summary!$E$25,1)*IF(G72="",0,H72-G72+1)</f>
        <v>31</v>
      </c>
      <c r="BC72" s="914">
        <f>Summary!$E$19</f>
        <v>1.4999999999999999E-2</v>
      </c>
      <c r="BD72" s="113">
        <v>15602.4</v>
      </c>
      <c r="BE72" s="171">
        <v>2836.8</v>
      </c>
      <c r="BF72" s="171">
        <v>3546</v>
      </c>
      <c r="BG72" s="174"/>
      <c r="BH72" s="1198">
        <v>1</v>
      </c>
      <c r="BI72" s="1198">
        <v>1</v>
      </c>
      <c r="BJ72" s="1198">
        <v>1</v>
      </c>
      <c r="BK72" s="1198">
        <v>1</v>
      </c>
      <c r="BL72" s="95">
        <v>3120.48</v>
      </c>
      <c r="BM72" s="171">
        <v>567.36</v>
      </c>
      <c r="BN72" s="171">
        <v>709.2</v>
      </c>
      <c r="BO72" s="174"/>
      <c r="BP72" s="1198">
        <v>1</v>
      </c>
      <c r="BQ72" s="1199">
        <v>1</v>
      </c>
      <c r="BR72" s="1199">
        <v>1</v>
      </c>
      <c r="BS72" s="1200">
        <v>1</v>
      </c>
      <c r="BT72" s="94">
        <f t="shared" si="29"/>
        <v>21985.200000000001</v>
      </c>
      <c r="BU72" s="233">
        <f t="shared" si="30"/>
        <v>21985.200000000001</v>
      </c>
      <c r="BV72" s="92">
        <f t="shared" si="31"/>
        <v>4397.04</v>
      </c>
      <c r="BW72" s="233">
        <f t="shared" si="32"/>
        <v>4397.04</v>
      </c>
      <c r="BX72" s="88">
        <v>4.6297056810403836</v>
      </c>
      <c r="BY72" s="90">
        <v>0</v>
      </c>
      <c r="BZ72" s="88">
        <v>0</v>
      </c>
      <c r="CA72" s="88">
        <v>0</v>
      </c>
      <c r="CB72" s="88">
        <v>0</v>
      </c>
      <c r="CC72" s="88">
        <v>0</v>
      </c>
      <c r="CD72" s="88">
        <v>0</v>
      </c>
      <c r="CE72" s="100">
        <v>0</v>
      </c>
      <c r="CF72" s="88">
        <v>0</v>
      </c>
      <c r="CG72" s="88">
        <v>0</v>
      </c>
      <c r="CH72" s="88">
        <v>0</v>
      </c>
      <c r="CI72" s="88">
        <v>0</v>
      </c>
      <c r="CJ72" s="228">
        <v>0</v>
      </c>
      <c r="CK72" s="88">
        <v>0</v>
      </c>
      <c r="CL72" s="88">
        <v>0</v>
      </c>
      <c r="CM72" s="88">
        <v>0</v>
      </c>
      <c r="CN72" s="88">
        <v>0</v>
      </c>
      <c r="CO72" s="88">
        <v>0</v>
      </c>
      <c r="CP72" s="88">
        <v>0</v>
      </c>
      <c r="CQ72" s="229">
        <v>0</v>
      </c>
      <c r="CR72" s="91">
        <v>0</v>
      </c>
      <c r="CS72" s="91">
        <v>0</v>
      </c>
      <c r="CT72" s="91">
        <v>0</v>
      </c>
      <c r="CU72" s="91">
        <v>0</v>
      </c>
      <c r="CV72" s="91">
        <v>0</v>
      </c>
      <c r="CW72" s="91">
        <v>0</v>
      </c>
      <c r="CX72" s="225">
        <v>0</v>
      </c>
      <c r="CY72" s="1265">
        <v>7728.0710399999998</v>
      </c>
      <c r="CZ72" s="90">
        <v>0</v>
      </c>
      <c r="DA72" s="88">
        <v>0</v>
      </c>
      <c r="DB72" s="88">
        <v>0</v>
      </c>
      <c r="DC72" s="88">
        <v>0</v>
      </c>
      <c r="DD72" s="88">
        <v>0</v>
      </c>
      <c r="DE72" s="152">
        <v>0</v>
      </c>
      <c r="DF72" s="230">
        <v>0</v>
      </c>
      <c r="DG72" s="38">
        <v>0</v>
      </c>
      <c r="DH72" s="1237">
        <v>0</v>
      </c>
      <c r="DI72" s="956">
        <v>0</v>
      </c>
      <c r="DJ72" s="956">
        <v>0</v>
      </c>
      <c r="DK72" s="956">
        <v>0</v>
      </c>
      <c r="DL72" s="152">
        <v>0</v>
      </c>
      <c r="DM72" s="160">
        <v>0</v>
      </c>
      <c r="DN72" s="160">
        <v>0</v>
      </c>
      <c r="DO72" s="160">
        <v>0</v>
      </c>
      <c r="DP72" s="160">
        <v>0</v>
      </c>
      <c r="DQ72" s="160">
        <v>0</v>
      </c>
      <c r="DR72" s="230">
        <v>0</v>
      </c>
      <c r="DS72" s="88">
        <v>0</v>
      </c>
      <c r="DT72" s="88">
        <v>0</v>
      </c>
      <c r="DU72" s="88">
        <v>0</v>
      </c>
      <c r="DV72" s="88">
        <v>0</v>
      </c>
      <c r="DW72" s="88">
        <v>0</v>
      </c>
      <c r="DX72" s="88">
        <v>0</v>
      </c>
      <c r="DY72" s="88">
        <v>0</v>
      </c>
      <c r="DZ72" s="88">
        <v>0</v>
      </c>
      <c r="EA72" s="88">
        <v>0</v>
      </c>
      <c r="EB72" s="152">
        <v>0</v>
      </c>
      <c r="EC72" s="52">
        <f t="shared" si="33"/>
        <v>0</v>
      </c>
      <c r="ED72" s="52">
        <f t="shared" si="33"/>
        <v>0</v>
      </c>
      <c r="EE72" s="52">
        <f t="shared" si="33"/>
        <v>0</v>
      </c>
      <c r="EF72" s="52">
        <f t="shared" si="33"/>
        <v>0</v>
      </c>
      <c r="EG72" s="52">
        <f t="shared" si="34"/>
        <v>0</v>
      </c>
      <c r="EH72" s="238">
        <v>0</v>
      </c>
      <c r="EI72" s="211">
        <v>0</v>
      </c>
      <c r="EJ72" s="211">
        <v>0</v>
      </c>
      <c r="EK72" s="211">
        <v>0</v>
      </c>
      <c r="EL72" s="217">
        <f>IF(C72&gt;=Summary!$E$26,MAX(0,SUM(EH72:EK72)),0)</f>
        <v>0</v>
      </c>
      <c r="EM72" s="52">
        <f>IF(C72&gt;=Summary!$E$26,DX72*BL72,0)</f>
        <v>0</v>
      </c>
      <c r="EN72" s="52">
        <f>IF(C72&gt;=Summary!$E$26,DY72*BM72,0)</f>
        <v>0</v>
      </c>
      <c r="EO72" s="52">
        <f>IF(C72&gt;=Summary!$E$26,DZ72*BN72,0)</f>
        <v>0</v>
      </c>
      <c r="EP72" s="52">
        <f>IF(C72&gt;=Summary!$E$26,EA72*BO72,0)</f>
        <v>0</v>
      </c>
      <c r="EQ72" s="52">
        <f>IF(C72&gt;=Summary!$E$26,DX72*BL72+DY72*BM72+DZ72*BN72+EA72*BO72,0)</f>
        <v>0</v>
      </c>
      <c r="ER72" s="826">
        <v>0</v>
      </c>
      <c r="ES72" s="278">
        <v>0</v>
      </c>
      <c r="ET72" s="278">
        <v>0</v>
      </c>
      <c r="EU72" s="278">
        <v>0</v>
      </c>
      <c r="EV72" s="212">
        <f>IF(C72&gt;=Summary!$E$26,MAX(0,SUM(ER72:EU72)),0)</f>
        <v>0</v>
      </c>
      <c r="EW72" s="52"/>
      <c r="EX72" s="1049">
        <f t="shared" si="35"/>
        <v>0</v>
      </c>
      <c r="EY72" s="1045" t="str">
        <f t="shared" si="36"/>
        <v/>
      </c>
      <c r="EZ72" s="1684" t="s">
        <v>525</v>
      </c>
      <c r="FA72" s="1046">
        <f t="shared" si="54"/>
        <v>45</v>
      </c>
      <c r="FB72" s="256">
        <f t="shared" si="37"/>
        <v>11701.8</v>
      </c>
      <c r="FC72" s="194">
        <f t="shared" si="38"/>
        <v>0</v>
      </c>
      <c r="FD72" s="194">
        <f t="shared" si="39"/>
        <v>2127.6</v>
      </c>
      <c r="FE72" s="194">
        <f t="shared" si="40"/>
        <v>0</v>
      </c>
      <c r="FF72" s="194">
        <f t="shared" si="41"/>
        <v>2659.5</v>
      </c>
      <c r="FG72" s="194">
        <f t="shared" si="42"/>
        <v>0</v>
      </c>
      <c r="FH72" s="257">
        <f>IF(EZ72="No",IF((OR(MONTH(C72)=5,MONTH(C72)=6,MONTH(C72)=7,MONTH(C72)=8,MONTH(C72)=9)),Summary!$O$15*12*(AX72+AY72+AZ72+BA72)*(1-$BC72),Summary!$O$15*13*(AX72+AY72+AZ72+BA72)*(1-$BC72)+IF(Summary!$O$16="Yes",(CALC!FA72+Summary!$O$15)*6*(AX72+AY72+AZ72+BA72)*(1-$BC72),0)),0)</f>
        <v>0</v>
      </c>
      <c r="FI72" s="1412">
        <f>IF(MONTH(C72)=5,FI71*(IF(Summary!$E$70="no",(1+(Summary!$E$71*0.8)),1+HLOOKUP(YEAR(C72)-1,CCFMODEL!$I$127:$AF$128,2)*0.8)),+FI71)</f>
        <v>29.95183638040762</v>
      </c>
      <c r="FJ72" s="1411">
        <f>IF(MONTH(C72)=5,FJ71*(IF(Summary!$E$70="no",(1+(Summary!$E$71*0.8)),1+HLOOKUP(YEAR(CALC!C72)-1,CCFMODEL!$I$127:$AF$128,2)*0.8)),FJ71)</f>
        <v>26.178376678938939</v>
      </c>
      <c r="FK72" s="832">
        <f t="shared" si="1"/>
        <v>493872.83489290328</v>
      </c>
      <c r="FL72" s="1412">
        <f>IF(MONTH(C72)=5,FL71*(IF(Summary!$E$70="no",(1+(Summary!$E$71*0.8)),1+HLOOKUP(YEAR(CALC!C72)-1,CCFMODEL!$I$127:$AF$128,2)*0.8)),+FL71)</f>
        <v>62.99206983791013</v>
      </c>
      <c r="FM72" s="1411">
        <f>IF(MONTH(C72)=5,FM71*(IF(Summary!$E$70="no",(1+(Summary!$E$71*0.8)),1+HLOOKUP(YEAR(CALC!C72)-1,CCFMODEL!$I$127:$AF$128,2)*0.8)),+FM71)</f>
        <v>30.064141728665611</v>
      </c>
      <c r="FN72" s="832">
        <f t="shared" si="2"/>
        <v>1054487.2490866156</v>
      </c>
      <c r="FO72" s="194">
        <f t="shared" si="43"/>
        <v>1548360.0839795189</v>
      </c>
      <c r="FP72" s="263">
        <f t="shared" si="69"/>
        <v>11701.8</v>
      </c>
      <c r="FQ72" s="194">
        <f t="shared" si="69"/>
        <v>0</v>
      </c>
      <c r="FR72" s="194">
        <f t="shared" si="69"/>
        <v>2127.6</v>
      </c>
      <c r="FS72" s="194">
        <f t="shared" si="68"/>
        <v>0</v>
      </c>
      <c r="FT72" s="194">
        <f t="shared" si="68"/>
        <v>2659.5</v>
      </c>
      <c r="FU72" s="194">
        <f t="shared" si="68"/>
        <v>0</v>
      </c>
      <c r="FV72" s="257">
        <f t="shared" si="68"/>
        <v>0</v>
      </c>
      <c r="FW72" s="189">
        <f t="shared" si="4"/>
        <v>0</v>
      </c>
      <c r="FX72" s="189">
        <f t="shared" si="5"/>
        <v>0</v>
      </c>
      <c r="FY72" s="189">
        <f t="shared" si="6"/>
        <v>0</v>
      </c>
      <c r="FZ72" s="258">
        <f t="shared" si="7"/>
        <v>0</v>
      </c>
      <c r="GA72" s="1293">
        <f>(SUM(FP72:FV72)+SUM(GU72:HB72)/(1-Summary!$O$25))*CY72/1000</f>
        <v>203883.82491432963</v>
      </c>
      <c r="GB72" s="1369">
        <f>IF($C72&lt;Summary!$M$81,+Summary!$O$81,VLOOKUP(C72,GasTable,19))</f>
        <v>2.4</v>
      </c>
      <c r="GC72" s="1370">
        <f>IF(H72&lt;=Summary!$N$84,MIN(GA72,Summary!$O$75*(H72-G72+1)),0)</f>
        <v>155000</v>
      </c>
      <c r="GD72" s="1371">
        <f>IF(Summary!$O$75*(H72-G72+1)*0.8&gt;GC72,1,0)</f>
        <v>0</v>
      </c>
      <c r="GE72" s="1372">
        <v>0</v>
      </c>
      <c r="GF72" s="1370">
        <f t="shared" si="8"/>
        <v>48883.824914329627</v>
      </c>
      <c r="GG72" s="1371">
        <f>GF72*(IF(Summary!$O$74=1,VLOOKUP($C72,GasTable,16)+Summary!$O$92+Summary!$O$93,VLOOKUP($C72,GasTable,19)+Summary!$O$92+Summary!$O$93))</f>
        <v>133852.61057337563</v>
      </c>
      <c r="GH72" s="1373">
        <v>18482.2</v>
      </c>
      <c r="GI72" s="1466">
        <v>0</v>
      </c>
      <c r="GJ72" s="1374">
        <f t="shared" si="44"/>
        <v>524334.81057337555</v>
      </c>
      <c r="GK72" s="189">
        <f t="shared" si="9"/>
        <v>26035.973100000007</v>
      </c>
      <c r="GL72" s="266">
        <v>0.75889657612799999</v>
      </c>
      <c r="GM72" s="255">
        <f t="shared" si="10"/>
        <v>15221</v>
      </c>
      <c r="GN72" s="189">
        <f>IF(SUM(GU72:HB72)=0,0,IF(Summary!$O$16="Yes",SUM(GX72:HB72),IF(Summary!$O$17="Yes",SUM(GY72:HB72),SUM(GU72:HB72))))</f>
        <v>9547.0730999999996</v>
      </c>
      <c r="GO72" s="203">
        <v>2.6781769672697084</v>
      </c>
      <c r="GP72" s="258">
        <f t="shared" si="45"/>
        <v>25568.751281260214</v>
      </c>
      <c r="GQ72" s="189"/>
      <c r="GR72" s="189"/>
      <c r="GS72" s="189"/>
      <c r="GT72" s="189"/>
      <c r="GU72" s="268">
        <v>3764.0790000000002</v>
      </c>
      <c r="GV72" s="189">
        <v>684.37800000000027</v>
      </c>
      <c r="GW72" s="189">
        <v>855.47249999999997</v>
      </c>
      <c r="GX72" s="189"/>
      <c r="GY72" s="254">
        <v>3011.2631999999999</v>
      </c>
      <c r="GZ72" s="189">
        <v>547.50239999999997</v>
      </c>
      <c r="HA72" s="189">
        <v>684.37800000000004</v>
      </c>
      <c r="HB72" s="255"/>
      <c r="HC72" s="189">
        <v>9547.0730999999996</v>
      </c>
      <c r="HD72" s="189"/>
      <c r="HE72" s="189">
        <v>22276.5039</v>
      </c>
      <c r="HF72" s="189">
        <v>399282.29258834798</v>
      </c>
      <c r="HG72" s="189"/>
      <c r="HH72" s="203">
        <v>44.035036354870002</v>
      </c>
      <c r="HI72" s="189">
        <v>980946.65909590339</v>
      </c>
      <c r="HJ72" s="268">
        <f t="shared" si="11"/>
        <v>0</v>
      </c>
      <c r="HK72" s="189">
        <f t="shared" si="12"/>
        <v>0</v>
      </c>
      <c r="HL72" s="189">
        <f t="shared" si="13"/>
        <v>0</v>
      </c>
      <c r="HM72" s="255">
        <f t="shared" si="14"/>
        <v>0</v>
      </c>
      <c r="HN72" s="189">
        <f t="shared" si="15"/>
        <v>0</v>
      </c>
      <c r="HO72" s="203">
        <f t="shared" si="46"/>
        <v>0</v>
      </c>
      <c r="HP72" s="258">
        <f t="shared" si="16"/>
        <v>0</v>
      </c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R72" s="223"/>
    </row>
    <row r="73" spans="1:252" ht="13.8" thickBot="1">
      <c r="A73" t="str">
        <f t="shared" si="23"/>
        <v>2004Q3</v>
      </c>
      <c r="B73">
        <f t="shared" si="24"/>
        <v>2004</v>
      </c>
      <c r="C73" s="49">
        <f t="shared" si="25"/>
        <v>38231</v>
      </c>
      <c r="D73" s="115">
        <f t="shared" si="26"/>
        <v>2004</v>
      </c>
      <c r="E73" s="10">
        <f t="shared" si="55"/>
        <v>9</v>
      </c>
      <c r="F73" s="248">
        <f t="shared" si="57"/>
        <v>38236</v>
      </c>
      <c r="G73" s="245">
        <v>38231</v>
      </c>
      <c r="H73" s="251">
        <v>38260</v>
      </c>
      <c r="I73" s="959">
        <f t="shared" si="53"/>
        <v>7.1499999999999994E-2</v>
      </c>
      <c r="J73" s="37">
        <f t="shared" si="27"/>
        <v>0.71132110785316149</v>
      </c>
      <c r="K73" s="1036" t="e">
        <f>IF(Summary!#REF!=1,+Summary!#REF!,I73+Summary!#REF!/10000)</f>
        <v>#REF!</v>
      </c>
      <c r="L73" s="37" t="e">
        <f t="shared" si="28"/>
        <v>#REF!</v>
      </c>
      <c r="M73" s="1004">
        <v>0</v>
      </c>
      <c r="N73" s="38">
        <f t="shared" si="66"/>
        <v>0</v>
      </c>
      <c r="O73" s="40">
        <f t="shared" si="66"/>
        <v>0</v>
      </c>
      <c r="P73" s="159">
        <f t="shared" si="60"/>
        <v>0</v>
      </c>
      <c r="Q73" s="38">
        <f t="shared" si="67"/>
        <v>0</v>
      </c>
      <c r="R73" s="40">
        <f t="shared" si="67"/>
        <v>0</v>
      </c>
      <c r="S73" s="38">
        <f t="shared" si="67"/>
        <v>0</v>
      </c>
      <c r="T73" s="38">
        <f t="shared" si="67"/>
        <v>0</v>
      </c>
      <c r="U73" s="38">
        <f t="shared" si="67"/>
        <v>0</v>
      </c>
      <c r="V73" s="159">
        <f t="shared" si="67"/>
        <v>0</v>
      </c>
      <c r="W73" s="38">
        <f t="shared" si="67"/>
        <v>0</v>
      </c>
      <c r="X73" s="39">
        <f t="shared" si="67"/>
        <v>0</v>
      </c>
      <c r="Y73" s="46">
        <v>0</v>
      </c>
      <c r="Z73" s="46">
        <v>0</v>
      </c>
      <c r="AA73" s="47">
        <v>0</v>
      </c>
      <c r="AB73" s="46">
        <v>0</v>
      </c>
      <c r="AC73" s="46">
        <v>0</v>
      </c>
      <c r="AD73" s="47">
        <v>0</v>
      </c>
      <c r="AE73" s="46">
        <v>0</v>
      </c>
      <c r="AF73" s="46">
        <v>0</v>
      </c>
      <c r="AG73" s="47">
        <v>0</v>
      </c>
      <c r="AH73" s="46">
        <v>0</v>
      </c>
      <c r="AI73" s="46">
        <v>0</v>
      </c>
      <c r="AJ73" s="47">
        <v>0</v>
      </c>
      <c r="AK73" s="46">
        <v>0</v>
      </c>
      <c r="AL73" s="46">
        <v>0</v>
      </c>
      <c r="AM73" s="47">
        <v>0</v>
      </c>
      <c r="AN73" s="46">
        <v>0</v>
      </c>
      <c r="AO73" s="46">
        <v>0</v>
      </c>
      <c r="AP73" s="47">
        <v>0</v>
      </c>
      <c r="AQ73" s="46">
        <v>0</v>
      </c>
      <c r="AR73" s="46">
        <v>0</v>
      </c>
      <c r="AS73" s="47">
        <v>0</v>
      </c>
      <c r="AT73" s="46">
        <v>0</v>
      </c>
      <c r="AU73" s="46">
        <v>0</v>
      </c>
      <c r="AV73" s="46">
        <v>0</v>
      </c>
      <c r="AW73" s="1545">
        <v>0</v>
      </c>
      <c r="AX73" s="10">
        <f t="shared" si="56"/>
        <v>21</v>
      </c>
      <c r="AY73" s="42">
        <f>IF(AND($E73=MONTH(Summary!$E$24),$D73=YEAR(Summary!$E$24)),Summary!$E$25,1)*IF(G73="",0,INT((H73-MOD(H73,7)-G73)/7)+1-IF(BA73,IF(WEEKDAY(F73)=7,1,0),0))</f>
        <v>4</v>
      </c>
      <c r="AZ73" s="42">
        <f>IF(AND($E73=MONTH(Summary!$E$24),$D73=YEAR(Summary!$E$24)),Summary!$E$25,1)*IF(G73="",0,INT((H73-MOD(H73-1,7)-G73)/7)+1-IF(BA73,IF(WEEKDAY(F73)=1,1,0),0))</f>
        <v>4</v>
      </c>
      <c r="BA73" s="42">
        <v>1</v>
      </c>
      <c r="BB73" s="10">
        <f>IF(AND($E73=MONTH(Summary!$E$24),$D73=YEAR(Summary!$E$24)),Summary!$E$25,1)*IF(G73="",0,H73-G73+1)</f>
        <v>30</v>
      </c>
      <c r="BC73" s="914">
        <f>Summary!$E$19</f>
        <v>1.4999999999999999E-2</v>
      </c>
      <c r="BD73" s="113">
        <v>14893.2</v>
      </c>
      <c r="BE73" s="171">
        <v>2836.8</v>
      </c>
      <c r="BF73" s="171">
        <v>3546</v>
      </c>
      <c r="BG73" s="174"/>
      <c r="BH73" s="1198">
        <v>1</v>
      </c>
      <c r="BI73" s="1198">
        <v>1</v>
      </c>
      <c r="BJ73" s="1198">
        <v>1</v>
      </c>
      <c r="BK73" s="1198">
        <v>1</v>
      </c>
      <c r="BL73" s="95">
        <v>2978.64</v>
      </c>
      <c r="BM73" s="171">
        <v>567.36</v>
      </c>
      <c r="BN73" s="171">
        <v>709.2</v>
      </c>
      <c r="BO73" s="174"/>
      <c r="BP73" s="1198">
        <v>1</v>
      </c>
      <c r="BQ73" s="1199">
        <v>1</v>
      </c>
      <c r="BR73" s="1199">
        <v>1</v>
      </c>
      <c r="BS73" s="1200">
        <v>1</v>
      </c>
      <c r="BT73" s="94">
        <f t="shared" si="29"/>
        <v>21276</v>
      </c>
      <c r="BU73" s="233">
        <f t="shared" si="30"/>
        <v>21276</v>
      </c>
      <c r="BV73" s="92">
        <f t="shared" si="31"/>
        <v>4255.2</v>
      </c>
      <c r="BW73" s="233">
        <f t="shared" si="32"/>
        <v>4255.2</v>
      </c>
      <c r="BX73" s="88">
        <v>4.7145790554414786</v>
      </c>
      <c r="BY73" s="90">
        <v>0</v>
      </c>
      <c r="BZ73" s="88">
        <v>0</v>
      </c>
      <c r="CA73" s="88">
        <v>0</v>
      </c>
      <c r="CB73" s="88">
        <v>0</v>
      </c>
      <c r="CC73" s="88">
        <v>0</v>
      </c>
      <c r="CD73" s="88">
        <v>0</v>
      </c>
      <c r="CE73" s="100">
        <v>0</v>
      </c>
      <c r="CF73" s="88">
        <v>0</v>
      </c>
      <c r="CG73" s="88">
        <v>0</v>
      </c>
      <c r="CH73" s="88">
        <v>0</v>
      </c>
      <c r="CI73" s="88">
        <v>0</v>
      </c>
      <c r="CJ73" s="228">
        <v>0</v>
      </c>
      <c r="CK73" s="88">
        <v>0</v>
      </c>
      <c r="CL73" s="88">
        <v>0</v>
      </c>
      <c r="CM73" s="88">
        <v>0</v>
      </c>
      <c r="CN73" s="88">
        <v>0</v>
      </c>
      <c r="CO73" s="88">
        <v>0</v>
      </c>
      <c r="CP73" s="88">
        <v>0</v>
      </c>
      <c r="CQ73" s="229">
        <v>0</v>
      </c>
      <c r="CR73" s="91">
        <v>0</v>
      </c>
      <c r="CS73" s="91">
        <v>0</v>
      </c>
      <c r="CT73" s="91">
        <v>0</v>
      </c>
      <c r="CU73" s="91">
        <v>0</v>
      </c>
      <c r="CV73" s="91">
        <v>0</v>
      </c>
      <c r="CW73" s="91">
        <v>0</v>
      </c>
      <c r="CX73" s="225">
        <v>0</v>
      </c>
      <c r="CY73" s="1265">
        <v>7729.3739199999991</v>
      </c>
      <c r="CZ73" s="90">
        <v>0</v>
      </c>
      <c r="DA73" s="88">
        <v>0</v>
      </c>
      <c r="DB73" s="88">
        <v>0</v>
      </c>
      <c r="DC73" s="88">
        <v>0</v>
      </c>
      <c r="DD73" s="88">
        <v>0</v>
      </c>
      <c r="DE73" s="152">
        <v>0</v>
      </c>
      <c r="DF73" s="230">
        <v>0</v>
      </c>
      <c r="DG73" s="38">
        <v>0</v>
      </c>
      <c r="DH73" s="1237">
        <v>0</v>
      </c>
      <c r="DI73" s="956">
        <v>0</v>
      </c>
      <c r="DJ73" s="956">
        <v>0</v>
      </c>
      <c r="DK73" s="956">
        <v>0</v>
      </c>
      <c r="DL73" s="152">
        <v>0</v>
      </c>
      <c r="DM73" s="160">
        <v>0</v>
      </c>
      <c r="DN73" s="160">
        <v>0</v>
      </c>
      <c r="DO73" s="160">
        <v>0</v>
      </c>
      <c r="DP73" s="160">
        <v>0</v>
      </c>
      <c r="DQ73" s="160">
        <v>0</v>
      </c>
      <c r="DR73" s="230">
        <v>0</v>
      </c>
      <c r="DS73" s="88">
        <v>0</v>
      </c>
      <c r="DT73" s="88">
        <v>0</v>
      </c>
      <c r="DU73" s="88">
        <v>0</v>
      </c>
      <c r="DV73" s="88">
        <v>0</v>
      </c>
      <c r="DW73" s="88">
        <v>0</v>
      </c>
      <c r="DX73" s="88">
        <v>0</v>
      </c>
      <c r="DY73" s="88">
        <v>0</v>
      </c>
      <c r="DZ73" s="88">
        <v>0</v>
      </c>
      <c r="EA73" s="88">
        <v>0</v>
      </c>
      <c r="EB73" s="152">
        <v>0</v>
      </c>
      <c r="EC73" s="52">
        <f t="shared" si="33"/>
        <v>0</v>
      </c>
      <c r="ED73" s="52">
        <f t="shared" si="33"/>
        <v>0</v>
      </c>
      <c r="EE73" s="52">
        <f t="shared" si="33"/>
        <v>0</v>
      </c>
      <c r="EF73" s="52">
        <f t="shared" si="33"/>
        <v>0</v>
      </c>
      <c r="EG73" s="52">
        <f t="shared" si="34"/>
        <v>0</v>
      </c>
      <c r="EH73" s="238">
        <v>0</v>
      </c>
      <c r="EI73" s="211">
        <v>0</v>
      </c>
      <c r="EJ73" s="211">
        <v>0</v>
      </c>
      <c r="EK73" s="211">
        <v>0</v>
      </c>
      <c r="EL73" s="217">
        <f>IF(C73&gt;=Summary!$E$26,MAX(0,SUM(EH73:EK73)),0)</f>
        <v>0</v>
      </c>
      <c r="EM73" s="52">
        <f>IF(C73&gt;=Summary!$E$26,DX73*BL73,0)</f>
        <v>0</v>
      </c>
      <c r="EN73" s="52">
        <f>IF(C73&gt;=Summary!$E$26,DY73*BM73,0)</f>
        <v>0</v>
      </c>
      <c r="EO73" s="52">
        <f>IF(C73&gt;=Summary!$E$26,DZ73*BN73,0)</f>
        <v>0</v>
      </c>
      <c r="EP73" s="52">
        <f>IF(C73&gt;=Summary!$E$26,EA73*BO73,0)</f>
        <v>0</v>
      </c>
      <c r="EQ73" s="52">
        <f>IF(C73&gt;=Summary!$E$26,DX73*BL73+DY73*BM73+DZ73*BN73+EA73*BO73,0)</f>
        <v>0</v>
      </c>
      <c r="ER73" s="826">
        <v>0</v>
      </c>
      <c r="ES73" s="278">
        <v>0</v>
      </c>
      <c r="ET73" s="278">
        <v>0</v>
      </c>
      <c r="EU73" s="278">
        <v>0</v>
      </c>
      <c r="EV73" s="212">
        <f>IF(C73&gt;=Summary!$E$26,MAX(0,SUM(ER73:EU73)),0)</f>
        <v>0</v>
      </c>
      <c r="EW73" s="52"/>
      <c r="EX73" s="1049">
        <f t="shared" si="35"/>
        <v>0</v>
      </c>
      <c r="EY73" s="1045" t="str">
        <f t="shared" si="36"/>
        <v/>
      </c>
      <c r="EZ73" s="1684" t="s">
        <v>525</v>
      </c>
      <c r="FA73" s="1046">
        <f t="shared" si="54"/>
        <v>45</v>
      </c>
      <c r="FB73" s="256">
        <f t="shared" si="37"/>
        <v>11169.9</v>
      </c>
      <c r="FC73" s="194">
        <f t="shared" si="38"/>
        <v>0</v>
      </c>
      <c r="FD73" s="194">
        <f t="shared" si="39"/>
        <v>2127.6</v>
      </c>
      <c r="FE73" s="194">
        <f t="shared" si="40"/>
        <v>0</v>
      </c>
      <c r="FF73" s="194">
        <f t="shared" si="41"/>
        <v>2659.5</v>
      </c>
      <c r="FG73" s="194">
        <f t="shared" si="42"/>
        <v>0</v>
      </c>
      <c r="FH73" s="257">
        <f>IF(EZ73="No",IF((OR(MONTH(C73)=5,MONTH(C73)=6,MONTH(C73)=7,MONTH(C73)=8,MONTH(C73)=9)),Summary!$O$15*12*(AX73+AY73+AZ73+BA73)*(1-$BC73),Summary!$O$15*13*(AX73+AY73+AZ73+BA73)*(1-$BC73)+IF(Summary!$O$16="Yes",(CALC!FA73+Summary!$O$15)*6*(AX73+AY73+AZ73+BA73)*(1-$BC73),0)),0)</f>
        <v>0</v>
      </c>
      <c r="FI73" s="1412">
        <f>IF(MONTH(C73)=5,FI72*(IF(Summary!$E$70="no",(1+(Summary!$E$71*0.8)),1+HLOOKUP(YEAR(C73)-1,CCFMODEL!$I$127:$AF$128,2)*0.8)),+FI72)</f>
        <v>29.95183638040762</v>
      </c>
      <c r="FJ73" s="1411">
        <f>IF(MONTH(C73)=5,FJ72*(IF(Summary!$E$70="no",(1+(Summary!$E$71*0.8)),1+HLOOKUP(YEAR(CALC!C73)-1,CCFMODEL!$I$127:$AF$128,2)*0.8)),FJ72)</f>
        <v>26.178376678938939</v>
      </c>
      <c r="FK73" s="832">
        <f t="shared" si="1"/>
        <v>477941.45312216441</v>
      </c>
      <c r="FL73" s="1412">
        <f>IF(MONTH(C73)=5,FL72*(IF(Summary!$E$70="no",(1+(Summary!$E$71*0.8)),1+HLOOKUP(YEAR(CALC!C73)-1,CCFMODEL!$I$127:$AF$128,2)*0.8)),+FL72)</f>
        <v>62.99206983791013</v>
      </c>
      <c r="FM73" s="1411">
        <f>IF(MONTH(C73)=5,FM72*(IF(Summary!$E$70="no",(1+(Summary!$E$71*0.8)),1+HLOOKUP(YEAR(CALC!C73)-1,CCFMODEL!$I$127:$AF$128,2)*0.8)),+FM72)</f>
        <v>30.064141728665611</v>
      </c>
      <c r="FN73" s="832">
        <f t="shared" si="2"/>
        <v>1020471.5313741441</v>
      </c>
      <c r="FO73" s="194">
        <f t="shared" si="43"/>
        <v>1498412.9844963085</v>
      </c>
      <c r="FP73" s="263">
        <f t="shared" si="69"/>
        <v>11169.9</v>
      </c>
      <c r="FQ73" s="194">
        <f t="shared" si="69"/>
        <v>0</v>
      </c>
      <c r="FR73" s="194">
        <f t="shared" si="69"/>
        <v>2127.6</v>
      </c>
      <c r="FS73" s="194">
        <f t="shared" si="68"/>
        <v>0</v>
      </c>
      <c r="FT73" s="194">
        <f t="shared" si="68"/>
        <v>2659.5</v>
      </c>
      <c r="FU73" s="194">
        <f t="shared" si="68"/>
        <v>0</v>
      </c>
      <c r="FV73" s="257">
        <f t="shared" si="68"/>
        <v>0</v>
      </c>
      <c r="FW73" s="189">
        <f t="shared" si="4"/>
        <v>0</v>
      </c>
      <c r="FX73" s="189">
        <f t="shared" si="5"/>
        <v>0</v>
      </c>
      <c r="FY73" s="189">
        <f t="shared" si="6"/>
        <v>0</v>
      </c>
      <c r="FZ73" s="258">
        <f t="shared" si="7"/>
        <v>0</v>
      </c>
      <c r="GA73" s="1293">
        <f>(SUM(FP73:FV73)+SUM(GU73:HB73)/(1-Summary!$O$25))*CY73/1000</f>
        <v>197340.19142630399</v>
      </c>
      <c r="GB73" s="1369">
        <f>IF($C73&lt;Summary!$M$81,+Summary!$O$81,VLOOKUP(C73,GasTable,19))</f>
        <v>2.4</v>
      </c>
      <c r="GC73" s="1370">
        <f>IF(H73&lt;=Summary!$N$84,MIN(GA73,Summary!$O$75*(H73-G73+1)),0)</f>
        <v>150000</v>
      </c>
      <c r="GD73" s="1371">
        <f>IF(Summary!$O$75*(H73-G73+1)*0.8&gt;GC73,1,0)</f>
        <v>0</v>
      </c>
      <c r="GE73" s="1372">
        <v>0</v>
      </c>
      <c r="GF73" s="1370">
        <f t="shared" si="8"/>
        <v>47340.191426303994</v>
      </c>
      <c r="GG73" s="1371">
        <f>GF73*(IF(Summary!$O$74=1,VLOOKUP($C73,GasTable,16)+Summary!$O$92+Summary!$O$93,VLOOKUP($C73,GasTable,19)+Summary!$O$92+Summary!$O$93))</f>
        <v>135131.20000177569</v>
      </c>
      <c r="GH73" s="1373">
        <v>18060</v>
      </c>
      <c r="GI73" s="1466">
        <v>0</v>
      </c>
      <c r="GJ73" s="1374">
        <f t="shared" si="44"/>
        <v>513191.20000177569</v>
      </c>
      <c r="GK73" s="189">
        <f t="shared" si="9"/>
        <v>25196.103000000003</v>
      </c>
      <c r="GL73" s="266">
        <v>0.75902451894400003</v>
      </c>
      <c r="GM73" s="255">
        <f t="shared" si="10"/>
        <v>14730.000000000002</v>
      </c>
      <c r="GN73" s="189">
        <f>IF(SUM(GU73:HB73)=0,0,IF(Summary!$O$16="Yes",SUM(GX73:HB73),IF(Summary!$O$17="Yes",SUM(GY73:HB73),SUM(GU73:HB73))))</f>
        <v>9239.103000000001</v>
      </c>
      <c r="GO73" s="203">
        <v>2.6781769672697084</v>
      </c>
      <c r="GP73" s="258">
        <f t="shared" si="45"/>
        <v>24743.952852832466</v>
      </c>
      <c r="GQ73" s="189"/>
      <c r="GR73" s="189"/>
      <c r="GS73" s="189"/>
      <c r="GT73" s="189"/>
      <c r="GU73" s="268">
        <v>3592.9845000000009</v>
      </c>
      <c r="GV73" s="189">
        <v>684.37800000000027</v>
      </c>
      <c r="GW73" s="189">
        <v>855.47249999999997</v>
      </c>
      <c r="GX73" s="189"/>
      <c r="GY73" s="254">
        <v>2874.3875999999996</v>
      </c>
      <c r="GZ73" s="189">
        <v>547.50239999999997</v>
      </c>
      <c r="HA73" s="189">
        <v>684.37800000000004</v>
      </c>
      <c r="HB73" s="255"/>
      <c r="HC73" s="189">
        <v>9239.103000000001</v>
      </c>
      <c r="HD73" s="189"/>
      <c r="HE73" s="189">
        <v>21557.906999999999</v>
      </c>
      <c r="HF73" s="189">
        <v>351111.03421783296</v>
      </c>
      <c r="HG73" s="189"/>
      <c r="HH73" s="203">
        <v>39.444609209981486</v>
      </c>
      <c r="HI73" s="189">
        <v>850343.21700012428</v>
      </c>
      <c r="HJ73" s="268">
        <f t="shared" si="11"/>
        <v>0</v>
      </c>
      <c r="HK73" s="189">
        <f t="shared" si="12"/>
        <v>0</v>
      </c>
      <c r="HL73" s="189">
        <f t="shared" si="13"/>
        <v>0</v>
      </c>
      <c r="HM73" s="255">
        <f t="shared" si="14"/>
        <v>0</v>
      </c>
      <c r="HN73" s="189">
        <f t="shared" si="15"/>
        <v>0</v>
      </c>
      <c r="HO73" s="203">
        <f t="shared" si="46"/>
        <v>0</v>
      </c>
      <c r="HP73" s="258">
        <f t="shared" si="16"/>
        <v>0</v>
      </c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O73" s="820">
        <f>+IO45-IO44</f>
        <v>0</v>
      </c>
      <c r="IR73" s="223"/>
    </row>
    <row r="74" spans="1:252" ht="13.8" thickBot="1">
      <c r="A74" t="str">
        <f t="shared" si="23"/>
        <v>2004Q4</v>
      </c>
      <c r="B74">
        <f t="shared" si="24"/>
        <v>2004</v>
      </c>
      <c r="C74" s="49">
        <f t="shared" si="25"/>
        <v>38261</v>
      </c>
      <c r="D74" s="115">
        <f t="shared" si="26"/>
        <v>2004</v>
      </c>
      <c r="E74" s="10">
        <f t="shared" si="55"/>
        <v>10</v>
      </c>
      <c r="F74" s="248" t="str">
        <f t="shared" si="57"/>
        <v/>
      </c>
      <c r="G74" s="245">
        <v>38261</v>
      </c>
      <c r="H74" s="251">
        <v>38291</v>
      </c>
      <c r="I74" s="959">
        <f t="shared" si="53"/>
        <v>7.1499999999999994E-2</v>
      </c>
      <c r="J74" s="37">
        <f t="shared" si="27"/>
        <v>0.70709248147442771</v>
      </c>
      <c r="K74" s="1036" t="e">
        <f>IF(Summary!#REF!=1,+Summary!#REF!,I74+Summary!#REF!/10000)</f>
        <v>#REF!</v>
      </c>
      <c r="L74" s="37" t="e">
        <f t="shared" si="28"/>
        <v>#REF!</v>
      </c>
      <c r="M74" s="1004">
        <v>0</v>
      </c>
      <c r="N74" s="38">
        <f t="shared" si="66"/>
        <v>0</v>
      </c>
      <c r="O74" s="40">
        <f t="shared" si="66"/>
        <v>0</v>
      </c>
      <c r="P74" s="159">
        <f t="shared" si="60"/>
        <v>0</v>
      </c>
      <c r="Q74" s="38">
        <f t="shared" si="67"/>
        <v>0</v>
      </c>
      <c r="R74" s="40">
        <f t="shared" si="67"/>
        <v>0</v>
      </c>
      <c r="S74" s="38">
        <f t="shared" si="67"/>
        <v>0</v>
      </c>
      <c r="T74" s="38">
        <f t="shared" si="67"/>
        <v>0</v>
      </c>
      <c r="U74" s="38">
        <f t="shared" si="67"/>
        <v>0</v>
      </c>
      <c r="V74" s="159">
        <f t="shared" si="67"/>
        <v>0</v>
      </c>
      <c r="W74" s="38">
        <f t="shared" si="67"/>
        <v>0</v>
      </c>
      <c r="X74" s="39">
        <f t="shared" si="67"/>
        <v>0</v>
      </c>
      <c r="Y74" s="46">
        <v>0</v>
      </c>
      <c r="Z74" s="46">
        <v>0</v>
      </c>
      <c r="AA74" s="47">
        <v>0</v>
      </c>
      <c r="AB74" s="46">
        <v>0</v>
      </c>
      <c r="AC74" s="46">
        <v>0</v>
      </c>
      <c r="AD74" s="47">
        <v>0</v>
      </c>
      <c r="AE74" s="46">
        <v>0</v>
      </c>
      <c r="AF74" s="46">
        <v>0</v>
      </c>
      <c r="AG74" s="47">
        <v>0</v>
      </c>
      <c r="AH74" s="46">
        <v>0</v>
      </c>
      <c r="AI74" s="46">
        <v>0</v>
      </c>
      <c r="AJ74" s="47">
        <v>0</v>
      </c>
      <c r="AK74" s="46">
        <v>0</v>
      </c>
      <c r="AL74" s="46">
        <v>0</v>
      </c>
      <c r="AM74" s="47">
        <v>0</v>
      </c>
      <c r="AN74" s="46">
        <v>0</v>
      </c>
      <c r="AO74" s="46">
        <v>0</v>
      </c>
      <c r="AP74" s="47">
        <v>0</v>
      </c>
      <c r="AQ74" s="46">
        <v>0</v>
      </c>
      <c r="AR74" s="46">
        <v>0</v>
      </c>
      <c r="AS74" s="47">
        <v>0</v>
      </c>
      <c r="AT74" s="46">
        <v>0</v>
      </c>
      <c r="AU74" s="46">
        <v>0</v>
      </c>
      <c r="AV74" s="46">
        <v>0</v>
      </c>
      <c r="AW74" s="1545">
        <v>0</v>
      </c>
      <c r="AX74" s="10">
        <f t="shared" si="56"/>
        <v>21</v>
      </c>
      <c r="AY74" s="42">
        <f>IF(AND($E74=MONTH(Summary!$E$24),$D74=YEAR(Summary!$E$24)),Summary!$E$25,1)*IF(G74="",0,INT((H74-MOD(H74,7)-G74)/7)+1-IF(BA74,IF(WEEKDAY(F74)=7,1,0),0))</f>
        <v>5</v>
      </c>
      <c r="AZ74" s="42">
        <f>IF(AND($E74=MONTH(Summary!$E$24),$D74=YEAR(Summary!$E$24)),Summary!$E$25,1)*IF(G74="",0,INT((H74-MOD(H74-1,7)-G74)/7)+1-IF(BA74,IF(WEEKDAY(F74)=1,1,0),0))</f>
        <v>5</v>
      </c>
      <c r="BA74" s="42">
        <v>0</v>
      </c>
      <c r="BB74" s="10">
        <f>IF(AND($E74=MONTH(Summary!$E$24),$D74=YEAR(Summary!$E$24)),Summary!$E$25,1)*IF(G74="",0,H74-G74+1)</f>
        <v>31</v>
      </c>
      <c r="BC74" s="914">
        <f>Summary!$E$19</f>
        <v>1.4999999999999999E-2</v>
      </c>
      <c r="BD74" s="113">
        <v>14893.2</v>
      </c>
      <c r="BE74" s="171">
        <v>3546</v>
      </c>
      <c r="BF74" s="171">
        <v>3546</v>
      </c>
      <c r="BG74" s="174"/>
      <c r="BH74" s="1198">
        <v>1</v>
      </c>
      <c r="BI74" s="1198">
        <v>1</v>
      </c>
      <c r="BJ74" s="1198">
        <v>1</v>
      </c>
      <c r="BK74" s="1198">
        <v>1</v>
      </c>
      <c r="BL74" s="95">
        <v>2978.64</v>
      </c>
      <c r="BM74" s="171">
        <v>709.2</v>
      </c>
      <c r="BN74" s="171">
        <v>709.2</v>
      </c>
      <c r="BO74" s="174"/>
      <c r="BP74" s="1198">
        <v>1</v>
      </c>
      <c r="BQ74" s="1199">
        <v>1</v>
      </c>
      <c r="BR74" s="1199">
        <v>1</v>
      </c>
      <c r="BS74" s="1200">
        <v>1</v>
      </c>
      <c r="BT74" s="94">
        <f t="shared" si="29"/>
        <v>21985.200000000001</v>
      </c>
      <c r="BU74" s="233">
        <f t="shared" si="30"/>
        <v>21985.200000000001</v>
      </c>
      <c r="BV74" s="92">
        <f t="shared" si="31"/>
        <v>4397.04</v>
      </c>
      <c r="BW74" s="233">
        <f t="shared" si="32"/>
        <v>4397.04</v>
      </c>
      <c r="BX74" s="88">
        <v>4.7967145790554415</v>
      </c>
      <c r="BY74" s="90">
        <v>0</v>
      </c>
      <c r="BZ74" s="88">
        <v>0</v>
      </c>
      <c r="CA74" s="88">
        <v>0</v>
      </c>
      <c r="CB74" s="88">
        <v>0</v>
      </c>
      <c r="CC74" s="88">
        <v>0</v>
      </c>
      <c r="CD74" s="88">
        <v>0</v>
      </c>
      <c r="CE74" s="100">
        <v>0</v>
      </c>
      <c r="CF74" s="88">
        <v>0</v>
      </c>
      <c r="CG74" s="88">
        <v>0</v>
      </c>
      <c r="CH74" s="88">
        <v>0</v>
      </c>
      <c r="CI74" s="88">
        <v>0</v>
      </c>
      <c r="CJ74" s="228">
        <v>0</v>
      </c>
      <c r="CK74" s="88">
        <v>0</v>
      </c>
      <c r="CL74" s="88">
        <v>0</v>
      </c>
      <c r="CM74" s="88">
        <v>0</v>
      </c>
      <c r="CN74" s="88">
        <v>0</v>
      </c>
      <c r="CO74" s="88">
        <v>0</v>
      </c>
      <c r="CP74" s="88">
        <v>0</v>
      </c>
      <c r="CQ74" s="229">
        <v>0</v>
      </c>
      <c r="CR74" s="91">
        <v>0</v>
      </c>
      <c r="CS74" s="91">
        <v>0</v>
      </c>
      <c r="CT74" s="91">
        <v>0</v>
      </c>
      <c r="CU74" s="91">
        <v>0</v>
      </c>
      <c r="CV74" s="91">
        <v>0</v>
      </c>
      <c r="CW74" s="91">
        <v>0</v>
      </c>
      <c r="CX74" s="225">
        <v>0</v>
      </c>
      <c r="CY74" s="1265">
        <v>7730.6767999999993</v>
      </c>
      <c r="CZ74" s="90">
        <v>0</v>
      </c>
      <c r="DA74" s="88">
        <v>0</v>
      </c>
      <c r="DB74" s="88">
        <v>0</v>
      </c>
      <c r="DC74" s="88">
        <v>0</v>
      </c>
      <c r="DD74" s="88">
        <v>0</v>
      </c>
      <c r="DE74" s="152">
        <v>0</v>
      </c>
      <c r="DF74" s="230">
        <v>0</v>
      </c>
      <c r="DG74" s="38">
        <v>0</v>
      </c>
      <c r="DH74" s="1237">
        <v>0</v>
      </c>
      <c r="DI74" s="956">
        <v>0</v>
      </c>
      <c r="DJ74" s="956">
        <v>0</v>
      </c>
      <c r="DK74" s="956">
        <v>0</v>
      </c>
      <c r="DL74" s="152">
        <v>0</v>
      </c>
      <c r="DM74" s="160">
        <v>0</v>
      </c>
      <c r="DN74" s="160">
        <v>0</v>
      </c>
      <c r="DO74" s="160">
        <v>0</v>
      </c>
      <c r="DP74" s="160">
        <v>0</v>
      </c>
      <c r="DQ74" s="160">
        <v>0</v>
      </c>
      <c r="DR74" s="230">
        <v>0</v>
      </c>
      <c r="DS74" s="88">
        <v>0</v>
      </c>
      <c r="DT74" s="88">
        <v>0</v>
      </c>
      <c r="DU74" s="88">
        <v>0</v>
      </c>
      <c r="DV74" s="88">
        <v>0</v>
      </c>
      <c r="DW74" s="88">
        <v>0</v>
      </c>
      <c r="DX74" s="88">
        <v>0</v>
      </c>
      <c r="DY74" s="88">
        <v>0</v>
      </c>
      <c r="DZ74" s="88">
        <v>0</v>
      </c>
      <c r="EA74" s="88">
        <v>0</v>
      </c>
      <c r="EB74" s="152">
        <v>0</v>
      </c>
      <c r="EC74" s="52">
        <f t="shared" si="33"/>
        <v>0</v>
      </c>
      <c r="ED74" s="52">
        <f t="shared" si="33"/>
        <v>0</v>
      </c>
      <c r="EE74" s="52">
        <f t="shared" si="33"/>
        <v>0</v>
      </c>
      <c r="EF74" s="52">
        <f t="shared" si="33"/>
        <v>0</v>
      </c>
      <c r="EG74" s="52">
        <f t="shared" si="34"/>
        <v>0</v>
      </c>
      <c r="EH74" s="238">
        <v>0</v>
      </c>
      <c r="EI74" s="211">
        <v>0</v>
      </c>
      <c r="EJ74" s="211">
        <v>0</v>
      </c>
      <c r="EK74" s="211">
        <v>0</v>
      </c>
      <c r="EL74" s="217">
        <f>IF(C74&gt;=Summary!$E$26,MAX(0,SUM(EH74:EK74)),0)</f>
        <v>0</v>
      </c>
      <c r="EM74" s="52">
        <f>IF(C74&gt;=Summary!$E$26,DX74*BL74,0)</f>
        <v>0</v>
      </c>
      <c r="EN74" s="52">
        <f>IF(C74&gt;=Summary!$E$26,DY74*BM74,0)</f>
        <v>0</v>
      </c>
      <c r="EO74" s="52">
        <f>IF(C74&gt;=Summary!$E$26,DZ74*BN74,0)</f>
        <v>0</v>
      </c>
      <c r="EP74" s="52">
        <f>IF(C74&gt;=Summary!$E$26,EA74*BO74,0)</f>
        <v>0</v>
      </c>
      <c r="EQ74" s="52">
        <f>IF(C74&gt;=Summary!$E$26,DX74*BL74+DY74*BM74+DZ74*BN74+EA74*BO74,0)</f>
        <v>0</v>
      </c>
      <c r="ER74" s="826">
        <v>0</v>
      </c>
      <c r="ES74" s="278">
        <v>0</v>
      </c>
      <c r="ET74" s="278">
        <v>0</v>
      </c>
      <c r="EU74" s="278">
        <v>0</v>
      </c>
      <c r="EV74" s="212">
        <f>IF(C74&gt;=Summary!$E$26,MAX(0,SUM(ER74:EU74)),0)</f>
        <v>0</v>
      </c>
      <c r="EW74" s="52"/>
      <c r="EX74" s="1049">
        <f t="shared" si="35"/>
        <v>0</v>
      </c>
      <c r="EY74" s="1045" t="str">
        <f t="shared" si="36"/>
        <v/>
      </c>
      <c r="EZ74" s="1684" t="s">
        <v>525</v>
      </c>
      <c r="FA74" s="1046">
        <f t="shared" si="54"/>
        <v>45</v>
      </c>
      <c r="FB74" s="256">
        <f t="shared" si="37"/>
        <v>9308.25</v>
      </c>
      <c r="FC74" s="194">
        <f t="shared" si="38"/>
        <v>2792.4749999999999</v>
      </c>
      <c r="FD74" s="194">
        <f t="shared" si="39"/>
        <v>2216.25</v>
      </c>
      <c r="FE74" s="194">
        <f t="shared" si="40"/>
        <v>664.875</v>
      </c>
      <c r="FF74" s="194">
        <f t="shared" si="41"/>
        <v>2216.25</v>
      </c>
      <c r="FG74" s="194">
        <f t="shared" si="42"/>
        <v>664.875</v>
      </c>
      <c r="FH74" s="257">
        <f>IF(EZ74="No",IF((OR(MONTH(C74)=5,MONTH(C74)=6,MONTH(C74)=7,MONTH(C74)=8,MONTH(C74)=9)),Summary!$O$15*12*(AX74+AY74+AZ74+BA74)*(1-$BC74),Summary!$O$15*13*(AX74+AY74+AZ74+BA74)*(1-$BC74)+IF(Summary!$O$16="Yes",(CALC!FA74+Summary!$O$15)*6*(AX74+AY74+AZ74+BA74)*(1-$BC74),0)),0)</f>
        <v>0</v>
      </c>
      <c r="FI74" s="1412">
        <f>IF(MONTH(C74)=5,FI73*(IF(Summary!$E$70="no",(1+(Summary!$E$71*0.8)),1+HLOOKUP(YEAR(C74)-1,CCFMODEL!$I$127:$AF$128,2)*0.8)),+FI73)</f>
        <v>29.95183638040762</v>
      </c>
      <c r="FJ74" s="1411">
        <f>IF(MONTH(C74)=5,FJ73*(IF(Summary!$E$70="no",(1+(Summary!$E$71*0.8)),1+HLOOKUP(YEAR(CALC!C74)-1,CCFMODEL!$I$127:$AF$128,2)*0.8)),FJ73)</f>
        <v>26.178376678938939</v>
      </c>
      <c r="FK74" s="832">
        <f t="shared" si="1"/>
        <v>535028.9044673118</v>
      </c>
      <c r="FL74" s="1412">
        <f>IF(MONTH(C74)=5,FL73*(IF(Summary!$E$70="no",(1+(Summary!$E$71*0.8)),1+HLOOKUP(YEAR(CALC!C74)-1,CCFMODEL!$I$127:$AF$128,2)*0.8)),+FL73)</f>
        <v>62.99206983791013</v>
      </c>
      <c r="FM74" s="1411">
        <f>IF(MONTH(C74)=5,FM73*(IF(Summary!$E$70="no",(1+(Summary!$E$71*0.8)),1+HLOOKUP(YEAR(CALC!C74)-1,CCFMODEL!$I$127:$AF$128,2)*0.8)),+FM73)</f>
        <v>30.064141728665611</v>
      </c>
      <c r="FN74" s="832">
        <f t="shared" si="2"/>
        <v>545213.21024935087</v>
      </c>
      <c r="FO74" s="194">
        <f t="shared" si="43"/>
        <v>1080242.1147166626</v>
      </c>
      <c r="FP74" s="263">
        <f t="shared" si="69"/>
        <v>9308.25</v>
      </c>
      <c r="FQ74" s="194">
        <f t="shared" si="69"/>
        <v>2792.4749999999999</v>
      </c>
      <c r="FR74" s="194">
        <f t="shared" si="69"/>
        <v>2216.25</v>
      </c>
      <c r="FS74" s="194">
        <f t="shared" si="68"/>
        <v>664.875</v>
      </c>
      <c r="FT74" s="194">
        <f t="shared" si="68"/>
        <v>2216.25</v>
      </c>
      <c r="FU74" s="194">
        <f t="shared" si="68"/>
        <v>664.875</v>
      </c>
      <c r="FV74" s="257">
        <f t="shared" si="68"/>
        <v>0</v>
      </c>
      <c r="FW74" s="189">
        <f t="shared" si="4"/>
        <v>0</v>
      </c>
      <c r="FX74" s="189">
        <f t="shared" si="5"/>
        <v>0</v>
      </c>
      <c r="FY74" s="189">
        <f t="shared" si="6"/>
        <v>0</v>
      </c>
      <c r="FZ74" s="258">
        <f t="shared" si="7"/>
        <v>0</v>
      </c>
      <c r="GA74" s="1293">
        <f>(SUM(FP74:FV74)+SUM(GU74:HB74)/(1-Summary!$O$25))*CY74/1000</f>
        <v>235820.15987191198</v>
      </c>
      <c r="GB74" s="1369">
        <f>IF($C74&lt;Summary!$M$81,+Summary!$O$81,VLOOKUP(C74,GasTable,19))</f>
        <v>2.4</v>
      </c>
      <c r="GC74" s="1370">
        <f>IF(H74&lt;=Summary!$N$84,MIN(GA74,Summary!$O$75*(H74-G74+1)),0)</f>
        <v>155000</v>
      </c>
      <c r="GD74" s="1371">
        <f>IF(Summary!$O$75*(H74-G74+1)*0.8&gt;GC74,1,0)</f>
        <v>0</v>
      </c>
      <c r="GE74" s="1372">
        <v>0</v>
      </c>
      <c r="GF74" s="1370">
        <f t="shared" si="8"/>
        <v>80820.159871911979</v>
      </c>
      <c r="GG74" s="1371">
        <f>GF74*(IF(Summary!$O$74=1,VLOOKUP($C74,GasTable,16)+Summary!$O$92+Summary!$O$93,VLOOKUP($C74,GasTable,19)+Summary!$O$92+Summary!$O$93))</f>
        <v>240763.79406670341</v>
      </c>
      <c r="GH74" s="1373">
        <v>18748.8</v>
      </c>
      <c r="GI74" s="1466">
        <v>0</v>
      </c>
      <c r="GJ74" s="1374">
        <f t="shared" si="44"/>
        <v>631512.59406670346</v>
      </c>
      <c r="GK74" s="189">
        <f t="shared" si="9"/>
        <v>30062.012850000003</v>
      </c>
      <c r="GL74" s="266">
        <v>0.75915246176000006</v>
      </c>
      <c r="GM74" s="255">
        <f t="shared" si="10"/>
        <v>15221.000000000002</v>
      </c>
      <c r="GN74" s="189">
        <f>IF(SUM(GU74:HB74)=0,0,IF(Summary!$O$16="Yes",SUM(GX74:HB74),IF(Summary!$O$17="Yes",SUM(GY74:HB74),SUM(GU74:HB74))))</f>
        <v>12199.037850000001</v>
      </c>
      <c r="GO74" s="203">
        <v>2.6781769672697084</v>
      </c>
      <c r="GP74" s="258">
        <f t="shared" si="45"/>
        <v>32671.182192721386</v>
      </c>
      <c r="GQ74" s="189"/>
      <c r="GR74" s="189"/>
      <c r="GS74" s="189"/>
      <c r="GT74" s="189"/>
      <c r="GU74" s="268">
        <v>5389.4767500000007</v>
      </c>
      <c r="GV74" s="189">
        <v>1283.20875</v>
      </c>
      <c r="GW74" s="189">
        <v>1283.20875</v>
      </c>
      <c r="GX74" s="189"/>
      <c r="GY74" s="254">
        <v>2874.3875999999996</v>
      </c>
      <c r="GZ74" s="189">
        <v>684.37800000000004</v>
      </c>
      <c r="HA74" s="189">
        <v>684.37800000000004</v>
      </c>
      <c r="HB74" s="255"/>
      <c r="HC74" s="189">
        <v>12199.037850000001</v>
      </c>
      <c r="HD74" s="189"/>
      <c r="HE74" s="189">
        <v>20950.521525</v>
      </c>
      <c r="HF74" s="189">
        <v>440780.83726382506</v>
      </c>
      <c r="HG74" s="189"/>
      <c r="HH74" s="203">
        <v>35.560939478477536</v>
      </c>
      <c r="HI74" s="189">
        <v>745020.22799306584</v>
      </c>
      <c r="HJ74" s="268">
        <f t="shared" si="11"/>
        <v>0</v>
      </c>
      <c r="HK74" s="189">
        <f t="shared" si="12"/>
        <v>0</v>
      </c>
      <c r="HL74" s="189">
        <f t="shared" si="13"/>
        <v>0</v>
      </c>
      <c r="HM74" s="255">
        <f t="shared" si="14"/>
        <v>0</v>
      </c>
      <c r="HN74" s="189">
        <f t="shared" si="15"/>
        <v>0</v>
      </c>
      <c r="HO74" s="203">
        <f t="shared" si="46"/>
        <v>0</v>
      </c>
      <c r="HP74" s="258">
        <f t="shared" si="16"/>
        <v>0</v>
      </c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R74" s="223"/>
    </row>
    <row r="75" spans="1:252" ht="13.8" thickBot="1">
      <c r="A75" t="str">
        <f t="shared" si="23"/>
        <v>2004Q4</v>
      </c>
      <c r="B75">
        <f t="shared" si="24"/>
        <v>2004</v>
      </c>
      <c r="C75" s="49">
        <f t="shared" si="25"/>
        <v>38292</v>
      </c>
      <c r="D75" s="115">
        <f t="shared" si="26"/>
        <v>2004</v>
      </c>
      <c r="E75" s="10">
        <f t="shared" si="55"/>
        <v>11</v>
      </c>
      <c r="F75" s="248">
        <f t="shared" si="57"/>
        <v>38316</v>
      </c>
      <c r="G75" s="245">
        <v>38292</v>
      </c>
      <c r="H75" s="251">
        <v>38321</v>
      </c>
      <c r="I75" s="959">
        <f t="shared" si="53"/>
        <v>7.1499999999999994E-2</v>
      </c>
      <c r="J75" s="37">
        <f t="shared" si="27"/>
        <v>0.70302419877665956</v>
      </c>
      <c r="K75" s="1036" t="e">
        <f>IF(Summary!#REF!=1,+Summary!#REF!,I75+Summary!#REF!/10000)</f>
        <v>#REF!</v>
      </c>
      <c r="L75" s="37" t="e">
        <f t="shared" si="28"/>
        <v>#REF!</v>
      </c>
      <c r="M75" s="1004">
        <v>0</v>
      </c>
      <c r="N75" s="38">
        <f t="shared" si="66"/>
        <v>0</v>
      </c>
      <c r="O75" s="40">
        <f t="shared" si="66"/>
        <v>0</v>
      </c>
      <c r="P75" s="159">
        <f t="shared" si="60"/>
        <v>0</v>
      </c>
      <c r="Q75" s="38">
        <f t="shared" si="67"/>
        <v>0</v>
      </c>
      <c r="R75" s="40">
        <f t="shared" si="67"/>
        <v>0</v>
      </c>
      <c r="S75" s="38">
        <f t="shared" si="67"/>
        <v>0</v>
      </c>
      <c r="T75" s="38">
        <f t="shared" si="67"/>
        <v>0</v>
      </c>
      <c r="U75" s="38">
        <f t="shared" si="67"/>
        <v>0</v>
      </c>
      <c r="V75" s="159">
        <f t="shared" si="67"/>
        <v>0</v>
      </c>
      <c r="W75" s="38">
        <f t="shared" si="67"/>
        <v>0</v>
      </c>
      <c r="X75" s="39">
        <f t="shared" si="67"/>
        <v>0</v>
      </c>
      <c r="Y75" s="46">
        <v>0</v>
      </c>
      <c r="Z75" s="46">
        <v>0</v>
      </c>
      <c r="AA75" s="47">
        <v>0</v>
      </c>
      <c r="AB75" s="46">
        <v>0</v>
      </c>
      <c r="AC75" s="46">
        <v>0</v>
      </c>
      <c r="AD75" s="47">
        <v>0</v>
      </c>
      <c r="AE75" s="46">
        <v>0</v>
      </c>
      <c r="AF75" s="46">
        <v>0</v>
      </c>
      <c r="AG75" s="47">
        <v>0</v>
      </c>
      <c r="AH75" s="46">
        <v>0</v>
      </c>
      <c r="AI75" s="46">
        <v>0</v>
      </c>
      <c r="AJ75" s="47">
        <v>0</v>
      </c>
      <c r="AK75" s="46">
        <v>0</v>
      </c>
      <c r="AL75" s="46">
        <v>0</v>
      </c>
      <c r="AM75" s="47">
        <v>0</v>
      </c>
      <c r="AN75" s="46">
        <v>0</v>
      </c>
      <c r="AO75" s="46">
        <v>0</v>
      </c>
      <c r="AP75" s="47">
        <v>0</v>
      </c>
      <c r="AQ75" s="46">
        <v>0</v>
      </c>
      <c r="AR75" s="46">
        <v>0</v>
      </c>
      <c r="AS75" s="47">
        <v>0</v>
      </c>
      <c r="AT75" s="46">
        <v>0</v>
      </c>
      <c r="AU75" s="46">
        <v>0</v>
      </c>
      <c r="AV75" s="46">
        <v>0</v>
      </c>
      <c r="AW75" s="1545">
        <v>0</v>
      </c>
      <c r="AX75" s="10">
        <f t="shared" si="56"/>
        <v>21</v>
      </c>
      <c r="AY75" s="42">
        <f>IF(AND($E75=MONTH(Summary!$E$24),$D75=YEAR(Summary!$E$24)),Summary!$E$25,1)*IF(G75="",0,INT((H75-MOD(H75,7)-G75)/7)+1-IF(BA75,IF(WEEKDAY(F75)=7,1,0),0))</f>
        <v>4</v>
      </c>
      <c r="AZ75" s="42">
        <f>IF(AND($E75=MONTH(Summary!$E$24),$D75=YEAR(Summary!$E$24)),Summary!$E$25,1)*IF(G75="",0,INT((H75-MOD(H75-1,7)-G75)/7)+1-IF(BA75,IF(WEEKDAY(F75)=1,1,0),0))</f>
        <v>4</v>
      </c>
      <c r="BA75" s="42">
        <v>1</v>
      </c>
      <c r="BB75" s="10">
        <f>IF(AND($E75=MONTH(Summary!$E$24),$D75=YEAR(Summary!$E$24)),Summary!$E$25,1)*IF(G75="",0,H75-G75+1)</f>
        <v>30</v>
      </c>
      <c r="BC75" s="914">
        <f>Summary!$E$19</f>
        <v>1.4999999999999999E-2</v>
      </c>
      <c r="BD75" s="113">
        <v>14893.2</v>
      </c>
      <c r="BE75" s="171">
        <v>2836.8</v>
      </c>
      <c r="BF75" s="171">
        <v>3546</v>
      </c>
      <c r="BG75" s="174"/>
      <c r="BH75" s="1198">
        <v>1</v>
      </c>
      <c r="BI75" s="1198">
        <v>1</v>
      </c>
      <c r="BJ75" s="1198">
        <v>1</v>
      </c>
      <c r="BK75" s="1198">
        <v>1</v>
      </c>
      <c r="BL75" s="95">
        <v>2978.64</v>
      </c>
      <c r="BM75" s="171">
        <v>567.36</v>
      </c>
      <c r="BN75" s="171">
        <v>709.2</v>
      </c>
      <c r="BO75" s="174"/>
      <c r="BP75" s="1198">
        <v>1</v>
      </c>
      <c r="BQ75" s="1199">
        <v>1</v>
      </c>
      <c r="BR75" s="1199">
        <v>1</v>
      </c>
      <c r="BS75" s="1200">
        <v>1</v>
      </c>
      <c r="BT75" s="94">
        <f t="shared" si="29"/>
        <v>21276</v>
      </c>
      <c r="BU75" s="233">
        <f t="shared" si="30"/>
        <v>21276</v>
      </c>
      <c r="BV75" s="92">
        <f t="shared" si="31"/>
        <v>4255.2</v>
      </c>
      <c r="BW75" s="233">
        <f t="shared" si="32"/>
        <v>4255.2</v>
      </c>
      <c r="BX75" s="88">
        <v>4.8815879534565365</v>
      </c>
      <c r="BY75" s="90">
        <v>0</v>
      </c>
      <c r="BZ75" s="88">
        <v>0</v>
      </c>
      <c r="CA75" s="88">
        <v>0</v>
      </c>
      <c r="CB75" s="88">
        <v>0</v>
      </c>
      <c r="CC75" s="88">
        <v>0</v>
      </c>
      <c r="CD75" s="88">
        <v>0</v>
      </c>
      <c r="CE75" s="100">
        <v>0</v>
      </c>
      <c r="CF75" s="88">
        <v>0</v>
      </c>
      <c r="CG75" s="88">
        <v>0</v>
      </c>
      <c r="CH75" s="88">
        <v>0</v>
      </c>
      <c r="CI75" s="88">
        <v>0</v>
      </c>
      <c r="CJ75" s="228">
        <v>0</v>
      </c>
      <c r="CK75" s="88">
        <v>0</v>
      </c>
      <c r="CL75" s="88">
        <v>0</v>
      </c>
      <c r="CM75" s="88">
        <v>0</v>
      </c>
      <c r="CN75" s="88">
        <v>0</v>
      </c>
      <c r="CO75" s="88">
        <v>0</v>
      </c>
      <c r="CP75" s="88">
        <v>0</v>
      </c>
      <c r="CQ75" s="229">
        <v>0</v>
      </c>
      <c r="CR75" s="91">
        <v>0</v>
      </c>
      <c r="CS75" s="91">
        <v>0</v>
      </c>
      <c r="CT75" s="91">
        <v>0</v>
      </c>
      <c r="CU75" s="91">
        <v>0</v>
      </c>
      <c r="CV75" s="91">
        <v>0</v>
      </c>
      <c r="CW75" s="91">
        <v>0</v>
      </c>
      <c r="CX75" s="225">
        <v>0</v>
      </c>
      <c r="CY75" s="1265">
        <v>7731.9796799999995</v>
      </c>
      <c r="CZ75" s="90">
        <v>0</v>
      </c>
      <c r="DA75" s="88">
        <v>0</v>
      </c>
      <c r="DB75" s="88">
        <v>0</v>
      </c>
      <c r="DC75" s="88">
        <v>0</v>
      </c>
      <c r="DD75" s="88">
        <v>0</v>
      </c>
      <c r="DE75" s="152">
        <v>0</v>
      </c>
      <c r="DF75" s="230">
        <v>0</v>
      </c>
      <c r="DG75" s="38">
        <v>0</v>
      </c>
      <c r="DH75" s="1237">
        <v>0</v>
      </c>
      <c r="DI75" s="956">
        <v>0</v>
      </c>
      <c r="DJ75" s="956">
        <v>0</v>
      </c>
      <c r="DK75" s="956">
        <v>0</v>
      </c>
      <c r="DL75" s="152">
        <v>0</v>
      </c>
      <c r="DM75" s="160">
        <v>0</v>
      </c>
      <c r="DN75" s="160">
        <v>0</v>
      </c>
      <c r="DO75" s="160">
        <v>0</v>
      </c>
      <c r="DP75" s="160">
        <v>0</v>
      </c>
      <c r="DQ75" s="160">
        <v>0</v>
      </c>
      <c r="DR75" s="230">
        <v>0</v>
      </c>
      <c r="DS75" s="88">
        <v>0</v>
      </c>
      <c r="DT75" s="88">
        <v>0</v>
      </c>
      <c r="DU75" s="88">
        <v>0</v>
      </c>
      <c r="DV75" s="88">
        <v>0</v>
      </c>
      <c r="DW75" s="88">
        <v>0</v>
      </c>
      <c r="DX75" s="88">
        <v>0</v>
      </c>
      <c r="DY75" s="88">
        <v>0</v>
      </c>
      <c r="DZ75" s="88">
        <v>0</v>
      </c>
      <c r="EA75" s="88">
        <v>0</v>
      </c>
      <c r="EB75" s="152">
        <v>0</v>
      </c>
      <c r="EC75" s="52">
        <f t="shared" si="33"/>
        <v>0</v>
      </c>
      <c r="ED75" s="52">
        <f t="shared" si="33"/>
        <v>0</v>
      </c>
      <c r="EE75" s="52">
        <f t="shared" si="33"/>
        <v>0</v>
      </c>
      <c r="EF75" s="52">
        <f t="shared" si="33"/>
        <v>0</v>
      </c>
      <c r="EG75" s="52">
        <f t="shared" si="34"/>
        <v>0</v>
      </c>
      <c r="EH75" s="238">
        <v>0</v>
      </c>
      <c r="EI75" s="211">
        <v>0</v>
      </c>
      <c r="EJ75" s="211">
        <v>0</v>
      </c>
      <c r="EK75" s="211">
        <v>0</v>
      </c>
      <c r="EL75" s="217">
        <f>IF(C75&gt;=Summary!$E$26,MAX(0,SUM(EH75:EK75)),0)</f>
        <v>0</v>
      </c>
      <c r="EM75" s="52">
        <f>IF(C75&gt;=Summary!$E$26,DX75*BL75,0)</f>
        <v>0</v>
      </c>
      <c r="EN75" s="52">
        <f>IF(C75&gt;=Summary!$E$26,DY75*BM75,0)</f>
        <v>0</v>
      </c>
      <c r="EO75" s="52">
        <f>IF(C75&gt;=Summary!$E$26,DZ75*BN75,0)</f>
        <v>0</v>
      </c>
      <c r="EP75" s="52">
        <f>IF(C75&gt;=Summary!$E$26,EA75*BO75,0)</f>
        <v>0</v>
      </c>
      <c r="EQ75" s="52">
        <f>IF(C75&gt;=Summary!$E$26,DX75*BL75+DY75*BM75+DZ75*BN75+EA75*BO75,0)</f>
        <v>0</v>
      </c>
      <c r="ER75" s="826">
        <v>0</v>
      </c>
      <c r="ES75" s="278">
        <v>0</v>
      </c>
      <c r="ET75" s="278">
        <v>0</v>
      </c>
      <c r="EU75" s="278">
        <v>0</v>
      </c>
      <c r="EV75" s="212">
        <f>IF(C75&gt;=Summary!$E$26,MAX(0,SUM(ER75:EU75)),0)</f>
        <v>0</v>
      </c>
      <c r="EW75" s="52"/>
      <c r="EX75" s="1049">
        <f t="shared" si="35"/>
        <v>0</v>
      </c>
      <c r="EY75" s="1045" t="str">
        <f t="shared" si="36"/>
        <v/>
      </c>
      <c r="EZ75" s="1684" t="s">
        <v>525</v>
      </c>
      <c r="FA75" s="1046">
        <f t="shared" si="54"/>
        <v>45</v>
      </c>
      <c r="FB75" s="256">
        <f t="shared" si="37"/>
        <v>9308.25</v>
      </c>
      <c r="FC75" s="194">
        <f t="shared" si="38"/>
        <v>2792.4749999999999</v>
      </c>
      <c r="FD75" s="194">
        <f t="shared" si="39"/>
        <v>1773</v>
      </c>
      <c r="FE75" s="194">
        <f t="shared" si="40"/>
        <v>531.9</v>
      </c>
      <c r="FF75" s="194">
        <f t="shared" si="41"/>
        <v>2216.25</v>
      </c>
      <c r="FG75" s="194">
        <f t="shared" si="42"/>
        <v>664.875</v>
      </c>
      <c r="FH75" s="257">
        <f>IF(EZ75="No",IF((OR(MONTH(C75)=5,MONTH(C75)=6,MONTH(C75)=7,MONTH(C75)=8,MONTH(C75)=9)),Summary!$O$15*12*(AX75+AY75+AZ75+BA75)*(1-$BC75),Summary!$O$15*13*(AX75+AY75+AZ75+BA75)*(1-$BC75)+IF(Summary!$O$16="Yes",(CALC!FA75+Summary!$O$15)*6*(AX75+AY75+AZ75+BA75)*(1-$BC75),0)),0)</f>
        <v>0</v>
      </c>
      <c r="FI75" s="1412">
        <f>IF(MONTH(C75)=5,FI74*(IF(Summary!$E$70="no",(1+(Summary!$E$71*0.8)),1+HLOOKUP(YEAR(C75)-1,CCFMODEL!$I$127:$AF$128,2)*0.8)),+FI74)</f>
        <v>29.95183638040762</v>
      </c>
      <c r="FJ75" s="1411">
        <f>IF(MONTH(C75)=5,FJ74*(IF(Summary!$E$70="no",(1+(Summary!$E$71*0.8)),1+HLOOKUP(YEAR(CALC!C75)-1,CCFMODEL!$I$127:$AF$128,2)*0.8)),FJ74)</f>
        <v>26.178376678938939</v>
      </c>
      <c r="FK75" s="832">
        <f t="shared" si="1"/>
        <v>517769.9075490114</v>
      </c>
      <c r="FL75" s="1412">
        <f>IF(MONTH(C75)=5,FL74*(IF(Summary!$E$70="no",(1+(Summary!$E$71*0.8)),1+HLOOKUP(YEAR(CALC!C75)-1,CCFMODEL!$I$127:$AF$128,2)*0.8)),+FL74)</f>
        <v>62.99206983791013</v>
      </c>
      <c r="FM75" s="1411">
        <f>IF(MONTH(C75)=5,FM74*(IF(Summary!$E$70="no",(1+(Summary!$E$71*0.8)),1+HLOOKUP(YEAR(CALC!C75)-1,CCFMODEL!$I$127:$AF$128,2)*0.8)),+FM74)</f>
        <v>30.064141728665611</v>
      </c>
      <c r="FN75" s="832">
        <f t="shared" si="2"/>
        <v>527625.68733808142</v>
      </c>
      <c r="FO75" s="194">
        <f t="shared" si="43"/>
        <v>1045395.5948870928</v>
      </c>
      <c r="FP75" s="263">
        <f t="shared" si="69"/>
        <v>9308.25</v>
      </c>
      <c r="FQ75" s="194">
        <f t="shared" si="69"/>
        <v>2792.4749999999999</v>
      </c>
      <c r="FR75" s="194">
        <f t="shared" si="69"/>
        <v>1773</v>
      </c>
      <c r="FS75" s="194">
        <f t="shared" si="68"/>
        <v>531.9</v>
      </c>
      <c r="FT75" s="194">
        <f t="shared" si="68"/>
        <v>2216.25</v>
      </c>
      <c r="FU75" s="194">
        <f t="shared" si="68"/>
        <v>664.875</v>
      </c>
      <c r="FV75" s="257">
        <f t="shared" si="68"/>
        <v>0</v>
      </c>
      <c r="FW75" s="189">
        <f t="shared" si="4"/>
        <v>0</v>
      </c>
      <c r="FX75" s="189">
        <f t="shared" si="5"/>
        <v>0</v>
      </c>
      <c r="FY75" s="189">
        <f t="shared" si="6"/>
        <v>0</v>
      </c>
      <c r="FZ75" s="258">
        <f t="shared" si="7"/>
        <v>0</v>
      </c>
      <c r="GA75" s="1293">
        <f>(SUM(FP75:FV75)+SUM(GU75:HB75)/(1-Summary!$O$25))*CY75/1000</f>
        <v>228251.51954445598</v>
      </c>
      <c r="GB75" s="1369">
        <f>IF($C75&lt;Summary!$M$81,+Summary!$O$81,VLOOKUP(C75,GasTable,19))</f>
        <v>2.4</v>
      </c>
      <c r="GC75" s="1370">
        <f>IF(H75&lt;=Summary!$N$84,MIN(GA75,Summary!$O$75*(H75-G75+1)),0)</f>
        <v>150000</v>
      </c>
      <c r="GD75" s="1371">
        <f>IF(Summary!$O$75*(H75-G75+1)*0.8&gt;GC75,1,0)</f>
        <v>0</v>
      </c>
      <c r="GE75" s="1372">
        <v>0</v>
      </c>
      <c r="GF75" s="1370">
        <f t="shared" si="8"/>
        <v>78251.519544455979</v>
      </c>
      <c r="GG75" s="1371">
        <f>GF75*(IF(Summary!$O$74=1,VLOOKUP($C75,GasTable,16)+Summary!$O$92+Summary!$O$93,VLOOKUP($C75,GasTable,19)+Summary!$O$92+Summary!$O$93))</f>
        <v>242721.45083403547</v>
      </c>
      <c r="GH75" s="1373">
        <v>18678</v>
      </c>
      <c r="GI75" s="1466">
        <v>0</v>
      </c>
      <c r="GJ75" s="1374">
        <f t="shared" si="44"/>
        <v>621399.45083403541</v>
      </c>
      <c r="GK75" s="189">
        <f t="shared" si="9"/>
        <v>29092.270500000002</v>
      </c>
      <c r="GL75" s="266">
        <v>0.75928040457599999</v>
      </c>
      <c r="GM75" s="255">
        <f t="shared" si="10"/>
        <v>14730.000000000002</v>
      </c>
      <c r="GN75" s="189">
        <f>IF(SUM(GU75:HB75)=0,0,IF(Summary!$O$16="Yes",SUM(GX75:HB75),IF(Summary!$O$17="Yes",SUM(GY75:HB75),SUM(GU75:HB75))))</f>
        <v>11805.520500000001</v>
      </c>
      <c r="GO75" s="203">
        <v>2.6781769672697084</v>
      </c>
      <c r="GP75" s="258">
        <f t="shared" si="45"/>
        <v>31617.273089730374</v>
      </c>
      <c r="GQ75" s="189"/>
      <c r="GR75" s="189"/>
      <c r="GS75" s="189"/>
      <c r="GT75" s="189"/>
      <c r="GU75" s="268">
        <v>5389.4767500000007</v>
      </c>
      <c r="GV75" s="189">
        <v>1026.5670000000002</v>
      </c>
      <c r="GW75" s="189">
        <v>1283.20875</v>
      </c>
      <c r="GX75" s="189"/>
      <c r="GY75" s="254">
        <v>2874.3875999999996</v>
      </c>
      <c r="GZ75" s="189">
        <v>547.50239999999997</v>
      </c>
      <c r="HA75" s="189">
        <v>684.37800000000004</v>
      </c>
      <c r="HB75" s="255"/>
      <c r="HC75" s="189">
        <v>11805.520500000001</v>
      </c>
      <c r="HD75" s="189"/>
      <c r="HE75" s="189">
        <v>20274.698250000001</v>
      </c>
      <c r="HF75" s="189">
        <v>427140.84207533114</v>
      </c>
      <c r="HG75" s="189"/>
      <c r="HH75" s="203">
        <v>35.96845842528073</v>
      </c>
      <c r="HI75" s="189">
        <v>729249.64109023695</v>
      </c>
      <c r="HJ75" s="268">
        <f t="shared" si="11"/>
        <v>0</v>
      </c>
      <c r="HK75" s="189">
        <f t="shared" si="12"/>
        <v>0</v>
      </c>
      <c r="HL75" s="189">
        <f t="shared" si="13"/>
        <v>0</v>
      </c>
      <c r="HM75" s="255">
        <f t="shared" si="14"/>
        <v>0</v>
      </c>
      <c r="HN75" s="189">
        <f t="shared" si="15"/>
        <v>0</v>
      </c>
      <c r="HO75" s="203">
        <f t="shared" si="46"/>
        <v>0</v>
      </c>
      <c r="HP75" s="258">
        <f t="shared" si="16"/>
        <v>0</v>
      </c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R75" s="223"/>
    </row>
    <row r="76" spans="1:252" ht="13.8" thickBot="1">
      <c r="A76" t="str">
        <f t="shared" si="23"/>
        <v>2004Q4</v>
      </c>
      <c r="B76">
        <f t="shared" si="24"/>
        <v>2004</v>
      </c>
      <c r="C76" s="49">
        <f t="shared" si="25"/>
        <v>38322</v>
      </c>
      <c r="D76" s="115">
        <f t="shared" si="26"/>
        <v>2004</v>
      </c>
      <c r="E76" s="10">
        <f t="shared" si="55"/>
        <v>12</v>
      </c>
      <c r="F76" s="248">
        <f t="shared" si="57"/>
        <v>38346</v>
      </c>
      <c r="G76" s="245">
        <v>38322</v>
      </c>
      <c r="H76" s="251">
        <v>38352</v>
      </c>
      <c r="I76" s="959">
        <f t="shared" si="53"/>
        <v>7.1499999999999994E-2</v>
      </c>
      <c r="J76" s="37">
        <f t="shared" si="27"/>
        <v>0.69884489545075734</v>
      </c>
      <c r="K76" s="1036" t="e">
        <f>IF(Summary!#REF!=1,+Summary!#REF!,I76+Summary!#REF!/10000)</f>
        <v>#REF!</v>
      </c>
      <c r="L76" s="37" t="e">
        <f t="shared" si="28"/>
        <v>#REF!</v>
      </c>
      <c r="M76" s="1004">
        <v>0</v>
      </c>
      <c r="N76" s="38">
        <f t="shared" si="66"/>
        <v>0</v>
      </c>
      <c r="O76" s="40">
        <f t="shared" si="66"/>
        <v>0</v>
      </c>
      <c r="P76" s="159">
        <f t="shared" si="60"/>
        <v>0</v>
      </c>
      <c r="Q76" s="38">
        <f t="shared" si="67"/>
        <v>0</v>
      </c>
      <c r="R76" s="40">
        <f t="shared" si="67"/>
        <v>0</v>
      </c>
      <c r="S76" s="38">
        <f t="shared" si="67"/>
        <v>0</v>
      </c>
      <c r="T76" s="38">
        <f t="shared" si="67"/>
        <v>0</v>
      </c>
      <c r="U76" s="38">
        <f t="shared" si="67"/>
        <v>0</v>
      </c>
      <c r="V76" s="159">
        <f t="shared" si="67"/>
        <v>0</v>
      </c>
      <c r="W76" s="38">
        <f t="shared" si="67"/>
        <v>0</v>
      </c>
      <c r="X76" s="39">
        <f t="shared" si="67"/>
        <v>0</v>
      </c>
      <c r="Y76" s="46">
        <v>0</v>
      </c>
      <c r="Z76" s="46">
        <v>0</v>
      </c>
      <c r="AA76" s="47">
        <v>0</v>
      </c>
      <c r="AB76" s="46">
        <v>0</v>
      </c>
      <c r="AC76" s="46">
        <v>0</v>
      </c>
      <c r="AD76" s="47">
        <v>0</v>
      </c>
      <c r="AE76" s="46">
        <v>0</v>
      </c>
      <c r="AF76" s="46">
        <v>0</v>
      </c>
      <c r="AG76" s="47">
        <v>0</v>
      </c>
      <c r="AH76" s="46">
        <v>0</v>
      </c>
      <c r="AI76" s="46">
        <v>0</v>
      </c>
      <c r="AJ76" s="47">
        <v>0</v>
      </c>
      <c r="AK76" s="46">
        <v>0</v>
      </c>
      <c r="AL76" s="46">
        <v>0</v>
      </c>
      <c r="AM76" s="47">
        <v>0</v>
      </c>
      <c r="AN76" s="46">
        <v>0</v>
      </c>
      <c r="AO76" s="46">
        <v>0</v>
      </c>
      <c r="AP76" s="47">
        <v>0</v>
      </c>
      <c r="AQ76" s="46">
        <v>0</v>
      </c>
      <c r="AR76" s="46">
        <v>0</v>
      </c>
      <c r="AS76" s="47">
        <v>0</v>
      </c>
      <c r="AT76" s="46">
        <v>0</v>
      </c>
      <c r="AU76" s="46">
        <v>0</v>
      </c>
      <c r="AV76" s="46">
        <v>0</v>
      </c>
      <c r="AW76" s="1545">
        <v>0</v>
      </c>
      <c r="AX76" s="10">
        <f t="shared" si="56"/>
        <v>23</v>
      </c>
      <c r="AY76" s="42">
        <f>IF(AND($E76=MONTH(Summary!$E$24),$D76=YEAR(Summary!$E$24)),Summary!$E$25,1)*IF(G76="",0,INT((H76-MOD(H76,7)-G76)/7)+1-IF(BA76,IF(WEEKDAY(F76)=7,1,0),0))</f>
        <v>3</v>
      </c>
      <c r="AZ76" s="42">
        <f>IF(AND($E76=MONTH(Summary!$E$24),$D76=YEAR(Summary!$E$24)),Summary!$E$25,1)*IF(G76="",0,INT((H76-MOD(H76-1,7)-G76)/7)+1-IF(BA76,IF(WEEKDAY(F76)=1,1,0),0))</f>
        <v>4</v>
      </c>
      <c r="BA76" s="42">
        <v>1</v>
      </c>
      <c r="BB76" s="10">
        <f>IF(AND($E76=MONTH(Summary!$E$24),$D76=YEAR(Summary!$E$24)),Summary!$E$25,1)*IF(G76="",0,H76-G76+1)</f>
        <v>31</v>
      </c>
      <c r="BC76" s="914">
        <f>Summary!$E$19</f>
        <v>1.4999999999999999E-2</v>
      </c>
      <c r="BD76" s="113">
        <v>16311.6</v>
      </c>
      <c r="BE76" s="171">
        <v>2127.6</v>
      </c>
      <c r="BF76" s="171">
        <v>3546</v>
      </c>
      <c r="BG76" s="174"/>
      <c r="BH76" s="1198">
        <v>1</v>
      </c>
      <c r="BI76" s="1198">
        <v>1</v>
      </c>
      <c r="BJ76" s="1198">
        <v>1</v>
      </c>
      <c r="BK76" s="1198">
        <v>1</v>
      </c>
      <c r="BL76" s="95">
        <v>3262.32</v>
      </c>
      <c r="BM76" s="171">
        <v>425.52</v>
      </c>
      <c r="BN76" s="171">
        <v>709.2</v>
      </c>
      <c r="BO76" s="174"/>
      <c r="BP76" s="1198">
        <v>1</v>
      </c>
      <c r="BQ76" s="1199">
        <v>1</v>
      </c>
      <c r="BR76" s="1199">
        <v>1</v>
      </c>
      <c r="BS76" s="1200">
        <v>1</v>
      </c>
      <c r="BT76" s="94">
        <f t="shared" si="29"/>
        <v>21985.200000000001</v>
      </c>
      <c r="BU76" s="233">
        <f t="shared" si="30"/>
        <v>21985.200000000001</v>
      </c>
      <c r="BV76" s="92">
        <f t="shared" si="31"/>
        <v>4397.04</v>
      </c>
      <c r="BW76" s="233">
        <f t="shared" si="32"/>
        <v>4397.04</v>
      </c>
      <c r="BX76" s="88">
        <v>4.9637234770704994</v>
      </c>
      <c r="BY76" s="90">
        <v>0</v>
      </c>
      <c r="BZ76" s="88">
        <v>0</v>
      </c>
      <c r="CA76" s="88">
        <v>0</v>
      </c>
      <c r="CB76" s="88">
        <v>0</v>
      </c>
      <c r="CC76" s="88">
        <v>0</v>
      </c>
      <c r="CD76" s="88">
        <v>0</v>
      </c>
      <c r="CE76" s="100">
        <v>0</v>
      </c>
      <c r="CF76" s="88">
        <v>0</v>
      </c>
      <c r="CG76" s="88">
        <v>0</v>
      </c>
      <c r="CH76" s="88">
        <v>0</v>
      </c>
      <c r="CI76" s="88">
        <v>0</v>
      </c>
      <c r="CJ76" s="228">
        <v>0</v>
      </c>
      <c r="CK76" s="88">
        <v>0</v>
      </c>
      <c r="CL76" s="88">
        <v>0</v>
      </c>
      <c r="CM76" s="88">
        <v>0</v>
      </c>
      <c r="CN76" s="88">
        <v>0</v>
      </c>
      <c r="CO76" s="88">
        <v>0</v>
      </c>
      <c r="CP76" s="88">
        <v>0</v>
      </c>
      <c r="CQ76" s="229">
        <v>0</v>
      </c>
      <c r="CR76" s="91">
        <v>0</v>
      </c>
      <c r="CS76" s="91">
        <v>0</v>
      </c>
      <c r="CT76" s="91">
        <v>0</v>
      </c>
      <c r="CU76" s="91">
        <v>0</v>
      </c>
      <c r="CV76" s="91">
        <v>0</v>
      </c>
      <c r="CW76" s="91">
        <v>0</v>
      </c>
      <c r="CX76" s="225">
        <v>0</v>
      </c>
      <c r="CY76" s="1265">
        <v>7733.2825599999996</v>
      </c>
      <c r="CZ76" s="90">
        <v>0</v>
      </c>
      <c r="DA76" s="88">
        <v>0</v>
      </c>
      <c r="DB76" s="88">
        <v>0</v>
      </c>
      <c r="DC76" s="88">
        <v>0</v>
      </c>
      <c r="DD76" s="88">
        <v>0</v>
      </c>
      <c r="DE76" s="152">
        <v>0</v>
      </c>
      <c r="DF76" s="230">
        <v>0</v>
      </c>
      <c r="DG76" s="38">
        <v>0</v>
      </c>
      <c r="DH76" s="1237">
        <v>0</v>
      </c>
      <c r="DI76" s="956">
        <v>0</v>
      </c>
      <c r="DJ76" s="956">
        <v>0</v>
      </c>
      <c r="DK76" s="956">
        <v>0</v>
      </c>
      <c r="DL76" s="152">
        <v>0</v>
      </c>
      <c r="DM76" s="160">
        <v>0</v>
      </c>
      <c r="DN76" s="160">
        <v>0</v>
      </c>
      <c r="DO76" s="160">
        <v>0</v>
      </c>
      <c r="DP76" s="160">
        <v>0</v>
      </c>
      <c r="DQ76" s="160">
        <v>0</v>
      </c>
      <c r="DR76" s="230">
        <v>0</v>
      </c>
      <c r="DS76" s="88">
        <v>0</v>
      </c>
      <c r="DT76" s="88">
        <v>0</v>
      </c>
      <c r="DU76" s="88">
        <v>0</v>
      </c>
      <c r="DV76" s="88">
        <v>0</v>
      </c>
      <c r="DW76" s="88">
        <v>0</v>
      </c>
      <c r="DX76" s="88">
        <v>0</v>
      </c>
      <c r="DY76" s="88">
        <v>0</v>
      </c>
      <c r="DZ76" s="88">
        <v>0</v>
      </c>
      <c r="EA76" s="88">
        <v>0</v>
      </c>
      <c r="EB76" s="152">
        <v>0</v>
      </c>
      <c r="EC76" s="52">
        <f t="shared" si="33"/>
        <v>0</v>
      </c>
      <c r="ED76" s="52">
        <f t="shared" si="33"/>
        <v>0</v>
      </c>
      <c r="EE76" s="52">
        <f t="shared" si="33"/>
        <v>0</v>
      </c>
      <c r="EF76" s="52">
        <f t="shared" si="33"/>
        <v>0</v>
      </c>
      <c r="EG76" s="52">
        <f t="shared" si="34"/>
        <v>0</v>
      </c>
      <c r="EH76" s="238">
        <v>0</v>
      </c>
      <c r="EI76" s="211">
        <v>0</v>
      </c>
      <c r="EJ76" s="211">
        <v>0</v>
      </c>
      <c r="EK76" s="211">
        <v>0</v>
      </c>
      <c r="EL76" s="217">
        <f>IF(C76&gt;=Summary!$E$26,MAX(0,SUM(EH76:EK76)),0)</f>
        <v>0</v>
      </c>
      <c r="EM76" s="52">
        <f>IF(C76&gt;=Summary!$E$26,DX76*BL76,0)</f>
        <v>0</v>
      </c>
      <c r="EN76" s="52">
        <f>IF(C76&gt;=Summary!$E$26,DY76*BM76,0)</f>
        <v>0</v>
      </c>
      <c r="EO76" s="52">
        <f>IF(C76&gt;=Summary!$E$26,DZ76*BN76,0)</f>
        <v>0</v>
      </c>
      <c r="EP76" s="52">
        <f>IF(C76&gt;=Summary!$E$26,EA76*BO76,0)</f>
        <v>0</v>
      </c>
      <c r="EQ76" s="52">
        <f>IF(C76&gt;=Summary!$E$26,DX76*BL76+DY76*BM76+DZ76*BN76+EA76*BO76,0)</f>
        <v>0</v>
      </c>
      <c r="ER76" s="826">
        <v>0</v>
      </c>
      <c r="ES76" s="278">
        <v>0</v>
      </c>
      <c r="ET76" s="278">
        <v>0</v>
      </c>
      <c r="EU76" s="278">
        <v>0</v>
      </c>
      <c r="EV76" s="212">
        <f>IF(C76&gt;=Summary!$E$26,MAX(0,SUM(ER76:EU76)),0)</f>
        <v>0</v>
      </c>
      <c r="EW76" s="52"/>
      <c r="EX76" s="1049">
        <f t="shared" si="35"/>
        <v>0</v>
      </c>
      <c r="EY76" s="1045" t="str">
        <f t="shared" si="36"/>
        <v/>
      </c>
      <c r="EZ76" s="1684" t="s">
        <v>525</v>
      </c>
      <c r="FA76" s="1046">
        <f t="shared" si="54"/>
        <v>45</v>
      </c>
      <c r="FB76" s="256">
        <f t="shared" si="37"/>
        <v>10194.75</v>
      </c>
      <c r="FC76" s="194">
        <f t="shared" si="38"/>
        <v>3058.4250000000002</v>
      </c>
      <c r="FD76" s="194">
        <f t="shared" si="39"/>
        <v>1329.75</v>
      </c>
      <c r="FE76" s="194">
        <f t="shared" si="40"/>
        <v>398.92500000000001</v>
      </c>
      <c r="FF76" s="194">
        <f t="shared" si="41"/>
        <v>2216.25</v>
      </c>
      <c r="FG76" s="194">
        <f t="shared" si="42"/>
        <v>664.875</v>
      </c>
      <c r="FH76" s="257">
        <f>IF(EZ76="No",IF((OR(MONTH(C76)=5,MONTH(C76)=6,MONTH(C76)=7,MONTH(C76)=8,MONTH(C76)=9)),Summary!$O$15*12*(AX76+AY76+AZ76+BA76)*(1-$BC76),Summary!$O$15*13*(AX76+AY76+AZ76+BA76)*(1-$BC76)+IF(Summary!$O$16="Yes",(CALC!FA76+Summary!$O$15)*6*(AX76+AY76+AZ76+BA76)*(1-$BC76),0)),0)</f>
        <v>0</v>
      </c>
      <c r="FI76" s="1412">
        <f>IF(MONTH(C76)=5,FI75*(IF(Summary!$E$70="no",(1+(Summary!$E$71*0.8)),1+HLOOKUP(YEAR(C76)-1,CCFMODEL!$I$127:$AF$128,2)*0.8)),+FI75)</f>
        <v>29.95183638040762</v>
      </c>
      <c r="FJ76" s="1411">
        <f>IF(MONTH(C76)=5,FJ75*(IF(Summary!$E$70="no",(1+(Summary!$E$71*0.8)),1+HLOOKUP(YEAR(CALC!C76)-1,CCFMODEL!$I$127:$AF$128,2)*0.8)),FJ75)</f>
        <v>26.178376678938939</v>
      </c>
      <c r="FK76" s="832">
        <f t="shared" si="1"/>
        <v>535028.9044673118</v>
      </c>
      <c r="FL76" s="1412">
        <f>IF(MONTH(C76)=5,FL75*(IF(Summary!$E$70="no",(1+(Summary!$E$71*0.8)),1+HLOOKUP(YEAR(CALC!C76)-1,CCFMODEL!$I$127:$AF$128,2)*0.8)),+FL75)</f>
        <v>62.99206983791013</v>
      </c>
      <c r="FM76" s="1411">
        <f>IF(MONTH(C76)=5,FM75*(IF(Summary!$E$70="no",(1+(Summary!$E$71*0.8)),1+HLOOKUP(YEAR(CALC!C76)-1,CCFMODEL!$I$127:$AF$128,2)*0.8)),+FM75)</f>
        <v>30.064141728665611</v>
      </c>
      <c r="FN76" s="832">
        <f t="shared" si="2"/>
        <v>545213.21024935087</v>
      </c>
      <c r="FO76" s="194">
        <f t="shared" si="43"/>
        <v>1080242.1147166626</v>
      </c>
      <c r="FP76" s="263">
        <f t="shared" si="69"/>
        <v>10194.75</v>
      </c>
      <c r="FQ76" s="194">
        <f t="shared" si="69"/>
        <v>3058.4250000000002</v>
      </c>
      <c r="FR76" s="194">
        <f t="shared" si="69"/>
        <v>1329.75</v>
      </c>
      <c r="FS76" s="194">
        <f t="shared" si="68"/>
        <v>398.92500000000001</v>
      </c>
      <c r="FT76" s="194">
        <f t="shared" si="68"/>
        <v>2216.25</v>
      </c>
      <c r="FU76" s="194">
        <f t="shared" si="68"/>
        <v>664.875</v>
      </c>
      <c r="FV76" s="257">
        <f t="shared" si="68"/>
        <v>0</v>
      </c>
      <c r="FW76" s="189">
        <f t="shared" si="4"/>
        <v>0</v>
      </c>
      <c r="FX76" s="189">
        <f t="shared" si="5"/>
        <v>0</v>
      </c>
      <c r="FY76" s="189">
        <f t="shared" si="6"/>
        <v>0</v>
      </c>
      <c r="FZ76" s="258">
        <f t="shared" si="7"/>
        <v>0</v>
      </c>
      <c r="GA76" s="1293">
        <f>(SUM(FP76:FV76)+SUM(GU76:HB76)/(1-Summary!$O$25))*CY76/1000</f>
        <v>235899.64718663041</v>
      </c>
      <c r="GB76" s="1369">
        <f>IF($C76&lt;Summary!$M$81,+Summary!$O$81,VLOOKUP(C76,GasTable,19))</f>
        <v>2.4</v>
      </c>
      <c r="GC76" s="1370">
        <f>IF(H76&lt;=Summary!$N$84,MIN(GA76,Summary!$O$75*(H76-G76+1)),0)</f>
        <v>155000</v>
      </c>
      <c r="GD76" s="1371">
        <f>IF(Summary!$O$75*(H76-G76+1)*0.8&gt;GC76,1,0)</f>
        <v>0</v>
      </c>
      <c r="GE76" s="1372">
        <v>0</v>
      </c>
      <c r="GF76" s="1370">
        <f t="shared" si="8"/>
        <v>80899.647186630405</v>
      </c>
      <c r="GG76" s="1371">
        <f>GF76*(IF(Summary!$O$74=1,VLOOKUP($C76,GasTable,16)+Summary!$O$92+Summary!$O$93,VLOOKUP($C76,GasTable,19)+Summary!$O$92+Summary!$O$93))</f>
        <v>261429.72769009328</v>
      </c>
      <c r="GH76" s="1373">
        <v>19846.2</v>
      </c>
      <c r="GI76" s="1466">
        <v>0</v>
      </c>
      <c r="GJ76" s="1374">
        <f t="shared" si="44"/>
        <v>653275.92769009317</v>
      </c>
      <c r="GK76" s="189">
        <f t="shared" si="9"/>
        <v>30062.012849999999</v>
      </c>
      <c r="GL76" s="266">
        <v>0.75940834739200003</v>
      </c>
      <c r="GM76" s="255">
        <f t="shared" si="10"/>
        <v>15221.000000000002</v>
      </c>
      <c r="GN76" s="189">
        <f>IF(SUM(GU76:HB76)=0,0,IF(Summary!$O$16="Yes",SUM(GX76:HB76),IF(Summary!$O$17="Yes",SUM(GY76:HB76),SUM(GU76:HB76))))</f>
        <v>12199.037850000001</v>
      </c>
      <c r="GO76" s="203">
        <v>2.6781769672697084</v>
      </c>
      <c r="GP76" s="258">
        <f t="shared" si="45"/>
        <v>32671.182192721386</v>
      </c>
      <c r="GQ76" s="189"/>
      <c r="GR76" s="189"/>
      <c r="GS76" s="189"/>
      <c r="GT76" s="189"/>
      <c r="GU76" s="268">
        <v>5902.7602500000003</v>
      </c>
      <c r="GV76" s="189">
        <v>769.92524999999989</v>
      </c>
      <c r="GW76" s="189">
        <v>1283.20875</v>
      </c>
      <c r="GX76" s="189"/>
      <c r="GY76" s="254">
        <v>3148.1388000000002</v>
      </c>
      <c r="GZ76" s="189">
        <v>410.62679999999995</v>
      </c>
      <c r="HA76" s="189">
        <v>684.37800000000004</v>
      </c>
      <c r="HB76" s="255"/>
      <c r="HC76" s="189">
        <v>12199.037850000001</v>
      </c>
      <c r="HD76" s="189"/>
      <c r="HE76" s="189">
        <v>20950.521525</v>
      </c>
      <c r="HF76" s="189">
        <v>462222.1631923471</v>
      </c>
      <c r="HG76" s="189"/>
      <c r="HH76" s="203">
        <v>37.645555413044193</v>
      </c>
      <c r="HI76" s="189">
        <v>788694.01900156261</v>
      </c>
      <c r="HJ76" s="268">
        <f t="shared" si="11"/>
        <v>0</v>
      </c>
      <c r="HK76" s="189">
        <f t="shared" si="12"/>
        <v>0</v>
      </c>
      <c r="HL76" s="189">
        <f t="shared" si="13"/>
        <v>0</v>
      </c>
      <c r="HM76" s="255">
        <f t="shared" si="14"/>
        <v>0</v>
      </c>
      <c r="HN76" s="189">
        <f t="shared" si="15"/>
        <v>0</v>
      </c>
      <c r="HO76" s="203">
        <f t="shared" si="46"/>
        <v>0</v>
      </c>
      <c r="HP76" s="258">
        <f t="shared" si="16"/>
        <v>0</v>
      </c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R76" s="223"/>
    </row>
    <row r="77" spans="1:252" ht="13.8" thickBot="1">
      <c r="A77" t="str">
        <f t="shared" si="23"/>
        <v>2005Q1</v>
      </c>
      <c r="B77">
        <f t="shared" si="24"/>
        <v>2005</v>
      </c>
      <c r="C77" s="49">
        <f t="shared" si="25"/>
        <v>38353</v>
      </c>
      <c r="D77" s="115">
        <f t="shared" si="26"/>
        <v>2005</v>
      </c>
      <c r="E77" s="10">
        <f t="shared" si="55"/>
        <v>1</v>
      </c>
      <c r="F77" s="248">
        <f t="shared" si="57"/>
        <v>38353</v>
      </c>
      <c r="G77" s="245">
        <v>38353</v>
      </c>
      <c r="H77" s="251">
        <v>38383</v>
      </c>
      <c r="I77" s="959">
        <f t="shared" si="53"/>
        <v>7.1499999999999994E-2</v>
      </c>
      <c r="J77" s="37">
        <f t="shared" si="27"/>
        <v>0.69469043703961086</v>
      </c>
      <c r="K77" s="1036" t="e">
        <f>IF(Summary!#REF!=1,+Summary!#REF!,I77+Summary!#REF!/10000)</f>
        <v>#REF!</v>
      </c>
      <c r="L77" s="37" t="e">
        <f t="shared" si="28"/>
        <v>#REF!</v>
      </c>
      <c r="M77" s="1004">
        <v>0</v>
      </c>
      <c r="N77" s="38">
        <f t="shared" si="66"/>
        <v>0</v>
      </c>
      <c r="O77" s="40">
        <f t="shared" si="66"/>
        <v>0</v>
      </c>
      <c r="P77" s="159">
        <f t="shared" si="60"/>
        <v>0</v>
      </c>
      <c r="Q77" s="38">
        <f t="shared" si="67"/>
        <v>0</v>
      </c>
      <c r="R77" s="40">
        <f t="shared" si="67"/>
        <v>0</v>
      </c>
      <c r="S77" s="38">
        <f t="shared" si="67"/>
        <v>0</v>
      </c>
      <c r="T77" s="38">
        <f t="shared" si="67"/>
        <v>0</v>
      </c>
      <c r="U77" s="38">
        <f t="shared" si="67"/>
        <v>0</v>
      </c>
      <c r="V77" s="159">
        <f t="shared" si="67"/>
        <v>0</v>
      </c>
      <c r="W77" s="38">
        <f t="shared" si="67"/>
        <v>0</v>
      </c>
      <c r="X77" s="39">
        <f t="shared" si="67"/>
        <v>0</v>
      </c>
      <c r="Y77" s="46">
        <v>0</v>
      </c>
      <c r="Z77" s="46">
        <v>0</v>
      </c>
      <c r="AA77" s="47">
        <v>0</v>
      </c>
      <c r="AB77" s="46">
        <v>0</v>
      </c>
      <c r="AC77" s="46">
        <v>0</v>
      </c>
      <c r="AD77" s="47">
        <v>0</v>
      </c>
      <c r="AE77" s="46">
        <v>0</v>
      </c>
      <c r="AF77" s="46">
        <v>0</v>
      </c>
      <c r="AG77" s="47">
        <v>0</v>
      </c>
      <c r="AH77" s="46">
        <v>0</v>
      </c>
      <c r="AI77" s="46">
        <v>0</v>
      </c>
      <c r="AJ77" s="47">
        <v>0</v>
      </c>
      <c r="AK77" s="46">
        <v>0</v>
      </c>
      <c r="AL77" s="46">
        <v>0</v>
      </c>
      <c r="AM77" s="47">
        <v>0</v>
      </c>
      <c r="AN77" s="46">
        <v>0</v>
      </c>
      <c r="AO77" s="46">
        <v>0</v>
      </c>
      <c r="AP77" s="47">
        <v>0</v>
      </c>
      <c r="AQ77" s="46">
        <v>0</v>
      </c>
      <c r="AR77" s="46">
        <v>0</v>
      </c>
      <c r="AS77" s="47">
        <v>0</v>
      </c>
      <c r="AT77" s="46">
        <v>0</v>
      </c>
      <c r="AU77" s="46">
        <v>0</v>
      </c>
      <c r="AV77" s="46">
        <v>0</v>
      </c>
      <c r="AW77" s="1545">
        <v>0</v>
      </c>
      <c r="AX77" s="10">
        <f t="shared" si="56"/>
        <v>21</v>
      </c>
      <c r="AY77" s="42">
        <f>IF(AND($E77=MONTH(Summary!$E$24),$D77=YEAR(Summary!$E$24)),Summary!$E$25,1)*IF(G77="",0,INT((H77-MOD(H77,7)-G77)/7)+1-IF(BA77,IF(WEEKDAY(F77)=7,1,0),0))</f>
        <v>4</v>
      </c>
      <c r="AZ77" s="42">
        <f>IF(AND($E77=MONTH(Summary!$E$24),$D77=YEAR(Summary!$E$24)),Summary!$E$25,1)*IF(G77="",0,INT((H77-MOD(H77-1,7)-G77)/7)+1-IF(BA77,IF(WEEKDAY(F77)=1,1,0),0))</f>
        <v>5</v>
      </c>
      <c r="BA77" s="42">
        <v>1</v>
      </c>
      <c r="BB77" s="10">
        <f>IF(AND($E77=MONTH(Summary!$E$24),$D77=YEAR(Summary!$E$24)),Summary!$E$25,1)*IF(G77="",0,H77-G77+1)</f>
        <v>31</v>
      </c>
      <c r="BC77" s="914">
        <f>Summary!$E$19</f>
        <v>1.4999999999999999E-2</v>
      </c>
      <c r="BD77" s="113">
        <v>14893.2</v>
      </c>
      <c r="BE77" s="171">
        <v>2836.8</v>
      </c>
      <c r="BF77" s="171">
        <v>4255.2</v>
      </c>
      <c r="BG77" s="174"/>
      <c r="BH77" s="1198">
        <v>1</v>
      </c>
      <c r="BI77" s="1198">
        <v>1</v>
      </c>
      <c r="BJ77" s="1198">
        <v>1</v>
      </c>
      <c r="BK77" s="1198">
        <v>1</v>
      </c>
      <c r="BL77" s="95">
        <v>2978.64</v>
      </c>
      <c r="BM77" s="171">
        <v>567.36</v>
      </c>
      <c r="BN77" s="171">
        <v>851.04</v>
      </c>
      <c r="BO77" s="174"/>
      <c r="BP77" s="1198">
        <v>1</v>
      </c>
      <c r="BQ77" s="1199">
        <v>1</v>
      </c>
      <c r="BR77" s="1199">
        <v>1</v>
      </c>
      <c r="BS77" s="1200">
        <v>1</v>
      </c>
      <c r="BT77" s="94">
        <f t="shared" si="29"/>
        <v>21985.200000000001</v>
      </c>
      <c r="BU77" s="233">
        <f t="shared" si="30"/>
        <v>21985.200000000001</v>
      </c>
      <c r="BV77" s="92">
        <f t="shared" si="31"/>
        <v>4397.04</v>
      </c>
      <c r="BW77" s="233">
        <f t="shared" si="32"/>
        <v>4397.04</v>
      </c>
      <c r="BX77" s="88">
        <v>5.0485968514715944</v>
      </c>
      <c r="BY77" s="90">
        <v>0</v>
      </c>
      <c r="BZ77" s="88">
        <v>0</v>
      </c>
      <c r="CA77" s="88">
        <v>0</v>
      </c>
      <c r="CB77" s="88">
        <v>0</v>
      </c>
      <c r="CC77" s="88">
        <v>0</v>
      </c>
      <c r="CD77" s="88">
        <v>0</v>
      </c>
      <c r="CE77" s="100">
        <v>0</v>
      </c>
      <c r="CF77" s="88">
        <v>0</v>
      </c>
      <c r="CG77" s="88">
        <v>0</v>
      </c>
      <c r="CH77" s="88">
        <v>0</v>
      </c>
      <c r="CI77" s="88">
        <v>0</v>
      </c>
      <c r="CJ77" s="228">
        <v>0</v>
      </c>
      <c r="CK77" s="88">
        <v>0</v>
      </c>
      <c r="CL77" s="88">
        <v>0</v>
      </c>
      <c r="CM77" s="88">
        <v>0</v>
      </c>
      <c r="CN77" s="88">
        <v>0</v>
      </c>
      <c r="CO77" s="88">
        <v>0</v>
      </c>
      <c r="CP77" s="88">
        <v>0</v>
      </c>
      <c r="CQ77" s="229">
        <v>0</v>
      </c>
      <c r="CR77" s="91">
        <v>0</v>
      </c>
      <c r="CS77" s="91">
        <v>0</v>
      </c>
      <c r="CT77" s="91">
        <v>0</v>
      </c>
      <c r="CU77" s="91">
        <v>0</v>
      </c>
      <c r="CV77" s="91">
        <v>0</v>
      </c>
      <c r="CW77" s="91">
        <v>0</v>
      </c>
      <c r="CX77" s="225">
        <v>0</v>
      </c>
      <c r="CY77" s="1265">
        <v>7734.5854399999998</v>
      </c>
      <c r="CZ77" s="90">
        <v>0</v>
      </c>
      <c r="DA77" s="88">
        <v>0</v>
      </c>
      <c r="DB77" s="88">
        <v>0</v>
      </c>
      <c r="DC77" s="88">
        <v>0</v>
      </c>
      <c r="DD77" s="88">
        <v>0</v>
      </c>
      <c r="DE77" s="152">
        <v>0</v>
      </c>
      <c r="DF77" s="230">
        <v>0</v>
      </c>
      <c r="DG77" s="38">
        <v>0</v>
      </c>
      <c r="DH77" s="1237">
        <v>0</v>
      </c>
      <c r="DI77" s="956">
        <v>0</v>
      </c>
      <c r="DJ77" s="956">
        <v>0</v>
      </c>
      <c r="DK77" s="956">
        <v>0</v>
      </c>
      <c r="DL77" s="152">
        <v>0</v>
      </c>
      <c r="DM77" s="160">
        <v>0</v>
      </c>
      <c r="DN77" s="160">
        <v>0</v>
      </c>
      <c r="DO77" s="160">
        <v>0</v>
      </c>
      <c r="DP77" s="160">
        <v>0</v>
      </c>
      <c r="DQ77" s="160">
        <v>0</v>
      </c>
      <c r="DR77" s="230">
        <v>0</v>
      </c>
      <c r="DS77" s="88">
        <v>0</v>
      </c>
      <c r="DT77" s="88">
        <v>0</v>
      </c>
      <c r="DU77" s="88">
        <v>0</v>
      </c>
      <c r="DV77" s="88">
        <v>0</v>
      </c>
      <c r="DW77" s="88">
        <v>0</v>
      </c>
      <c r="DX77" s="88">
        <v>0</v>
      </c>
      <c r="DY77" s="88">
        <v>0</v>
      </c>
      <c r="DZ77" s="88">
        <v>0</v>
      </c>
      <c r="EA77" s="88">
        <v>0</v>
      </c>
      <c r="EB77" s="152">
        <v>0</v>
      </c>
      <c r="EC77" s="52">
        <f t="shared" si="33"/>
        <v>0</v>
      </c>
      <c r="ED77" s="52">
        <f t="shared" si="33"/>
        <v>0</v>
      </c>
      <c r="EE77" s="52">
        <f t="shared" si="33"/>
        <v>0</v>
      </c>
      <c r="EF77" s="52">
        <f t="shared" si="33"/>
        <v>0</v>
      </c>
      <c r="EG77" s="52">
        <f t="shared" si="34"/>
        <v>0</v>
      </c>
      <c r="EH77" s="238">
        <v>0</v>
      </c>
      <c r="EI77" s="211">
        <v>0</v>
      </c>
      <c r="EJ77" s="211">
        <v>0</v>
      </c>
      <c r="EK77" s="211">
        <v>0</v>
      </c>
      <c r="EL77" s="217">
        <f>IF(C77&gt;=Summary!$E$26,MAX(0,SUM(EH77:EK77)),0)</f>
        <v>0</v>
      </c>
      <c r="EM77" s="52">
        <f>IF(C77&gt;=Summary!$E$26,DX77*BL77,0)</f>
        <v>0</v>
      </c>
      <c r="EN77" s="52">
        <f>IF(C77&gt;=Summary!$E$26,DY77*BM77,0)</f>
        <v>0</v>
      </c>
      <c r="EO77" s="52">
        <f>IF(C77&gt;=Summary!$E$26,DZ77*BN77,0)</f>
        <v>0</v>
      </c>
      <c r="EP77" s="52">
        <f>IF(C77&gt;=Summary!$E$26,EA77*BO77,0)</f>
        <v>0</v>
      </c>
      <c r="EQ77" s="52">
        <f>IF(C77&gt;=Summary!$E$26,DX77*BL77+DY77*BM77+DZ77*BN77+EA77*BO77,0)</f>
        <v>0</v>
      </c>
      <c r="ER77" s="826">
        <v>0</v>
      </c>
      <c r="ES77" s="278">
        <v>0</v>
      </c>
      <c r="ET77" s="278">
        <v>0</v>
      </c>
      <c r="EU77" s="278">
        <v>0</v>
      </c>
      <c r="EV77" s="212">
        <f>IF(C77&gt;=Summary!$E$26,MAX(0,SUM(ER77:EU77)),0)</f>
        <v>0</v>
      </c>
      <c r="EW77" s="52"/>
      <c r="EX77" s="1049">
        <f t="shared" si="35"/>
        <v>0</v>
      </c>
      <c r="EY77" s="1045" t="str">
        <f t="shared" si="36"/>
        <v/>
      </c>
      <c r="EZ77" s="1684" t="s">
        <v>525</v>
      </c>
      <c r="FA77" s="1046">
        <f t="shared" si="54"/>
        <v>45</v>
      </c>
      <c r="FB77" s="256">
        <f t="shared" si="37"/>
        <v>9308.25</v>
      </c>
      <c r="FC77" s="194">
        <f t="shared" si="38"/>
        <v>2792.4749999999999</v>
      </c>
      <c r="FD77" s="194">
        <f t="shared" si="39"/>
        <v>1773</v>
      </c>
      <c r="FE77" s="194">
        <f t="shared" si="40"/>
        <v>531.9</v>
      </c>
      <c r="FF77" s="194">
        <f t="shared" si="41"/>
        <v>2659.5</v>
      </c>
      <c r="FG77" s="194">
        <f t="shared" si="42"/>
        <v>797.85</v>
      </c>
      <c r="FH77" s="257">
        <f>IF(EZ77="No",IF((OR(MONTH(C77)=5,MONTH(C77)=6,MONTH(C77)=7,MONTH(C77)=8,MONTH(C77)=9)),Summary!$O$15*12*(AX77+AY77+AZ77+BA77)*(1-$BC77),Summary!$O$15*13*(AX77+AY77+AZ77+BA77)*(1-$BC77)+IF(Summary!$O$16="Yes",(CALC!FA77+Summary!$O$15)*6*(AX77+AY77+AZ77+BA77)*(1-$BC77),0)),0)</f>
        <v>0</v>
      </c>
      <c r="FI77" s="1412">
        <f>IF(MONTH(C77)=5,FI76*(IF(Summary!$E$70="no",(1+(Summary!$E$71*0.8)),1+HLOOKUP(YEAR(C77)-1,CCFMODEL!$I$127:$AF$128,2)*0.8)),+FI76)</f>
        <v>29.95183638040762</v>
      </c>
      <c r="FJ77" s="1411">
        <f>IF(MONTH(C77)=5,FJ76*(IF(Summary!$E$70="no",(1+(Summary!$E$71*0.8)),1+HLOOKUP(YEAR(CALC!C77)-1,CCFMODEL!$I$127:$AF$128,2)*0.8)),FJ76)</f>
        <v>26.178376678938939</v>
      </c>
      <c r="FK77" s="832">
        <f t="shared" si="1"/>
        <v>535028.9044673118</v>
      </c>
      <c r="FL77" s="1412">
        <f>IF(MONTH(C77)=5,FL76*(IF(Summary!$E$70="no",(1+(Summary!$E$71*0.8)),1+HLOOKUP(YEAR(CALC!C77)-1,CCFMODEL!$I$127:$AF$128,2)*0.8)),+FL76)</f>
        <v>62.99206983791013</v>
      </c>
      <c r="FM77" s="1411">
        <f>IF(MONTH(C77)=5,FM76*(IF(Summary!$E$70="no",(1+(Summary!$E$71*0.8)),1+HLOOKUP(YEAR(CALC!C77)-1,CCFMODEL!$I$127:$AF$128,2)*0.8)),+FM76)</f>
        <v>30.064141728665611</v>
      </c>
      <c r="FN77" s="832">
        <f t="shared" si="2"/>
        <v>545213.21024935087</v>
      </c>
      <c r="FO77" s="194">
        <f t="shared" si="43"/>
        <v>1080242.1147166626</v>
      </c>
      <c r="FP77" s="263">
        <f t="shared" si="69"/>
        <v>9308.25</v>
      </c>
      <c r="FQ77" s="194">
        <f t="shared" si="69"/>
        <v>2792.4749999999999</v>
      </c>
      <c r="FR77" s="194">
        <f t="shared" si="69"/>
        <v>1773</v>
      </c>
      <c r="FS77" s="194">
        <f t="shared" si="68"/>
        <v>531.9</v>
      </c>
      <c r="FT77" s="194">
        <f t="shared" si="68"/>
        <v>2659.5</v>
      </c>
      <c r="FU77" s="194">
        <f t="shared" si="68"/>
        <v>797.85</v>
      </c>
      <c r="FV77" s="257">
        <f t="shared" si="68"/>
        <v>0</v>
      </c>
      <c r="FW77" s="189">
        <f t="shared" si="4"/>
        <v>0</v>
      </c>
      <c r="FX77" s="189">
        <f t="shared" si="5"/>
        <v>0</v>
      </c>
      <c r="FY77" s="189">
        <f t="shared" si="6"/>
        <v>0</v>
      </c>
      <c r="FZ77" s="258">
        <f t="shared" si="7"/>
        <v>0</v>
      </c>
      <c r="GA77" s="1293">
        <f>(SUM(FP77:FV77)+SUM(GU77:HB77)/(1-Summary!$O$25))*CY77/1000</f>
        <v>235939.39084398959</v>
      </c>
      <c r="GB77" s="1369">
        <f>IF($C77&lt;Summary!$M$81,+Summary!$O$81,VLOOKUP(C77,GasTable,19))</f>
        <v>2.4</v>
      </c>
      <c r="GC77" s="1370">
        <f>IF(H77&lt;=Summary!$N$84,MIN(GA77,Summary!$O$75*(H77-G77+1)),0)</f>
        <v>155000</v>
      </c>
      <c r="GD77" s="1371">
        <f>IF(Summary!$O$75*(H77-G77+1)*0.8&gt;GC77,1,0)</f>
        <v>0</v>
      </c>
      <c r="GE77" s="1372">
        <v>0</v>
      </c>
      <c r="GF77" s="1370">
        <f t="shared" si="8"/>
        <v>80939.390843989589</v>
      </c>
      <c r="GG77" s="1371">
        <f>GF77*(IF(Summary!$O$74=1,VLOOKUP($C77,GasTable,16)+Summary!$O$92+Summary!$O$93,VLOOKUP($C77,GasTable,19)+Summary!$O$92+Summary!$O$93))</f>
        <v>250772.25788311116</v>
      </c>
      <c r="GH77" s="1373">
        <v>20590.2</v>
      </c>
      <c r="GI77" s="1466">
        <v>0</v>
      </c>
      <c r="GJ77" s="1374">
        <f t="shared" si="44"/>
        <v>643362.45788311108</v>
      </c>
      <c r="GK77" s="189">
        <f t="shared" si="9"/>
        <v>30062.012849999999</v>
      </c>
      <c r="GL77" s="266">
        <v>0.75953629020800006</v>
      </c>
      <c r="GM77" s="255">
        <f t="shared" si="10"/>
        <v>15221</v>
      </c>
      <c r="GN77" s="189">
        <f>IF(SUM(GU77:HB77)=0,0,IF(Summary!$O$16="Yes",SUM(GX77:HB77),IF(Summary!$O$17="Yes",SUM(GY77:HB77),SUM(GU77:HB77))))</f>
        <v>12199.037849999999</v>
      </c>
      <c r="GO77" s="203">
        <v>2.7585222762877999</v>
      </c>
      <c r="GP77" s="258">
        <f t="shared" si="45"/>
        <v>33651.317658503023</v>
      </c>
      <c r="GQ77" s="189"/>
      <c r="GR77" s="189"/>
      <c r="GS77" s="189"/>
      <c r="GT77" s="189"/>
      <c r="GU77" s="268">
        <v>5389.4767500000007</v>
      </c>
      <c r="GV77" s="189">
        <v>1026.5670000000002</v>
      </c>
      <c r="GW77" s="189">
        <v>1539.8504999999998</v>
      </c>
      <c r="GX77" s="189"/>
      <c r="GY77" s="254">
        <v>2874.3875999999996</v>
      </c>
      <c r="GZ77" s="189">
        <v>547.50239999999997</v>
      </c>
      <c r="HA77" s="189">
        <v>821.25359999999989</v>
      </c>
      <c r="HB77" s="255"/>
      <c r="HC77" s="189">
        <v>12199.037849999999</v>
      </c>
      <c r="HD77" s="189"/>
      <c r="HE77" s="189">
        <v>20950.521524999996</v>
      </c>
      <c r="HF77" s="189">
        <v>463387.31944128848</v>
      </c>
      <c r="HG77" s="189"/>
      <c r="HH77" s="203">
        <v>37.694683569635586</v>
      </c>
      <c r="HI77" s="189">
        <v>789723.27950371406</v>
      </c>
      <c r="HJ77" s="268">
        <f t="shared" si="11"/>
        <v>0</v>
      </c>
      <c r="HK77" s="189">
        <f t="shared" si="12"/>
        <v>0</v>
      </c>
      <c r="HL77" s="189">
        <f t="shared" si="13"/>
        <v>0</v>
      </c>
      <c r="HM77" s="255">
        <f t="shared" si="14"/>
        <v>0</v>
      </c>
      <c r="HN77" s="189">
        <f t="shared" si="15"/>
        <v>0</v>
      </c>
      <c r="HO77" s="203">
        <f t="shared" si="46"/>
        <v>0</v>
      </c>
      <c r="HP77" s="258">
        <f t="shared" si="16"/>
        <v>0</v>
      </c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R77" s="223"/>
    </row>
    <row r="78" spans="1:252" ht="13.8" thickBot="1">
      <c r="A78" t="str">
        <f t="shared" si="23"/>
        <v>2005Q1</v>
      </c>
      <c r="B78">
        <f t="shared" si="24"/>
        <v>2005</v>
      </c>
      <c r="C78" s="49">
        <f t="shared" si="25"/>
        <v>38384</v>
      </c>
      <c r="D78" s="115">
        <f t="shared" si="26"/>
        <v>2005</v>
      </c>
      <c r="E78" s="10">
        <f t="shared" si="55"/>
        <v>2</v>
      </c>
      <c r="F78" s="248" t="str">
        <f t="shared" si="57"/>
        <v/>
      </c>
      <c r="G78" s="245">
        <v>38384</v>
      </c>
      <c r="H78" s="251">
        <v>38411</v>
      </c>
      <c r="I78" s="959">
        <f t="shared" si="53"/>
        <v>7.1499999999999994E-2</v>
      </c>
      <c r="J78" s="37">
        <f t="shared" si="27"/>
        <v>0.69095925485391596</v>
      </c>
      <c r="K78" s="1036" t="e">
        <f>IF(Summary!#REF!=1,+Summary!#REF!,I78+Summary!#REF!/10000)</f>
        <v>#REF!</v>
      </c>
      <c r="L78" s="37" t="e">
        <f t="shared" si="28"/>
        <v>#REF!</v>
      </c>
      <c r="M78" s="1004">
        <v>0</v>
      </c>
      <c r="N78" s="38">
        <f t="shared" si="66"/>
        <v>0</v>
      </c>
      <c r="O78" s="40">
        <f t="shared" si="66"/>
        <v>0</v>
      </c>
      <c r="P78" s="159">
        <f t="shared" si="60"/>
        <v>0</v>
      </c>
      <c r="Q78" s="38">
        <f t="shared" si="67"/>
        <v>0</v>
      </c>
      <c r="R78" s="40">
        <f t="shared" si="67"/>
        <v>0</v>
      </c>
      <c r="S78" s="38">
        <f t="shared" si="67"/>
        <v>0</v>
      </c>
      <c r="T78" s="38">
        <f t="shared" si="67"/>
        <v>0</v>
      </c>
      <c r="U78" s="38">
        <f t="shared" si="67"/>
        <v>0</v>
      </c>
      <c r="V78" s="159">
        <f t="shared" si="67"/>
        <v>0</v>
      </c>
      <c r="W78" s="38">
        <f t="shared" si="67"/>
        <v>0</v>
      </c>
      <c r="X78" s="39">
        <f t="shared" si="67"/>
        <v>0</v>
      </c>
      <c r="Y78" s="46">
        <v>0</v>
      </c>
      <c r="Z78" s="46">
        <v>0</v>
      </c>
      <c r="AA78" s="47">
        <v>0</v>
      </c>
      <c r="AB78" s="46">
        <v>0</v>
      </c>
      <c r="AC78" s="46">
        <v>0</v>
      </c>
      <c r="AD78" s="47">
        <v>0</v>
      </c>
      <c r="AE78" s="46">
        <v>0</v>
      </c>
      <c r="AF78" s="46">
        <v>0</v>
      </c>
      <c r="AG78" s="47">
        <v>0</v>
      </c>
      <c r="AH78" s="46">
        <v>0</v>
      </c>
      <c r="AI78" s="46">
        <v>0</v>
      </c>
      <c r="AJ78" s="47">
        <v>0</v>
      </c>
      <c r="AK78" s="46">
        <v>0</v>
      </c>
      <c r="AL78" s="46">
        <v>0</v>
      </c>
      <c r="AM78" s="47">
        <v>0</v>
      </c>
      <c r="AN78" s="46">
        <v>0</v>
      </c>
      <c r="AO78" s="46">
        <v>0</v>
      </c>
      <c r="AP78" s="47">
        <v>0</v>
      </c>
      <c r="AQ78" s="46">
        <v>0</v>
      </c>
      <c r="AR78" s="46">
        <v>0</v>
      </c>
      <c r="AS78" s="47">
        <v>0</v>
      </c>
      <c r="AT78" s="46">
        <v>0</v>
      </c>
      <c r="AU78" s="46">
        <v>0</v>
      </c>
      <c r="AV78" s="46">
        <v>0</v>
      </c>
      <c r="AW78" s="1545">
        <v>0</v>
      </c>
      <c r="AX78" s="10">
        <f t="shared" si="56"/>
        <v>20</v>
      </c>
      <c r="AY78" s="42">
        <f>IF(AND($E78=MONTH(Summary!$E$24),$D78=YEAR(Summary!$E$24)),Summary!$E$25,1)*IF(G78="",0,INT((H78-MOD(H78,7)-G78)/7)+1-IF(BA78,IF(WEEKDAY(F78)=7,1,0),0))</f>
        <v>4</v>
      </c>
      <c r="AZ78" s="42">
        <f>IF(AND($E78=MONTH(Summary!$E$24),$D78=YEAR(Summary!$E$24)),Summary!$E$25,1)*IF(G78="",0,INT((H78-MOD(H78-1,7)-G78)/7)+1-IF(BA78,IF(WEEKDAY(F78)=1,1,0),0))</f>
        <v>4</v>
      </c>
      <c r="BA78" s="42">
        <v>0</v>
      </c>
      <c r="BB78" s="10">
        <f>IF(AND($E78=MONTH(Summary!$E$24),$D78=YEAR(Summary!$E$24)),Summary!$E$25,1)*IF(G78="",0,H78-G78+1)</f>
        <v>28</v>
      </c>
      <c r="BC78" s="914">
        <f>Summary!$E$19</f>
        <v>1.4999999999999999E-2</v>
      </c>
      <c r="BD78" s="113">
        <v>14184</v>
      </c>
      <c r="BE78" s="171">
        <v>2836.8</v>
      </c>
      <c r="BF78" s="171">
        <v>2836.8</v>
      </c>
      <c r="BG78" s="174"/>
      <c r="BH78" s="1198">
        <v>1</v>
      </c>
      <c r="BI78" s="1198">
        <v>1</v>
      </c>
      <c r="BJ78" s="1198">
        <v>1</v>
      </c>
      <c r="BK78" s="1198">
        <v>1</v>
      </c>
      <c r="BL78" s="95">
        <v>2836.8</v>
      </c>
      <c r="BM78" s="171">
        <v>567.36</v>
      </c>
      <c r="BN78" s="171">
        <v>567.36</v>
      </c>
      <c r="BO78" s="174"/>
      <c r="BP78" s="1198">
        <v>1</v>
      </c>
      <c r="BQ78" s="1199">
        <v>1</v>
      </c>
      <c r="BR78" s="1199">
        <v>1</v>
      </c>
      <c r="BS78" s="1200">
        <v>1</v>
      </c>
      <c r="BT78" s="94">
        <f t="shared" si="29"/>
        <v>19857.599999999999</v>
      </c>
      <c r="BU78" s="233">
        <f t="shared" si="30"/>
        <v>19857.599999999999</v>
      </c>
      <c r="BV78" s="92">
        <f t="shared" si="31"/>
        <v>3971.5200000000004</v>
      </c>
      <c r="BW78" s="233">
        <f t="shared" si="32"/>
        <v>3971.5200000000004</v>
      </c>
      <c r="BX78" s="88">
        <v>5.1334702258726903</v>
      </c>
      <c r="BY78" s="90">
        <v>0</v>
      </c>
      <c r="BZ78" s="88">
        <v>0</v>
      </c>
      <c r="CA78" s="88">
        <v>0</v>
      </c>
      <c r="CB78" s="88">
        <v>0</v>
      </c>
      <c r="CC78" s="88">
        <v>0</v>
      </c>
      <c r="CD78" s="88">
        <v>0</v>
      </c>
      <c r="CE78" s="100">
        <v>0</v>
      </c>
      <c r="CF78" s="88">
        <v>0</v>
      </c>
      <c r="CG78" s="88">
        <v>0</v>
      </c>
      <c r="CH78" s="88">
        <v>0</v>
      </c>
      <c r="CI78" s="88">
        <v>0</v>
      </c>
      <c r="CJ78" s="228">
        <v>0</v>
      </c>
      <c r="CK78" s="88">
        <v>0</v>
      </c>
      <c r="CL78" s="88">
        <v>0</v>
      </c>
      <c r="CM78" s="88">
        <v>0</v>
      </c>
      <c r="CN78" s="88">
        <v>0</v>
      </c>
      <c r="CO78" s="88">
        <v>0</v>
      </c>
      <c r="CP78" s="88">
        <v>0</v>
      </c>
      <c r="CQ78" s="229">
        <v>0</v>
      </c>
      <c r="CR78" s="91">
        <v>0</v>
      </c>
      <c r="CS78" s="91">
        <v>0</v>
      </c>
      <c r="CT78" s="91">
        <v>0</v>
      </c>
      <c r="CU78" s="91">
        <v>0</v>
      </c>
      <c r="CV78" s="91">
        <v>0</v>
      </c>
      <c r="CW78" s="91">
        <v>0</v>
      </c>
      <c r="CX78" s="225">
        <v>0</v>
      </c>
      <c r="CY78" s="1265">
        <v>7735.88832</v>
      </c>
      <c r="CZ78" s="90">
        <v>0</v>
      </c>
      <c r="DA78" s="88">
        <v>0</v>
      </c>
      <c r="DB78" s="88">
        <v>0</v>
      </c>
      <c r="DC78" s="88">
        <v>0</v>
      </c>
      <c r="DD78" s="88">
        <v>0</v>
      </c>
      <c r="DE78" s="152">
        <v>0</v>
      </c>
      <c r="DF78" s="230">
        <v>0</v>
      </c>
      <c r="DG78" s="38">
        <v>0</v>
      </c>
      <c r="DH78" s="1237">
        <v>0</v>
      </c>
      <c r="DI78" s="956">
        <v>0</v>
      </c>
      <c r="DJ78" s="956">
        <v>0</v>
      </c>
      <c r="DK78" s="956">
        <v>0</v>
      </c>
      <c r="DL78" s="152">
        <v>0</v>
      </c>
      <c r="DM78" s="160">
        <v>0</v>
      </c>
      <c r="DN78" s="160">
        <v>0</v>
      </c>
      <c r="DO78" s="160">
        <v>0</v>
      </c>
      <c r="DP78" s="160">
        <v>0</v>
      </c>
      <c r="DQ78" s="160">
        <v>0</v>
      </c>
      <c r="DR78" s="230">
        <v>0</v>
      </c>
      <c r="DS78" s="88">
        <v>0</v>
      </c>
      <c r="DT78" s="88">
        <v>0</v>
      </c>
      <c r="DU78" s="88">
        <v>0</v>
      </c>
      <c r="DV78" s="88">
        <v>0</v>
      </c>
      <c r="DW78" s="88">
        <v>0</v>
      </c>
      <c r="DX78" s="88">
        <v>0</v>
      </c>
      <c r="DY78" s="88">
        <v>0</v>
      </c>
      <c r="DZ78" s="88">
        <v>0</v>
      </c>
      <c r="EA78" s="88">
        <v>0</v>
      </c>
      <c r="EB78" s="152">
        <v>0</v>
      </c>
      <c r="EC78" s="52">
        <f t="shared" si="33"/>
        <v>0</v>
      </c>
      <c r="ED78" s="52">
        <f t="shared" si="33"/>
        <v>0</v>
      </c>
      <c r="EE78" s="52">
        <f t="shared" si="33"/>
        <v>0</v>
      </c>
      <c r="EF78" s="52">
        <f t="shared" si="33"/>
        <v>0</v>
      </c>
      <c r="EG78" s="52">
        <f t="shared" si="34"/>
        <v>0</v>
      </c>
      <c r="EH78" s="238">
        <v>0</v>
      </c>
      <c r="EI78" s="211">
        <v>0</v>
      </c>
      <c r="EJ78" s="211">
        <v>0</v>
      </c>
      <c r="EK78" s="211">
        <v>0</v>
      </c>
      <c r="EL78" s="217">
        <f>IF(C78&gt;=Summary!$E$26,MAX(0,SUM(EH78:EK78)),0)</f>
        <v>0</v>
      </c>
      <c r="EM78" s="52">
        <f>IF(C78&gt;=Summary!$E$26,DX78*BL78,0)</f>
        <v>0</v>
      </c>
      <c r="EN78" s="52">
        <f>IF(C78&gt;=Summary!$E$26,DY78*BM78,0)</f>
        <v>0</v>
      </c>
      <c r="EO78" s="52">
        <f>IF(C78&gt;=Summary!$E$26,DZ78*BN78,0)</f>
        <v>0</v>
      </c>
      <c r="EP78" s="52">
        <f>IF(C78&gt;=Summary!$E$26,EA78*BO78,0)</f>
        <v>0</v>
      </c>
      <c r="EQ78" s="52">
        <f>IF(C78&gt;=Summary!$E$26,DX78*BL78+DY78*BM78+DZ78*BN78+EA78*BO78,0)</f>
        <v>0</v>
      </c>
      <c r="ER78" s="826">
        <v>0</v>
      </c>
      <c r="ES78" s="278">
        <v>0</v>
      </c>
      <c r="ET78" s="278">
        <v>0</v>
      </c>
      <c r="EU78" s="278">
        <v>0</v>
      </c>
      <c r="EV78" s="212">
        <f>IF(C78&gt;=Summary!$E$26,MAX(0,SUM(ER78:EU78)),0)</f>
        <v>0</v>
      </c>
      <c r="EW78" s="52"/>
      <c r="EX78" s="1049">
        <f t="shared" si="35"/>
        <v>0</v>
      </c>
      <c r="EY78" s="1045" t="str">
        <f t="shared" si="36"/>
        <v/>
      </c>
      <c r="EZ78" s="1684" t="s">
        <v>525</v>
      </c>
      <c r="FA78" s="1046">
        <f t="shared" si="54"/>
        <v>45</v>
      </c>
      <c r="FB78" s="256">
        <f t="shared" si="37"/>
        <v>8865</v>
      </c>
      <c r="FC78" s="194">
        <f t="shared" si="38"/>
        <v>2659.5</v>
      </c>
      <c r="FD78" s="194">
        <f t="shared" si="39"/>
        <v>1773</v>
      </c>
      <c r="FE78" s="194">
        <f t="shared" si="40"/>
        <v>531.9</v>
      </c>
      <c r="FF78" s="194">
        <f t="shared" si="41"/>
        <v>1773</v>
      </c>
      <c r="FG78" s="194">
        <f t="shared" si="42"/>
        <v>531.9</v>
      </c>
      <c r="FH78" s="257">
        <f>IF(EZ78="No",IF((OR(MONTH(C78)=5,MONTH(C78)=6,MONTH(C78)=7,MONTH(C78)=8,MONTH(C78)=9)),Summary!$O$15*12*(AX78+AY78+AZ78+BA78)*(1-$BC78),Summary!$O$15*13*(AX78+AY78+AZ78+BA78)*(1-$BC78)+IF(Summary!$O$16="Yes",(CALC!FA78+Summary!$O$15)*6*(AX78+AY78+AZ78+BA78)*(1-$BC78),0)),0)</f>
        <v>0</v>
      </c>
      <c r="FI78" s="1412">
        <f>IF(MONTH(C78)=5,FI77*(IF(Summary!$E$70="no",(1+(Summary!$E$71*0.8)),1+HLOOKUP(YEAR(C78)-1,CCFMODEL!$I$127:$AF$128,2)*0.8)),+FI77)</f>
        <v>29.95183638040762</v>
      </c>
      <c r="FJ78" s="1411">
        <f>IF(MONTH(C78)=5,FJ77*(IF(Summary!$E$70="no",(1+(Summary!$E$71*0.8)),1+HLOOKUP(YEAR(CALC!C78)-1,CCFMODEL!$I$127:$AF$128,2)*0.8)),FJ77)</f>
        <v>26.178376678938939</v>
      </c>
      <c r="FK78" s="832">
        <f t="shared" si="1"/>
        <v>483251.91371241066</v>
      </c>
      <c r="FL78" s="1412">
        <f>IF(MONTH(C78)=5,FL77*(IF(Summary!$E$70="no",(1+(Summary!$E$71*0.8)),1+HLOOKUP(YEAR(CALC!C78)-1,CCFMODEL!$I$127:$AF$128,2)*0.8)),+FL77)</f>
        <v>62.99206983791013</v>
      </c>
      <c r="FM78" s="1411">
        <f>IF(MONTH(C78)=5,FM77*(IF(Summary!$E$70="no",(1+(Summary!$E$71*0.8)),1+HLOOKUP(YEAR(CALC!C78)-1,CCFMODEL!$I$127:$AF$128,2)*0.8)),+FM77)</f>
        <v>30.064141728665611</v>
      </c>
      <c r="FN78" s="832">
        <f t="shared" si="2"/>
        <v>492450.64151554269</v>
      </c>
      <c r="FO78" s="194">
        <f t="shared" si="43"/>
        <v>975702.55522795336</v>
      </c>
      <c r="FP78" s="263">
        <f t="shared" si="69"/>
        <v>8865</v>
      </c>
      <c r="FQ78" s="194">
        <f t="shared" si="69"/>
        <v>2659.5</v>
      </c>
      <c r="FR78" s="194">
        <f t="shared" si="69"/>
        <v>1773</v>
      </c>
      <c r="FS78" s="194">
        <f t="shared" si="68"/>
        <v>531.9</v>
      </c>
      <c r="FT78" s="194">
        <f t="shared" si="68"/>
        <v>1773</v>
      </c>
      <c r="FU78" s="194">
        <f t="shared" si="68"/>
        <v>531.9</v>
      </c>
      <c r="FV78" s="257">
        <f t="shared" si="68"/>
        <v>0</v>
      </c>
      <c r="FW78" s="189">
        <f t="shared" si="4"/>
        <v>0</v>
      </c>
      <c r="FX78" s="189">
        <f t="shared" si="5"/>
        <v>0</v>
      </c>
      <c r="FY78" s="189">
        <f t="shared" si="6"/>
        <v>0</v>
      </c>
      <c r="FZ78" s="258">
        <f t="shared" si="7"/>
        <v>0</v>
      </c>
      <c r="GA78" s="1293">
        <f>(SUM(FP78:FV78)+SUM(GU78:HB78)/(1-Summary!$O$25))*CY78/1000</f>
        <v>213142.44406573439</v>
      </c>
      <c r="GB78" s="1369">
        <f>IF($C78&lt;Summary!$M$81,+Summary!$O$81,VLOOKUP(C78,GasTable,19))</f>
        <v>2.4</v>
      </c>
      <c r="GC78" s="1370">
        <f>IF(H78&lt;=Summary!$N$84,MIN(GA78,Summary!$O$75*(H78-G78+1)),0)</f>
        <v>140000</v>
      </c>
      <c r="GD78" s="1371">
        <f>IF(Summary!$O$75*(H78-G78+1)*0.8&gt;GC78,1,0)</f>
        <v>0</v>
      </c>
      <c r="GE78" s="1372">
        <v>0</v>
      </c>
      <c r="GF78" s="1370">
        <f t="shared" si="8"/>
        <v>73142.444065734395</v>
      </c>
      <c r="GG78" s="1371">
        <f>GF78*(IF(Summary!$O$74=1,VLOOKUP($C78,GasTable,16)+Summary!$O$92+Summary!$O$93,VLOOKUP($C78,GasTable,19)+Summary!$O$92+Summary!$O$93))</f>
        <v>209596.77297803506</v>
      </c>
      <c r="GH78" s="1373">
        <v>17914.400000000001</v>
      </c>
      <c r="GI78" s="1466">
        <v>0</v>
      </c>
      <c r="GJ78" s="1374">
        <f t="shared" si="44"/>
        <v>563511.17297803506</v>
      </c>
      <c r="GK78" s="189">
        <f t="shared" si="9"/>
        <v>27152.785799999998</v>
      </c>
      <c r="GL78" s="266">
        <v>0.7596642330240001</v>
      </c>
      <c r="GM78" s="255">
        <f t="shared" si="10"/>
        <v>13748.000000000002</v>
      </c>
      <c r="GN78" s="189">
        <f>IF(SUM(GU78:HB78)=0,0,IF(Summary!$O$16="Yes",SUM(GX78:HB78),IF(Summary!$O$17="Yes",SUM(GY78:HB78),SUM(GU78:HB78))))</f>
        <v>11018.485799999999</v>
      </c>
      <c r="GO78" s="203">
        <v>2.7585222762877999</v>
      </c>
      <c r="GP78" s="258">
        <f t="shared" si="45"/>
        <v>30394.738530260795</v>
      </c>
      <c r="GQ78" s="189"/>
      <c r="GR78" s="189"/>
      <c r="GS78" s="189"/>
      <c r="GT78" s="189"/>
      <c r="GU78" s="268">
        <v>5132.835</v>
      </c>
      <c r="GV78" s="189">
        <v>1026.5670000000002</v>
      </c>
      <c r="GW78" s="189">
        <v>1026.5670000000002</v>
      </c>
      <c r="GX78" s="189"/>
      <c r="GY78" s="254">
        <v>2737.5120000000002</v>
      </c>
      <c r="GZ78" s="189">
        <v>547.50239999999997</v>
      </c>
      <c r="HA78" s="189">
        <v>547.50239999999997</v>
      </c>
      <c r="HB78" s="255"/>
      <c r="HC78" s="189">
        <v>11018.485799999999</v>
      </c>
      <c r="HD78" s="189"/>
      <c r="HE78" s="189">
        <v>18923.051699999996</v>
      </c>
      <c r="HF78" s="189">
        <v>345544.36214041855</v>
      </c>
      <c r="HG78" s="189"/>
      <c r="HH78" s="203">
        <v>31.126287712242789</v>
      </c>
      <c r="HI78" s="189">
        <v>589004.35160784493</v>
      </c>
      <c r="HJ78" s="268">
        <f t="shared" si="11"/>
        <v>0</v>
      </c>
      <c r="HK78" s="189">
        <f t="shared" si="12"/>
        <v>0</v>
      </c>
      <c r="HL78" s="189">
        <f t="shared" si="13"/>
        <v>0</v>
      </c>
      <c r="HM78" s="255">
        <f t="shared" si="14"/>
        <v>0</v>
      </c>
      <c r="HN78" s="189">
        <f t="shared" si="15"/>
        <v>0</v>
      </c>
      <c r="HO78" s="203">
        <f t="shared" si="46"/>
        <v>0</v>
      </c>
      <c r="HP78" s="258">
        <f t="shared" si="16"/>
        <v>0</v>
      </c>
      <c r="HQ78" s="1194"/>
      <c r="HR78" s="859"/>
      <c r="HS78" s="859"/>
      <c r="HT78" s="859"/>
      <c r="HU78" s="859"/>
      <c r="HV78" s="859"/>
      <c r="HW78" s="859"/>
      <c r="HX78" s="859"/>
      <c r="HY78" s="859"/>
      <c r="HZ78" s="859"/>
      <c r="IA78" s="859"/>
      <c r="IB78" s="859"/>
      <c r="IC78" s="859"/>
      <c r="ID78" s="859"/>
      <c r="IE78" s="859"/>
      <c r="IF78" s="859"/>
      <c r="IG78" s="859"/>
      <c r="IH78" s="859"/>
      <c r="II78" s="859"/>
      <c r="IJ78" s="859"/>
      <c r="IK78" s="859"/>
      <c r="IL78" s="860"/>
      <c r="IR78" s="223"/>
    </row>
    <row r="79" spans="1:252" ht="13.8" thickBot="1">
      <c r="A79" t="str">
        <f t="shared" si="23"/>
        <v>2005Q1</v>
      </c>
      <c r="B79">
        <f t="shared" si="24"/>
        <v>2005</v>
      </c>
      <c r="C79" s="49">
        <f t="shared" si="25"/>
        <v>38412</v>
      </c>
      <c r="D79" s="115">
        <f t="shared" si="26"/>
        <v>2005</v>
      </c>
      <c r="E79" s="10">
        <f t="shared" si="55"/>
        <v>3</v>
      </c>
      <c r="F79" s="248" t="str">
        <f t="shared" si="57"/>
        <v/>
      </c>
      <c r="G79" s="245">
        <v>38412</v>
      </c>
      <c r="H79" s="251">
        <v>38442</v>
      </c>
      <c r="I79" s="959">
        <f t="shared" si="53"/>
        <v>7.1499999999999994E-2</v>
      </c>
      <c r="J79" s="37">
        <f t="shared" si="27"/>
        <v>0.68685167460717778</v>
      </c>
      <c r="K79" s="1036" t="e">
        <f>IF(Summary!#REF!=1,+Summary!#REF!,I79+Summary!#REF!/10000)</f>
        <v>#REF!</v>
      </c>
      <c r="L79" s="37" t="e">
        <f t="shared" si="28"/>
        <v>#REF!</v>
      </c>
      <c r="M79" s="1004">
        <v>0</v>
      </c>
      <c r="N79" s="38">
        <f t="shared" si="66"/>
        <v>0</v>
      </c>
      <c r="O79" s="40">
        <f t="shared" si="66"/>
        <v>0</v>
      </c>
      <c r="P79" s="159">
        <f t="shared" si="60"/>
        <v>0</v>
      </c>
      <c r="Q79" s="38">
        <f t="shared" ref="Q79:X88" si="70">P79</f>
        <v>0</v>
      </c>
      <c r="R79" s="40">
        <f t="shared" si="70"/>
        <v>0</v>
      </c>
      <c r="S79" s="38">
        <f t="shared" si="70"/>
        <v>0</v>
      </c>
      <c r="T79" s="38">
        <f t="shared" si="70"/>
        <v>0</v>
      </c>
      <c r="U79" s="38">
        <f t="shared" si="70"/>
        <v>0</v>
      </c>
      <c r="V79" s="159">
        <f t="shared" si="70"/>
        <v>0</v>
      </c>
      <c r="W79" s="38">
        <f t="shared" si="70"/>
        <v>0</v>
      </c>
      <c r="X79" s="39">
        <f t="shared" si="70"/>
        <v>0</v>
      </c>
      <c r="Y79" s="46">
        <v>0</v>
      </c>
      <c r="Z79" s="46">
        <v>0</v>
      </c>
      <c r="AA79" s="47">
        <v>0</v>
      </c>
      <c r="AB79" s="46">
        <v>0</v>
      </c>
      <c r="AC79" s="46">
        <v>0</v>
      </c>
      <c r="AD79" s="47">
        <v>0</v>
      </c>
      <c r="AE79" s="46">
        <v>0</v>
      </c>
      <c r="AF79" s="46">
        <v>0</v>
      </c>
      <c r="AG79" s="47">
        <v>0</v>
      </c>
      <c r="AH79" s="46">
        <v>0</v>
      </c>
      <c r="AI79" s="46">
        <v>0</v>
      </c>
      <c r="AJ79" s="47">
        <v>0</v>
      </c>
      <c r="AK79" s="46">
        <v>0</v>
      </c>
      <c r="AL79" s="46">
        <v>0</v>
      </c>
      <c r="AM79" s="47">
        <v>0</v>
      </c>
      <c r="AN79" s="46">
        <v>0</v>
      </c>
      <c r="AO79" s="46">
        <v>0</v>
      </c>
      <c r="AP79" s="47">
        <v>0</v>
      </c>
      <c r="AQ79" s="46">
        <v>0</v>
      </c>
      <c r="AR79" s="46">
        <v>0</v>
      </c>
      <c r="AS79" s="47">
        <v>0</v>
      </c>
      <c r="AT79" s="46">
        <v>0</v>
      </c>
      <c r="AU79" s="46">
        <v>0</v>
      </c>
      <c r="AV79" s="46">
        <v>0</v>
      </c>
      <c r="AW79" s="1545">
        <v>0</v>
      </c>
      <c r="AX79" s="10">
        <f t="shared" si="56"/>
        <v>23</v>
      </c>
      <c r="AY79" s="42">
        <f>IF(AND($E79=MONTH(Summary!$E$24),$D79=YEAR(Summary!$E$24)),Summary!$E$25,1)*IF(G79="",0,INT((H79-MOD(H79,7)-G79)/7)+1-IF(BA79,IF(WEEKDAY(F79)=7,1,0),0))</f>
        <v>4</v>
      </c>
      <c r="AZ79" s="42">
        <f>IF(AND($E79=MONTH(Summary!$E$24),$D79=YEAR(Summary!$E$24)),Summary!$E$25,1)*IF(G79="",0,INT((H79-MOD(H79-1,7)-G79)/7)+1-IF(BA79,IF(WEEKDAY(F79)=1,1,0),0))</f>
        <v>4</v>
      </c>
      <c r="BA79" s="42">
        <v>0</v>
      </c>
      <c r="BB79" s="10">
        <f>IF(AND($E79=MONTH(Summary!$E$24),$D79=YEAR(Summary!$E$24)),Summary!$E$25,1)*IF(G79="",0,H79-G79+1)</f>
        <v>31</v>
      </c>
      <c r="BC79" s="914">
        <f>Summary!$E$19</f>
        <v>1.4999999999999999E-2</v>
      </c>
      <c r="BD79" s="113">
        <v>16311.6</v>
      </c>
      <c r="BE79" s="171">
        <v>2836.8</v>
      </c>
      <c r="BF79" s="171">
        <v>2836.8</v>
      </c>
      <c r="BG79" s="174"/>
      <c r="BH79" s="1198">
        <v>1</v>
      </c>
      <c r="BI79" s="1198">
        <v>1</v>
      </c>
      <c r="BJ79" s="1198">
        <v>1</v>
      </c>
      <c r="BK79" s="1198">
        <v>1</v>
      </c>
      <c r="BL79" s="95">
        <v>3262.32</v>
      </c>
      <c r="BM79" s="171">
        <v>567.36</v>
      </c>
      <c r="BN79" s="171">
        <v>567.36</v>
      </c>
      <c r="BO79" s="174"/>
      <c r="BP79" s="1198">
        <v>1</v>
      </c>
      <c r="BQ79" s="1199">
        <v>1</v>
      </c>
      <c r="BR79" s="1199">
        <v>1</v>
      </c>
      <c r="BS79" s="1200">
        <v>1</v>
      </c>
      <c r="BT79" s="94">
        <f t="shared" si="29"/>
        <v>21985.200000000001</v>
      </c>
      <c r="BU79" s="233">
        <f t="shared" si="30"/>
        <v>21985.200000000001</v>
      </c>
      <c r="BV79" s="92">
        <f t="shared" si="31"/>
        <v>4397.04</v>
      </c>
      <c r="BW79" s="233">
        <f t="shared" si="32"/>
        <v>4397.04</v>
      </c>
      <c r="BX79" s="88">
        <v>5.2101300479123891</v>
      </c>
      <c r="BY79" s="90">
        <v>0</v>
      </c>
      <c r="BZ79" s="88">
        <v>0</v>
      </c>
      <c r="CA79" s="88">
        <v>0</v>
      </c>
      <c r="CB79" s="88">
        <v>0</v>
      </c>
      <c r="CC79" s="88">
        <v>0</v>
      </c>
      <c r="CD79" s="88">
        <v>0</v>
      </c>
      <c r="CE79" s="100">
        <v>0</v>
      </c>
      <c r="CF79" s="88">
        <v>0</v>
      </c>
      <c r="CG79" s="88">
        <v>0</v>
      </c>
      <c r="CH79" s="88">
        <v>0</v>
      </c>
      <c r="CI79" s="88">
        <v>0</v>
      </c>
      <c r="CJ79" s="228">
        <v>0</v>
      </c>
      <c r="CK79" s="88">
        <v>0</v>
      </c>
      <c r="CL79" s="88">
        <v>0</v>
      </c>
      <c r="CM79" s="88">
        <v>0</v>
      </c>
      <c r="CN79" s="88">
        <v>0</v>
      </c>
      <c r="CO79" s="88">
        <v>0</v>
      </c>
      <c r="CP79" s="88">
        <v>0</v>
      </c>
      <c r="CQ79" s="229">
        <v>0</v>
      </c>
      <c r="CR79" s="91">
        <v>0</v>
      </c>
      <c r="CS79" s="91">
        <v>0</v>
      </c>
      <c r="CT79" s="91">
        <v>0</v>
      </c>
      <c r="CU79" s="91">
        <v>0</v>
      </c>
      <c r="CV79" s="91">
        <v>0</v>
      </c>
      <c r="CW79" s="91">
        <v>0</v>
      </c>
      <c r="CX79" s="225">
        <v>0</v>
      </c>
      <c r="CY79" s="1265">
        <v>7737.1911999999993</v>
      </c>
      <c r="CZ79" s="90">
        <v>0</v>
      </c>
      <c r="DA79" s="88">
        <v>0</v>
      </c>
      <c r="DB79" s="88">
        <v>0</v>
      </c>
      <c r="DC79" s="88">
        <v>0</v>
      </c>
      <c r="DD79" s="88">
        <v>0</v>
      </c>
      <c r="DE79" s="152">
        <v>0</v>
      </c>
      <c r="DF79" s="230">
        <v>0</v>
      </c>
      <c r="DG79" s="38">
        <v>0</v>
      </c>
      <c r="DH79" s="1237">
        <v>0</v>
      </c>
      <c r="DI79" s="956">
        <v>0</v>
      </c>
      <c r="DJ79" s="956">
        <v>0</v>
      </c>
      <c r="DK79" s="956">
        <v>0</v>
      </c>
      <c r="DL79" s="152">
        <v>0</v>
      </c>
      <c r="DM79" s="160">
        <v>0</v>
      </c>
      <c r="DN79" s="160">
        <v>0</v>
      </c>
      <c r="DO79" s="160">
        <v>0</v>
      </c>
      <c r="DP79" s="160">
        <v>0</v>
      </c>
      <c r="DQ79" s="160">
        <v>0</v>
      </c>
      <c r="DR79" s="230">
        <v>0</v>
      </c>
      <c r="DS79" s="88">
        <v>0</v>
      </c>
      <c r="DT79" s="88">
        <v>0</v>
      </c>
      <c r="DU79" s="88">
        <v>0</v>
      </c>
      <c r="DV79" s="88">
        <v>0</v>
      </c>
      <c r="DW79" s="88">
        <v>0</v>
      </c>
      <c r="DX79" s="88">
        <v>0</v>
      </c>
      <c r="DY79" s="88">
        <v>0</v>
      </c>
      <c r="DZ79" s="88">
        <v>0</v>
      </c>
      <c r="EA79" s="88">
        <v>0</v>
      </c>
      <c r="EB79" s="152">
        <v>0</v>
      </c>
      <c r="EC79" s="52">
        <f t="shared" si="33"/>
        <v>0</v>
      </c>
      <c r="ED79" s="52">
        <f t="shared" si="33"/>
        <v>0</v>
      </c>
      <c r="EE79" s="52">
        <f t="shared" si="33"/>
        <v>0</v>
      </c>
      <c r="EF79" s="52">
        <f t="shared" si="33"/>
        <v>0</v>
      </c>
      <c r="EG79" s="52">
        <f t="shared" si="34"/>
        <v>0</v>
      </c>
      <c r="EH79" s="238">
        <v>0</v>
      </c>
      <c r="EI79" s="211">
        <v>0</v>
      </c>
      <c r="EJ79" s="211">
        <v>0</v>
      </c>
      <c r="EK79" s="211">
        <v>0</v>
      </c>
      <c r="EL79" s="217">
        <f>IF(C79&gt;=Summary!$E$26,MAX(0,SUM(EH79:EK79)),0)</f>
        <v>0</v>
      </c>
      <c r="EM79" s="52">
        <f>IF(C79&gt;=Summary!$E$26,DX79*BL79,0)</f>
        <v>0</v>
      </c>
      <c r="EN79" s="52">
        <f>IF(C79&gt;=Summary!$E$26,DY79*BM79,0)</f>
        <v>0</v>
      </c>
      <c r="EO79" s="52">
        <f>IF(C79&gt;=Summary!$E$26,DZ79*BN79,0)</f>
        <v>0</v>
      </c>
      <c r="EP79" s="52">
        <f>IF(C79&gt;=Summary!$E$26,EA79*BO79,0)</f>
        <v>0</v>
      </c>
      <c r="EQ79" s="52">
        <f>IF(C79&gt;=Summary!$E$26,DX79*BL79+DY79*BM79+DZ79*BN79+EA79*BO79,0)</f>
        <v>0</v>
      </c>
      <c r="ER79" s="826">
        <v>0</v>
      </c>
      <c r="ES79" s="278">
        <v>0</v>
      </c>
      <c r="ET79" s="278">
        <v>0</v>
      </c>
      <c r="EU79" s="278">
        <v>0</v>
      </c>
      <c r="EV79" s="212">
        <f>IF(C79&gt;=Summary!$E$26,MAX(0,SUM(ER79:EU79)),0)</f>
        <v>0</v>
      </c>
      <c r="EW79" s="52"/>
      <c r="EX79" s="1049">
        <f t="shared" si="35"/>
        <v>0</v>
      </c>
      <c r="EY79" s="1045" t="str">
        <f t="shared" si="36"/>
        <v/>
      </c>
      <c r="EZ79" s="1684" t="s">
        <v>525</v>
      </c>
      <c r="FA79" s="1046">
        <f t="shared" si="54"/>
        <v>45</v>
      </c>
      <c r="FB79" s="256">
        <f t="shared" si="37"/>
        <v>10194.75</v>
      </c>
      <c r="FC79" s="194">
        <f t="shared" si="38"/>
        <v>3058.4250000000002</v>
      </c>
      <c r="FD79" s="194">
        <f t="shared" si="39"/>
        <v>1773</v>
      </c>
      <c r="FE79" s="194">
        <f t="shared" si="40"/>
        <v>531.9</v>
      </c>
      <c r="FF79" s="194">
        <f t="shared" si="41"/>
        <v>1773</v>
      </c>
      <c r="FG79" s="194">
        <f t="shared" si="42"/>
        <v>531.9</v>
      </c>
      <c r="FH79" s="257">
        <f>IF(EZ79="No",IF((OR(MONTH(C79)=5,MONTH(C79)=6,MONTH(C79)=7,MONTH(C79)=8,MONTH(C79)=9)),Summary!$O$15*12*(AX79+AY79+AZ79+BA79)*(1-$BC79),Summary!$O$15*13*(AX79+AY79+AZ79+BA79)*(1-$BC79)+IF(Summary!$O$16="Yes",(CALC!FA79+Summary!$O$15)*6*(AX79+AY79+AZ79+BA79)*(1-$BC79),0)),0)</f>
        <v>0</v>
      </c>
      <c r="FI79" s="1412">
        <f>IF(MONTH(C79)=5,FI78*(IF(Summary!$E$70="no",(1+(Summary!$E$71*0.8)),1+HLOOKUP(YEAR(C79)-1,CCFMODEL!$I$127:$AF$128,2)*0.8)),+FI78)</f>
        <v>29.95183638040762</v>
      </c>
      <c r="FJ79" s="1411">
        <f>IF(MONTH(C79)=5,FJ78*(IF(Summary!$E$70="no",(1+(Summary!$E$71*0.8)),1+HLOOKUP(YEAR(CALC!C79)-1,CCFMODEL!$I$127:$AF$128,2)*0.8)),FJ78)</f>
        <v>26.178376678938939</v>
      </c>
      <c r="FK79" s="832">
        <f t="shared" si="1"/>
        <v>535028.9044673118</v>
      </c>
      <c r="FL79" s="1412">
        <f>IF(MONTH(C79)=5,FL78*(IF(Summary!$E$70="no",(1+(Summary!$E$71*0.8)),1+HLOOKUP(YEAR(CALC!C79)-1,CCFMODEL!$I$127:$AF$128,2)*0.8)),+FL78)</f>
        <v>62.99206983791013</v>
      </c>
      <c r="FM79" s="1411">
        <f>IF(MONTH(C79)=5,FM78*(IF(Summary!$E$70="no",(1+(Summary!$E$71*0.8)),1+HLOOKUP(YEAR(CALC!C79)-1,CCFMODEL!$I$127:$AF$128,2)*0.8)),+FM78)</f>
        <v>30.064141728665611</v>
      </c>
      <c r="FN79" s="832">
        <f t="shared" si="2"/>
        <v>545213.21024935087</v>
      </c>
      <c r="FO79" s="194">
        <f t="shared" si="43"/>
        <v>1080242.1147166626</v>
      </c>
      <c r="FP79" s="263">
        <f t="shared" si="69"/>
        <v>10194.75</v>
      </c>
      <c r="FQ79" s="194">
        <f t="shared" si="69"/>
        <v>3058.4250000000002</v>
      </c>
      <c r="FR79" s="194">
        <f t="shared" si="69"/>
        <v>1773</v>
      </c>
      <c r="FS79" s="194">
        <f t="shared" si="68"/>
        <v>531.9</v>
      </c>
      <c r="FT79" s="194">
        <f t="shared" si="68"/>
        <v>1773</v>
      </c>
      <c r="FU79" s="194">
        <f t="shared" si="68"/>
        <v>531.9</v>
      </c>
      <c r="FV79" s="257">
        <f t="shared" si="68"/>
        <v>0</v>
      </c>
      <c r="FW79" s="189">
        <f t="shared" si="4"/>
        <v>0</v>
      </c>
      <c r="FX79" s="189">
        <f t="shared" si="5"/>
        <v>0</v>
      </c>
      <c r="FY79" s="189">
        <f t="shared" si="6"/>
        <v>0</v>
      </c>
      <c r="FZ79" s="258">
        <f t="shared" si="7"/>
        <v>0</v>
      </c>
      <c r="GA79" s="1293">
        <f>(SUM(FP79:FV79)+SUM(GU79:HB79)/(1-Summary!$O$25))*CY79/1000</f>
        <v>236018.87815870796</v>
      </c>
      <c r="GB79" s="1369">
        <f>IF($C79&lt;Summary!$M$81,+Summary!$O$81,VLOOKUP(C79,GasTable,19))</f>
        <v>2.4</v>
      </c>
      <c r="GC79" s="1370">
        <f>IF(H79&lt;=Summary!$N$84,MIN(GA79,Summary!$O$75*(H79-G79+1)),0)</f>
        <v>155000</v>
      </c>
      <c r="GD79" s="1371">
        <f>IF(Summary!$O$75*(H79-G79+1)*0.8&gt;GC79,1,0)</f>
        <v>0</v>
      </c>
      <c r="GE79" s="1372">
        <v>0</v>
      </c>
      <c r="GF79" s="1370">
        <f t="shared" si="8"/>
        <v>81018.878158707957</v>
      </c>
      <c r="GG79" s="1371">
        <f>GF79*(IF(Summary!$O$74=1,VLOOKUP($C79,GasTable,16)+Summary!$O$92+Summary!$O$93,VLOOKUP($C79,GasTable,19)+Summary!$O$92+Summary!$O$93))</f>
        <v>219930.51300652229</v>
      </c>
      <c r="GH79" s="1373">
        <v>19003</v>
      </c>
      <c r="GI79" s="1466">
        <v>0</v>
      </c>
      <c r="GJ79" s="1374">
        <f t="shared" si="44"/>
        <v>610933.51300652232</v>
      </c>
      <c r="GK79" s="189">
        <f t="shared" si="9"/>
        <v>30062.012849999999</v>
      </c>
      <c r="GL79" s="266">
        <v>0.75979217583999992</v>
      </c>
      <c r="GM79" s="255">
        <f t="shared" si="10"/>
        <v>15221</v>
      </c>
      <c r="GN79" s="189">
        <f>IF(SUM(GU79:HB79)=0,0,IF(Summary!$O$16="Yes",SUM(GX79:HB79),IF(Summary!$O$17="Yes",SUM(GY79:HB79),SUM(GU79:HB79))))</f>
        <v>12199.037849999999</v>
      </c>
      <c r="GO79" s="203">
        <v>2.7585222762877999</v>
      </c>
      <c r="GP79" s="258">
        <f t="shared" si="45"/>
        <v>33651.317658503023</v>
      </c>
      <c r="GQ79" s="189"/>
      <c r="GR79" s="189"/>
      <c r="GS79" s="189"/>
      <c r="GT79" s="189"/>
      <c r="GU79" s="268">
        <v>5902.7602500000003</v>
      </c>
      <c r="GV79" s="189">
        <v>1026.5670000000002</v>
      </c>
      <c r="GW79" s="189">
        <v>1026.5670000000002</v>
      </c>
      <c r="GX79" s="189"/>
      <c r="GY79" s="254">
        <v>3148.1388000000002</v>
      </c>
      <c r="GZ79" s="189">
        <v>547.50239999999997</v>
      </c>
      <c r="HA79" s="189">
        <v>547.50239999999997</v>
      </c>
      <c r="HB79" s="255"/>
      <c r="HC79" s="189">
        <v>12199.037849999999</v>
      </c>
      <c r="HD79" s="189"/>
      <c r="HE79" s="189">
        <v>14320.609649999999</v>
      </c>
      <c r="HF79" s="189">
        <v>346180.77163119562</v>
      </c>
      <c r="HG79" s="189"/>
      <c r="HH79" s="203">
        <v>28.393627908476173</v>
      </c>
      <c r="HI79" s="189">
        <v>406614.06182463316</v>
      </c>
      <c r="HJ79" s="268">
        <f t="shared" si="11"/>
        <v>0</v>
      </c>
      <c r="HK79" s="189">
        <f t="shared" si="12"/>
        <v>0</v>
      </c>
      <c r="HL79" s="189">
        <f t="shared" si="13"/>
        <v>0</v>
      </c>
      <c r="HM79" s="255">
        <f t="shared" si="14"/>
        <v>0</v>
      </c>
      <c r="HN79" s="189">
        <f t="shared" si="15"/>
        <v>0</v>
      </c>
      <c r="HO79" s="203">
        <f t="shared" si="46"/>
        <v>0</v>
      </c>
      <c r="HP79" s="258">
        <f t="shared" si="16"/>
        <v>0</v>
      </c>
      <c r="HQ79" s="1195"/>
      <c r="HR79" s="1303"/>
      <c r="HS79" s="857"/>
      <c r="HT79" s="857"/>
      <c r="HU79" s="857"/>
      <c r="HV79" s="857"/>
      <c r="HW79" s="857"/>
      <c r="HX79" s="857"/>
      <c r="HY79" s="857"/>
      <c r="HZ79" s="857"/>
      <c r="IA79" s="857"/>
      <c r="IB79" s="857"/>
      <c r="IC79" s="857"/>
      <c r="ID79" s="857"/>
      <c r="IE79" s="857"/>
      <c r="IF79" s="857"/>
      <c r="IG79" s="857"/>
      <c r="IH79" s="857"/>
      <c r="II79" s="857"/>
      <c r="IJ79" s="857"/>
      <c r="IK79" s="857"/>
      <c r="IL79" s="1188"/>
      <c r="IR79" s="223"/>
    </row>
    <row r="80" spans="1:252" ht="13.8" thickBot="1">
      <c r="A80" t="str">
        <f t="shared" si="23"/>
        <v>2005Q2</v>
      </c>
      <c r="B80">
        <f t="shared" si="24"/>
        <v>2005</v>
      </c>
      <c r="C80" s="49">
        <f t="shared" si="25"/>
        <v>38443</v>
      </c>
      <c r="D80" s="115">
        <f t="shared" si="26"/>
        <v>2005</v>
      </c>
      <c r="E80" s="10">
        <f t="shared" si="55"/>
        <v>4</v>
      </c>
      <c r="F80" s="248" t="str">
        <f t="shared" si="57"/>
        <v/>
      </c>
      <c r="G80" s="245">
        <v>38443</v>
      </c>
      <c r="H80" s="251">
        <v>38472</v>
      </c>
      <c r="I80" s="959">
        <f t="shared" si="53"/>
        <v>7.1499999999999994E-2</v>
      </c>
      <c r="J80" s="37">
        <f t="shared" si="27"/>
        <v>0.68289984813900384</v>
      </c>
      <c r="K80" s="1036" t="e">
        <f>IF(Summary!#REF!=1,+Summary!#REF!,I80+Summary!#REF!/10000)</f>
        <v>#REF!</v>
      </c>
      <c r="L80" s="37" t="e">
        <f t="shared" si="28"/>
        <v>#REF!</v>
      </c>
      <c r="M80" s="1004">
        <v>0</v>
      </c>
      <c r="N80" s="38">
        <f t="shared" si="66"/>
        <v>0</v>
      </c>
      <c r="O80" s="40">
        <f t="shared" si="66"/>
        <v>0</v>
      </c>
      <c r="P80" s="159">
        <f t="shared" si="60"/>
        <v>0</v>
      </c>
      <c r="Q80" s="38">
        <f t="shared" si="70"/>
        <v>0</v>
      </c>
      <c r="R80" s="40">
        <f t="shared" si="70"/>
        <v>0</v>
      </c>
      <c r="S80" s="38">
        <f t="shared" si="70"/>
        <v>0</v>
      </c>
      <c r="T80" s="38">
        <f t="shared" si="70"/>
        <v>0</v>
      </c>
      <c r="U80" s="38">
        <f t="shared" si="70"/>
        <v>0</v>
      </c>
      <c r="V80" s="159">
        <f t="shared" si="70"/>
        <v>0</v>
      </c>
      <c r="W80" s="38">
        <f t="shared" si="70"/>
        <v>0</v>
      </c>
      <c r="X80" s="39">
        <f t="shared" si="70"/>
        <v>0</v>
      </c>
      <c r="Y80" s="46">
        <v>0</v>
      </c>
      <c r="Z80" s="46">
        <v>0</v>
      </c>
      <c r="AA80" s="47">
        <v>0</v>
      </c>
      <c r="AB80" s="46">
        <v>0</v>
      </c>
      <c r="AC80" s="46">
        <v>0</v>
      </c>
      <c r="AD80" s="47">
        <v>0</v>
      </c>
      <c r="AE80" s="46">
        <v>0</v>
      </c>
      <c r="AF80" s="46">
        <v>0</v>
      </c>
      <c r="AG80" s="47">
        <v>0</v>
      </c>
      <c r="AH80" s="46">
        <v>0</v>
      </c>
      <c r="AI80" s="46">
        <v>0</v>
      </c>
      <c r="AJ80" s="47">
        <v>0</v>
      </c>
      <c r="AK80" s="46">
        <v>0</v>
      </c>
      <c r="AL80" s="46">
        <v>0</v>
      </c>
      <c r="AM80" s="47">
        <v>0</v>
      </c>
      <c r="AN80" s="46">
        <v>0</v>
      </c>
      <c r="AO80" s="46">
        <v>0</v>
      </c>
      <c r="AP80" s="47">
        <v>0</v>
      </c>
      <c r="AQ80" s="46">
        <v>0</v>
      </c>
      <c r="AR80" s="46">
        <v>0</v>
      </c>
      <c r="AS80" s="47">
        <v>0</v>
      </c>
      <c r="AT80" s="46">
        <v>0</v>
      </c>
      <c r="AU80" s="46">
        <v>0</v>
      </c>
      <c r="AV80" s="46">
        <v>0</v>
      </c>
      <c r="AW80" s="1545">
        <v>0</v>
      </c>
      <c r="AX80" s="10">
        <f t="shared" si="56"/>
        <v>21</v>
      </c>
      <c r="AY80" s="42">
        <f>IF(AND($E80=MONTH(Summary!$E$24),$D80=YEAR(Summary!$E$24)),Summary!$E$25,1)*IF(G80="",0,INT((H80-MOD(H80,7)-G80)/7)+1-IF(BA80,IF(WEEKDAY(F80)=7,1,0),0))</f>
        <v>5</v>
      </c>
      <c r="AZ80" s="42">
        <f>IF(AND($E80=MONTH(Summary!$E$24),$D80=YEAR(Summary!$E$24)),Summary!$E$25,1)*IF(G80="",0,INT((H80-MOD(H80-1,7)-G80)/7)+1-IF(BA80,IF(WEEKDAY(F80)=1,1,0),0))</f>
        <v>4</v>
      </c>
      <c r="BA80" s="42">
        <v>0</v>
      </c>
      <c r="BB80" s="10">
        <f>IF(AND($E80=MONTH(Summary!$E$24),$D80=YEAR(Summary!$E$24)),Summary!$E$25,1)*IF(G80="",0,H80-G80+1)</f>
        <v>30</v>
      </c>
      <c r="BC80" s="914">
        <f>Summary!$E$19</f>
        <v>1.4999999999999999E-2</v>
      </c>
      <c r="BD80" s="113">
        <v>14893.2</v>
      </c>
      <c r="BE80" s="171">
        <v>3546</v>
      </c>
      <c r="BF80" s="171">
        <v>2836.8</v>
      </c>
      <c r="BG80" s="174"/>
      <c r="BH80" s="1198">
        <v>1</v>
      </c>
      <c r="BI80" s="1198">
        <v>1</v>
      </c>
      <c r="BJ80" s="1198">
        <v>1</v>
      </c>
      <c r="BK80" s="1198">
        <v>1</v>
      </c>
      <c r="BL80" s="95">
        <v>2978.64</v>
      </c>
      <c r="BM80" s="171">
        <v>709.2</v>
      </c>
      <c r="BN80" s="171">
        <v>567.36</v>
      </c>
      <c r="BO80" s="174"/>
      <c r="BP80" s="1198">
        <v>1</v>
      </c>
      <c r="BQ80" s="1199">
        <v>1</v>
      </c>
      <c r="BR80" s="1199">
        <v>1</v>
      </c>
      <c r="BS80" s="1200">
        <v>1</v>
      </c>
      <c r="BT80" s="94">
        <f t="shared" si="29"/>
        <v>21276</v>
      </c>
      <c r="BU80" s="233">
        <f t="shared" si="30"/>
        <v>21276</v>
      </c>
      <c r="BV80" s="92">
        <f t="shared" si="31"/>
        <v>4255.2</v>
      </c>
      <c r="BW80" s="233">
        <f t="shared" si="32"/>
        <v>4255.2</v>
      </c>
      <c r="BX80" s="88">
        <v>5.2950034223134841</v>
      </c>
      <c r="BY80" s="90">
        <v>0</v>
      </c>
      <c r="BZ80" s="88">
        <v>0</v>
      </c>
      <c r="CA80" s="88">
        <v>0</v>
      </c>
      <c r="CB80" s="88">
        <v>0</v>
      </c>
      <c r="CC80" s="88">
        <v>0</v>
      </c>
      <c r="CD80" s="88">
        <v>0</v>
      </c>
      <c r="CE80" s="100">
        <v>0</v>
      </c>
      <c r="CF80" s="88">
        <v>0</v>
      </c>
      <c r="CG80" s="88">
        <v>0</v>
      </c>
      <c r="CH80" s="88">
        <v>0</v>
      </c>
      <c r="CI80" s="88">
        <v>0</v>
      </c>
      <c r="CJ80" s="228">
        <v>0</v>
      </c>
      <c r="CK80" s="88">
        <v>0</v>
      </c>
      <c r="CL80" s="88">
        <v>0</v>
      </c>
      <c r="CM80" s="88">
        <v>0</v>
      </c>
      <c r="CN80" s="88">
        <v>0</v>
      </c>
      <c r="CO80" s="88">
        <v>0</v>
      </c>
      <c r="CP80" s="88">
        <v>0</v>
      </c>
      <c r="CQ80" s="229">
        <v>0</v>
      </c>
      <c r="CR80" s="91">
        <v>0</v>
      </c>
      <c r="CS80" s="91">
        <v>0</v>
      </c>
      <c r="CT80" s="91">
        <v>0</v>
      </c>
      <c r="CU80" s="91">
        <v>0</v>
      </c>
      <c r="CV80" s="91">
        <v>0</v>
      </c>
      <c r="CW80" s="91">
        <v>0</v>
      </c>
      <c r="CX80" s="225">
        <v>0</v>
      </c>
      <c r="CY80" s="1265">
        <v>7738.4940799999995</v>
      </c>
      <c r="CZ80" s="90">
        <v>0</v>
      </c>
      <c r="DA80" s="88">
        <v>0</v>
      </c>
      <c r="DB80" s="88">
        <v>0</v>
      </c>
      <c r="DC80" s="88">
        <v>0</v>
      </c>
      <c r="DD80" s="88">
        <v>0</v>
      </c>
      <c r="DE80" s="152">
        <v>0</v>
      </c>
      <c r="DF80" s="230">
        <v>0</v>
      </c>
      <c r="DG80" s="38">
        <v>0</v>
      </c>
      <c r="DH80" s="1237">
        <v>0</v>
      </c>
      <c r="DI80" s="956">
        <v>0</v>
      </c>
      <c r="DJ80" s="956">
        <v>0</v>
      </c>
      <c r="DK80" s="956">
        <v>0</v>
      </c>
      <c r="DL80" s="152">
        <v>0</v>
      </c>
      <c r="DM80" s="160">
        <v>0</v>
      </c>
      <c r="DN80" s="160">
        <v>0</v>
      </c>
      <c r="DO80" s="160">
        <v>0</v>
      </c>
      <c r="DP80" s="160">
        <v>0</v>
      </c>
      <c r="DQ80" s="160">
        <v>0</v>
      </c>
      <c r="DR80" s="230">
        <v>0</v>
      </c>
      <c r="DS80" s="88">
        <v>0</v>
      </c>
      <c r="DT80" s="88">
        <v>0</v>
      </c>
      <c r="DU80" s="88">
        <v>0</v>
      </c>
      <c r="DV80" s="88">
        <v>0</v>
      </c>
      <c r="DW80" s="88">
        <v>0</v>
      </c>
      <c r="DX80" s="88">
        <v>0</v>
      </c>
      <c r="DY80" s="88">
        <v>0</v>
      </c>
      <c r="DZ80" s="88">
        <v>0</v>
      </c>
      <c r="EA80" s="88">
        <v>0</v>
      </c>
      <c r="EB80" s="152">
        <v>0</v>
      </c>
      <c r="EC80" s="52">
        <f t="shared" si="33"/>
        <v>0</v>
      </c>
      <c r="ED80" s="52">
        <f t="shared" si="33"/>
        <v>0</v>
      </c>
      <c r="EE80" s="52">
        <f t="shared" si="33"/>
        <v>0</v>
      </c>
      <c r="EF80" s="52">
        <f t="shared" si="33"/>
        <v>0</v>
      </c>
      <c r="EG80" s="52">
        <f t="shared" si="34"/>
        <v>0</v>
      </c>
      <c r="EH80" s="238">
        <v>0</v>
      </c>
      <c r="EI80" s="211">
        <v>0</v>
      </c>
      <c r="EJ80" s="211">
        <v>0</v>
      </c>
      <c r="EK80" s="211">
        <v>0</v>
      </c>
      <c r="EL80" s="217">
        <f>IF(C80&gt;=Summary!$E$26,MAX(0,SUM(EH80:EK80)),0)</f>
        <v>0</v>
      </c>
      <c r="EM80" s="52">
        <f>IF(C80&gt;=Summary!$E$26,DX80*BL80,0)</f>
        <v>0</v>
      </c>
      <c r="EN80" s="52">
        <f>IF(C80&gt;=Summary!$E$26,DY80*BM80,0)</f>
        <v>0</v>
      </c>
      <c r="EO80" s="52">
        <f>IF(C80&gt;=Summary!$E$26,DZ80*BN80,0)</f>
        <v>0</v>
      </c>
      <c r="EP80" s="52">
        <f>IF(C80&gt;=Summary!$E$26,EA80*BO80,0)</f>
        <v>0</v>
      </c>
      <c r="EQ80" s="52">
        <f>IF(C80&gt;=Summary!$E$26,DX80*BL80+DY80*BM80+DZ80*BN80+EA80*BO80,0)</f>
        <v>0</v>
      </c>
      <c r="ER80" s="826">
        <v>0</v>
      </c>
      <c r="ES80" s="278">
        <v>0</v>
      </c>
      <c r="ET80" s="278">
        <v>0</v>
      </c>
      <c r="EU80" s="278">
        <v>0</v>
      </c>
      <c r="EV80" s="212">
        <f>IF(C80&gt;=Summary!$E$26,MAX(0,SUM(ER80:EU80)),0)</f>
        <v>0</v>
      </c>
      <c r="EW80" s="52"/>
      <c r="EX80" s="1049">
        <f t="shared" si="35"/>
        <v>0</v>
      </c>
      <c r="EY80" s="1045" t="str">
        <f t="shared" si="36"/>
        <v/>
      </c>
      <c r="EZ80" s="1684" t="s">
        <v>525</v>
      </c>
      <c r="FA80" s="1046">
        <f t="shared" si="54"/>
        <v>45</v>
      </c>
      <c r="FB80" s="256">
        <f t="shared" si="37"/>
        <v>9308.25</v>
      </c>
      <c r="FC80" s="194">
        <f t="shared" si="38"/>
        <v>2792.4749999999999</v>
      </c>
      <c r="FD80" s="194">
        <f t="shared" si="39"/>
        <v>2216.25</v>
      </c>
      <c r="FE80" s="194">
        <f t="shared" si="40"/>
        <v>664.875</v>
      </c>
      <c r="FF80" s="194">
        <f t="shared" si="41"/>
        <v>1773</v>
      </c>
      <c r="FG80" s="194">
        <f t="shared" si="42"/>
        <v>531.9</v>
      </c>
      <c r="FH80" s="257">
        <f>IF(EZ80="No",IF((OR(MONTH(C80)=5,MONTH(C80)=6,MONTH(C80)=7,MONTH(C80)=8,MONTH(C80)=9)),Summary!$O$15*12*(AX80+AY80+AZ80+BA80)*(1-$BC80),Summary!$O$15*13*(AX80+AY80+AZ80+BA80)*(1-$BC80)+IF(Summary!$O$16="Yes",(CALC!FA80+Summary!$O$15)*6*(AX80+AY80+AZ80+BA80)*(1-$BC80),0)),0)</f>
        <v>0</v>
      </c>
      <c r="FI80" s="1412">
        <f>IF(MONTH(C80)=5,FI79*(IF(Summary!$E$70="no",(1+(Summary!$E$71*0.8)),1+HLOOKUP(YEAR(C80)-1,CCFMODEL!$I$127:$AF$128,2)*0.8)),+FI79)</f>
        <v>29.95183638040762</v>
      </c>
      <c r="FJ80" s="1411">
        <f>IF(MONTH(C80)=5,FJ79*(IF(Summary!$E$70="no",(1+(Summary!$E$71*0.8)),1+HLOOKUP(YEAR(CALC!C80)-1,CCFMODEL!$I$127:$AF$128,2)*0.8)),FJ79)</f>
        <v>26.178376678938939</v>
      </c>
      <c r="FK80" s="832">
        <f t="shared" si="1"/>
        <v>517769.9075490114</v>
      </c>
      <c r="FL80" s="1412">
        <f>IF(MONTH(C80)=5,FL79*(IF(Summary!$E$70="no",(1+(Summary!$E$71*0.8)),1+HLOOKUP(YEAR(CALC!C80)-1,CCFMODEL!$I$127:$AF$128,2)*0.8)),+FL79)</f>
        <v>62.99206983791013</v>
      </c>
      <c r="FM80" s="1411">
        <f>IF(MONTH(C80)=5,FM79*(IF(Summary!$E$70="no",(1+(Summary!$E$71*0.8)),1+HLOOKUP(YEAR(CALC!C80)-1,CCFMODEL!$I$127:$AF$128,2)*0.8)),+FM79)</f>
        <v>30.064141728665611</v>
      </c>
      <c r="FN80" s="832">
        <f t="shared" si="2"/>
        <v>527625.68733808142</v>
      </c>
      <c r="FO80" s="194">
        <f t="shared" si="43"/>
        <v>1045395.5948870928</v>
      </c>
      <c r="FP80" s="263">
        <f t="shared" si="69"/>
        <v>9308.25</v>
      </c>
      <c r="FQ80" s="194">
        <f t="shared" si="69"/>
        <v>2792.4749999999999</v>
      </c>
      <c r="FR80" s="194">
        <f t="shared" si="69"/>
        <v>2216.25</v>
      </c>
      <c r="FS80" s="194">
        <f t="shared" si="68"/>
        <v>664.875</v>
      </c>
      <c r="FT80" s="194">
        <f t="shared" si="68"/>
        <v>1773</v>
      </c>
      <c r="FU80" s="194">
        <f t="shared" si="68"/>
        <v>531.9</v>
      </c>
      <c r="FV80" s="257">
        <f t="shared" si="68"/>
        <v>0</v>
      </c>
      <c r="FW80" s="189">
        <f t="shared" si="4"/>
        <v>0</v>
      </c>
      <c r="FX80" s="189">
        <f t="shared" si="5"/>
        <v>0</v>
      </c>
      <c r="FY80" s="189">
        <f t="shared" si="6"/>
        <v>0</v>
      </c>
      <c r="FZ80" s="258">
        <f t="shared" si="7"/>
        <v>0</v>
      </c>
      <c r="GA80" s="1293">
        <f>(SUM(FP80:FV80)+SUM(GU80:HB80)/(1-Summary!$O$25))*CY80/1000</f>
        <v>228443.82756393601</v>
      </c>
      <c r="GB80" s="1369">
        <f>IF($C80&lt;Summary!$M$81,+Summary!$O$81,VLOOKUP(C80,GasTable,19))</f>
        <v>2.4</v>
      </c>
      <c r="GC80" s="1370">
        <f>IF(H80&lt;=Summary!$N$84,MIN(GA80,Summary!$O$75*(H80-G80+1)),0)</f>
        <v>150000</v>
      </c>
      <c r="GD80" s="1371">
        <f>IF(Summary!$O$75*(H80-G80+1)*0.8&gt;GC80,1,0)</f>
        <v>0</v>
      </c>
      <c r="GE80" s="1372">
        <v>0</v>
      </c>
      <c r="GF80" s="1370">
        <f t="shared" si="8"/>
        <v>78443.827563936007</v>
      </c>
      <c r="GG80" s="1371">
        <f>GF80*(IF(Summary!$O$74=1,VLOOKUP($C80,GasTable,16)+Summary!$O$92+Summary!$O$93,VLOOKUP($C80,GasTable,19)+Summary!$O$92+Summary!$O$93))</f>
        <v>206674.63362554726</v>
      </c>
      <c r="GH80" s="1373">
        <v>17586</v>
      </c>
      <c r="GI80" s="1466">
        <v>0</v>
      </c>
      <c r="GJ80" s="1374">
        <f t="shared" si="44"/>
        <v>584260.63362554729</v>
      </c>
      <c r="GK80" s="189">
        <f t="shared" si="9"/>
        <v>29092.270500000002</v>
      </c>
      <c r="GL80" s="266">
        <v>0.75992011865599984</v>
      </c>
      <c r="GM80" s="255">
        <f t="shared" si="10"/>
        <v>14729.999999999998</v>
      </c>
      <c r="GN80" s="189">
        <f>IF(SUM(GU80:HB80)=0,0,IF(Summary!$O$16="Yes",SUM(GX80:HB80),IF(Summary!$O$17="Yes",SUM(GY80:HB80),SUM(GU80:HB80))))</f>
        <v>11805.520500000001</v>
      </c>
      <c r="GO80" s="203">
        <v>2.7585222762877999</v>
      </c>
      <c r="GP80" s="258">
        <f t="shared" si="45"/>
        <v>32565.791282422288</v>
      </c>
      <c r="GQ80" s="189"/>
      <c r="GR80" s="189"/>
      <c r="GS80" s="189"/>
      <c r="GT80" s="189"/>
      <c r="GU80" s="268">
        <v>5389.4767500000007</v>
      </c>
      <c r="GV80" s="189">
        <v>1283.20875</v>
      </c>
      <c r="GW80" s="189">
        <v>1026.5670000000002</v>
      </c>
      <c r="GX80" s="189"/>
      <c r="GY80" s="254">
        <v>2874.3875999999996</v>
      </c>
      <c r="GZ80" s="189">
        <v>684.37800000000004</v>
      </c>
      <c r="HA80" s="189">
        <v>547.50239999999997</v>
      </c>
      <c r="HB80" s="255"/>
      <c r="HC80" s="189">
        <v>11805.520500000001</v>
      </c>
      <c r="HD80" s="189"/>
      <c r="HE80" s="189">
        <v>13858.654500000001</v>
      </c>
      <c r="HF80" s="189">
        <v>345110.5145860769</v>
      </c>
      <c r="HG80" s="189"/>
      <c r="HH80" s="203">
        <v>29.23297745203838</v>
      </c>
      <c r="HI80" s="189">
        <v>405129.73451409023</v>
      </c>
      <c r="HJ80" s="268">
        <f t="shared" si="11"/>
        <v>0</v>
      </c>
      <c r="HK80" s="189">
        <f t="shared" si="12"/>
        <v>0</v>
      </c>
      <c r="HL80" s="189">
        <f t="shared" si="13"/>
        <v>0</v>
      </c>
      <c r="HM80" s="255">
        <f t="shared" si="14"/>
        <v>0</v>
      </c>
      <c r="HN80" s="189">
        <f t="shared" si="15"/>
        <v>0</v>
      </c>
      <c r="HO80" s="203">
        <f t="shared" si="46"/>
        <v>0</v>
      </c>
      <c r="HP80" s="258">
        <f t="shared" si="16"/>
        <v>0</v>
      </c>
      <c r="HQ80" s="240"/>
      <c r="HR80" s="1190" t="s">
        <v>219</v>
      </c>
      <c r="HS80" s="1189"/>
      <c r="HT80" s="1189"/>
      <c r="HU80" s="1189"/>
      <c r="HV80" s="1189"/>
      <c r="HW80" s="1189"/>
      <c r="HX80" s="1189"/>
      <c r="HY80" s="1191"/>
      <c r="HZ80" s="1192" t="s">
        <v>222</v>
      </c>
      <c r="IA80" s="272"/>
      <c r="IB80" s="272"/>
      <c r="IC80" s="272"/>
      <c r="ID80" s="272"/>
      <c r="IE80" s="272"/>
      <c r="IF80" s="272"/>
      <c r="IG80" s="272"/>
      <c r="IH80" s="272"/>
      <c r="II80" s="1189"/>
      <c r="IJ80" s="1189"/>
      <c r="IK80" s="1189"/>
      <c r="IL80" s="1193" t="s">
        <v>582</v>
      </c>
      <c r="IM80" s="820"/>
      <c r="IN80" s="820"/>
      <c r="IR80" s="223"/>
    </row>
    <row r="81" spans="1:252" ht="13.8" thickBot="1">
      <c r="A81" t="str">
        <f t="shared" si="23"/>
        <v>2005Q2</v>
      </c>
      <c r="B81">
        <f t="shared" si="24"/>
        <v>2005</v>
      </c>
      <c r="C81" s="49">
        <f t="shared" si="25"/>
        <v>38473</v>
      </c>
      <c r="D81" s="115">
        <f t="shared" si="26"/>
        <v>2005</v>
      </c>
      <c r="E81" s="10">
        <f t="shared" si="55"/>
        <v>5</v>
      </c>
      <c r="F81" s="248">
        <f t="shared" si="57"/>
        <v>38502</v>
      </c>
      <c r="G81" s="245">
        <v>38473</v>
      </c>
      <c r="H81" s="251">
        <v>38503</v>
      </c>
      <c r="I81" s="959">
        <f t="shared" si="53"/>
        <v>7.1499999999999994E-2</v>
      </c>
      <c r="J81" s="37">
        <f t="shared" si="27"/>
        <v>0.67884017905285876</v>
      </c>
      <c r="K81" s="1036" t="e">
        <f>IF(Summary!#REF!=1,+Summary!#REF!,I81+Summary!#REF!/10000)</f>
        <v>#REF!</v>
      </c>
      <c r="L81" s="37" t="e">
        <f t="shared" si="28"/>
        <v>#REF!</v>
      </c>
      <c r="M81" s="1004">
        <v>0</v>
      </c>
      <c r="N81" s="38">
        <f t="shared" si="66"/>
        <v>0</v>
      </c>
      <c r="O81" s="40">
        <f t="shared" si="66"/>
        <v>0</v>
      </c>
      <c r="P81" s="159">
        <f t="shared" si="60"/>
        <v>0</v>
      </c>
      <c r="Q81" s="38">
        <f t="shared" si="70"/>
        <v>0</v>
      </c>
      <c r="R81" s="40">
        <f t="shared" si="70"/>
        <v>0</v>
      </c>
      <c r="S81" s="38">
        <f t="shared" si="70"/>
        <v>0</v>
      </c>
      <c r="T81" s="38">
        <f t="shared" si="70"/>
        <v>0</v>
      </c>
      <c r="U81" s="38">
        <f t="shared" si="70"/>
        <v>0</v>
      </c>
      <c r="V81" s="159">
        <f t="shared" si="70"/>
        <v>0</v>
      </c>
      <c r="W81" s="38">
        <f t="shared" si="70"/>
        <v>0</v>
      </c>
      <c r="X81" s="39">
        <f t="shared" si="70"/>
        <v>0</v>
      </c>
      <c r="Y81" s="46">
        <v>0</v>
      </c>
      <c r="Z81" s="46">
        <v>0</v>
      </c>
      <c r="AA81" s="47">
        <v>0</v>
      </c>
      <c r="AB81" s="46">
        <v>0</v>
      </c>
      <c r="AC81" s="46">
        <v>0</v>
      </c>
      <c r="AD81" s="47">
        <v>0</v>
      </c>
      <c r="AE81" s="46">
        <v>0</v>
      </c>
      <c r="AF81" s="46">
        <v>0</v>
      </c>
      <c r="AG81" s="47">
        <v>0</v>
      </c>
      <c r="AH81" s="46">
        <v>0</v>
      </c>
      <c r="AI81" s="46">
        <v>0</v>
      </c>
      <c r="AJ81" s="47">
        <v>0</v>
      </c>
      <c r="AK81" s="46">
        <v>0</v>
      </c>
      <c r="AL81" s="46">
        <v>0</v>
      </c>
      <c r="AM81" s="47">
        <v>0</v>
      </c>
      <c r="AN81" s="46">
        <v>0</v>
      </c>
      <c r="AO81" s="46">
        <v>0</v>
      </c>
      <c r="AP81" s="47">
        <v>0</v>
      </c>
      <c r="AQ81" s="46">
        <v>0</v>
      </c>
      <c r="AR81" s="46">
        <v>0</v>
      </c>
      <c r="AS81" s="47">
        <v>0</v>
      </c>
      <c r="AT81" s="46">
        <v>0</v>
      </c>
      <c r="AU81" s="46">
        <v>0</v>
      </c>
      <c r="AV81" s="46">
        <v>0</v>
      </c>
      <c r="AW81" s="1545">
        <v>0</v>
      </c>
      <c r="AX81" s="10">
        <f t="shared" si="56"/>
        <v>21</v>
      </c>
      <c r="AY81" s="42">
        <f>IF(AND($E81=MONTH(Summary!$E$24),$D81=YEAR(Summary!$E$24)),Summary!$E$25,1)*IF(G81="",0,INT((H81-MOD(H81,7)-G81)/7)+1-IF(BA81,IF(WEEKDAY(F81)=7,1,0),0))</f>
        <v>4</v>
      </c>
      <c r="AZ81" s="42">
        <f>IF(AND($E81=MONTH(Summary!$E$24),$D81=YEAR(Summary!$E$24)),Summary!$E$25,1)*IF(G81="",0,INT((H81-MOD(H81-1,7)-G81)/7)+1-IF(BA81,IF(WEEKDAY(F81)=1,1,0),0))</f>
        <v>5</v>
      </c>
      <c r="BA81" s="42">
        <v>1</v>
      </c>
      <c r="BB81" s="10">
        <f>IF(AND($E81=MONTH(Summary!$E$24),$D81=YEAR(Summary!$E$24)),Summary!$E$25,1)*IF(G81="",0,H81-G81+1)</f>
        <v>31</v>
      </c>
      <c r="BC81" s="914">
        <f>Summary!$E$19</f>
        <v>1.4999999999999999E-2</v>
      </c>
      <c r="BD81" s="113">
        <v>14893.2</v>
      </c>
      <c r="BE81" s="171">
        <v>2836.8</v>
      </c>
      <c r="BF81" s="171">
        <v>4255.2</v>
      </c>
      <c r="BG81" s="174"/>
      <c r="BH81" s="1198">
        <v>1</v>
      </c>
      <c r="BI81" s="1198">
        <v>1</v>
      </c>
      <c r="BJ81" s="1198">
        <v>1</v>
      </c>
      <c r="BK81" s="1198">
        <v>1</v>
      </c>
      <c r="BL81" s="95">
        <v>2978.64</v>
      </c>
      <c r="BM81" s="171">
        <v>567.36</v>
      </c>
      <c r="BN81" s="171">
        <v>851.04</v>
      </c>
      <c r="BO81" s="174"/>
      <c r="BP81" s="1198">
        <v>1</v>
      </c>
      <c r="BQ81" s="1199">
        <v>1</v>
      </c>
      <c r="BR81" s="1199">
        <v>1</v>
      </c>
      <c r="BS81" s="1200">
        <v>1</v>
      </c>
      <c r="BT81" s="94">
        <f t="shared" si="29"/>
        <v>21985.200000000001</v>
      </c>
      <c r="BU81" s="233">
        <f t="shared" si="30"/>
        <v>21985.200000000001</v>
      </c>
      <c r="BV81" s="92">
        <f t="shared" si="31"/>
        <v>4397.04</v>
      </c>
      <c r="BW81" s="233">
        <f t="shared" si="32"/>
        <v>4397.04</v>
      </c>
      <c r="BX81" s="88">
        <v>5.377138945927447</v>
      </c>
      <c r="BY81" s="90">
        <v>0</v>
      </c>
      <c r="BZ81" s="88">
        <v>0</v>
      </c>
      <c r="CA81" s="88">
        <v>0</v>
      </c>
      <c r="CB81" s="88">
        <v>0</v>
      </c>
      <c r="CC81" s="88">
        <v>0</v>
      </c>
      <c r="CD81" s="88">
        <v>0</v>
      </c>
      <c r="CE81" s="100">
        <v>0</v>
      </c>
      <c r="CF81" s="88">
        <v>0</v>
      </c>
      <c r="CG81" s="88">
        <v>0</v>
      </c>
      <c r="CH81" s="88">
        <v>0</v>
      </c>
      <c r="CI81" s="88">
        <v>0</v>
      </c>
      <c r="CJ81" s="228">
        <v>0</v>
      </c>
      <c r="CK81" s="88">
        <v>0</v>
      </c>
      <c r="CL81" s="88">
        <v>0</v>
      </c>
      <c r="CM81" s="88">
        <v>0</v>
      </c>
      <c r="CN81" s="88">
        <v>0</v>
      </c>
      <c r="CO81" s="88">
        <v>0</v>
      </c>
      <c r="CP81" s="88">
        <v>0</v>
      </c>
      <c r="CQ81" s="229">
        <v>0</v>
      </c>
      <c r="CR81" s="91">
        <v>0</v>
      </c>
      <c r="CS81" s="91">
        <v>0</v>
      </c>
      <c r="CT81" s="91">
        <v>0</v>
      </c>
      <c r="CU81" s="91">
        <v>0</v>
      </c>
      <c r="CV81" s="91">
        <v>0</v>
      </c>
      <c r="CW81" s="91">
        <v>0</v>
      </c>
      <c r="CX81" s="225">
        <v>0</v>
      </c>
      <c r="CY81" s="1265">
        <v>7739.7969599999997</v>
      </c>
      <c r="CZ81" s="90">
        <v>0</v>
      </c>
      <c r="DA81" s="88">
        <v>0</v>
      </c>
      <c r="DB81" s="88">
        <v>0</v>
      </c>
      <c r="DC81" s="88">
        <v>0</v>
      </c>
      <c r="DD81" s="88">
        <v>0</v>
      </c>
      <c r="DE81" s="152">
        <v>0</v>
      </c>
      <c r="DF81" s="230">
        <v>0</v>
      </c>
      <c r="DG81" s="38">
        <v>0</v>
      </c>
      <c r="DH81" s="1237">
        <v>0</v>
      </c>
      <c r="DI81" s="956">
        <v>0</v>
      </c>
      <c r="DJ81" s="956">
        <v>0</v>
      </c>
      <c r="DK81" s="956">
        <v>0</v>
      </c>
      <c r="DL81" s="152">
        <v>0</v>
      </c>
      <c r="DM81" s="160">
        <v>0</v>
      </c>
      <c r="DN81" s="160">
        <v>0</v>
      </c>
      <c r="DO81" s="160">
        <v>0</v>
      </c>
      <c r="DP81" s="160">
        <v>0</v>
      </c>
      <c r="DQ81" s="160">
        <v>0</v>
      </c>
      <c r="DR81" s="230">
        <v>0</v>
      </c>
      <c r="DS81" s="88">
        <v>0</v>
      </c>
      <c r="DT81" s="88">
        <v>0</v>
      </c>
      <c r="DU81" s="88">
        <v>0</v>
      </c>
      <c r="DV81" s="88">
        <v>0</v>
      </c>
      <c r="DW81" s="88">
        <v>0</v>
      </c>
      <c r="DX81" s="88">
        <v>0</v>
      </c>
      <c r="DY81" s="88">
        <v>0</v>
      </c>
      <c r="DZ81" s="88">
        <v>0</v>
      </c>
      <c r="EA81" s="88">
        <v>0</v>
      </c>
      <c r="EB81" s="152">
        <v>0</v>
      </c>
      <c r="EC81" s="52">
        <f t="shared" si="33"/>
        <v>0</v>
      </c>
      <c r="ED81" s="52">
        <f t="shared" si="33"/>
        <v>0</v>
      </c>
      <c r="EE81" s="52">
        <f t="shared" si="33"/>
        <v>0</v>
      </c>
      <c r="EF81" s="52">
        <f t="shared" ref="EF81:EF144" si="71">DV81*BG81</f>
        <v>0</v>
      </c>
      <c r="EG81" s="52">
        <f t="shared" si="34"/>
        <v>0</v>
      </c>
      <c r="EH81" s="238">
        <v>0</v>
      </c>
      <c r="EI81" s="211">
        <v>0</v>
      </c>
      <c r="EJ81" s="211">
        <v>0</v>
      </c>
      <c r="EK81" s="211">
        <v>0</v>
      </c>
      <c r="EL81" s="217">
        <f>IF(C81&gt;=Summary!$E$26,MAX(0,SUM(EH81:EK81)),0)</f>
        <v>0</v>
      </c>
      <c r="EM81" s="52">
        <f>IF(C81&gt;=Summary!$E$26,DX81*BL81,0)</f>
        <v>0</v>
      </c>
      <c r="EN81" s="52">
        <f>IF(C81&gt;=Summary!$E$26,DY81*BM81,0)</f>
        <v>0</v>
      </c>
      <c r="EO81" s="52">
        <f>IF(C81&gt;=Summary!$E$26,DZ81*BN81,0)</f>
        <v>0</v>
      </c>
      <c r="EP81" s="52">
        <f>IF(C81&gt;=Summary!$E$26,EA81*BO81,0)</f>
        <v>0</v>
      </c>
      <c r="EQ81" s="52">
        <f>IF(C81&gt;=Summary!$E$26,DX81*BL81+DY81*BM81+DZ81*BN81+EA81*BO81,0)</f>
        <v>0</v>
      </c>
      <c r="ER81" s="826">
        <v>0</v>
      </c>
      <c r="ES81" s="278">
        <v>0</v>
      </c>
      <c r="ET81" s="278">
        <v>0</v>
      </c>
      <c r="EU81" s="278">
        <v>0</v>
      </c>
      <c r="EV81" s="212">
        <f>IF(C81&gt;=Summary!$E$26,MAX(0,SUM(ER81:EU81)),0)</f>
        <v>0</v>
      </c>
      <c r="EW81" s="52"/>
      <c r="EX81" s="1049">
        <f t="shared" si="35"/>
        <v>0</v>
      </c>
      <c r="EY81" s="1045" t="str">
        <f t="shared" si="36"/>
        <v/>
      </c>
      <c r="EZ81" s="1684" t="s">
        <v>525</v>
      </c>
      <c r="FA81" s="1046">
        <f t="shared" si="54"/>
        <v>45</v>
      </c>
      <c r="FB81" s="256">
        <f t="shared" si="37"/>
        <v>11169.9</v>
      </c>
      <c r="FC81" s="194">
        <f t="shared" si="38"/>
        <v>0</v>
      </c>
      <c r="FD81" s="194">
        <f t="shared" si="39"/>
        <v>2127.6</v>
      </c>
      <c r="FE81" s="194">
        <f t="shared" si="40"/>
        <v>0</v>
      </c>
      <c r="FF81" s="194">
        <f t="shared" si="41"/>
        <v>3191.4</v>
      </c>
      <c r="FG81" s="194">
        <f t="shared" si="42"/>
        <v>0</v>
      </c>
      <c r="FH81" s="257">
        <f>IF(EZ81="No",IF((OR(MONTH(C81)=5,MONTH(C81)=6,MONTH(C81)=7,MONTH(C81)=8,MONTH(C81)=9)),Summary!$O$15*12*(AX81+AY81+AZ81+BA81)*(1-$BC81),Summary!$O$15*13*(AX81+AY81+AZ81+BA81)*(1-$BC81)+IF(Summary!$O$16="Yes",(CALC!FA81+Summary!$O$15)*6*(AX81+AY81+AZ81+BA81)*(1-$BC81),0)),0)</f>
        <v>0</v>
      </c>
      <c r="FI81" s="1412">
        <f>IF(MONTH(C81)=5,FI80*(IF(Summary!$E$70="no",(1+(Summary!$E$71*0.8)),1+HLOOKUP(YEAR(C81)-1,CCFMODEL!$I$127:$AF$128,2)*0.8)),+FI80)</f>
        <v>30.670680453537404</v>
      </c>
      <c r="FJ81" s="1411">
        <f>IF(MONTH(C81)=5,FJ80*(IF(Summary!$E$70="no",(1+(Summary!$E$71*0.8)),1+HLOOKUP(YEAR(CALC!C81)-1,CCFMODEL!$I$127:$AF$128,2)*0.8)),FJ80)</f>
        <v>26.806657719233474</v>
      </c>
      <c r="FK81" s="832">
        <f t="shared" ref="FK81:FK144" si="72">SUM(FB81:FG81)*FI81+FH81*FJ81</f>
        <v>505725.78293033293</v>
      </c>
      <c r="FL81" s="1412">
        <f>IF(MONTH(C81)=5,FL80*(IF(Summary!$E$70="no",(1+(Summary!$E$71*0.8)),1+HLOOKUP(YEAR(CALC!C81)-1,CCFMODEL!$I$127:$AF$128,2)*0.8)),+FL80)</f>
        <v>64.503879514019971</v>
      </c>
      <c r="FM81" s="1411">
        <f>IF(MONTH(C81)=5,FM80*(IF(Summary!$E$70="no",(1+(Summary!$E$71*0.8)),1+HLOOKUP(YEAR(CALC!C81)-1,CCFMODEL!$I$127:$AF$128,2)*0.8)),+FM80)</f>
        <v>30.785681130153588</v>
      </c>
      <c r="FN81" s="832">
        <f t="shared" ref="FN81:FN144" si="73">IF((OR(MONTH(C81)=5,MONTH(C81)=6,MONTH(C81)=7,MONTH(C81)=8,MONTH(C81)=9)),SUM(FB81:FG81)/(1-BC81)*FL81,SUM(FB81:FG81)/(1-BC81)*FM81)</f>
        <v>1079794.9430646943</v>
      </c>
      <c r="FO81" s="194">
        <f t="shared" si="43"/>
        <v>1585520.7259950272</v>
      </c>
      <c r="FP81" s="263">
        <f t="shared" si="69"/>
        <v>11169.9</v>
      </c>
      <c r="FQ81" s="194">
        <f t="shared" si="69"/>
        <v>0</v>
      </c>
      <c r="FR81" s="194">
        <f t="shared" si="69"/>
        <v>2127.6</v>
      </c>
      <c r="FS81" s="194">
        <f t="shared" si="68"/>
        <v>0</v>
      </c>
      <c r="FT81" s="194">
        <f t="shared" si="68"/>
        <v>3191.4</v>
      </c>
      <c r="FU81" s="194">
        <f t="shared" si="68"/>
        <v>0</v>
      </c>
      <c r="FV81" s="257">
        <f t="shared" si="68"/>
        <v>0</v>
      </c>
      <c r="FW81" s="189">
        <f t="shared" ref="FW81:FW144" si="74">IF(ER81&gt;0,MIN(FB81-FP81,BL81),0)</f>
        <v>0</v>
      </c>
      <c r="FX81" s="189">
        <f t="shared" ref="FX81:FX144" si="75">IF(ES81&gt;0,MIN(FD81-FR81,BM81),0)</f>
        <v>0</v>
      </c>
      <c r="FY81" s="189">
        <f t="shared" ref="FY81:FY144" si="76">IF(ET81&gt;0,MIN(FF81-FT81,BN81),0)</f>
        <v>0</v>
      </c>
      <c r="FZ81" s="258">
        <f t="shared" ref="FZ81:FZ144" si="77">IF(EU81&gt;0,MIN(FH81-FV81,BO81),0)</f>
        <v>0</v>
      </c>
      <c r="GA81" s="1293">
        <f>(SUM(FP81:FV81)+SUM(GU81:HB81)/(1-Summary!$O$25))*CY81/1000</f>
        <v>204193.1809499904</v>
      </c>
      <c r="GB81" s="1369">
        <f>IF($C81&lt;Summary!$M$81,+Summary!$O$81,VLOOKUP(C81,GasTable,19))</f>
        <v>2.4</v>
      </c>
      <c r="GC81" s="1370">
        <f>IF(H81&lt;=Summary!$N$84,MIN(GA81,Summary!$O$75*(H81-G81+1)),0)</f>
        <v>155000</v>
      </c>
      <c r="GD81" s="1371">
        <f>IF(Summary!$O$75*(H81-G81+1)*0.8&gt;GC81,1,0)</f>
        <v>0</v>
      </c>
      <c r="GE81" s="1372">
        <v>0</v>
      </c>
      <c r="GF81" s="1370">
        <f t="shared" si="8"/>
        <v>49193.180949990405</v>
      </c>
      <c r="GG81" s="1371">
        <f>GF81*(IF(Summary!$O$74=1,VLOOKUP($C81,GasTable,16)+Summary!$O$92+Summary!$O$93,VLOOKUP($C81,GasTable,19)+Summary!$O$92+Summary!$O$93))</f>
        <v>128650.3090497615</v>
      </c>
      <c r="GH81" s="1373">
        <v>18091.599999999999</v>
      </c>
      <c r="GI81" s="1466">
        <v>0</v>
      </c>
      <c r="GJ81" s="1374">
        <f t="shared" si="44"/>
        <v>518741.90904976148</v>
      </c>
      <c r="GK81" s="189">
        <f t="shared" ref="GK81:GK144" si="78">SUM(FP81:FV81,GU81:GX81,GY81:HB81)</f>
        <v>26035.973100000003</v>
      </c>
      <c r="GL81" s="266">
        <v>0.76004806147199999</v>
      </c>
      <c r="GM81" s="255">
        <f t="shared" ref="GM81:GM144" si="79">IF(GK81&gt;GC81/(CY81/1000),GC81/(CY81/1000),+GK81)*GL81</f>
        <v>15221</v>
      </c>
      <c r="GN81" s="189">
        <f>IF(SUM(GU81:HB81)=0,0,IF(Summary!$O$16="Yes",SUM(GX81:HB81),IF(Summary!$O$17="Yes",SUM(GY81:HB81),SUM(GU81:HB81))))</f>
        <v>9547.0730999999996</v>
      </c>
      <c r="GO81" s="203">
        <v>2.7585222762877999</v>
      </c>
      <c r="GP81" s="258">
        <f t="shared" si="45"/>
        <v>26335.813819698022</v>
      </c>
      <c r="GQ81" s="189"/>
      <c r="GR81" s="189"/>
      <c r="GS81" s="189"/>
      <c r="GT81" s="189"/>
      <c r="GU81" s="268">
        <v>3592.9845000000009</v>
      </c>
      <c r="GV81" s="189">
        <v>684.37800000000027</v>
      </c>
      <c r="GW81" s="189">
        <v>1026.5669999999998</v>
      </c>
      <c r="GX81" s="189"/>
      <c r="GY81" s="254">
        <v>2874.3875999999996</v>
      </c>
      <c r="GZ81" s="189">
        <v>547.50239999999997</v>
      </c>
      <c r="HA81" s="189">
        <v>821.25359999999989</v>
      </c>
      <c r="HB81" s="255"/>
      <c r="HC81" s="189">
        <v>9547.0730999999996</v>
      </c>
      <c r="HD81" s="189"/>
      <c r="HE81" s="189">
        <v>22276.5039</v>
      </c>
      <c r="HF81" s="189">
        <v>277026.03652393445</v>
      </c>
      <c r="HG81" s="189"/>
      <c r="HH81" s="203">
        <v>29.399721469329762</v>
      </c>
      <c r="HI81" s="189">
        <v>654923.0099704382</v>
      </c>
      <c r="HJ81" s="268">
        <f t="shared" ref="HJ81:HJ144" si="80">MAX(FB81-FP81-FW81,0)</f>
        <v>0</v>
      </c>
      <c r="HK81" s="189">
        <f t="shared" ref="HK81:HK144" si="81">MAX(FD81-FR81-FX81,0)</f>
        <v>0</v>
      </c>
      <c r="HL81" s="189">
        <f t="shared" ref="HL81:HL144" si="82">MAX(FF81-FT81-FY81,0)</f>
        <v>0</v>
      </c>
      <c r="HM81" s="255">
        <f t="shared" ref="HM81:HM144" si="83">MAX(FH81-FV81-FZ81,0)</f>
        <v>0</v>
      </c>
      <c r="HN81" s="189">
        <f t="shared" ref="HN81:HN144" si="84">SUM(HJ81:HM81)</f>
        <v>0</v>
      </c>
      <c r="HO81" s="203">
        <f t="shared" si="46"/>
        <v>0</v>
      </c>
      <c r="HP81" s="258">
        <f t="shared" ref="HP81:HP144" si="85">(HJ81*CE81+HK81*CF81+HL81*CG81+HM81*CH81)</f>
        <v>0</v>
      </c>
      <c r="HQ81" s="241"/>
      <c r="HR81" s="771"/>
      <c r="HS81" s="764"/>
      <c r="HT81" s="824"/>
      <c r="HU81" s="764"/>
      <c r="HV81" s="764"/>
      <c r="HW81" s="1018"/>
      <c r="HX81" s="1019"/>
      <c r="HY81" s="1023"/>
      <c r="HZ81" s="1022" t="s">
        <v>223</v>
      </c>
      <c r="IA81" s="752"/>
      <c r="IB81" s="752"/>
      <c r="IC81" s="752"/>
      <c r="ID81" s="752"/>
      <c r="IE81" s="752"/>
      <c r="IF81" s="752"/>
      <c r="IG81" s="752"/>
      <c r="IH81" s="759"/>
      <c r="II81" s="789" t="s">
        <v>218</v>
      </c>
      <c r="IJ81" s="272"/>
      <c r="IK81" s="272"/>
      <c r="IL81" s="1185"/>
      <c r="IM81" s="1399" t="s">
        <v>1082</v>
      </c>
      <c r="IN81" s="1400" t="s">
        <v>877</v>
      </c>
      <c r="IO81" s="1401"/>
      <c r="IP81" s="1401"/>
      <c r="IQ81" s="1402"/>
      <c r="IR81" s="223"/>
    </row>
    <row r="82" spans="1:252" ht="13.8" thickBot="1">
      <c r="A82" t="str">
        <f t="shared" ref="A82:A145" si="86">+D82&amp;"Q"&amp;ROUNDUP(E82/3,0)</f>
        <v>2005Q2</v>
      </c>
      <c r="B82">
        <f t="shared" ref="B82:B145" si="87">YEAR(C82)</f>
        <v>2005</v>
      </c>
      <c r="C82" s="49">
        <f t="shared" ref="C82:C145" si="88">EOMONTH(C81,0)+1</f>
        <v>38504</v>
      </c>
      <c r="D82" s="115">
        <f t="shared" ref="D82:D145" si="89">+YEAR(C82)</f>
        <v>2005</v>
      </c>
      <c r="E82" s="10">
        <f t="shared" si="55"/>
        <v>6</v>
      </c>
      <c r="F82" s="248" t="str">
        <f t="shared" si="57"/>
        <v/>
      </c>
      <c r="G82" s="245">
        <v>38504</v>
      </c>
      <c r="H82" s="251">
        <v>38533</v>
      </c>
      <c r="I82" s="959">
        <f t="shared" si="53"/>
        <v>7.1499999999999994E-2</v>
      </c>
      <c r="J82" s="37">
        <f t="shared" ref="J82:J145" si="90">(1+I82/2)^(-2*(DATE(D83,E83,20)-$H$7)/365.25)</f>
        <v>0.67493444702013816</v>
      </c>
      <c r="K82" s="1036"/>
      <c r="L82" s="37"/>
      <c r="M82" s="1004">
        <v>0</v>
      </c>
      <c r="N82" s="38">
        <f t="shared" si="66"/>
        <v>0</v>
      </c>
      <c r="O82" s="40">
        <f t="shared" si="66"/>
        <v>0</v>
      </c>
      <c r="P82" s="159">
        <f t="shared" si="60"/>
        <v>0</v>
      </c>
      <c r="Q82" s="38">
        <f t="shared" si="70"/>
        <v>0</v>
      </c>
      <c r="R82" s="40">
        <f t="shared" si="70"/>
        <v>0</v>
      </c>
      <c r="S82" s="38">
        <f t="shared" si="70"/>
        <v>0</v>
      </c>
      <c r="T82" s="38">
        <f t="shared" si="70"/>
        <v>0</v>
      </c>
      <c r="U82" s="38">
        <f t="shared" si="70"/>
        <v>0</v>
      </c>
      <c r="V82" s="159">
        <f t="shared" si="70"/>
        <v>0</v>
      </c>
      <c r="W82" s="38">
        <f t="shared" si="70"/>
        <v>0</v>
      </c>
      <c r="X82" s="39">
        <f t="shared" si="70"/>
        <v>0</v>
      </c>
      <c r="Y82" s="46">
        <v>0</v>
      </c>
      <c r="Z82" s="46">
        <v>0</v>
      </c>
      <c r="AA82" s="47">
        <v>0</v>
      </c>
      <c r="AB82" s="46">
        <v>0</v>
      </c>
      <c r="AC82" s="46">
        <v>0</v>
      </c>
      <c r="AD82" s="47">
        <v>0</v>
      </c>
      <c r="AE82" s="46">
        <v>0</v>
      </c>
      <c r="AF82" s="46">
        <v>0</v>
      </c>
      <c r="AG82" s="47">
        <v>0</v>
      </c>
      <c r="AH82" s="46">
        <v>0</v>
      </c>
      <c r="AI82" s="46">
        <v>0</v>
      </c>
      <c r="AJ82" s="47">
        <v>0</v>
      </c>
      <c r="AK82" s="46">
        <v>0</v>
      </c>
      <c r="AL82" s="46">
        <v>0</v>
      </c>
      <c r="AM82" s="47">
        <v>0</v>
      </c>
      <c r="AN82" s="46">
        <v>0</v>
      </c>
      <c r="AO82" s="46">
        <v>0</v>
      </c>
      <c r="AP82" s="47">
        <v>0</v>
      </c>
      <c r="AQ82" s="46">
        <v>0</v>
      </c>
      <c r="AR82" s="46">
        <v>0</v>
      </c>
      <c r="AS82" s="47">
        <v>0</v>
      </c>
      <c r="AT82" s="46">
        <v>0</v>
      </c>
      <c r="AU82" s="46">
        <v>0</v>
      </c>
      <c r="AV82" s="46">
        <v>0</v>
      </c>
      <c r="AW82" s="1545">
        <v>0</v>
      </c>
      <c r="AX82" s="10">
        <f t="shared" si="56"/>
        <v>22</v>
      </c>
      <c r="AY82" s="42">
        <f>IF(AND($E82=MONTH(Summary!$E$24),$D82=YEAR(Summary!$E$24)),Summary!$E$25,1)*IF(G82="",0,INT((H82-MOD(H82,7)-G82)/7)+1-IF(BA82,IF(WEEKDAY(F82)=7,1,0),0))</f>
        <v>4</v>
      </c>
      <c r="AZ82" s="42">
        <f>IF(AND($E82=MONTH(Summary!$E$24),$D82=YEAR(Summary!$E$24)),Summary!$E$25,1)*IF(G82="",0,INT((H82-MOD(H82-1,7)-G82)/7)+1-IF(BA82,IF(WEEKDAY(F82)=1,1,0),0))</f>
        <v>4</v>
      </c>
      <c r="BA82" s="42">
        <v>0</v>
      </c>
      <c r="BB82" s="10">
        <f>IF(AND($E82=MONTH(Summary!$E$24),$D82=YEAR(Summary!$E$24)),Summary!$E$25,1)*IF(G82="",0,H82-G82+1)</f>
        <v>30</v>
      </c>
      <c r="BC82" s="914">
        <f>Summary!$E$19</f>
        <v>1.4999999999999999E-2</v>
      </c>
      <c r="BD82" s="113">
        <v>15602.4</v>
      </c>
      <c r="BE82" s="171">
        <v>2836.8</v>
      </c>
      <c r="BF82" s="171">
        <v>2836.8</v>
      </c>
      <c r="BG82" s="174"/>
      <c r="BH82" s="1198">
        <v>1</v>
      </c>
      <c r="BI82" s="1198">
        <v>1</v>
      </c>
      <c r="BJ82" s="1198">
        <v>1</v>
      </c>
      <c r="BK82" s="1198">
        <v>1</v>
      </c>
      <c r="BL82" s="95">
        <v>3120.48</v>
      </c>
      <c r="BM82" s="171">
        <v>567.36</v>
      </c>
      <c r="BN82" s="171">
        <v>567.36</v>
      </c>
      <c r="BO82" s="174"/>
      <c r="BP82" s="1198">
        <v>1</v>
      </c>
      <c r="BQ82" s="1199">
        <v>1</v>
      </c>
      <c r="BR82" s="1199">
        <v>1</v>
      </c>
      <c r="BS82" s="1200">
        <v>1</v>
      </c>
      <c r="BT82" s="94">
        <f t="shared" ref="BT82:BT145" si="91">SUM(BD82:BF82)</f>
        <v>21276</v>
      </c>
      <c r="BU82" s="233">
        <f t="shared" ref="BU82:BU145" si="92">SUM(BD82:BG82)</f>
        <v>21276</v>
      </c>
      <c r="BV82" s="92">
        <f t="shared" ref="BV82:BV145" si="93">SUM(BL82:BN82)</f>
        <v>4255.2</v>
      </c>
      <c r="BW82" s="233">
        <f t="shared" ref="BW82:BW145" si="94">SUM(BL82:BO82)</f>
        <v>4255.2</v>
      </c>
      <c r="BX82" s="88">
        <v>5.462012320328542</v>
      </c>
      <c r="BY82" s="90">
        <v>0</v>
      </c>
      <c r="BZ82" s="88">
        <v>0</v>
      </c>
      <c r="CA82" s="88">
        <v>0</v>
      </c>
      <c r="CB82" s="88">
        <v>0</v>
      </c>
      <c r="CC82" s="88">
        <v>0</v>
      </c>
      <c r="CD82" s="88">
        <v>0</v>
      </c>
      <c r="CE82" s="100">
        <v>0</v>
      </c>
      <c r="CF82" s="88">
        <v>0</v>
      </c>
      <c r="CG82" s="88">
        <v>0</v>
      </c>
      <c r="CH82" s="88">
        <v>0</v>
      </c>
      <c r="CI82" s="88">
        <v>0</v>
      </c>
      <c r="CJ82" s="228">
        <v>0</v>
      </c>
      <c r="CK82" s="88">
        <v>0</v>
      </c>
      <c r="CL82" s="88">
        <v>0</v>
      </c>
      <c r="CM82" s="88">
        <v>0</v>
      </c>
      <c r="CN82" s="88">
        <v>0</v>
      </c>
      <c r="CO82" s="88">
        <v>0</v>
      </c>
      <c r="CP82" s="88">
        <v>0</v>
      </c>
      <c r="CQ82" s="229">
        <v>0</v>
      </c>
      <c r="CR82" s="91">
        <v>0</v>
      </c>
      <c r="CS82" s="91">
        <v>0</v>
      </c>
      <c r="CT82" s="91">
        <v>0</v>
      </c>
      <c r="CU82" s="91">
        <v>0</v>
      </c>
      <c r="CV82" s="91">
        <v>0</v>
      </c>
      <c r="CW82" s="91">
        <v>0</v>
      </c>
      <c r="CX82" s="225">
        <v>0</v>
      </c>
      <c r="CY82" s="1265">
        <v>7741.0998399999999</v>
      </c>
      <c r="CZ82" s="90">
        <v>0</v>
      </c>
      <c r="DA82" s="88">
        <v>0</v>
      </c>
      <c r="DB82" s="88">
        <v>0</v>
      </c>
      <c r="DC82" s="88">
        <v>0</v>
      </c>
      <c r="DD82" s="88">
        <v>0</v>
      </c>
      <c r="DE82" s="152">
        <v>0</v>
      </c>
      <c r="DF82" s="230">
        <v>0</v>
      </c>
      <c r="DG82" s="38">
        <v>0</v>
      </c>
      <c r="DH82" s="1237">
        <v>0</v>
      </c>
      <c r="DI82" s="956">
        <v>0</v>
      </c>
      <c r="DJ82" s="956">
        <v>0</v>
      </c>
      <c r="DK82" s="956">
        <v>0</v>
      </c>
      <c r="DL82" s="152">
        <v>0</v>
      </c>
      <c r="DM82" s="160">
        <v>0</v>
      </c>
      <c r="DN82" s="160">
        <v>0</v>
      </c>
      <c r="DO82" s="160">
        <v>0</v>
      </c>
      <c r="DP82" s="160">
        <v>0</v>
      </c>
      <c r="DQ82" s="160">
        <v>0</v>
      </c>
      <c r="DR82" s="230">
        <v>0</v>
      </c>
      <c r="DS82" s="88">
        <v>0</v>
      </c>
      <c r="DT82" s="88">
        <v>0</v>
      </c>
      <c r="DU82" s="88">
        <v>0</v>
      </c>
      <c r="DV82" s="88">
        <v>0</v>
      </c>
      <c r="DW82" s="88">
        <v>0</v>
      </c>
      <c r="DX82" s="88">
        <v>0</v>
      </c>
      <c r="DY82" s="88">
        <v>0</v>
      </c>
      <c r="DZ82" s="88">
        <v>0</v>
      </c>
      <c r="EA82" s="88">
        <v>0</v>
      </c>
      <c r="EB82" s="152">
        <v>0</v>
      </c>
      <c r="EC82" s="52">
        <f t="shared" ref="EC82:EF145" si="95">DS82*BD82</f>
        <v>0</v>
      </c>
      <c r="ED82" s="52">
        <f t="shared" si="95"/>
        <v>0</v>
      </c>
      <c r="EE82" s="52">
        <f t="shared" si="95"/>
        <v>0</v>
      </c>
      <c r="EF82" s="52">
        <f t="shared" si="71"/>
        <v>0</v>
      </c>
      <c r="EG82" s="52">
        <f t="shared" ref="EG82:EG145" si="96">DS82*BD82+DT82*BE82+DU82*BF82+DV82*BG82</f>
        <v>0</v>
      </c>
      <c r="EH82" s="238">
        <v>0</v>
      </c>
      <c r="EI82" s="211">
        <v>0</v>
      </c>
      <c r="EJ82" s="211">
        <v>0</v>
      </c>
      <c r="EK82" s="211">
        <v>0</v>
      </c>
      <c r="EL82" s="217">
        <f>IF(C82&gt;=Summary!$E$26,MAX(0,SUM(EH82:EK82)),0)</f>
        <v>0</v>
      </c>
      <c r="EM82" s="52">
        <f>IF(C82&gt;=Summary!$E$26,DX82*BL82,0)</f>
        <v>0</v>
      </c>
      <c r="EN82" s="52">
        <f>IF(C82&gt;=Summary!$E$26,DY82*BM82,0)</f>
        <v>0</v>
      </c>
      <c r="EO82" s="52">
        <f>IF(C82&gt;=Summary!$E$26,DZ82*BN82,0)</f>
        <v>0</v>
      </c>
      <c r="EP82" s="52">
        <f>IF(C82&gt;=Summary!$E$26,EA82*BO82,0)</f>
        <v>0</v>
      </c>
      <c r="EQ82" s="52">
        <f>IF(C82&gt;=Summary!$E$26,DX82*BL82+DY82*BM82+DZ82*BN82+EA82*BO82,0)</f>
        <v>0</v>
      </c>
      <c r="ER82" s="826">
        <v>0</v>
      </c>
      <c r="ES82" s="278">
        <v>0</v>
      </c>
      <c r="ET82" s="278">
        <v>0</v>
      </c>
      <c r="EU82" s="278">
        <v>0</v>
      </c>
      <c r="EV82" s="212">
        <f>IF(C82&gt;=Summary!$E$26,MAX(0,SUM(ER82:EU82)),0)</f>
        <v>0</v>
      </c>
      <c r="EW82" s="52"/>
      <c r="EX82" s="1049">
        <f t="shared" ref="EX82:EX145" si="97">(EQ82-EV82)+IF(EZ82="Yes",(EG82-EL82),0)</f>
        <v>0</v>
      </c>
      <c r="EY82" s="1045" t="str">
        <f t="shared" ref="EY82:EY145" si="98">IF(EX82,EX82/EQ82,"")</f>
        <v/>
      </c>
      <c r="EZ82" s="1684" t="s">
        <v>525</v>
      </c>
      <c r="FA82" s="1046">
        <f t="shared" si="54"/>
        <v>45</v>
      </c>
      <c r="FB82" s="256">
        <f t="shared" ref="FB82:FB145" si="99">IF(EZ82="No",IF((OR(MONTH(C82)=5,MONTH(C82)=6,MONTH(C82)=7,MONTH(C82)=8,MONTH(C82)=9)),$FA82*12*AX82*(1-$BC82),$FA82*10*AX82*(1-$BC82)),0)</f>
        <v>11701.8</v>
      </c>
      <c r="FC82" s="194">
        <f t="shared" ref="FC82:FC145" si="100">IF(EZ82="No",IF((OR(MONTH(C82)=5,MONTH(C82)=6,MONTH(C82)=7,MONTH(C82)=8,MONTH(C82)=9)),0,$FA82*3*AX82*(1-$BC82)),0)</f>
        <v>0</v>
      </c>
      <c r="FD82" s="194">
        <f t="shared" ref="FD82:FD145" si="101">IF(EZ82="No",IF((OR(MONTH(C82)=5,MONTH(C82)=6,MONTH(C82)=7,MONTH(C82)=8,MONTH(C82)=9)),$FA82*12*AY82*(1-$BC82),$FA82*10*AY82*(1-$BC82)),0)</f>
        <v>2127.6</v>
      </c>
      <c r="FE82" s="194">
        <f t="shared" ref="FE82:FE145" si="102">IF(EZ82="No",IF((OR(MONTH(C82)=5,MONTH(C82)=6,MONTH(C82)=7,MONTH(C82)=8,MONTH(C82)=9)),0,$FA82*3*AY82*(1-$BC82)),0)</f>
        <v>0</v>
      </c>
      <c r="FF82" s="194">
        <f t="shared" ref="FF82:FF145" si="103">IF(EZ82="No",IF((OR(MONTH(C82)=5,MONTH(C82)=6,MONTH(C82)=7,MONTH(C82)=8,MONTH(C82)=9)),$FA82*12*(AZ82+BA82)*(1-$BC82),$FA82*10*(AZ82+BA82)*(1-$BC82)),0)</f>
        <v>2127.6</v>
      </c>
      <c r="FG82" s="194">
        <f t="shared" ref="FG82:FG145" si="104">IF(EZ82="No",IF((OR(MONTH(C82)=5,MONTH(C82)=6,MONTH(C82)=7,MONTH(C82)=8,MONTH(C82)=9)),0,$FA82*3*(AZ82+BA82)*(1-$BC82)),0)</f>
        <v>0</v>
      </c>
      <c r="FH82" s="257">
        <f>IF(EZ82="No",IF((OR(MONTH(C82)=5,MONTH(C82)=6,MONTH(C82)=7,MONTH(C82)=8,MONTH(C82)=9)),Summary!$O$15*12*(AX82+AY82+AZ82+BA82)*(1-$BC82),Summary!$O$15*13*(AX82+AY82+AZ82+BA82)*(1-$BC82)+IF(Summary!$O$16="Yes",(CALC!FA82+Summary!$O$15)*6*(AX82+AY82+AZ82+BA82)*(1-$BC82),0)),0)</f>
        <v>0</v>
      </c>
      <c r="FI82" s="1412">
        <f>IF(MONTH(C82)=5,FI81*(IF(Summary!$E$70="no",(1+(Summary!$E$71*0.8)),1+HLOOKUP(YEAR(C82)-1,CCFMODEL!$I$127:$AF$128,2)*0.8)),+FI81)</f>
        <v>30.670680453537404</v>
      </c>
      <c r="FJ82" s="1411">
        <f>IF(MONTH(C82)=5,FJ81*(IF(Summary!$E$70="no",(1+(Summary!$E$71*0.8)),1+HLOOKUP(YEAR(CALC!C82)-1,CCFMODEL!$I$127:$AF$128,2)*0.8)),FJ81)</f>
        <v>26.806657719233474</v>
      </c>
      <c r="FK82" s="832">
        <f t="shared" si="72"/>
        <v>489412.04799709638</v>
      </c>
      <c r="FL82" s="1412">
        <f>IF(MONTH(C82)=5,FL81*(IF(Summary!$E$70="no",(1+(Summary!$E$71*0.8)),1+HLOOKUP(YEAR(CALC!C82)-1,CCFMODEL!$I$127:$AF$128,2)*0.8)),+FL81)</f>
        <v>64.503879514019971</v>
      </c>
      <c r="FM82" s="1411">
        <f>IF(MONTH(C82)=5,FM81*(IF(Summary!$E$70="no",(1+(Summary!$E$71*0.8)),1+HLOOKUP(YEAR(CALC!C82)-1,CCFMODEL!$I$127:$AF$128,2)*0.8)),+FM81)</f>
        <v>30.785681130153588</v>
      </c>
      <c r="FN82" s="832">
        <f t="shared" si="73"/>
        <v>1044962.8481271236</v>
      </c>
      <c r="FO82" s="194">
        <f t="shared" ref="FO82:FO145" si="105">FK82+FN82</f>
        <v>1534374.89612422</v>
      </c>
      <c r="FP82" s="263">
        <f t="shared" si="69"/>
        <v>11701.8</v>
      </c>
      <c r="FQ82" s="194">
        <f t="shared" si="69"/>
        <v>0</v>
      </c>
      <c r="FR82" s="194">
        <f t="shared" si="69"/>
        <v>2127.6</v>
      </c>
      <c r="FS82" s="194">
        <f t="shared" si="68"/>
        <v>0</v>
      </c>
      <c r="FT82" s="194">
        <f t="shared" si="68"/>
        <v>2127.6</v>
      </c>
      <c r="FU82" s="194">
        <f t="shared" si="68"/>
        <v>0</v>
      </c>
      <c r="FV82" s="257">
        <f t="shared" si="68"/>
        <v>0</v>
      </c>
      <c r="FW82" s="189">
        <f t="shared" si="74"/>
        <v>0</v>
      </c>
      <c r="FX82" s="189">
        <f t="shared" si="75"/>
        <v>0</v>
      </c>
      <c r="FY82" s="189">
        <f t="shared" si="76"/>
        <v>0</v>
      </c>
      <c r="FZ82" s="258">
        <f t="shared" si="77"/>
        <v>0</v>
      </c>
      <c r="GA82" s="1293">
        <f>(SUM(FP82:FV82)+SUM(GU82:HB82)/(1-Summary!$O$25))*CY82/1000</f>
        <v>156464.65818604801</v>
      </c>
      <c r="GB82" s="1369">
        <f>IF($C82&lt;Summary!$M$81,+Summary!$O$81,VLOOKUP(C82,GasTable,19))</f>
        <v>2.4</v>
      </c>
      <c r="GC82" s="1370">
        <f>IF(H82&lt;=Summary!$N$84,MIN(GA82,Summary!$O$75*(H82-G82+1)),0)</f>
        <v>150000</v>
      </c>
      <c r="GD82" s="1371">
        <f>IF(Summary!$O$75*(H82-G82+1)*0.8&gt;GC82,1,0)</f>
        <v>0</v>
      </c>
      <c r="GE82" s="1372">
        <v>0</v>
      </c>
      <c r="GF82" s="1370">
        <f t="shared" ref="GF82:GF145" si="106">ABS(MIN(0,GC82-$GA82))</f>
        <v>6464.6581860480073</v>
      </c>
      <c r="GG82" s="1371">
        <f>GF82*(IF(Summary!$O$74=1,VLOOKUP($C82,GasTable,16)+Summary!$O$92+Summary!$O$93,VLOOKUP($C82,GasTable,19)+Summary!$O$92+Summary!$O$93))</f>
        <v>17106.565069045486</v>
      </c>
      <c r="GH82" s="1373">
        <v>17712</v>
      </c>
      <c r="GI82" s="1466">
        <v>0</v>
      </c>
      <c r="GJ82" s="1374">
        <f t="shared" ref="GJ82:GJ145" si="107">+GB82*GC82+GE82+GG82+GH82-GI82</f>
        <v>394818.56506904546</v>
      </c>
      <c r="GK82" s="189">
        <f t="shared" si="78"/>
        <v>20063.268000000004</v>
      </c>
      <c r="GL82" s="266">
        <v>0.76017600428800003</v>
      </c>
      <c r="GM82" s="255">
        <f t="shared" si="79"/>
        <v>14730</v>
      </c>
      <c r="GN82" s="189">
        <f>IF(SUM(GU82:HB82)=0,0,IF(Summary!$O$16="Yes",SUM(GX82:HB82),IF(Summary!$O$17="Yes",SUM(GY82:HB82),SUM(GU82:HB82))))</f>
        <v>4106.268</v>
      </c>
      <c r="GO82" s="203">
        <v>2.7585222762877999</v>
      </c>
      <c r="GP82" s="258">
        <f t="shared" ref="GP82:GP145" si="108">GN82*GO82</f>
        <v>11327.231750407751</v>
      </c>
      <c r="GQ82" s="189"/>
      <c r="GR82" s="189"/>
      <c r="GS82" s="189"/>
      <c r="GT82" s="189"/>
      <c r="GU82" s="268">
        <v>0</v>
      </c>
      <c r="GV82" s="189">
        <v>0</v>
      </c>
      <c r="GW82" s="189">
        <v>0</v>
      </c>
      <c r="GX82" s="189"/>
      <c r="GY82" s="254">
        <v>3011.2631999999999</v>
      </c>
      <c r="GZ82" s="189">
        <v>547.50239999999997</v>
      </c>
      <c r="HA82" s="189">
        <v>547.50239999999997</v>
      </c>
      <c r="HB82" s="255"/>
      <c r="HC82" s="189">
        <v>4106.268</v>
      </c>
      <c r="HD82" s="189"/>
      <c r="HE82" s="189">
        <v>16425.072</v>
      </c>
      <c r="HF82" s="189">
        <v>113890.69032546655</v>
      </c>
      <c r="HG82" s="189"/>
      <c r="HH82" s="203">
        <v>27.735815179493049</v>
      </c>
      <c r="HI82" s="189">
        <v>455562.76130186627</v>
      </c>
      <c r="HJ82" s="268">
        <f t="shared" si="80"/>
        <v>0</v>
      </c>
      <c r="HK82" s="189">
        <f t="shared" si="81"/>
        <v>0</v>
      </c>
      <c r="HL82" s="189">
        <f t="shared" si="82"/>
        <v>0</v>
      </c>
      <c r="HM82" s="255">
        <f t="shared" si="83"/>
        <v>0</v>
      </c>
      <c r="HN82" s="189">
        <f t="shared" si="84"/>
        <v>0</v>
      </c>
      <c r="HO82" s="203">
        <f t="shared" ref="HO82:HO145" si="109">IF(ISERROR(+HP82/HN82),0,+HP82/HN82)</f>
        <v>0</v>
      </c>
      <c r="HP82" s="258">
        <f t="shared" si="85"/>
        <v>0</v>
      </c>
      <c r="HQ82" s="803"/>
      <c r="HR82" s="279"/>
      <c r="HS82" s="236"/>
      <c r="HT82" s="822"/>
      <c r="HU82" s="236"/>
      <c r="HV82" s="236"/>
      <c r="HW82" s="236"/>
      <c r="HX82" s="264"/>
      <c r="HY82" s="231"/>
      <c r="HZ82" s="236"/>
      <c r="IA82" s="236"/>
      <c r="IB82" s="822"/>
      <c r="IC82" s="236"/>
      <c r="ID82" s="236"/>
      <c r="IE82" s="822"/>
      <c r="IF82" s="236"/>
      <c r="IG82" s="236"/>
      <c r="IH82" s="825"/>
      <c r="II82" s="236"/>
      <c r="IJ82" s="236"/>
      <c r="IK82" s="236"/>
      <c r="IL82" s="1186"/>
      <c r="IM82" s="1399"/>
      <c r="IN82" s="279"/>
      <c r="IO82" s="236"/>
      <c r="IP82" s="236"/>
      <c r="IQ82" s="231"/>
      <c r="IR82" s="223"/>
    </row>
    <row r="83" spans="1:252" ht="13.8" thickBot="1">
      <c r="A83" t="str">
        <f t="shared" si="86"/>
        <v>2005Q3</v>
      </c>
      <c r="B83">
        <f t="shared" si="87"/>
        <v>2005</v>
      </c>
      <c r="C83" s="49">
        <f t="shared" si="88"/>
        <v>38534</v>
      </c>
      <c r="D83" s="115">
        <f t="shared" si="89"/>
        <v>2005</v>
      </c>
      <c r="E83" s="10">
        <f t="shared" si="55"/>
        <v>7</v>
      </c>
      <c r="F83" s="248">
        <f t="shared" si="57"/>
        <v>38537</v>
      </c>
      <c r="G83" s="245">
        <v>38534</v>
      </c>
      <c r="H83" s="251">
        <v>38564</v>
      </c>
      <c r="I83" s="959">
        <f t="shared" ref="I83:I146" si="110">I82</f>
        <v>7.1499999999999994E-2</v>
      </c>
      <c r="J83" s="37">
        <f t="shared" si="90"/>
        <v>0.67092213025478964</v>
      </c>
      <c r="K83" s="1036"/>
      <c r="L83" s="37"/>
      <c r="M83" s="1004">
        <v>0</v>
      </c>
      <c r="N83" s="38">
        <f t="shared" si="66"/>
        <v>0</v>
      </c>
      <c r="O83" s="40">
        <f t="shared" si="66"/>
        <v>0</v>
      </c>
      <c r="P83" s="159">
        <f t="shared" si="60"/>
        <v>0</v>
      </c>
      <c r="Q83" s="38">
        <f t="shared" si="70"/>
        <v>0</v>
      </c>
      <c r="R83" s="40">
        <f t="shared" si="70"/>
        <v>0</v>
      </c>
      <c r="S83" s="38">
        <f t="shared" si="70"/>
        <v>0</v>
      </c>
      <c r="T83" s="38">
        <f t="shared" si="70"/>
        <v>0</v>
      </c>
      <c r="U83" s="38">
        <f t="shared" si="70"/>
        <v>0</v>
      </c>
      <c r="V83" s="159">
        <f t="shared" si="70"/>
        <v>0</v>
      </c>
      <c r="W83" s="38">
        <f t="shared" si="70"/>
        <v>0</v>
      </c>
      <c r="X83" s="39">
        <f t="shared" si="70"/>
        <v>0</v>
      </c>
      <c r="Y83" s="46">
        <v>0</v>
      </c>
      <c r="Z83" s="46">
        <v>0</v>
      </c>
      <c r="AA83" s="47">
        <v>0</v>
      </c>
      <c r="AB83" s="46">
        <v>0</v>
      </c>
      <c r="AC83" s="46">
        <v>0</v>
      </c>
      <c r="AD83" s="47">
        <v>0</v>
      </c>
      <c r="AE83" s="46">
        <v>0</v>
      </c>
      <c r="AF83" s="46">
        <v>0</v>
      </c>
      <c r="AG83" s="47">
        <v>0</v>
      </c>
      <c r="AH83" s="46">
        <v>0</v>
      </c>
      <c r="AI83" s="46">
        <v>0</v>
      </c>
      <c r="AJ83" s="47">
        <v>0</v>
      </c>
      <c r="AK83" s="46">
        <v>0</v>
      </c>
      <c r="AL83" s="46">
        <v>0</v>
      </c>
      <c r="AM83" s="47">
        <v>0</v>
      </c>
      <c r="AN83" s="46">
        <v>0</v>
      </c>
      <c r="AO83" s="46">
        <v>0</v>
      </c>
      <c r="AP83" s="47">
        <v>0</v>
      </c>
      <c r="AQ83" s="46">
        <v>0</v>
      </c>
      <c r="AR83" s="46">
        <v>0</v>
      </c>
      <c r="AS83" s="47">
        <v>0</v>
      </c>
      <c r="AT83" s="46">
        <v>0</v>
      </c>
      <c r="AU83" s="46">
        <v>0</v>
      </c>
      <c r="AV83" s="46">
        <v>0</v>
      </c>
      <c r="AW83" s="1545">
        <v>0</v>
      </c>
      <c r="AX83" s="10">
        <f t="shared" si="56"/>
        <v>20</v>
      </c>
      <c r="AY83" s="42">
        <f>IF(AND($E83=MONTH(Summary!$E$24),$D83=YEAR(Summary!$E$24)),Summary!$E$25,1)*IF(G83="",0,INT((H83-MOD(H83,7)-G83)/7)+1-IF(BA83,IF(WEEKDAY(F83)=7,1,0),0))</f>
        <v>5</v>
      </c>
      <c r="AZ83" s="42">
        <f>IF(AND($E83=MONTH(Summary!$E$24),$D83=YEAR(Summary!$E$24)),Summary!$E$25,1)*IF(G83="",0,INT((H83-MOD(H83-1,7)-G83)/7)+1-IF(BA83,IF(WEEKDAY(F83)=1,1,0),0))</f>
        <v>5</v>
      </c>
      <c r="BA83" s="42">
        <v>1</v>
      </c>
      <c r="BB83" s="10">
        <f>IF(AND($E83=MONTH(Summary!$E$24),$D83=YEAR(Summary!$E$24)),Summary!$E$25,1)*IF(G83="",0,H83-G83+1)</f>
        <v>31</v>
      </c>
      <c r="BC83" s="914">
        <f>Summary!$E$19</f>
        <v>1.4999999999999999E-2</v>
      </c>
      <c r="BD83" s="113">
        <v>14184</v>
      </c>
      <c r="BE83" s="171">
        <v>3546</v>
      </c>
      <c r="BF83" s="171">
        <v>4255.2</v>
      </c>
      <c r="BG83" s="174"/>
      <c r="BH83" s="1198">
        <v>1</v>
      </c>
      <c r="BI83" s="1198">
        <v>1</v>
      </c>
      <c r="BJ83" s="1198">
        <v>1</v>
      </c>
      <c r="BK83" s="1198">
        <v>1</v>
      </c>
      <c r="BL83" s="95">
        <v>2836.8</v>
      </c>
      <c r="BM83" s="171">
        <v>709.2</v>
      </c>
      <c r="BN83" s="171">
        <v>851.04</v>
      </c>
      <c r="BO83" s="174"/>
      <c r="BP83" s="1198">
        <v>1</v>
      </c>
      <c r="BQ83" s="1199">
        <v>1</v>
      </c>
      <c r="BR83" s="1199">
        <v>1</v>
      </c>
      <c r="BS83" s="1200">
        <v>1</v>
      </c>
      <c r="BT83" s="94">
        <f t="shared" si="91"/>
        <v>21985.200000000001</v>
      </c>
      <c r="BU83" s="233">
        <f t="shared" si="92"/>
        <v>21985.200000000001</v>
      </c>
      <c r="BV83" s="92">
        <f t="shared" si="93"/>
        <v>4397.04</v>
      </c>
      <c r="BW83" s="233">
        <f t="shared" si="94"/>
        <v>4397.04</v>
      </c>
      <c r="BX83" s="88">
        <v>5.5441478439425049</v>
      </c>
      <c r="BY83" s="90">
        <v>0</v>
      </c>
      <c r="BZ83" s="88">
        <v>0</v>
      </c>
      <c r="CA83" s="88">
        <v>0</v>
      </c>
      <c r="CB83" s="88">
        <v>0</v>
      </c>
      <c r="CC83" s="88">
        <v>0</v>
      </c>
      <c r="CD83" s="88">
        <v>0</v>
      </c>
      <c r="CE83" s="100">
        <v>0</v>
      </c>
      <c r="CF83" s="88">
        <v>0</v>
      </c>
      <c r="CG83" s="88">
        <v>0</v>
      </c>
      <c r="CH83" s="88">
        <v>0</v>
      </c>
      <c r="CI83" s="88">
        <v>0</v>
      </c>
      <c r="CJ83" s="228">
        <v>0</v>
      </c>
      <c r="CK83" s="88">
        <v>0</v>
      </c>
      <c r="CL83" s="88">
        <v>0</v>
      </c>
      <c r="CM83" s="88">
        <v>0</v>
      </c>
      <c r="CN83" s="88">
        <v>0</v>
      </c>
      <c r="CO83" s="88">
        <v>0</v>
      </c>
      <c r="CP83" s="88">
        <v>0</v>
      </c>
      <c r="CQ83" s="229">
        <v>0</v>
      </c>
      <c r="CR83" s="91">
        <v>0</v>
      </c>
      <c r="CS83" s="91">
        <v>0</v>
      </c>
      <c r="CT83" s="91">
        <v>0</v>
      </c>
      <c r="CU83" s="91">
        <v>0</v>
      </c>
      <c r="CV83" s="91">
        <v>0</v>
      </c>
      <c r="CW83" s="91">
        <v>0</v>
      </c>
      <c r="CX83" s="225">
        <v>0</v>
      </c>
      <c r="CY83" s="1265">
        <v>7742.40272</v>
      </c>
      <c r="CZ83" s="90">
        <v>0</v>
      </c>
      <c r="DA83" s="88">
        <v>0</v>
      </c>
      <c r="DB83" s="88">
        <v>0</v>
      </c>
      <c r="DC83" s="88">
        <v>0</v>
      </c>
      <c r="DD83" s="88">
        <v>0</v>
      </c>
      <c r="DE83" s="152">
        <v>0</v>
      </c>
      <c r="DF83" s="230">
        <v>0</v>
      </c>
      <c r="DG83" s="38">
        <v>0</v>
      </c>
      <c r="DH83" s="1237">
        <v>0</v>
      </c>
      <c r="DI83" s="956">
        <v>0</v>
      </c>
      <c r="DJ83" s="956">
        <v>0</v>
      </c>
      <c r="DK83" s="956">
        <v>0</v>
      </c>
      <c r="DL83" s="152">
        <v>0</v>
      </c>
      <c r="DM83" s="160">
        <v>0</v>
      </c>
      <c r="DN83" s="160">
        <v>0</v>
      </c>
      <c r="DO83" s="160">
        <v>0</v>
      </c>
      <c r="DP83" s="160">
        <v>0</v>
      </c>
      <c r="DQ83" s="160">
        <v>0</v>
      </c>
      <c r="DR83" s="230">
        <v>0</v>
      </c>
      <c r="DS83" s="88">
        <v>0</v>
      </c>
      <c r="DT83" s="88">
        <v>0</v>
      </c>
      <c r="DU83" s="88">
        <v>0</v>
      </c>
      <c r="DV83" s="88">
        <v>0</v>
      </c>
      <c r="DW83" s="88">
        <v>0</v>
      </c>
      <c r="DX83" s="88">
        <v>0</v>
      </c>
      <c r="DY83" s="88">
        <v>0</v>
      </c>
      <c r="DZ83" s="88">
        <v>0</v>
      </c>
      <c r="EA83" s="88">
        <v>0</v>
      </c>
      <c r="EB83" s="152">
        <v>0</v>
      </c>
      <c r="EC83" s="52">
        <f t="shared" si="95"/>
        <v>0</v>
      </c>
      <c r="ED83" s="52">
        <f t="shared" si="95"/>
        <v>0</v>
      </c>
      <c r="EE83" s="52">
        <f t="shared" si="95"/>
        <v>0</v>
      </c>
      <c r="EF83" s="52">
        <f t="shared" si="71"/>
        <v>0</v>
      </c>
      <c r="EG83" s="52">
        <f t="shared" si="96"/>
        <v>0</v>
      </c>
      <c r="EH83" s="238">
        <v>0</v>
      </c>
      <c r="EI83" s="211">
        <v>0</v>
      </c>
      <c r="EJ83" s="211">
        <v>0</v>
      </c>
      <c r="EK83" s="211">
        <v>0</v>
      </c>
      <c r="EL83" s="217">
        <f>IF(C83&gt;=Summary!$E$26,MAX(0,SUM(EH83:EK83)),0)</f>
        <v>0</v>
      </c>
      <c r="EM83" s="52">
        <f>IF(C83&gt;=Summary!$E$26,DX83*BL83,0)</f>
        <v>0</v>
      </c>
      <c r="EN83" s="52">
        <f>IF(C83&gt;=Summary!$E$26,DY83*BM83,0)</f>
        <v>0</v>
      </c>
      <c r="EO83" s="52">
        <f>IF(C83&gt;=Summary!$E$26,DZ83*BN83,0)</f>
        <v>0</v>
      </c>
      <c r="EP83" s="52">
        <f>IF(C83&gt;=Summary!$E$26,EA83*BO83,0)</f>
        <v>0</v>
      </c>
      <c r="EQ83" s="52">
        <f>IF(C83&gt;=Summary!$E$26,DX83*BL83+DY83*BM83+DZ83*BN83+EA83*BO83,0)</f>
        <v>0</v>
      </c>
      <c r="ER83" s="826">
        <v>0</v>
      </c>
      <c r="ES83" s="278">
        <v>0</v>
      </c>
      <c r="ET83" s="278">
        <v>0</v>
      </c>
      <c r="EU83" s="278">
        <v>0</v>
      </c>
      <c r="EV83" s="212">
        <f>IF(C83&gt;=Summary!$E$26,MAX(0,SUM(ER83:EU83)),0)</f>
        <v>0</v>
      </c>
      <c r="EW83" s="52"/>
      <c r="EX83" s="1049">
        <f t="shared" si="97"/>
        <v>0</v>
      </c>
      <c r="EY83" s="1045" t="str">
        <f t="shared" si="98"/>
        <v/>
      </c>
      <c r="EZ83" s="1684" t="s">
        <v>525</v>
      </c>
      <c r="FA83" s="1046">
        <f t="shared" ref="FA83:FA146" si="111">FA82</f>
        <v>45</v>
      </c>
      <c r="FB83" s="256">
        <f t="shared" si="99"/>
        <v>10638</v>
      </c>
      <c r="FC83" s="194">
        <f t="shared" si="100"/>
        <v>0</v>
      </c>
      <c r="FD83" s="194">
        <f t="shared" si="101"/>
        <v>2659.5</v>
      </c>
      <c r="FE83" s="194">
        <f t="shared" si="102"/>
        <v>0</v>
      </c>
      <c r="FF83" s="194">
        <f t="shared" si="103"/>
        <v>3191.4</v>
      </c>
      <c r="FG83" s="194">
        <f t="shared" si="104"/>
        <v>0</v>
      </c>
      <c r="FH83" s="257">
        <f>IF(EZ83="No",IF((OR(MONTH(C83)=5,MONTH(C83)=6,MONTH(C83)=7,MONTH(C83)=8,MONTH(C83)=9)),Summary!$O$15*12*(AX83+AY83+AZ83+BA83)*(1-$BC83),Summary!$O$15*13*(AX83+AY83+AZ83+BA83)*(1-$BC83)+IF(Summary!$O$16="Yes",(CALC!FA83+Summary!$O$15)*6*(AX83+AY83+AZ83+BA83)*(1-$BC83),0)),0)</f>
        <v>0</v>
      </c>
      <c r="FI83" s="1412">
        <f>IF(MONTH(C83)=5,FI82*(IF(Summary!$E$70="no",(1+(Summary!$E$71*0.8)),1+HLOOKUP(YEAR(C83)-1,CCFMODEL!$I$127:$AF$128,2)*0.8)),+FI82)</f>
        <v>30.670680453537404</v>
      </c>
      <c r="FJ83" s="1411">
        <f>IF(MONTH(C83)=5,FJ82*(IF(Summary!$E$70="no",(1+(Summary!$E$71*0.8)),1+HLOOKUP(YEAR(CALC!C83)-1,CCFMODEL!$I$127:$AF$128,2)*0.8)),FJ82)</f>
        <v>26.806657719233474</v>
      </c>
      <c r="FK83" s="832">
        <f t="shared" si="72"/>
        <v>505725.78293033293</v>
      </c>
      <c r="FL83" s="1412">
        <f>IF(MONTH(C83)=5,FL82*(IF(Summary!$E$70="no",(1+(Summary!$E$71*0.8)),1+HLOOKUP(YEAR(CALC!C83)-1,CCFMODEL!$I$127:$AF$128,2)*0.8)),+FL82)</f>
        <v>64.503879514019971</v>
      </c>
      <c r="FM83" s="1411">
        <f>IF(MONTH(C83)=5,FM82*(IF(Summary!$E$70="no",(1+(Summary!$E$71*0.8)),1+HLOOKUP(YEAR(CALC!C83)-1,CCFMODEL!$I$127:$AF$128,2)*0.8)),+FM82)</f>
        <v>30.785681130153588</v>
      </c>
      <c r="FN83" s="832">
        <f t="shared" si="73"/>
        <v>1079794.9430646943</v>
      </c>
      <c r="FO83" s="194">
        <f t="shared" si="105"/>
        <v>1585520.7259950272</v>
      </c>
      <c r="FP83" s="263">
        <f t="shared" si="69"/>
        <v>10638</v>
      </c>
      <c r="FQ83" s="194">
        <f t="shared" si="69"/>
        <v>0</v>
      </c>
      <c r="FR83" s="194">
        <f t="shared" si="69"/>
        <v>2659.5</v>
      </c>
      <c r="FS83" s="194">
        <f t="shared" si="68"/>
        <v>0</v>
      </c>
      <c r="FT83" s="194">
        <f t="shared" si="68"/>
        <v>3191.4</v>
      </c>
      <c r="FU83" s="194">
        <f t="shared" si="68"/>
        <v>0</v>
      </c>
      <c r="FV83" s="257">
        <f t="shared" si="68"/>
        <v>0</v>
      </c>
      <c r="FW83" s="189">
        <f t="shared" si="74"/>
        <v>0</v>
      </c>
      <c r="FX83" s="189">
        <f t="shared" si="75"/>
        <v>0</v>
      </c>
      <c r="FY83" s="189">
        <f t="shared" si="76"/>
        <v>0</v>
      </c>
      <c r="FZ83" s="258">
        <f t="shared" si="77"/>
        <v>0</v>
      </c>
      <c r="GA83" s="1293">
        <f>(SUM(FP83:FV83)+SUM(GU83:HB83)/(1-Summary!$O$25))*CY83/1000</f>
        <v>204261.92673569283</v>
      </c>
      <c r="GB83" s="1369">
        <f>IF($C83&lt;Summary!$M$81,+Summary!$O$81,VLOOKUP(C83,GasTable,19))</f>
        <v>2.4</v>
      </c>
      <c r="GC83" s="1370">
        <f>IF(H83&lt;=Summary!$N$84,MIN(GA83,Summary!$O$75*(H83-G83+1)),0)</f>
        <v>155000</v>
      </c>
      <c r="GD83" s="1371">
        <f>IF(Summary!$O$75*(H83-G83+1)*0.8&gt;GC83,1,0)</f>
        <v>0</v>
      </c>
      <c r="GE83" s="1372">
        <v>0</v>
      </c>
      <c r="GF83" s="1370">
        <f t="shared" si="106"/>
        <v>49261.926735692832</v>
      </c>
      <c r="GG83" s="1371">
        <f>GF83*(IF(Summary!$O$74=1,VLOOKUP($C83,GasTable,16)+Summary!$O$92+Summary!$O$93,VLOOKUP($C83,GasTable,19)+Summary!$O$92+Summary!$O$93))</f>
        <v>133843.41714216262</v>
      </c>
      <c r="GH83" s="1373">
        <v>18376.8</v>
      </c>
      <c r="GI83" s="1466">
        <v>0</v>
      </c>
      <c r="GJ83" s="1374">
        <f t="shared" si="107"/>
        <v>524220.21714216261</v>
      </c>
      <c r="GK83" s="189">
        <f t="shared" si="78"/>
        <v>26035.973099999999</v>
      </c>
      <c r="GL83" s="266">
        <v>0.76030394710399996</v>
      </c>
      <c r="GM83" s="255">
        <f t="shared" si="79"/>
        <v>15220.999999999998</v>
      </c>
      <c r="GN83" s="189">
        <f>IF(SUM(GU83:HB83)=0,0,IF(Summary!$O$16="Yes",SUM(GX83:HB83),IF(Summary!$O$17="Yes",SUM(GY83:HB83),SUM(GU83:HB83))))</f>
        <v>9547.0731000000014</v>
      </c>
      <c r="GO83" s="203">
        <v>2.7585222762877999</v>
      </c>
      <c r="GP83" s="258">
        <f t="shared" si="108"/>
        <v>26335.813819698025</v>
      </c>
      <c r="GQ83" s="189"/>
      <c r="GR83" s="189"/>
      <c r="GS83" s="189"/>
      <c r="GT83" s="189"/>
      <c r="GU83" s="268">
        <v>3421.89</v>
      </c>
      <c r="GV83" s="189">
        <v>855.47249999999997</v>
      </c>
      <c r="GW83" s="189">
        <v>1026.5669999999998</v>
      </c>
      <c r="GX83" s="189"/>
      <c r="GY83" s="254">
        <v>2737.5120000000002</v>
      </c>
      <c r="GZ83" s="189">
        <v>684.37800000000004</v>
      </c>
      <c r="HA83" s="189">
        <v>821.25359999999989</v>
      </c>
      <c r="HB83" s="255"/>
      <c r="HC83" s="189">
        <v>9547.0731000000014</v>
      </c>
      <c r="HD83" s="189"/>
      <c r="HE83" s="189">
        <v>22276.503900000003</v>
      </c>
      <c r="HF83" s="189">
        <v>355850.81371256674</v>
      </c>
      <c r="HG83" s="189"/>
      <c r="HH83" s="203">
        <v>39.471479175059322</v>
      </c>
      <c r="HI83" s="189">
        <v>879286.55978197791</v>
      </c>
      <c r="HJ83" s="268">
        <f t="shared" si="80"/>
        <v>0</v>
      </c>
      <c r="HK83" s="189">
        <f t="shared" si="81"/>
        <v>0</v>
      </c>
      <c r="HL83" s="189">
        <f t="shared" si="82"/>
        <v>0</v>
      </c>
      <c r="HM83" s="255">
        <f t="shared" si="83"/>
        <v>0</v>
      </c>
      <c r="HN83" s="189">
        <f t="shared" si="84"/>
        <v>0</v>
      </c>
      <c r="HO83" s="203">
        <f t="shared" si="109"/>
        <v>0</v>
      </c>
      <c r="HP83" s="258">
        <f t="shared" si="85"/>
        <v>0</v>
      </c>
      <c r="HQ83" s="804"/>
      <c r="HR83" s="267"/>
      <c r="HS83" s="277"/>
      <c r="HT83" s="271"/>
      <c r="HU83" s="834"/>
      <c r="HV83" s="262"/>
      <c r="HW83" s="219"/>
      <c r="HX83" s="1020"/>
      <c r="HY83" s="218"/>
      <c r="HZ83" s="268"/>
      <c r="IA83" s="203"/>
      <c r="IB83" s="255"/>
      <c r="IC83" s="254"/>
      <c r="ID83" s="203"/>
      <c r="IE83" s="255"/>
      <c r="IF83" s="254"/>
      <c r="IG83" s="203"/>
      <c r="IH83" s="255"/>
      <c r="II83" s="189"/>
      <c r="IJ83" s="203"/>
      <c r="IK83" s="189"/>
      <c r="IL83" s="1182"/>
      <c r="IM83" s="1403"/>
      <c r="IN83" s="834"/>
      <c r="IO83" s="834"/>
      <c r="IP83" s="834"/>
      <c r="IQ83" s="834"/>
      <c r="IR83" s="223"/>
    </row>
    <row r="84" spans="1:252" ht="13.8" thickBot="1">
      <c r="A84" t="str">
        <f t="shared" si="86"/>
        <v>2005Q3</v>
      </c>
      <c r="B84">
        <f t="shared" si="87"/>
        <v>2005</v>
      </c>
      <c r="C84" s="49">
        <f t="shared" si="88"/>
        <v>38565</v>
      </c>
      <c r="D84" s="115">
        <f t="shared" si="89"/>
        <v>2005</v>
      </c>
      <c r="E84" s="10">
        <f t="shared" ref="E84:E147" si="112">MONTH(C84)</f>
        <v>8</v>
      </c>
      <c r="F84" s="248" t="str">
        <f t="shared" ref="F84:F147" si="113">IF(G84="","",Holiday(D84,E84))</f>
        <v/>
      </c>
      <c r="G84" s="245">
        <v>38565</v>
      </c>
      <c r="H84" s="251">
        <v>38595</v>
      </c>
      <c r="I84" s="959">
        <f t="shared" si="110"/>
        <v>7.1499999999999994E-2</v>
      </c>
      <c r="J84" s="37">
        <f t="shared" si="90"/>
        <v>0.66693366571078883</v>
      </c>
      <c r="K84" s="1036"/>
      <c r="L84" s="37"/>
      <c r="M84" s="1004">
        <v>0</v>
      </c>
      <c r="N84" s="38">
        <f t="shared" si="66"/>
        <v>0</v>
      </c>
      <c r="O84" s="40">
        <f t="shared" si="66"/>
        <v>0</v>
      </c>
      <c r="P84" s="159">
        <f t="shared" si="60"/>
        <v>0</v>
      </c>
      <c r="Q84" s="38">
        <f t="shared" si="70"/>
        <v>0</v>
      </c>
      <c r="R84" s="40">
        <f t="shared" si="70"/>
        <v>0</v>
      </c>
      <c r="S84" s="38">
        <f t="shared" si="70"/>
        <v>0</v>
      </c>
      <c r="T84" s="38">
        <f t="shared" si="70"/>
        <v>0</v>
      </c>
      <c r="U84" s="38">
        <f t="shared" si="70"/>
        <v>0</v>
      </c>
      <c r="V84" s="159">
        <f t="shared" si="70"/>
        <v>0</v>
      </c>
      <c r="W84" s="38">
        <f t="shared" si="70"/>
        <v>0</v>
      </c>
      <c r="X84" s="39">
        <f t="shared" si="70"/>
        <v>0</v>
      </c>
      <c r="Y84" s="46">
        <v>0</v>
      </c>
      <c r="Z84" s="46">
        <v>0</v>
      </c>
      <c r="AA84" s="47">
        <v>0</v>
      </c>
      <c r="AB84" s="46">
        <v>0</v>
      </c>
      <c r="AC84" s="46">
        <v>0</v>
      </c>
      <c r="AD84" s="47">
        <v>0</v>
      </c>
      <c r="AE84" s="46">
        <v>0</v>
      </c>
      <c r="AF84" s="46">
        <v>0</v>
      </c>
      <c r="AG84" s="47">
        <v>0</v>
      </c>
      <c r="AH84" s="46">
        <v>0</v>
      </c>
      <c r="AI84" s="46">
        <v>0</v>
      </c>
      <c r="AJ84" s="47">
        <v>0</v>
      </c>
      <c r="AK84" s="46">
        <v>0</v>
      </c>
      <c r="AL84" s="46">
        <v>0</v>
      </c>
      <c r="AM84" s="47">
        <v>0</v>
      </c>
      <c r="AN84" s="46">
        <v>0</v>
      </c>
      <c r="AO84" s="46">
        <v>0</v>
      </c>
      <c r="AP84" s="47">
        <v>0</v>
      </c>
      <c r="AQ84" s="46">
        <v>0</v>
      </c>
      <c r="AR84" s="46">
        <v>0</v>
      </c>
      <c r="AS84" s="47">
        <v>0</v>
      </c>
      <c r="AT84" s="46">
        <v>0</v>
      </c>
      <c r="AU84" s="46">
        <v>0</v>
      </c>
      <c r="AV84" s="46">
        <v>0</v>
      </c>
      <c r="AW84" s="1545">
        <v>0</v>
      </c>
      <c r="AX84" s="10">
        <f t="shared" ref="AX84:AX147" si="114">BB84-SUM(AY84:BA84)</f>
        <v>23</v>
      </c>
      <c r="AY84" s="42">
        <f>IF(AND($E84=MONTH(Summary!$E$24),$D84=YEAR(Summary!$E$24)),Summary!$E$25,1)*IF(G84="",0,INT((H84-MOD(H84,7)-G84)/7)+1-IF(BA84,IF(WEEKDAY(F84)=7,1,0),0))</f>
        <v>4</v>
      </c>
      <c r="AZ84" s="42">
        <f>IF(AND($E84=MONTH(Summary!$E$24),$D84=YEAR(Summary!$E$24)),Summary!$E$25,1)*IF(G84="",0,INT((H84-MOD(H84-1,7)-G84)/7)+1-IF(BA84,IF(WEEKDAY(F84)=1,1,0),0))</f>
        <v>4</v>
      </c>
      <c r="BA84" s="42">
        <v>0</v>
      </c>
      <c r="BB84" s="10">
        <f>IF(AND($E84=MONTH(Summary!$E$24),$D84=YEAR(Summary!$E$24)),Summary!$E$25,1)*IF(G84="",0,H84-G84+1)</f>
        <v>31</v>
      </c>
      <c r="BC84" s="914">
        <f>Summary!$E$19</f>
        <v>1.4999999999999999E-2</v>
      </c>
      <c r="BD84" s="113">
        <v>16311.6</v>
      </c>
      <c r="BE84" s="171">
        <v>2836.8</v>
      </c>
      <c r="BF84" s="171">
        <v>2836.8</v>
      </c>
      <c r="BG84" s="174"/>
      <c r="BH84" s="1198">
        <v>1</v>
      </c>
      <c r="BI84" s="1198">
        <v>1</v>
      </c>
      <c r="BJ84" s="1198">
        <v>1</v>
      </c>
      <c r="BK84" s="1198">
        <v>1</v>
      </c>
      <c r="BL84" s="95">
        <v>3262.32</v>
      </c>
      <c r="BM84" s="171">
        <v>567.36</v>
      </c>
      <c r="BN84" s="171">
        <v>567.36</v>
      </c>
      <c r="BO84" s="174"/>
      <c r="BP84" s="1198">
        <v>1</v>
      </c>
      <c r="BQ84" s="1199">
        <v>1</v>
      </c>
      <c r="BR84" s="1199">
        <v>1</v>
      </c>
      <c r="BS84" s="1200">
        <v>1</v>
      </c>
      <c r="BT84" s="94">
        <f t="shared" si="91"/>
        <v>21985.200000000001</v>
      </c>
      <c r="BU84" s="233">
        <f t="shared" si="92"/>
        <v>21985.200000000001</v>
      </c>
      <c r="BV84" s="92">
        <f t="shared" si="93"/>
        <v>4397.04</v>
      </c>
      <c r="BW84" s="233">
        <f t="shared" si="94"/>
        <v>4397.04</v>
      </c>
      <c r="BX84" s="88">
        <v>5.6290212183435999</v>
      </c>
      <c r="BY84" s="90">
        <v>0</v>
      </c>
      <c r="BZ84" s="88">
        <v>0</v>
      </c>
      <c r="CA84" s="88">
        <v>0</v>
      </c>
      <c r="CB84" s="88">
        <v>0</v>
      </c>
      <c r="CC84" s="88">
        <v>0</v>
      </c>
      <c r="CD84" s="88">
        <v>0</v>
      </c>
      <c r="CE84" s="100">
        <v>0</v>
      </c>
      <c r="CF84" s="88">
        <v>0</v>
      </c>
      <c r="CG84" s="88">
        <v>0</v>
      </c>
      <c r="CH84" s="88">
        <v>0</v>
      </c>
      <c r="CI84" s="88">
        <v>0</v>
      </c>
      <c r="CJ84" s="228">
        <v>0</v>
      </c>
      <c r="CK84" s="88">
        <v>0</v>
      </c>
      <c r="CL84" s="88">
        <v>0</v>
      </c>
      <c r="CM84" s="88">
        <v>0</v>
      </c>
      <c r="CN84" s="88">
        <v>0</v>
      </c>
      <c r="CO84" s="88">
        <v>0</v>
      </c>
      <c r="CP84" s="88">
        <v>0</v>
      </c>
      <c r="CQ84" s="229">
        <v>0</v>
      </c>
      <c r="CR84" s="91">
        <v>0</v>
      </c>
      <c r="CS84" s="91">
        <v>0</v>
      </c>
      <c r="CT84" s="91">
        <v>0</v>
      </c>
      <c r="CU84" s="91">
        <v>0</v>
      </c>
      <c r="CV84" s="91">
        <v>0</v>
      </c>
      <c r="CW84" s="91">
        <v>0</v>
      </c>
      <c r="CX84" s="225">
        <v>0</v>
      </c>
      <c r="CY84" s="1265">
        <v>7743.7055999999993</v>
      </c>
      <c r="CZ84" s="90">
        <v>0</v>
      </c>
      <c r="DA84" s="88">
        <v>0</v>
      </c>
      <c r="DB84" s="88">
        <v>0</v>
      </c>
      <c r="DC84" s="88">
        <v>0</v>
      </c>
      <c r="DD84" s="88">
        <v>0</v>
      </c>
      <c r="DE84" s="152">
        <v>0</v>
      </c>
      <c r="DF84" s="230">
        <v>0</v>
      </c>
      <c r="DG84" s="38">
        <v>0</v>
      </c>
      <c r="DH84" s="1237">
        <v>0</v>
      </c>
      <c r="DI84" s="956">
        <v>0</v>
      </c>
      <c r="DJ84" s="956">
        <v>0</v>
      </c>
      <c r="DK84" s="956">
        <v>0</v>
      </c>
      <c r="DL84" s="152">
        <v>0</v>
      </c>
      <c r="DM84" s="160">
        <v>0</v>
      </c>
      <c r="DN84" s="160">
        <v>0</v>
      </c>
      <c r="DO84" s="160">
        <v>0</v>
      </c>
      <c r="DP84" s="160">
        <v>0</v>
      </c>
      <c r="DQ84" s="160">
        <v>0</v>
      </c>
      <c r="DR84" s="230">
        <v>0</v>
      </c>
      <c r="DS84" s="88">
        <v>0</v>
      </c>
      <c r="DT84" s="88">
        <v>0</v>
      </c>
      <c r="DU84" s="88">
        <v>0</v>
      </c>
      <c r="DV84" s="88">
        <v>0</v>
      </c>
      <c r="DW84" s="88">
        <v>0</v>
      </c>
      <c r="DX84" s="88">
        <v>0</v>
      </c>
      <c r="DY84" s="88">
        <v>0</v>
      </c>
      <c r="DZ84" s="88">
        <v>0</v>
      </c>
      <c r="EA84" s="88">
        <v>0</v>
      </c>
      <c r="EB84" s="152">
        <v>0</v>
      </c>
      <c r="EC84" s="52">
        <f t="shared" si="95"/>
        <v>0</v>
      </c>
      <c r="ED84" s="52">
        <f t="shared" si="95"/>
        <v>0</v>
      </c>
      <c r="EE84" s="52">
        <f t="shared" si="95"/>
        <v>0</v>
      </c>
      <c r="EF84" s="52">
        <f t="shared" si="71"/>
        <v>0</v>
      </c>
      <c r="EG84" s="52">
        <f t="shared" si="96"/>
        <v>0</v>
      </c>
      <c r="EH84" s="238">
        <v>0</v>
      </c>
      <c r="EI84" s="211">
        <v>0</v>
      </c>
      <c r="EJ84" s="211">
        <v>0</v>
      </c>
      <c r="EK84" s="211">
        <v>0</v>
      </c>
      <c r="EL84" s="217">
        <f>IF(C84&gt;=Summary!$E$26,MAX(0,SUM(EH84:EK84)),0)</f>
        <v>0</v>
      </c>
      <c r="EM84" s="52">
        <f>IF(C84&gt;=Summary!$E$26,DX84*BL84,0)</f>
        <v>0</v>
      </c>
      <c r="EN84" s="52">
        <f>IF(C84&gt;=Summary!$E$26,DY84*BM84,0)</f>
        <v>0</v>
      </c>
      <c r="EO84" s="52">
        <f>IF(C84&gt;=Summary!$E$26,DZ84*BN84,0)</f>
        <v>0</v>
      </c>
      <c r="EP84" s="52">
        <f>IF(C84&gt;=Summary!$E$26,EA84*BO84,0)</f>
        <v>0</v>
      </c>
      <c r="EQ84" s="52">
        <f>IF(C84&gt;=Summary!$E$26,DX84*BL84+DY84*BM84+DZ84*BN84+EA84*BO84,0)</f>
        <v>0</v>
      </c>
      <c r="ER84" s="826">
        <v>0</v>
      </c>
      <c r="ES84" s="278">
        <v>0</v>
      </c>
      <c r="ET84" s="278">
        <v>0</v>
      </c>
      <c r="EU84" s="278">
        <v>0</v>
      </c>
      <c r="EV84" s="212">
        <f>IF(C84&gt;=Summary!$E$26,MAX(0,SUM(ER84:EU84)),0)</f>
        <v>0</v>
      </c>
      <c r="EW84" s="52"/>
      <c r="EX84" s="1049">
        <f t="shared" si="97"/>
        <v>0</v>
      </c>
      <c r="EY84" s="1045" t="str">
        <f t="shared" si="98"/>
        <v/>
      </c>
      <c r="EZ84" s="1684" t="s">
        <v>525</v>
      </c>
      <c r="FA84" s="1046">
        <f t="shared" si="111"/>
        <v>45</v>
      </c>
      <c r="FB84" s="256">
        <f t="shared" si="99"/>
        <v>12233.7</v>
      </c>
      <c r="FC84" s="194">
        <f t="shared" si="100"/>
        <v>0</v>
      </c>
      <c r="FD84" s="194">
        <f t="shared" si="101"/>
        <v>2127.6</v>
      </c>
      <c r="FE84" s="194">
        <f t="shared" si="102"/>
        <v>0</v>
      </c>
      <c r="FF84" s="194">
        <f t="shared" si="103"/>
        <v>2127.6</v>
      </c>
      <c r="FG84" s="194">
        <f t="shared" si="104"/>
        <v>0</v>
      </c>
      <c r="FH84" s="257">
        <f>IF(EZ84="No",IF((OR(MONTH(C84)=5,MONTH(C84)=6,MONTH(C84)=7,MONTH(C84)=8,MONTH(C84)=9)),Summary!$O$15*12*(AX84+AY84+AZ84+BA84)*(1-$BC84),Summary!$O$15*13*(AX84+AY84+AZ84+BA84)*(1-$BC84)+IF(Summary!$O$16="Yes",(CALC!FA84+Summary!$O$15)*6*(AX84+AY84+AZ84+BA84)*(1-$BC84),0)),0)</f>
        <v>0</v>
      </c>
      <c r="FI84" s="1412">
        <f>IF(MONTH(C84)=5,FI83*(IF(Summary!$E$70="no",(1+(Summary!$E$71*0.8)),1+HLOOKUP(YEAR(C84)-1,CCFMODEL!$I$127:$AF$128,2)*0.8)),+FI83)</f>
        <v>30.670680453537404</v>
      </c>
      <c r="FJ84" s="1411">
        <f>IF(MONTH(C84)=5,FJ83*(IF(Summary!$E$70="no",(1+(Summary!$E$71*0.8)),1+HLOOKUP(YEAR(CALC!C84)-1,CCFMODEL!$I$127:$AF$128,2)*0.8)),FJ83)</f>
        <v>26.806657719233474</v>
      </c>
      <c r="FK84" s="832">
        <f t="shared" si="72"/>
        <v>505725.78293033293</v>
      </c>
      <c r="FL84" s="1412">
        <f>IF(MONTH(C84)=5,FL83*(IF(Summary!$E$70="no",(1+(Summary!$E$71*0.8)),1+HLOOKUP(YEAR(CALC!C84)-1,CCFMODEL!$I$127:$AF$128,2)*0.8)),+FL83)</f>
        <v>64.503879514019971</v>
      </c>
      <c r="FM84" s="1411">
        <f>IF(MONTH(C84)=5,FM83*(IF(Summary!$E$70="no",(1+(Summary!$E$71*0.8)),1+HLOOKUP(YEAR(CALC!C84)-1,CCFMODEL!$I$127:$AF$128,2)*0.8)),+FM83)</f>
        <v>30.785681130153588</v>
      </c>
      <c r="FN84" s="832">
        <f t="shared" si="73"/>
        <v>1079794.9430646943</v>
      </c>
      <c r="FO84" s="194">
        <f t="shared" si="105"/>
        <v>1585520.7259950272</v>
      </c>
      <c r="FP84" s="263">
        <f t="shared" si="69"/>
        <v>12233.7</v>
      </c>
      <c r="FQ84" s="194">
        <f t="shared" si="69"/>
        <v>0</v>
      </c>
      <c r="FR84" s="194">
        <f t="shared" si="69"/>
        <v>2127.6</v>
      </c>
      <c r="FS84" s="194">
        <f t="shared" si="68"/>
        <v>0</v>
      </c>
      <c r="FT84" s="194">
        <f t="shared" si="68"/>
        <v>2127.6</v>
      </c>
      <c r="FU84" s="194">
        <f t="shared" si="68"/>
        <v>0</v>
      </c>
      <c r="FV84" s="257">
        <f t="shared" si="68"/>
        <v>0</v>
      </c>
      <c r="FW84" s="189">
        <f t="shared" si="74"/>
        <v>0</v>
      </c>
      <c r="FX84" s="189">
        <f t="shared" si="75"/>
        <v>0</v>
      </c>
      <c r="FY84" s="189">
        <f t="shared" si="76"/>
        <v>0</v>
      </c>
      <c r="FZ84" s="258">
        <f t="shared" si="77"/>
        <v>0</v>
      </c>
      <c r="GA84" s="1293">
        <f>(SUM(FP84:FV84)+SUM(GU84:HB84)/(1-Summary!$O$25))*CY84/1000</f>
        <v>204296.29962854402</v>
      </c>
      <c r="GB84" s="1369">
        <f>IF($C84&lt;Summary!$M$81,+Summary!$O$81,VLOOKUP(C84,GasTable,19))</f>
        <v>2.4</v>
      </c>
      <c r="GC84" s="1370">
        <f>IF(H84&lt;=Summary!$N$84,MIN(GA84,Summary!$O$75*(H84-G84+1)),0)</f>
        <v>155000</v>
      </c>
      <c r="GD84" s="1371">
        <f>IF(Summary!$O$75*(H84-G84+1)*0.8&gt;GC84,1,0)</f>
        <v>0</v>
      </c>
      <c r="GE84" s="1372">
        <v>0</v>
      </c>
      <c r="GF84" s="1370">
        <f t="shared" si="106"/>
        <v>49296.299628544017</v>
      </c>
      <c r="GG84" s="1371">
        <f>GF84*(IF(Summary!$O$74=1,VLOOKUP($C84,GasTable,16)+Summary!$O$92+Summary!$O$93,VLOOKUP($C84,GasTable,19)+Summary!$O$92+Summary!$O$93))</f>
        <v>138894.13724739329</v>
      </c>
      <c r="GH84" s="1373">
        <v>18507</v>
      </c>
      <c r="GI84" s="1466">
        <v>0</v>
      </c>
      <c r="GJ84" s="1374">
        <f t="shared" si="107"/>
        <v>529401.13724739326</v>
      </c>
      <c r="GK84" s="189">
        <f t="shared" si="78"/>
        <v>26035.973100000007</v>
      </c>
      <c r="GL84" s="266">
        <v>0.76043188991999999</v>
      </c>
      <c r="GM84" s="255">
        <f t="shared" si="79"/>
        <v>15221.000000000002</v>
      </c>
      <c r="GN84" s="189">
        <f>IF(SUM(GU84:HB84)=0,0,IF(Summary!$O$16="Yes",SUM(GX84:HB84),IF(Summary!$O$17="Yes",SUM(GY84:HB84),SUM(GU84:HB84))))</f>
        <v>9547.0730999999996</v>
      </c>
      <c r="GO84" s="203">
        <v>2.7585222762877999</v>
      </c>
      <c r="GP84" s="258">
        <f t="shared" si="108"/>
        <v>26335.813819698022</v>
      </c>
      <c r="GQ84" s="189"/>
      <c r="GR84" s="189"/>
      <c r="GS84" s="189"/>
      <c r="GT84" s="189"/>
      <c r="GU84" s="268">
        <v>3935.1734999999994</v>
      </c>
      <c r="GV84" s="189">
        <v>684.37800000000027</v>
      </c>
      <c r="GW84" s="189">
        <v>684.37800000000027</v>
      </c>
      <c r="GX84" s="189"/>
      <c r="GY84" s="254">
        <v>3148.1388000000002</v>
      </c>
      <c r="GZ84" s="189">
        <v>547.50239999999997</v>
      </c>
      <c r="HA84" s="189">
        <v>547.50239999999997</v>
      </c>
      <c r="HB84" s="255"/>
      <c r="HC84" s="189">
        <v>9547.0730999999996</v>
      </c>
      <c r="HD84" s="189"/>
      <c r="HE84" s="189">
        <v>22276.5039</v>
      </c>
      <c r="HF84" s="189">
        <v>506337.08580851147</v>
      </c>
      <c r="HG84" s="189"/>
      <c r="HH84" s="203">
        <v>55.841624823528186</v>
      </c>
      <c r="HI84" s="189">
        <v>1243956.1731636624</v>
      </c>
      <c r="HJ84" s="268">
        <f t="shared" si="80"/>
        <v>0</v>
      </c>
      <c r="HK84" s="189">
        <f t="shared" si="81"/>
        <v>0</v>
      </c>
      <c r="HL84" s="189">
        <f t="shared" si="82"/>
        <v>0</v>
      </c>
      <c r="HM84" s="255">
        <f t="shared" si="83"/>
        <v>0</v>
      </c>
      <c r="HN84" s="189">
        <f t="shared" si="84"/>
        <v>0</v>
      </c>
      <c r="HO84" s="203">
        <f t="shared" si="109"/>
        <v>0</v>
      </c>
      <c r="HP84" s="258">
        <f t="shared" si="85"/>
        <v>0</v>
      </c>
      <c r="HQ84" s="804"/>
      <c r="HR84" s="268"/>
      <c r="HS84" s="38"/>
      <c r="HT84" s="255"/>
      <c r="HU84" s="254"/>
      <c r="HV84" s="203"/>
      <c r="HW84" s="189"/>
      <c r="HX84" s="1020"/>
      <c r="HY84" s="258"/>
      <c r="HZ84" s="268"/>
      <c r="IA84" s="203"/>
      <c r="IB84" s="255"/>
      <c r="IC84" s="254"/>
      <c r="ID84" s="203"/>
      <c r="IE84" s="255"/>
      <c r="IF84" s="189"/>
      <c r="IG84" s="203"/>
      <c r="IH84" s="255"/>
      <c r="II84" s="189"/>
      <c r="IJ84" s="203"/>
      <c r="IK84" s="189"/>
      <c r="IL84" s="1182"/>
      <c r="IM84" s="1403"/>
      <c r="IN84" s="254"/>
      <c r="IO84" s="254"/>
      <c r="IP84" s="254"/>
      <c r="IQ84" s="254"/>
      <c r="IR84" s="223"/>
    </row>
    <row r="85" spans="1:252" ht="13.8" thickBot="1">
      <c r="A85" t="str">
        <f t="shared" si="86"/>
        <v>2005Q3</v>
      </c>
      <c r="B85">
        <f t="shared" si="87"/>
        <v>2005</v>
      </c>
      <c r="C85" s="49">
        <f t="shared" si="88"/>
        <v>38596</v>
      </c>
      <c r="D85" s="115">
        <f t="shared" si="89"/>
        <v>2005</v>
      </c>
      <c r="E85" s="10">
        <f t="shared" si="112"/>
        <v>9</v>
      </c>
      <c r="F85" s="248">
        <f t="shared" si="113"/>
        <v>38600</v>
      </c>
      <c r="G85" s="245">
        <v>38596</v>
      </c>
      <c r="H85" s="251">
        <v>38625</v>
      </c>
      <c r="I85" s="959">
        <f t="shared" si="110"/>
        <v>7.1499999999999994E-2</v>
      </c>
      <c r="J85" s="37">
        <f t="shared" si="90"/>
        <v>0.66309643824216624</v>
      </c>
      <c r="K85" s="1036"/>
      <c r="L85" s="37"/>
      <c r="M85" s="1004">
        <v>0</v>
      </c>
      <c r="N85" s="38">
        <f t="shared" si="66"/>
        <v>0</v>
      </c>
      <c r="O85" s="40">
        <f t="shared" si="66"/>
        <v>0</v>
      </c>
      <c r="P85" s="159">
        <f t="shared" si="60"/>
        <v>0</v>
      </c>
      <c r="Q85" s="38">
        <f t="shared" si="70"/>
        <v>0</v>
      </c>
      <c r="R85" s="40">
        <f t="shared" si="70"/>
        <v>0</v>
      </c>
      <c r="S85" s="38">
        <f t="shared" si="70"/>
        <v>0</v>
      </c>
      <c r="T85" s="38">
        <f t="shared" si="70"/>
        <v>0</v>
      </c>
      <c r="U85" s="38">
        <f t="shared" si="70"/>
        <v>0</v>
      </c>
      <c r="V85" s="159">
        <f t="shared" si="70"/>
        <v>0</v>
      </c>
      <c r="W85" s="38">
        <f t="shared" si="70"/>
        <v>0</v>
      </c>
      <c r="X85" s="39">
        <f t="shared" si="70"/>
        <v>0</v>
      </c>
      <c r="Y85" s="46">
        <v>0</v>
      </c>
      <c r="Z85" s="46">
        <v>0</v>
      </c>
      <c r="AA85" s="47">
        <v>0</v>
      </c>
      <c r="AB85" s="46">
        <v>0</v>
      </c>
      <c r="AC85" s="46">
        <v>0</v>
      </c>
      <c r="AD85" s="47">
        <v>0</v>
      </c>
      <c r="AE85" s="46">
        <v>0</v>
      </c>
      <c r="AF85" s="46">
        <v>0</v>
      </c>
      <c r="AG85" s="47">
        <v>0</v>
      </c>
      <c r="AH85" s="46">
        <v>0</v>
      </c>
      <c r="AI85" s="46">
        <v>0</v>
      </c>
      <c r="AJ85" s="47">
        <v>0</v>
      </c>
      <c r="AK85" s="46">
        <v>0</v>
      </c>
      <c r="AL85" s="46">
        <v>0</v>
      </c>
      <c r="AM85" s="47">
        <v>0</v>
      </c>
      <c r="AN85" s="46">
        <v>0</v>
      </c>
      <c r="AO85" s="46">
        <v>0</v>
      </c>
      <c r="AP85" s="47">
        <v>0</v>
      </c>
      <c r="AQ85" s="46">
        <v>0</v>
      </c>
      <c r="AR85" s="46">
        <v>0</v>
      </c>
      <c r="AS85" s="47">
        <v>0</v>
      </c>
      <c r="AT85" s="46">
        <v>0</v>
      </c>
      <c r="AU85" s="46">
        <v>0</v>
      </c>
      <c r="AV85" s="46">
        <v>0</v>
      </c>
      <c r="AW85" s="1545">
        <v>0</v>
      </c>
      <c r="AX85" s="10">
        <f t="shared" si="114"/>
        <v>21</v>
      </c>
      <c r="AY85" s="42">
        <f>IF(AND($E85=MONTH(Summary!$E$24),$D85=YEAR(Summary!$E$24)),Summary!$E$25,1)*IF(G85="",0,INT((H85-MOD(H85,7)-G85)/7)+1-IF(BA85,IF(WEEKDAY(F85)=7,1,0),0))</f>
        <v>4</v>
      </c>
      <c r="AZ85" s="42">
        <f>IF(AND($E85=MONTH(Summary!$E$24),$D85=YEAR(Summary!$E$24)),Summary!$E$25,1)*IF(G85="",0,INT((H85-MOD(H85-1,7)-G85)/7)+1-IF(BA85,IF(WEEKDAY(F85)=1,1,0),0))</f>
        <v>4</v>
      </c>
      <c r="BA85" s="42">
        <v>1</v>
      </c>
      <c r="BB85" s="10">
        <f>IF(AND($E85=MONTH(Summary!$E$24),$D85=YEAR(Summary!$E$24)),Summary!$E$25,1)*IF(G85="",0,H85-G85+1)</f>
        <v>30</v>
      </c>
      <c r="BC85" s="914">
        <f>Summary!$E$19</f>
        <v>1.4999999999999999E-2</v>
      </c>
      <c r="BD85" s="113">
        <v>14893.2</v>
      </c>
      <c r="BE85" s="171">
        <v>2836.8</v>
      </c>
      <c r="BF85" s="171">
        <v>3546</v>
      </c>
      <c r="BG85" s="174"/>
      <c r="BH85" s="1198">
        <v>1</v>
      </c>
      <c r="BI85" s="1198">
        <v>1</v>
      </c>
      <c r="BJ85" s="1198">
        <v>1</v>
      </c>
      <c r="BK85" s="1198">
        <v>1</v>
      </c>
      <c r="BL85" s="95">
        <v>2978.64</v>
      </c>
      <c r="BM85" s="171">
        <v>567.36</v>
      </c>
      <c r="BN85" s="171">
        <v>709.2</v>
      </c>
      <c r="BO85" s="174"/>
      <c r="BP85" s="1198">
        <v>1</v>
      </c>
      <c r="BQ85" s="1199">
        <v>1</v>
      </c>
      <c r="BR85" s="1199">
        <v>1</v>
      </c>
      <c r="BS85" s="1200">
        <v>1</v>
      </c>
      <c r="BT85" s="94">
        <f t="shared" si="91"/>
        <v>21276</v>
      </c>
      <c r="BU85" s="233">
        <f t="shared" si="92"/>
        <v>21276</v>
      </c>
      <c r="BV85" s="92">
        <f t="shared" si="93"/>
        <v>4255.2</v>
      </c>
      <c r="BW85" s="233">
        <f t="shared" si="94"/>
        <v>4255.2</v>
      </c>
      <c r="BX85" s="88">
        <v>5.7138945927446958</v>
      </c>
      <c r="BY85" s="90">
        <v>0</v>
      </c>
      <c r="BZ85" s="88">
        <v>0</v>
      </c>
      <c r="CA85" s="88">
        <v>0</v>
      </c>
      <c r="CB85" s="88">
        <v>0</v>
      </c>
      <c r="CC85" s="88">
        <v>0</v>
      </c>
      <c r="CD85" s="88">
        <v>0</v>
      </c>
      <c r="CE85" s="100">
        <v>0</v>
      </c>
      <c r="CF85" s="88">
        <v>0</v>
      </c>
      <c r="CG85" s="88">
        <v>0</v>
      </c>
      <c r="CH85" s="88">
        <v>0</v>
      </c>
      <c r="CI85" s="88">
        <v>0</v>
      </c>
      <c r="CJ85" s="228">
        <v>0</v>
      </c>
      <c r="CK85" s="88">
        <v>0</v>
      </c>
      <c r="CL85" s="88">
        <v>0</v>
      </c>
      <c r="CM85" s="88">
        <v>0</v>
      </c>
      <c r="CN85" s="88">
        <v>0</v>
      </c>
      <c r="CO85" s="88">
        <v>0</v>
      </c>
      <c r="CP85" s="88">
        <v>0</v>
      </c>
      <c r="CQ85" s="229">
        <v>0</v>
      </c>
      <c r="CR85" s="91">
        <v>0</v>
      </c>
      <c r="CS85" s="91">
        <v>0</v>
      </c>
      <c r="CT85" s="91">
        <v>0</v>
      </c>
      <c r="CU85" s="91">
        <v>0</v>
      </c>
      <c r="CV85" s="91">
        <v>0</v>
      </c>
      <c r="CW85" s="91">
        <v>0</v>
      </c>
      <c r="CX85" s="225">
        <v>0</v>
      </c>
      <c r="CY85" s="1265">
        <v>7745.0084799999995</v>
      </c>
      <c r="CZ85" s="90">
        <v>0</v>
      </c>
      <c r="DA85" s="88">
        <v>0</v>
      </c>
      <c r="DB85" s="88">
        <v>0</v>
      </c>
      <c r="DC85" s="88">
        <v>0</v>
      </c>
      <c r="DD85" s="88">
        <v>0</v>
      </c>
      <c r="DE85" s="152">
        <v>0</v>
      </c>
      <c r="DF85" s="230">
        <v>0</v>
      </c>
      <c r="DG85" s="38">
        <v>0</v>
      </c>
      <c r="DH85" s="1237">
        <v>0</v>
      </c>
      <c r="DI85" s="956">
        <v>0</v>
      </c>
      <c r="DJ85" s="956">
        <v>0</v>
      </c>
      <c r="DK85" s="956">
        <v>0</v>
      </c>
      <c r="DL85" s="152">
        <v>0</v>
      </c>
      <c r="DM85" s="160">
        <v>0</v>
      </c>
      <c r="DN85" s="160">
        <v>0</v>
      </c>
      <c r="DO85" s="160">
        <v>0</v>
      </c>
      <c r="DP85" s="160">
        <v>0</v>
      </c>
      <c r="DQ85" s="160">
        <v>0</v>
      </c>
      <c r="DR85" s="230">
        <v>0</v>
      </c>
      <c r="DS85" s="88">
        <v>0</v>
      </c>
      <c r="DT85" s="88">
        <v>0</v>
      </c>
      <c r="DU85" s="88">
        <v>0</v>
      </c>
      <c r="DV85" s="88">
        <v>0</v>
      </c>
      <c r="DW85" s="88">
        <v>0</v>
      </c>
      <c r="DX85" s="88">
        <v>0</v>
      </c>
      <c r="DY85" s="88">
        <v>0</v>
      </c>
      <c r="DZ85" s="88">
        <v>0</v>
      </c>
      <c r="EA85" s="88">
        <v>0</v>
      </c>
      <c r="EB85" s="152">
        <v>0</v>
      </c>
      <c r="EC85" s="52">
        <f t="shared" si="95"/>
        <v>0</v>
      </c>
      <c r="ED85" s="52">
        <f t="shared" si="95"/>
        <v>0</v>
      </c>
      <c r="EE85" s="52">
        <f t="shared" si="95"/>
        <v>0</v>
      </c>
      <c r="EF85" s="52">
        <f t="shared" si="71"/>
        <v>0</v>
      </c>
      <c r="EG85" s="52">
        <f t="shared" si="96"/>
        <v>0</v>
      </c>
      <c r="EH85" s="238">
        <v>0</v>
      </c>
      <c r="EI85" s="211">
        <v>0</v>
      </c>
      <c r="EJ85" s="211">
        <v>0</v>
      </c>
      <c r="EK85" s="211">
        <v>0</v>
      </c>
      <c r="EL85" s="217">
        <f>IF(C85&gt;=Summary!$E$26,MAX(0,SUM(EH85:EK85)),0)</f>
        <v>0</v>
      </c>
      <c r="EM85" s="52">
        <f>IF(C85&gt;=Summary!$E$26,DX85*BL85,0)</f>
        <v>0</v>
      </c>
      <c r="EN85" s="52">
        <f>IF(C85&gt;=Summary!$E$26,DY85*BM85,0)</f>
        <v>0</v>
      </c>
      <c r="EO85" s="52">
        <f>IF(C85&gt;=Summary!$E$26,DZ85*BN85,0)</f>
        <v>0</v>
      </c>
      <c r="EP85" s="52">
        <f>IF(C85&gt;=Summary!$E$26,EA85*BO85,0)</f>
        <v>0</v>
      </c>
      <c r="EQ85" s="52">
        <f>IF(C85&gt;=Summary!$E$26,DX85*BL85+DY85*BM85+DZ85*BN85+EA85*BO85,0)</f>
        <v>0</v>
      </c>
      <c r="ER85" s="826">
        <v>0</v>
      </c>
      <c r="ES85" s="278">
        <v>0</v>
      </c>
      <c r="ET85" s="278">
        <v>0</v>
      </c>
      <c r="EU85" s="278">
        <v>0</v>
      </c>
      <c r="EV85" s="212">
        <f>IF(C85&gt;=Summary!$E$26,MAX(0,SUM(ER85:EU85)),0)</f>
        <v>0</v>
      </c>
      <c r="EW85" s="52"/>
      <c r="EX85" s="1049">
        <f t="shared" si="97"/>
        <v>0</v>
      </c>
      <c r="EY85" s="1045" t="str">
        <f t="shared" si="98"/>
        <v/>
      </c>
      <c r="EZ85" s="1684" t="s">
        <v>525</v>
      </c>
      <c r="FA85" s="1046">
        <f t="shared" si="111"/>
        <v>45</v>
      </c>
      <c r="FB85" s="256">
        <f t="shared" si="99"/>
        <v>11169.9</v>
      </c>
      <c r="FC85" s="194">
        <f t="shared" si="100"/>
        <v>0</v>
      </c>
      <c r="FD85" s="194">
        <f t="shared" si="101"/>
        <v>2127.6</v>
      </c>
      <c r="FE85" s="194">
        <f t="shared" si="102"/>
        <v>0</v>
      </c>
      <c r="FF85" s="194">
        <f t="shared" si="103"/>
        <v>2659.5</v>
      </c>
      <c r="FG85" s="194">
        <f t="shared" si="104"/>
        <v>0</v>
      </c>
      <c r="FH85" s="257">
        <f>IF(EZ85="No",IF((OR(MONTH(C85)=5,MONTH(C85)=6,MONTH(C85)=7,MONTH(C85)=8,MONTH(C85)=9)),Summary!$O$15*12*(AX85+AY85+AZ85+BA85)*(1-$BC85),Summary!$O$15*13*(AX85+AY85+AZ85+BA85)*(1-$BC85)+IF(Summary!$O$16="Yes",(CALC!FA85+Summary!$O$15)*6*(AX85+AY85+AZ85+BA85)*(1-$BC85),0)),0)</f>
        <v>0</v>
      </c>
      <c r="FI85" s="1412">
        <f>IF(MONTH(C85)=5,FI84*(IF(Summary!$E$70="no",(1+(Summary!$E$71*0.8)),1+HLOOKUP(YEAR(C85)-1,CCFMODEL!$I$127:$AF$128,2)*0.8)),+FI84)</f>
        <v>30.670680453537404</v>
      </c>
      <c r="FJ85" s="1411">
        <f>IF(MONTH(C85)=5,FJ84*(IF(Summary!$E$70="no",(1+(Summary!$E$71*0.8)),1+HLOOKUP(YEAR(CALC!C85)-1,CCFMODEL!$I$127:$AF$128,2)*0.8)),FJ84)</f>
        <v>26.806657719233474</v>
      </c>
      <c r="FK85" s="832">
        <f t="shared" si="72"/>
        <v>489412.04799709638</v>
      </c>
      <c r="FL85" s="1412">
        <f>IF(MONTH(C85)=5,FL84*(IF(Summary!$E$70="no",(1+(Summary!$E$71*0.8)),1+HLOOKUP(YEAR(CALC!C85)-1,CCFMODEL!$I$127:$AF$128,2)*0.8)),+FL84)</f>
        <v>64.503879514019971</v>
      </c>
      <c r="FM85" s="1411">
        <f>IF(MONTH(C85)=5,FM84*(IF(Summary!$E$70="no",(1+(Summary!$E$71*0.8)),1+HLOOKUP(YEAR(CALC!C85)-1,CCFMODEL!$I$127:$AF$128,2)*0.8)),+FM84)</f>
        <v>30.785681130153588</v>
      </c>
      <c r="FN85" s="832">
        <f t="shared" si="73"/>
        <v>1044962.8481271236</v>
      </c>
      <c r="FO85" s="194">
        <f t="shared" si="105"/>
        <v>1534374.89612422</v>
      </c>
      <c r="FP85" s="263">
        <f t="shared" si="69"/>
        <v>11169.9</v>
      </c>
      <c r="FQ85" s="194">
        <f t="shared" si="69"/>
        <v>0</v>
      </c>
      <c r="FR85" s="194">
        <f t="shared" si="69"/>
        <v>2127.6</v>
      </c>
      <c r="FS85" s="194">
        <f t="shared" si="68"/>
        <v>0</v>
      </c>
      <c r="FT85" s="194">
        <f t="shared" si="68"/>
        <v>2659.5</v>
      </c>
      <c r="FU85" s="194">
        <f t="shared" si="68"/>
        <v>0</v>
      </c>
      <c r="FV85" s="257">
        <f t="shared" si="68"/>
        <v>0</v>
      </c>
      <c r="FW85" s="189">
        <f t="shared" si="74"/>
        <v>0</v>
      </c>
      <c r="FX85" s="189">
        <f t="shared" si="75"/>
        <v>0</v>
      </c>
      <c r="FY85" s="189">
        <f t="shared" si="76"/>
        <v>0</v>
      </c>
      <c r="FZ85" s="258">
        <f t="shared" si="77"/>
        <v>0</v>
      </c>
      <c r="GA85" s="1293">
        <f>(SUM(FP85:FV85)+SUM(GU85:HB85)/(1-Summary!$O$25))*CY85/1000</f>
        <v>197739.36050457601</v>
      </c>
      <c r="GB85" s="1369">
        <f>IF($C85&lt;Summary!$M$81,+Summary!$O$81,VLOOKUP(C85,GasTable,19))</f>
        <v>2.4</v>
      </c>
      <c r="GC85" s="1370">
        <f>IF(H85&lt;=Summary!$N$84,MIN(GA85,Summary!$O$75*(H85-G85+1)),0)</f>
        <v>150000</v>
      </c>
      <c r="GD85" s="1371">
        <f>IF(Summary!$O$75*(H85-G85+1)*0.8&gt;GC85,1,0)</f>
        <v>0</v>
      </c>
      <c r="GE85" s="1372">
        <v>0</v>
      </c>
      <c r="GF85" s="1370">
        <f t="shared" si="106"/>
        <v>47739.360504576005</v>
      </c>
      <c r="GG85" s="1371">
        <f>GF85*(IF(Summary!$O$74=1,VLOOKUP($C85,GasTable,16)+Summary!$O$92+Summary!$O$93,VLOOKUP($C85,GasTable,19)+Summary!$O$92+Summary!$O$93))</f>
        <v>140223.18095771447</v>
      </c>
      <c r="GH85" s="1373">
        <v>18078</v>
      </c>
      <c r="GI85" s="1466">
        <v>0</v>
      </c>
      <c r="GJ85" s="1374">
        <f t="shared" si="107"/>
        <v>518301.18095771444</v>
      </c>
      <c r="GK85" s="189">
        <f t="shared" si="78"/>
        <v>25196.103000000003</v>
      </c>
      <c r="GL85" s="266">
        <v>0.76055983273600014</v>
      </c>
      <c r="GM85" s="255">
        <f t="shared" si="79"/>
        <v>14730.000000000004</v>
      </c>
      <c r="GN85" s="189">
        <f>IF(SUM(GU85:HB85)=0,0,IF(Summary!$O$16="Yes",SUM(GX85:HB85),IF(Summary!$O$17="Yes",SUM(GY85:HB85),SUM(GU85:HB85))))</f>
        <v>9239.103000000001</v>
      </c>
      <c r="GO85" s="203">
        <v>2.7585222762877999</v>
      </c>
      <c r="GP85" s="258">
        <f t="shared" si="108"/>
        <v>25486.271438417443</v>
      </c>
      <c r="GQ85" s="189"/>
      <c r="GR85" s="189"/>
      <c r="GS85" s="189"/>
      <c r="GT85" s="189"/>
      <c r="GU85" s="268">
        <v>3592.9845000000009</v>
      </c>
      <c r="GV85" s="189">
        <v>684.37800000000027</v>
      </c>
      <c r="GW85" s="189">
        <v>855.47249999999997</v>
      </c>
      <c r="GX85" s="189"/>
      <c r="GY85" s="254">
        <v>2874.3875999999996</v>
      </c>
      <c r="GZ85" s="189">
        <v>547.50239999999997</v>
      </c>
      <c r="HA85" s="189">
        <v>684.37800000000004</v>
      </c>
      <c r="HB85" s="255"/>
      <c r="HC85" s="189">
        <v>9239.103000000001</v>
      </c>
      <c r="HD85" s="189"/>
      <c r="HE85" s="189">
        <v>21557.906999999999</v>
      </c>
      <c r="HF85" s="189">
        <v>409704.38709608471</v>
      </c>
      <c r="HG85" s="189"/>
      <c r="HH85" s="203">
        <v>46.027119246254784</v>
      </c>
      <c r="HI85" s="189">
        <v>992248.35618867073</v>
      </c>
      <c r="HJ85" s="268">
        <f t="shared" si="80"/>
        <v>0</v>
      </c>
      <c r="HK85" s="189">
        <f t="shared" si="81"/>
        <v>0</v>
      </c>
      <c r="HL85" s="189">
        <f t="shared" si="82"/>
        <v>0</v>
      </c>
      <c r="HM85" s="255">
        <f t="shared" si="83"/>
        <v>0</v>
      </c>
      <c r="HN85" s="189">
        <f t="shared" si="84"/>
        <v>0</v>
      </c>
      <c r="HO85" s="203">
        <f t="shared" si="109"/>
        <v>0</v>
      </c>
      <c r="HP85" s="258">
        <f t="shared" si="85"/>
        <v>0</v>
      </c>
      <c r="HQ85" s="804"/>
      <c r="HR85" s="268"/>
      <c r="HS85" s="38"/>
      <c r="HT85" s="255"/>
      <c r="HU85" s="254"/>
      <c r="HV85" s="203"/>
      <c r="HW85" s="189"/>
      <c r="HX85" s="1020"/>
      <c r="HY85" s="258"/>
      <c r="HZ85" s="268"/>
      <c r="IA85" s="203"/>
      <c r="IB85" s="255"/>
      <c r="IC85" s="254"/>
      <c r="ID85" s="203"/>
      <c r="IE85" s="255"/>
      <c r="IF85" s="189"/>
      <c r="IG85" s="203"/>
      <c r="IH85" s="255"/>
      <c r="II85" s="189"/>
      <c r="IJ85" s="203"/>
      <c r="IK85" s="189"/>
      <c r="IL85" s="1182"/>
      <c r="IM85" s="1403"/>
      <c r="IN85" s="254"/>
      <c r="IO85" s="254"/>
      <c r="IP85" s="254"/>
      <c r="IQ85" s="254"/>
      <c r="IR85" s="223"/>
    </row>
    <row r="86" spans="1:252" ht="13.8" thickBot="1">
      <c r="A86" t="str">
        <f t="shared" si="86"/>
        <v>2005Q4</v>
      </c>
      <c r="B86">
        <f t="shared" si="87"/>
        <v>2005</v>
      </c>
      <c r="C86" s="49">
        <f t="shared" si="88"/>
        <v>38626</v>
      </c>
      <c r="D86" s="115">
        <f t="shared" si="89"/>
        <v>2005</v>
      </c>
      <c r="E86" s="10">
        <f t="shared" si="112"/>
        <v>10</v>
      </c>
      <c r="F86" s="248" t="str">
        <f t="shared" si="113"/>
        <v/>
      </c>
      <c r="G86" s="245">
        <v>38626</v>
      </c>
      <c r="H86" s="251">
        <v>38656</v>
      </c>
      <c r="I86" s="959">
        <f t="shared" si="110"/>
        <v>7.1499999999999994E-2</v>
      </c>
      <c r="J86" s="37">
        <f t="shared" si="90"/>
        <v>0.65915449548320881</v>
      </c>
      <c r="K86" s="1036"/>
      <c r="L86" s="37"/>
      <c r="M86" s="1004">
        <v>0</v>
      </c>
      <c r="N86" s="38">
        <f t="shared" si="66"/>
        <v>0</v>
      </c>
      <c r="O86" s="40">
        <f t="shared" si="66"/>
        <v>0</v>
      </c>
      <c r="P86" s="159">
        <f t="shared" si="60"/>
        <v>0</v>
      </c>
      <c r="Q86" s="38">
        <f t="shared" si="70"/>
        <v>0</v>
      </c>
      <c r="R86" s="40">
        <f t="shared" si="70"/>
        <v>0</v>
      </c>
      <c r="S86" s="38">
        <f t="shared" si="70"/>
        <v>0</v>
      </c>
      <c r="T86" s="38">
        <f t="shared" si="70"/>
        <v>0</v>
      </c>
      <c r="U86" s="38">
        <f t="shared" si="70"/>
        <v>0</v>
      </c>
      <c r="V86" s="159">
        <f t="shared" si="70"/>
        <v>0</v>
      </c>
      <c r="W86" s="38">
        <f t="shared" si="70"/>
        <v>0</v>
      </c>
      <c r="X86" s="39">
        <f t="shared" si="70"/>
        <v>0</v>
      </c>
      <c r="Y86" s="46">
        <v>0</v>
      </c>
      <c r="Z86" s="46">
        <v>0</v>
      </c>
      <c r="AA86" s="47">
        <v>0</v>
      </c>
      <c r="AB86" s="46">
        <v>0</v>
      </c>
      <c r="AC86" s="46">
        <v>0</v>
      </c>
      <c r="AD86" s="47">
        <v>0</v>
      </c>
      <c r="AE86" s="46">
        <v>0</v>
      </c>
      <c r="AF86" s="46">
        <v>0</v>
      </c>
      <c r="AG86" s="47">
        <v>0</v>
      </c>
      <c r="AH86" s="46">
        <v>0</v>
      </c>
      <c r="AI86" s="46">
        <v>0</v>
      </c>
      <c r="AJ86" s="47">
        <v>0</v>
      </c>
      <c r="AK86" s="46">
        <v>0</v>
      </c>
      <c r="AL86" s="46">
        <v>0</v>
      </c>
      <c r="AM86" s="47">
        <v>0</v>
      </c>
      <c r="AN86" s="46">
        <v>0</v>
      </c>
      <c r="AO86" s="46">
        <v>0</v>
      </c>
      <c r="AP86" s="47">
        <v>0</v>
      </c>
      <c r="AQ86" s="46">
        <v>0</v>
      </c>
      <c r="AR86" s="46">
        <v>0</v>
      </c>
      <c r="AS86" s="47">
        <v>0</v>
      </c>
      <c r="AT86" s="46">
        <v>0</v>
      </c>
      <c r="AU86" s="46">
        <v>0</v>
      </c>
      <c r="AV86" s="46">
        <v>0</v>
      </c>
      <c r="AW86" s="1545">
        <v>0</v>
      </c>
      <c r="AX86" s="10">
        <f t="shared" si="114"/>
        <v>21</v>
      </c>
      <c r="AY86" s="42">
        <f>IF(AND($E86=MONTH(Summary!$E$24),$D86=YEAR(Summary!$E$24)),Summary!$E$25,1)*IF(G86="",0,INT((H86-MOD(H86,7)-G86)/7)+1-IF(BA86,IF(WEEKDAY(F86)=7,1,0),0))</f>
        <v>5</v>
      </c>
      <c r="AZ86" s="42">
        <f>IF(AND($E86=MONTH(Summary!$E$24),$D86=YEAR(Summary!$E$24)),Summary!$E$25,1)*IF(G86="",0,INT((H86-MOD(H86-1,7)-G86)/7)+1-IF(BA86,IF(WEEKDAY(F86)=1,1,0),0))</f>
        <v>5</v>
      </c>
      <c r="BA86" s="42">
        <v>0</v>
      </c>
      <c r="BB86" s="10">
        <f>IF(AND($E86=MONTH(Summary!$E$24),$D86=YEAR(Summary!$E$24)),Summary!$E$25,1)*IF(G86="",0,H86-G86+1)</f>
        <v>31</v>
      </c>
      <c r="BC86" s="914">
        <f>Summary!$E$19</f>
        <v>1.4999999999999999E-2</v>
      </c>
      <c r="BD86" s="113">
        <v>14893.2</v>
      </c>
      <c r="BE86" s="171">
        <v>3546</v>
      </c>
      <c r="BF86" s="171">
        <v>3546</v>
      </c>
      <c r="BG86" s="174"/>
      <c r="BH86" s="1198">
        <v>1</v>
      </c>
      <c r="BI86" s="1198">
        <v>1</v>
      </c>
      <c r="BJ86" s="1198">
        <v>1</v>
      </c>
      <c r="BK86" s="1198">
        <v>1</v>
      </c>
      <c r="BL86" s="95">
        <v>2978.64</v>
      </c>
      <c r="BM86" s="171">
        <v>709.2</v>
      </c>
      <c r="BN86" s="171">
        <v>709.2</v>
      </c>
      <c r="BO86" s="174"/>
      <c r="BP86" s="1198">
        <v>1</v>
      </c>
      <c r="BQ86" s="1199">
        <v>1</v>
      </c>
      <c r="BR86" s="1199">
        <v>1</v>
      </c>
      <c r="BS86" s="1200">
        <v>1</v>
      </c>
      <c r="BT86" s="94">
        <f t="shared" si="91"/>
        <v>21985.200000000001</v>
      </c>
      <c r="BU86" s="233">
        <f t="shared" si="92"/>
        <v>21985.200000000001</v>
      </c>
      <c r="BV86" s="92">
        <f t="shared" si="93"/>
        <v>4397.04</v>
      </c>
      <c r="BW86" s="233">
        <f t="shared" si="94"/>
        <v>4397.04</v>
      </c>
      <c r="BX86" s="88">
        <v>5.7960301163586587</v>
      </c>
      <c r="BY86" s="90">
        <v>0</v>
      </c>
      <c r="BZ86" s="88">
        <v>0</v>
      </c>
      <c r="CA86" s="88">
        <v>0</v>
      </c>
      <c r="CB86" s="88">
        <v>0</v>
      </c>
      <c r="CC86" s="88">
        <v>0</v>
      </c>
      <c r="CD86" s="88">
        <v>0</v>
      </c>
      <c r="CE86" s="100">
        <v>0</v>
      </c>
      <c r="CF86" s="88">
        <v>0</v>
      </c>
      <c r="CG86" s="88">
        <v>0</v>
      </c>
      <c r="CH86" s="88">
        <v>0</v>
      </c>
      <c r="CI86" s="88">
        <v>0</v>
      </c>
      <c r="CJ86" s="228">
        <v>0</v>
      </c>
      <c r="CK86" s="88">
        <v>0</v>
      </c>
      <c r="CL86" s="88">
        <v>0</v>
      </c>
      <c r="CM86" s="88">
        <v>0</v>
      </c>
      <c r="CN86" s="88">
        <v>0</v>
      </c>
      <c r="CO86" s="88">
        <v>0</v>
      </c>
      <c r="CP86" s="88">
        <v>0</v>
      </c>
      <c r="CQ86" s="229">
        <v>0</v>
      </c>
      <c r="CR86" s="91">
        <v>0</v>
      </c>
      <c r="CS86" s="91">
        <v>0</v>
      </c>
      <c r="CT86" s="91">
        <v>0</v>
      </c>
      <c r="CU86" s="91">
        <v>0</v>
      </c>
      <c r="CV86" s="91">
        <v>0</v>
      </c>
      <c r="CW86" s="91">
        <v>0</v>
      </c>
      <c r="CX86" s="225">
        <v>0</v>
      </c>
      <c r="CY86" s="1265">
        <v>7746.3113599999997</v>
      </c>
      <c r="CZ86" s="90">
        <v>0</v>
      </c>
      <c r="DA86" s="88">
        <v>0</v>
      </c>
      <c r="DB86" s="88">
        <v>0</v>
      </c>
      <c r="DC86" s="88">
        <v>0</v>
      </c>
      <c r="DD86" s="88">
        <v>0</v>
      </c>
      <c r="DE86" s="152">
        <v>0</v>
      </c>
      <c r="DF86" s="230">
        <v>0</v>
      </c>
      <c r="DG86" s="38">
        <v>0</v>
      </c>
      <c r="DH86" s="1237">
        <v>0</v>
      </c>
      <c r="DI86" s="956">
        <v>0</v>
      </c>
      <c r="DJ86" s="956">
        <v>0</v>
      </c>
      <c r="DK86" s="956">
        <v>0</v>
      </c>
      <c r="DL86" s="152">
        <v>0</v>
      </c>
      <c r="DM86" s="160">
        <v>0</v>
      </c>
      <c r="DN86" s="160">
        <v>0</v>
      </c>
      <c r="DO86" s="160">
        <v>0</v>
      </c>
      <c r="DP86" s="160">
        <v>0</v>
      </c>
      <c r="DQ86" s="160">
        <v>0</v>
      </c>
      <c r="DR86" s="230">
        <v>0</v>
      </c>
      <c r="DS86" s="88">
        <v>0</v>
      </c>
      <c r="DT86" s="88">
        <v>0</v>
      </c>
      <c r="DU86" s="88">
        <v>0</v>
      </c>
      <c r="DV86" s="88">
        <v>0</v>
      </c>
      <c r="DW86" s="88">
        <v>0</v>
      </c>
      <c r="DX86" s="88">
        <v>0</v>
      </c>
      <c r="DY86" s="88">
        <v>0</v>
      </c>
      <c r="DZ86" s="88">
        <v>0</v>
      </c>
      <c r="EA86" s="88">
        <v>0</v>
      </c>
      <c r="EB86" s="152">
        <v>0</v>
      </c>
      <c r="EC86" s="52">
        <f t="shared" si="95"/>
        <v>0</v>
      </c>
      <c r="ED86" s="52">
        <f t="shared" si="95"/>
        <v>0</v>
      </c>
      <c r="EE86" s="52">
        <f t="shared" si="95"/>
        <v>0</v>
      </c>
      <c r="EF86" s="52">
        <f t="shared" si="71"/>
        <v>0</v>
      </c>
      <c r="EG86" s="52">
        <f t="shared" si="96"/>
        <v>0</v>
      </c>
      <c r="EH86" s="238">
        <v>0</v>
      </c>
      <c r="EI86" s="211">
        <v>0</v>
      </c>
      <c r="EJ86" s="211">
        <v>0</v>
      </c>
      <c r="EK86" s="211">
        <v>0</v>
      </c>
      <c r="EL86" s="217">
        <f>IF(C86&gt;=Summary!$E$26,MAX(0,SUM(EH86:EK86)),0)</f>
        <v>0</v>
      </c>
      <c r="EM86" s="52">
        <f>IF(C86&gt;=Summary!$E$26,DX86*BL86,0)</f>
        <v>0</v>
      </c>
      <c r="EN86" s="52">
        <f>IF(C86&gt;=Summary!$E$26,DY86*BM86,0)</f>
        <v>0</v>
      </c>
      <c r="EO86" s="52">
        <f>IF(C86&gt;=Summary!$E$26,DZ86*BN86,0)</f>
        <v>0</v>
      </c>
      <c r="EP86" s="52">
        <f>IF(C86&gt;=Summary!$E$26,EA86*BO86,0)</f>
        <v>0</v>
      </c>
      <c r="EQ86" s="52">
        <f>IF(C86&gt;=Summary!$E$26,DX86*BL86+DY86*BM86+DZ86*BN86+EA86*BO86,0)</f>
        <v>0</v>
      </c>
      <c r="ER86" s="826">
        <v>0</v>
      </c>
      <c r="ES86" s="278">
        <v>0</v>
      </c>
      <c r="ET86" s="278">
        <v>0</v>
      </c>
      <c r="EU86" s="278">
        <v>0</v>
      </c>
      <c r="EV86" s="212">
        <f>IF(C86&gt;=Summary!$E$26,MAX(0,SUM(ER86:EU86)),0)</f>
        <v>0</v>
      </c>
      <c r="EW86" s="52"/>
      <c r="EX86" s="1049">
        <f t="shared" si="97"/>
        <v>0</v>
      </c>
      <c r="EY86" s="1045" t="str">
        <f t="shared" si="98"/>
        <v/>
      </c>
      <c r="EZ86" s="1684" t="s">
        <v>525</v>
      </c>
      <c r="FA86" s="1046">
        <f t="shared" si="111"/>
        <v>45</v>
      </c>
      <c r="FB86" s="256">
        <f t="shared" si="99"/>
        <v>9308.25</v>
      </c>
      <c r="FC86" s="194">
        <f t="shared" si="100"/>
        <v>2792.4749999999999</v>
      </c>
      <c r="FD86" s="194">
        <f t="shared" si="101"/>
        <v>2216.25</v>
      </c>
      <c r="FE86" s="194">
        <f t="shared" si="102"/>
        <v>664.875</v>
      </c>
      <c r="FF86" s="194">
        <f t="shared" si="103"/>
        <v>2216.25</v>
      </c>
      <c r="FG86" s="194">
        <f t="shared" si="104"/>
        <v>664.875</v>
      </c>
      <c r="FH86" s="257">
        <f>IF(EZ86="No",IF((OR(MONTH(C86)=5,MONTH(C86)=6,MONTH(C86)=7,MONTH(C86)=8,MONTH(C86)=9)),Summary!$O$15*12*(AX86+AY86+AZ86+BA86)*(1-$BC86),Summary!$O$15*13*(AX86+AY86+AZ86+BA86)*(1-$BC86)+IF(Summary!$O$16="Yes",(CALC!FA86+Summary!$O$15)*6*(AX86+AY86+AZ86+BA86)*(1-$BC86),0)),0)</f>
        <v>0</v>
      </c>
      <c r="FI86" s="1412">
        <f>IF(MONTH(C86)=5,FI85*(IF(Summary!$E$70="no",(1+(Summary!$E$71*0.8)),1+HLOOKUP(YEAR(C86)-1,CCFMODEL!$I$127:$AF$128,2)*0.8)),+FI85)</f>
        <v>30.670680453537404</v>
      </c>
      <c r="FJ86" s="1411">
        <f>IF(MONTH(C86)=5,FJ85*(IF(Summary!$E$70="no",(1+(Summary!$E$71*0.8)),1+HLOOKUP(YEAR(CALC!C86)-1,CCFMODEL!$I$127:$AF$128,2)*0.8)),FJ85)</f>
        <v>26.806657719233474</v>
      </c>
      <c r="FK86" s="832">
        <f t="shared" si="72"/>
        <v>547869.59817452729</v>
      </c>
      <c r="FL86" s="1412">
        <f>IF(MONTH(C86)=5,FL85*(IF(Summary!$E$70="no",(1+(Summary!$E$71*0.8)),1+HLOOKUP(YEAR(CALC!C86)-1,CCFMODEL!$I$127:$AF$128,2)*0.8)),+FL85)</f>
        <v>64.503879514019971</v>
      </c>
      <c r="FM86" s="1411">
        <f>IF(MONTH(C86)=5,FM85*(IF(Summary!$E$70="no",(1+(Summary!$E$71*0.8)),1+HLOOKUP(YEAR(CALC!C86)-1,CCFMODEL!$I$127:$AF$128,2)*0.8)),+FM85)</f>
        <v>30.785681130153588</v>
      </c>
      <c r="FN86" s="832">
        <f t="shared" si="73"/>
        <v>558298.32729533536</v>
      </c>
      <c r="FO86" s="194">
        <f t="shared" si="105"/>
        <v>1106167.9254698628</v>
      </c>
      <c r="FP86" s="263">
        <f t="shared" si="69"/>
        <v>9308.25</v>
      </c>
      <c r="FQ86" s="194">
        <f t="shared" si="69"/>
        <v>2792.4749999999999</v>
      </c>
      <c r="FR86" s="194">
        <f t="shared" si="69"/>
        <v>2216.25</v>
      </c>
      <c r="FS86" s="194">
        <f t="shared" si="68"/>
        <v>664.875</v>
      </c>
      <c r="FT86" s="194">
        <f t="shared" si="68"/>
        <v>2216.25</v>
      </c>
      <c r="FU86" s="194">
        <f t="shared" si="68"/>
        <v>664.875</v>
      </c>
      <c r="FV86" s="257">
        <f t="shared" si="68"/>
        <v>0</v>
      </c>
      <c r="FW86" s="189">
        <f t="shared" si="74"/>
        <v>0</v>
      </c>
      <c r="FX86" s="189">
        <f t="shared" si="75"/>
        <v>0</v>
      </c>
      <c r="FY86" s="189">
        <f t="shared" si="76"/>
        <v>0</v>
      </c>
      <c r="FZ86" s="258">
        <f t="shared" si="77"/>
        <v>0</v>
      </c>
      <c r="GA86" s="1293">
        <f>(SUM(FP86:FV86)+SUM(GU86:HB86)/(1-Summary!$O$25))*CY86/1000</f>
        <v>236297.08376022239</v>
      </c>
      <c r="GB86" s="1369">
        <f>IF($C86&lt;Summary!$M$81,+Summary!$O$81,VLOOKUP(C86,GasTable,19))</f>
        <v>2.4</v>
      </c>
      <c r="GC86" s="1370">
        <f>IF(H86&lt;=Summary!$N$84,MIN(GA86,Summary!$O$75*(H86-G86+1)),0)</f>
        <v>155000</v>
      </c>
      <c r="GD86" s="1371">
        <f>IF(Summary!$O$75*(H86-G86+1)*0.8&gt;GC86,1,0)</f>
        <v>0</v>
      </c>
      <c r="GE86" s="1372">
        <v>0</v>
      </c>
      <c r="GF86" s="1370">
        <f t="shared" si="106"/>
        <v>81297.083760222391</v>
      </c>
      <c r="GG86" s="1371">
        <f>GF86*(IF(Summary!$O$74=1,VLOOKUP($C86,GasTable,16)+Summary!$O$92+Summary!$O$93,VLOOKUP($C86,GasTable,19)+Summary!$O$92+Summary!$O$93))</f>
        <v>249214.63859022767</v>
      </c>
      <c r="GH86" s="1373">
        <v>18761.2</v>
      </c>
      <c r="GI86" s="1466">
        <v>0</v>
      </c>
      <c r="GJ86" s="1374">
        <f t="shared" si="107"/>
        <v>639975.83859022765</v>
      </c>
      <c r="GK86" s="189">
        <f t="shared" si="78"/>
        <v>30062.012850000003</v>
      </c>
      <c r="GL86" s="266">
        <v>0.76068777555200007</v>
      </c>
      <c r="GM86" s="255">
        <f t="shared" si="79"/>
        <v>15221.000000000002</v>
      </c>
      <c r="GN86" s="189">
        <f>IF(SUM(GU86:HB86)=0,0,IF(Summary!$O$16="Yes",SUM(GX86:HB86),IF(Summary!$O$17="Yes",SUM(GY86:HB86),SUM(GU86:HB86))))</f>
        <v>12199.037850000001</v>
      </c>
      <c r="GO86" s="203">
        <v>2.7585222762877999</v>
      </c>
      <c r="GP86" s="258">
        <f t="shared" si="108"/>
        <v>33651.317658503031</v>
      </c>
      <c r="GQ86" s="189"/>
      <c r="GR86" s="189"/>
      <c r="GS86" s="189"/>
      <c r="GT86" s="189"/>
      <c r="GU86" s="268">
        <v>5389.4767500000007</v>
      </c>
      <c r="GV86" s="189">
        <v>1283.20875</v>
      </c>
      <c r="GW86" s="189">
        <v>1283.20875</v>
      </c>
      <c r="GX86" s="189"/>
      <c r="GY86" s="254">
        <v>2874.3875999999996</v>
      </c>
      <c r="GZ86" s="189">
        <v>684.37800000000004</v>
      </c>
      <c r="HA86" s="189">
        <v>684.37800000000004</v>
      </c>
      <c r="HB86" s="255"/>
      <c r="HC86" s="189">
        <v>12199.037850000001</v>
      </c>
      <c r="HD86" s="189"/>
      <c r="HE86" s="189">
        <v>20950.521525</v>
      </c>
      <c r="HF86" s="189">
        <v>502704.38358558773</v>
      </c>
      <c r="HG86" s="189"/>
      <c r="HH86" s="203">
        <v>40.556754397997004</v>
      </c>
      <c r="HI86" s="189">
        <v>849685.15599937469</v>
      </c>
      <c r="HJ86" s="268">
        <f t="shared" si="80"/>
        <v>0</v>
      </c>
      <c r="HK86" s="189">
        <f t="shared" si="81"/>
        <v>0</v>
      </c>
      <c r="HL86" s="189">
        <f t="shared" si="82"/>
        <v>0</v>
      </c>
      <c r="HM86" s="255">
        <f t="shared" si="83"/>
        <v>0</v>
      </c>
      <c r="HN86" s="189">
        <f t="shared" si="84"/>
        <v>0</v>
      </c>
      <c r="HO86" s="203">
        <f t="shared" si="109"/>
        <v>0</v>
      </c>
      <c r="HP86" s="258">
        <f t="shared" si="85"/>
        <v>0</v>
      </c>
      <c r="HQ86" s="804"/>
      <c r="HR86" s="268"/>
      <c r="HS86" s="38"/>
      <c r="HT86" s="255"/>
      <c r="HU86" s="254"/>
      <c r="HV86" s="203"/>
      <c r="HW86" s="189"/>
      <c r="HX86" s="1020"/>
      <c r="HY86" s="258"/>
      <c r="HZ86" s="268"/>
      <c r="IA86" s="203"/>
      <c r="IB86" s="255"/>
      <c r="IC86" s="254"/>
      <c r="ID86" s="203"/>
      <c r="IE86" s="255"/>
      <c r="IF86" s="189"/>
      <c r="IG86" s="203"/>
      <c r="IH86" s="255"/>
      <c r="II86" s="189"/>
      <c r="IJ86" s="203"/>
      <c r="IK86" s="189"/>
      <c r="IL86" s="1182"/>
      <c r="IM86" s="1403"/>
      <c r="IN86" s="254"/>
      <c r="IO86" s="254"/>
      <c r="IP86" s="254"/>
      <c r="IQ86" s="254"/>
      <c r="IR86" s="223"/>
    </row>
    <row r="87" spans="1:252" ht="13.8" thickBot="1">
      <c r="A87" t="str">
        <f t="shared" si="86"/>
        <v>2005Q4</v>
      </c>
      <c r="B87">
        <f t="shared" si="87"/>
        <v>2005</v>
      </c>
      <c r="C87" s="49">
        <f t="shared" si="88"/>
        <v>38657</v>
      </c>
      <c r="D87" s="115">
        <f t="shared" si="89"/>
        <v>2005</v>
      </c>
      <c r="E87" s="10">
        <f t="shared" si="112"/>
        <v>11</v>
      </c>
      <c r="F87" s="248">
        <f t="shared" si="113"/>
        <v>38680</v>
      </c>
      <c r="G87" s="245">
        <v>38657</v>
      </c>
      <c r="H87" s="251">
        <v>38686</v>
      </c>
      <c r="I87" s="959">
        <f t="shared" si="110"/>
        <v>7.1499999999999994E-2</v>
      </c>
      <c r="J87" s="37">
        <f t="shared" si="90"/>
        <v>0.65536202575769475</v>
      </c>
      <c r="K87" s="1036"/>
      <c r="L87" s="37"/>
      <c r="M87" s="1004">
        <v>0</v>
      </c>
      <c r="N87" s="38">
        <f t="shared" si="66"/>
        <v>0</v>
      </c>
      <c r="O87" s="40">
        <f t="shared" si="66"/>
        <v>0</v>
      </c>
      <c r="P87" s="159">
        <f t="shared" si="60"/>
        <v>0</v>
      </c>
      <c r="Q87" s="38">
        <f t="shared" si="70"/>
        <v>0</v>
      </c>
      <c r="R87" s="40">
        <f t="shared" si="70"/>
        <v>0</v>
      </c>
      <c r="S87" s="38">
        <f t="shared" si="70"/>
        <v>0</v>
      </c>
      <c r="T87" s="38">
        <f t="shared" si="70"/>
        <v>0</v>
      </c>
      <c r="U87" s="38">
        <f t="shared" si="70"/>
        <v>0</v>
      </c>
      <c r="V87" s="159">
        <f t="shared" si="70"/>
        <v>0</v>
      </c>
      <c r="W87" s="38">
        <f t="shared" si="70"/>
        <v>0</v>
      </c>
      <c r="X87" s="39">
        <f t="shared" si="70"/>
        <v>0</v>
      </c>
      <c r="Y87" s="46">
        <v>0</v>
      </c>
      <c r="Z87" s="46">
        <v>0</v>
      </c>
      <c r="AA87" s="47">
        <v>0</v>
      </c>
      <c r="AB87" s="46">
        <v>0</v>
      </c>
      <c r="AC87" s="46">
        <v>0</v>
      </c>
      <c r="AD87" s="47">
        <v>0</v>
      </c>
      <c r="AE87" s="46">
        <v>0</v>
      </c>
      <c r="AF87" s="46">
        <v>0</v>
      </c>
      <c r="AG87" s="47">
        <v>0</v>
      </c>
      <c r="AH87" s="46">
        <v>0</v>
      </c>
      <c r="AI87" s="46">
        <v>0</v>
      </c>
      <c r="AJ87" s="47">
        <v>0</v>
      </c>
      <c r="AK87" s="46">
        <v>0</v>
      </c>
      <c r="AL87" s="46">
        <v>0</v>
      </c>
      <c r="AM87" s="47">
        <v>0</v>
      </c>
      <c r="AN87" s="46">
        <v>0</v>
      </c>
      <c r="AO87" s="46">
        <v>0</v>
      </c>
      <c r="AP87" s="47">
        <v>0</v>
      </c>
      <c r="AQ87" s="46">
        <v>0</v>
      </c>
      <c r="AR87" s="46">
        <v>0</v>
      </c>
      <c r="AS87" s="47">
        <v>0</v>
      </c>
      <c r="AT87" s="46">
        <v>0</v>
      </c>
      <c r="AU87" s="46">
        <v>0</v>
      </c>
      <c r="AV87" s="46">
        <v>0</v>
      </c>
      <c r="AW87" s="1545">
        <v>0</v>
      </c>
      <c r="AX87" s="10">
        <f t="shared" si="114"/>
        <v>21</v>
      </c>
      <c r="AY87" s="42">
        <f>IF(AND($E87=MONTH(Summary!$E$24),$D87=YEAR(Summary!$E$24)),Summary!$E$25,1)*IF(G87="",0,INT((H87-MOD(H87,7)-G87)/7)+1-IF(BA87,IF(WEEKDAY(F87)=7,1,0),0))</f>
        <v>4</v>
      </c>
      <c r="AZ87" s="42">
        <f>IF(AND($E87=MONTH(Summary!$E$24),$D87=YEAR(Summary!$E$24)),Summary!$E$25,1)*IF(G87="",0,INT((H87-MOD(H87-1,7)-G87)/7)+1-IF(BA87,IF(WEEKDAY(F87)=1,1,0),0))</f>
        <v>4</v>
      </c>
      <c r="BA87" s="42">
        <v>1</v>
      </c>
      <c r="BB87" s="10">
        <f>IF(AND($E87=MONTH(Summary!$E$24),$D87=YEAR(Summary!$E$24)),Summary!$E$25,1)*IF(G87="",0,H87-G87+1)</f>
        <v>30</v>
      </c>
      <c r="BC87" s="914">
        <f>Summary!$E$19</f>
        <v>1.4999999999999999E-2</v>
      </c>
      <c r="BD87" s="113">
        <v>14893.2</v>
      </c>
      <c r="BE87" s="171">
        <v>2836.8</v>
      </c>
      <c r="BF87" s="171">
        <v>3546</v>
      </c>
      <c r="BG87" s="174"/>
      <c r="BH87" s="1198">
        <v>1</v>
      </c>
      <c r="BI87" s="1198">
        <v>1</v>
      </c>
      <c r="BJ87" s="1198">
        <v>1</v>
      </c>
      <c r="BK87" s="1198">
        <v>1</v>
      </c>
      <c r="BL87" s="95">
        <v>2978.64</v>
      </c>
      <c r="BM87" s="171">
        <v>567.36</v>
      </c>
      <c r="BN87" s="171">
        <v>709.2</v>
      </c>
      <c r="BO87" s="174"/>
      <c r="BP87" s="1198">
        <v>1</v>
      </c>
      <c r="BQ87" s="1199">
        <v>1</v>
      </c>
      <c r="BR87" s="1199">
        <v>1</v>
      </c>
      <c r="BS87" s="1200">
        <v>1</v>
      </c>
      <c r="BT87" s="94">
        <f t="shared" si="91"/>
        <v>21276</v>
      </c>
      <c r="BU87" s="233">
        <f t="shared" si="92"/>
        <v>21276</v>
      </c>
      <c r="BV87" s="92">
        <f t="shared" si="93"/>
        <v>4255.2</v>
      </c>
      <c r="BW87" s="233">
        <f t="shared" si="94"/>
        <v>4255.2</v>
      </c>
      <c r="BX87" s="88">
        <v>5.8809034907597537</v>
      </c>
      <c r="BY87" s="90">
        <v>0</v>
      </c>
      <c r="BZ87" s="88">
        <v>0</v>
      </c>
      <c r="CA87" s="88">
        <v>0</v>
      </c>
      <c r="CB87" s="88">
        <v>0</v>
      </c>
      <c r="CC87" s="88">
        <v>0</v>
      </c>
      <c r="CD87" s="88">
        <v>0</v>
      </c>
      <c r="CE87" s="100">
        <v>0</v>
      </c>
      <c r="CF87" s="88">
        <v>0</v>
      </c>
      <c r="CG87" s="88">
        <v>0</v>
      </c>
      <c r="CH87" s="88">
        <v>0</v>
      </c>
      <c r="CI87" s="88">
        <v>0</v>
      </c>
      <c r="CJ87" s="228">
        <v>0</v>
      </c>
      <c r="CK87" s="88">
        <v>0</v>
      </c>
      <c r="CL87" s="88">
        <v>0</v>
      </c>
      <c r="CM87" s="88">
        <v>0</v>
      </c>
      <c r="CN87" s="88">
        <v>0</v>
      </c>
      <c r="CO87" s="88">
        <v>0</v>
      </c>
      <c r="CP87" s="88">
        <v>0</v>
      </c>
      <c r="CQ87" s="229">
        <v>0</v>
      </c>
      <c r="CR87" s="91">
        <v>0</v>
      </c>
      <c r="CS87" s="91">
        <v>0</v>
      </c>
      <c r="CT87" s="91">
        <v>0</v>
      </c>
      <c r="CU87" s="91">
        <v>0</v>
      </c>
      <c r="CV87" s="91">
        <v>0</v>
      </c>
      <c r="CW87" s="91">
        <v>0</v>
      </c>
      <c r="CX87" s="225">
        <v>0</v>
      </c>
      <c r="CY87" s="1265">
        <v>7747.6142399999999</v>
      </c>
      <c r="CZ87" s="90">
        <v>0</v>
      </c>
      <c r="DA87" s="88">
        <v>0</v>
      </c>
      <c r="DB87" s="88">
        <v>0</v>
      </c>
      <c r="DC87" s="88">
        <v>0</v>
      </c>
      <c r="DD87" s="88">
        <v>0</v>
      </c>
      <c r="DE87" s="152">
        <v>0</v>
      </c>
      <c r="DF87" s="230">
        <v>0</v>
      </c>
      <c r="DG87" s="38">
        <v>0</v>
      </c>
      <c r="DH87" s="1237">
        <v>0</v>
      </c>
      <c r="DI87" s="956">
        <v>0</v>
      </c>
      <c r="DJ87" s="956">
        <v>0</v>
      </c>
      <c r="DK87" s="956">
        <v>0</v>
      </c>
      <c r="DL87" s="152">
        <v>0</v>
      </c>
      <c r="DM87" s="160">
        <v>0</v>
      </c>
      <c r="DN87" s="160">
        <v>0</v>
      </c>
      <c r="DO87" s="160">
        <v>0</v>
      </c>
      <c r="DP87" s="160">
        <v>0</v>
      </c>
      <c r="DQ87" s="160">
        <v>0</v>
      </c>
      <c r="DR87" s="230">
        <v>0</v>
      </c>
      <c r="DS87" s="88">
        <v>0</v>
      </c>
      <c r="DT87" s="88">
        <v>0</v>
      </c>
      <c r="DU87" s="88">
        <v>0</v>
      </c>
      <c r="DV87" s="88">
        <v>0</v>
      </c>
      <c r="DW87" s="88">
        <v>0</v>
      </c>
      <c r="DX87" s="88">
        <v>0</v>
      </c>
      <c r="DY87" s="88">
        <v>0</v>
      </c>
      <c r="DZ87" s="88">
        <v>0</v>
      </c>
      <c r="EA87" s="88">
        <v>0</v>
      </c>
      <c r="EB87" s="152">
        <v>0</v>
      </c>
      <c r="EC87" s="52">
        <f t="shared" si="95"/>
        <v>0</v>
      </c>
      <c r="ED87" s="52">
        <f t="shared" si="95"/>
        <v>0</v>
      </c>
      <c r="EE87" s="52">
        <f t="shared" si="95"/>
        <v>0</v>
      </c>
      <c r="EF87" s="52">
        <f t="shared" si="71"/>
        <v>0</v>
      </c>
      <c r="EG87" s="52">
        <f t="shared" si="96"/>
        <v>0</v>
      </c>
      <c r="EH87" s="238">
        <v>0</v>
      </c>
      <c r="EI87" s="211">
        <v>0</v>
      </c>
      <c r="EJ87" s="211">
        <v>0</v>
      </c>
      <c r="EK87" s="211">
        <v>0</v>
      </c>
      <c r="EL87" s="217">
        <f>IF(C87&gt;=Summary!$E$26,MAX(0,SUM(EH87:EK87)),0)</f>
        <v>0</v>
      </c>
      <c r="EM87" s="52">
        <f>IF(C87&gt;=Summary!$E$26,DX87*BL87,0)</f>
        <v>0</v>
      </c>
      <c r="EN87" s="52">
        <f>IF(C87&gt;=Summary!$E$26,DY87*BM87,0)</f>
        <v>0</v>
      </c>
      <c r="EO87" s="52">
        <f>IF(C87&gt;=Summary!$E$26,DZ87*BN87,0)</f>
        <v>0</v>
      </c>
      <c r="EP87" s="52">
        <f>IF(C87&gt;=Summary!$E$26,EA87*BO87,0)</f>
        <v>0</v>
      </c>
      <c r="EQ87" s="52">
        <f>IF(C87&gt;=Summary!$E$26,DX87*BL87+DY87*BM87+DZ87*BN87+EA87*BO87,0)</f>
        <v>0</v>
      </c>
      <c r="ER87" s="826">
        <v>0</v>
      </c>
      <c r="ES87" s="278">
        <v>0</v>
      </c>
      <c r="ET87" s="278">
        <v>0</v>
      </c>
      <c r="EU87" s="278">
        <v>0</v>
      </c>
      <c r="EV87" s="212">
        <f>IF(C87&gt;=Summary!$E$26,MAX(0,SUM(ER87:EU87)),0)</f>
        <v>0</v>
      </c>
      <c r="EW87" s="52"/>
      <c r="EX87" s="1049">
        <f t="shared" si="97"/>
        <v>0</v>
      </c>
      <c r="EY87" s="1045" t="str">
        <f t="shared" si="98"/>
        <v/>
      </c>
      <c r="EZ87" s="1684" t="s">
        <v>525</v>
      </c>
      <c r="FA87" s="1046">
        <f t="shared" si="111"/>
        <v>45</v>
      </c>
      <c r="FB87" s="256">
        <f t="shared" si="99"/>
        <v>9308.25</v>
      </c>
      <c r="FC87" s="194">
        <f t="shared" si="100"/>
        <v>2792.4749999999999</v>
      </c>
      <c r="FD87" s="194">
        <f t="shared" si="101"/>
        <v>1773</v>
      </c>
      <c r="FE87" s="194">
        <f t="shared" si="102"/>
        <v>531.9</v>
      </c>
      <c r="FF87" s="194">
        <f t="shared" si="103"/>
        <v>2216.25</v>
      </c>
      <c r="FG87" s="194">
        <f t="shared" si="104"/>
        <v>664.875</v>
      </c>
      <c r="FH87" s="257">
        <f>IF(EZ87="No",IF((OR(MONTH(C87)=5,MONTH(C87)=6,MONTH(C87)=7,MONTH(C87)=8,MONTH(C87)=9)),Summary!$O$15*12*(AX87+AY87+AZ87+BA87)*(1-$BC87),Summary!$O$15*13*(AX87+AY87+AZ87+BA87)*(1-$BC87)+IF(Summary!$O$16="Yes",(CALC!FA87+Summary!$O$15)*6*(AX87+AY87+AZ87+BA87)*(1-$BC87),0)),0)</f>
        <v>0</v>
      </c>
      <c r="FI87" s="1412">
        <f>IF(MONTH(C87)=5,FI86*(IF(Summary!$E$70="no",(1+(Summary!$E$71*0.8)),1+HLOOKUP(YEAR(C87)-1,CCFMODEL!$I$127:$AF$128,2)*0.8)),+FI86)</f>
        <v>30.670680453537404</v>
      </c>
      <c r="FJ87" s="1411">
        <f>IF(MONTH(C87)=5,FJ86*(IF(Summary!$E$70="no",(1+(Summary!$E$71*0.8)),1+HLOOKUP(YEAR(CALC!C87)-1,CCFMODEL!$I$127:$AF$128,2)*0.8)),FJ86)</f>
        <v>26.806657719233474</v>
      </c>
      <c r="FK87" s="832">
        <f t="shared" si="72"/>
        <v>530196.38533018774</v>
      </c>
      <c r="FL87" s="1412">
        <f>IF(MONTH(C87)=5,FL86*(IF(Summary!$E$70="no",(1+(Summary!$E$71*0.8)),1+HLOOKUP(YEAR(CALC!C87)-1,CCFMODEL!$I$127:$AF$128,2)*0.8)),+FL86)</f>
        <v>64.503879514019971</v>
      </c>
      <c r="FM87" s="1411">
        <f>IF(MONTH(C87)=5,FM86*(IF(Summary!$E$70="no",(1+(Summary!$E$71*0.8)),1+HLOOKUP(YEAR(CALC!C87)-1,CCFMODEL!$I$127:$AF$128,2)*0.8)),+FM86)</f>
        <v>30.785681130153588</v>
      </c>
      <c r="FN87" s="832">
        <f t="shared" si="73"/>
        <v>540288.7038341955</v>
      </c>
      <c r="FO87" s="194">
        <f t="shared" si="105"/>
        <v>1070485.0891643832</v>
      </c>
      <c r="FP87" s="263">
        <f t="shared" si="69"/>
        <v>9308.25</v>
      </c>
      <c r="FQ87" s="194">
        <f t="shared" si="69"/>
        <v>2792.4749999999999</v>
      </c>
      <c r="FR87" s="194">
        <f t="shared" si="69"/>
        <v>1773</v>
      </c>
      <c r="FS87" s="194">
        <f t="shared" si="68"/>
        <v>531.9</v>
      </c>
      <c r="FT87" s="194">
        <f t="shared" si="68"/>
        <v>2216.25</v>
      </c>
      <c r="FU87" s="194">
        <f t="shared" si="68"/>
        <v>664.875</v>
      </c>
      <c r="FV87" s="257">
        <f t="shared" si="68"/>
        <v>0</v>
      </c>
      <c r="FW87" s="189">
        <f t="shared" si="74"/>
        <v>0</v>
      </c>
      <c r="FX87" s="189">
        <f t="shared" si="75"/>
        <v>0</v>
      </c>
      <c r="FY87" s="189">
        <f t="shared" si="76"/>
        <v>0</v>
      </c>
      <c r="FZ87" s="258">
        <f t="shared" si="77"/>
        <v>0</v>
      </c>
      <c r="GA87" s="1293">
        <f>(SUM(FP87:FV87)+SUM(GU87:HB87)/(1-Summary!$O$25))*CY87/1000</f>
        <v>228713.05879120799</v>
      </c>
      <c r="GB87" s="1369">
        <f>IF($C87&lt;Summary!$M$81,+Summary!$O$81,VLOOKUP(C87,GasTable,19))</f>
        <v>2.4</v>
      </c>
      <c r="GC87" s="1370">
        <f>IF(H87&lt;=Summary!$N$84,MIN(GA87,Summary!$O$75*(H87-G87+1)),0)</f>
        <v>150000</v>
      </c>
      <c r="GD87" s="1371">
        <f>IF(Summary!$O$75*(H87-G87+1)*0.8&gt;GC87,1,0)</f>
        <v>0</v>
      </c>
      <c r="GE87" s="1372">
        <v>0</v>
      </c>
      <c r="GF87" s="1370">
        <f t="shared" si="106"/>
        <v>78713.058791207994</v>
      </c>
      <c r="GG87" s="1371">
        <f>GF87*(IF(Summary!$O$74=1,VLOOKUP($C87,GasTable,16)+Summary!$O$92+Summary!$O$93,VLOOKUP($C87,GasTable,19)+Summary!$O$92+Summary!$O$93))</f>
        <v>251245.2796089795</v>
      </c>
      <c r="GH87" s="1373">
        <v>18660</v>
      </c>
      <c r="GI87" s="1466">
        <v>0</v>
      </c>
      <c r="GJ87" s="1374">
        <f t="shared" si="107"/>
        <v>629905.27960897947</v>
      </c>
      <c r="GK87" s="189">
        <f t="shared" si="78"/>
        <v>29092.270500000002</v>
      </c>
      <c r="GL87" s="266">
        <v>0.76081571836799999</v>
      </c>
      <c r="GM87" s="255">
        <f t="shared" si="79"/>
        <v>14730.000000000002</v>
      </c>
      <c r="GN87" s="189">
        <f>IF(SUM(GU87:HB87)=0,0,IF(Summary!$O$16="Yes",SUM(GX87:HB87),IF(Summary!$O$17="Yes",SUM(GY87:HB87),SUM(GU87:HB87))))</f>
        <v>11805.520500000001</v>
      </c>
      <c r="GO87" s="203">
        <v>2.7585222762877999</v>
      </c>
      <c r="GP87" s="258">
        <f t="shared" si="108"/>
        <v>32565.791282422288</v>
      </c>
      <c r="GQ87" s="189"/>
      <c r="GR87" s="189"/>
      <c r="GS87" s="189"/>
      <c r="GT87" s="189"/>
      <c r="GU87" s="268">
        <v>5389.4767500000007</v>
      </c>
      <c r="GV87" s="189">
        <v>1026.5670000000002</v>
      </c>
      <c r="GW87" s="189">
        <v>1283.20875</v>
      </c>
      <c r="GX87" s="189"/>
      <c r="GY87" s="254">
        <v>2874.3875999999996</v>
      </c>
      <c r="GZ87" s="189">
        <v>547.50239999999997</v>
      </c>
      <c r="HA87" s="189">
        <v>684.37800000000004</v>
      </c>
      <c r="HB87" s="255"/>
      <c r="HC87" s="189">
        <v>11805.520500000001</v>
      </c>
      <c r="HD87" s="189"/>
      <c r="HE87" s="189">
        <v>20274.698250000001</v>
      </c>
      <c r="HF87" s="189">
        <v>505139.79407744785</v>
      </c>
      <c r="HG87" s="189"/>
      <c r="HH87" s="203">
        <v>42.536554439402501</v>
      </c>
      <c r="HI87" s="189">
        <v>862415.80585358362</v>
      </c>
      <c r="HJ87" s="268">
        <f t="shared" si="80"/>
        <v>0</v>
      </c>
      <c r="HK87" s="189">
        <f t="shared" si="81"/>
        <v>0</v>
      </c>
      <c r="HL87" s="189">
        <f t="shared" si="82"/>
        <v>0</v>
      </c>
      <c r="HM87" s="255">
        <f t="shared" si="83"/>
        <v>0</v>
      </c>
      <c r="HN87" s="189">
        <f t="shared" si="84"/>
        <v>0</v>
      </c>
      <c r="HO87" s="203">
        <f t="shared" si="109"/>
        <v>0</v>
      </c>
      <c r="HP87" s="258">
        <f t="shared" si="85"/>
        <v>0</v>
      </c>
      <c r="HQ87" s="804"/>
      <c r="HR87" s="268"/>
      <c r="HS87" s="38"/>
      <c r="HT87" s="255"/>
      <c r="HU87" s="254"/>
      <c r="HV87" s="203"/>
      <c r="HW87" s="189"/>
      <c r="HX87" s="1020"/>
      <c r="HY87" s="258"/>
      <c r="HZ87" s="268"/>
      <c r="IA87" s="203"/>
      <c r="IB87" s="255"/>
      <c r="IC87" s="254"/>
      <c r="ID87" s="203"/>
      <c r="IE87" s="255"/>
      <c r="IF87" s="189"/>
      <c r="IG87" s="203"/>
      <c r="IH87" s="255"/>
      <c r="II87" s="189"/>
      <c r="IJ87" s="203"/>
      <c r="IK87" s="189"/>
      <c r="IL87" s="1182"/>
      <c r="IM87" s="1403"/>
      <c r="IN87" s="254"/>
      <c r="IO87" s="254"/>
      <c r="IP87" s="254"/>
      <c r="IQ87" s="254"/>
      <c r="IR87" s="223"/>
    </row>
    <row r="88" spans="1:252" ht="13.8" thickBot="1">
      <c r="A88" t="str">
        <f t="shared" si="86"/>
        <v>2005Q4</v>
      </c>
      <c r="B88">
        <f t="shared" si="87"/>
        <v>2005</v>
      </c>
      <c r="C88" s="49">
        <f t="shared" si="88"/>
        <v>38687</v>
      </c>
      <c r="D88" s="115">
        <f t="shared" si="89"/>
        <v>2005</v>
      </c>
      <c r="E88" s="10">
        <f t="shared" si="112"/>
        <v>12</v>
      </c>
      <c r="F88" s="248">
        <f t="shared" si="113"/>
        <v>38712</v>
      </c>
      <c r="G88" s="245">
        <v>38687</v>
      </c>
      <c r="H88" s="251">
        <v>38717</v>
      </c>
      <c r="I88" s="959">
        <f t="shared" si="110"/>
        <v>7.1499999999999994E-2</v>
      </c>
      <c r="J88" s="37">
        <f t="shared" si="90"/>
        <v>0.6514660621497772</v>
      </c>
      <c r="K88" s="1036"/>
      <c r="L88" s="37"/>
      <c r="M88" s="1004">
        <v>0</v>
      </c>
      <c r="N88" s="38">
        <f t="shared" si="66"/>
        <v>0</v>
      </c>
      <c r="O88" s="40">
        <f t="shared" si="66"/>
        <v>0</v>
      </c>
      <c r="P88" s="159">
        <f t="shared" si="60"/>
        <v>0</v>
      </c>
      <c r="Q88" s="38">
        <f t="shared" si="70"/>
        <v>0</v>
      </c>
      <c r="R88" s="40">
        <f t="shared" si="70"/>
        <v>0</v>
      </c>
      <c r="S88" s="38">
        <f t="shared" si="70"/>
        <v>0</v>
      </c>
      <c r="T88" s="38">
        <f t="shared" si="70"/>
        <v>0</v>
      </c>
      <c r="U88" s="38">
        <f t="shared" si="70"/>
        <v>0</v>
      </c>
      <c r="V88" s="159">
        <f t="shared" si="70"/>
        <v>0</v>
      </c>
      <c r="W88" s="38">
        <f t="shared" si="70"/>
        <v>0</v>
      </c>
      <c r="X88" s="39">
        <f t="shared" si="70"/>
        <v>0</v>
      </c>
      <c r="Y88" s="46">
        <v>0</v>
      </c>
      <c r="Z88" s="46">
        <v>0</v>
      </c>
      <c r="AA88" s="47">
        <v>0</v>
      </c>
      <c r="AB88" s="46">
        <v>0</v>
      </c>
      <c r="AC88" s="46">
        <v>0</v>
      </c>
      <c r="AD88" s="47">
        <v>0</v>
      </c>
      <c r="AE88" s="46">
        <v>0</v>
      </c>
      <c r="AF88" s="46">
        <v>0</v>
      </c>
      <c r="AG88" s="47">
        <v>0</v>
      </c>
      <c r="AH88" s="46">
        <v>0</v>
      </c>
      <c r="AI88" s="46">
        <v>0</v>
      </c>
      <c r="AJ88" s="47">
        <v>0</v>
      </c>
      <c r="AK88" s="46">
        <v>0</v>
      </c>
      <c r="AL88" s="46">
        <v>0</v>
      </c>
      <c r="AM88" s="47">
        <v>0</v>
      </c>
      <c r="AN88" s="46">
        <v>0</v>
      </c>
      <c r="AO88" s="46">
        <v>0</v>
      </c>
      <c r="AP88" s="47">
        <v>0</v>
      </c>
      <c r="AQ88" s="46">
        <v>0</v>
      </c>
      <c r="AR88" s="46">
        <v>0</v>
      </c>
      <c r="AS88" s="47">
        <v>0</v>
      </c>
      <c r="AT88" s="46">
        <v>0</v>
      </c>
      <c r="AU88" s="46">
        <v>0</v>
      </c>
      <c r="AV88" s="46">
        <v>0</v>
      </c>
      <c r="AW88" s="1545">
        <v>0</v>
      </c>
      <c r="AX88" s="10">
        <f t="shared" si="114"/>
        <v>21</v>
      </c>
      <c r="AY88" s="42">
        <f>IF(AND($E88=MONTH(Summary!$E$24),$D88=YEAR(Summary!$E$24)),Summary!$E$25,1)*IF(G88="",0,INT((H88-MOD(H88,7)-G88)/7)+1-IF(BA88,IF(WEEKDAY(F88)=7,1,0),0))</f>
        <v>5</v>
      </c>
      <c r="AZ88" s="42">
        <f>IF(AND($E88=MONTH(Summary!$E$24),$D88=YEAR(Summary!$E$24)),Summary!$E$25,1)*IF(G88="",0,INT((H88-MOD(H88-1,7)-G88)/7)+1-IF(BA88,IF(WEEKDAY(F88)=1,1,0),0))</f>
        <v>4</v>
      </c>
      <c r="BA88" s="42">
        <v>1</v>
      </c>
      <c r="BB88" s="10">
        <f>IF(AND($E88=MONTH(Summary!$E$24),$D88=YEAR(Summary!$E$24)),Summary!$E$25,1)*IF(G88="",0,H88-G88+1)</f>
        <v>31</v>
      </c>
      <c r="BC88" s="914">
        <f>Summary!$E$19</f>
        <v>1.4999999999999999E-2</v>
      </c>
      <c r="BD88" s="113">
        <v>14893.2</v>
      </c>
      <c r="BE88" s="171">
        <v>3546</v>
      </c>
      <c r="BF88" s="171">
        <v>3546</v>
      </c>
      <c r="BG88" s="174"/>
      <c r="BH88" s="1198">
        <v>1</v>
      </c>
      <c r="BI88" s="1198">
        <v>1</v>
      </c>
      <c r="BJ88" s="1198">
        <v>1</v>
      </c>
      <c r="BK88" s="1198">
        <v>1</v>
      </c>
      <c r="BL88" s="95">
        <v>2978.64</v>
      </c>
      <c r="BM88" s="171">
        <v>709.2</v>
      </c>
      <c r="BN88" s="171">
        <v>709.2</v>
      </c>
      <c r="BO88" s="174"/>
      <c r="BP88" s="1198">
        <v>1</v>
      </c>
      <c r="BQ88" s="1199">
        <v>1</v>
      </c>
      <c r="BR88" s="1199">
        <v>1</v>
      </c>
      <c r="BS88" s="1200">
        <v>1</v>
      </c>
      <c r="BT88" s="94">
        <f t="shared" si="91"/>
        <v>21985.200000000001</v>
      </c>
      <c r="BU88" s="233">
        <f t="shared" si="92"/>
        <v>21985.200000000001</v>
      </c>
      <c r="BV88" s="92">
        <f t="shared" si="93"/>
        <v>4397.04</v>
      </c>
      <c r="BW88" s="233">
        <f t="shared" si="94"/>
        <v>4397.04</v>
      </c>
      <c r="BX88" s="88">
        <v>5.9630390143737166</v>
      </c>
      <c r="BY88" s="90">
        <v>0</v>
      </c>
      <c r="BZ88" s="88">
        <v>0</v>
      </c>
      <c r="CA88" s="88">
        <v>0</v>
      </c>
      <c r="CB88" s="88">
        <v>0</v>
      </c>
      <c r="CC88" s="88">
        <v>0</v>
      </c>
      <c r="CD88" s="88">
        <v>0</v>
      </c>
      <c r="CE88" s="100">
        <v>0</v>
      </c>
      <c r="CF88" s="88">
        <v>0</v>
      </c>
      <c r="CG88" s="88">
        <v>0</v>
      </c>
      <c r="CH88" s="88">
        <v>0</v>
      </c>
      <c r="CI88" s="88">
        <v>0</v>
      </c>
      <c r="CJ88" s="228">
        <v>0</v>
      </c>
      <c r="CK88" s="88">
        <v>0</v>
      </c>
      <c r="CL88" s="88">
        <v>0</v>
      </c>
      <c r="CM88" s="88">
        <v>0</v>
      </c>
      <c r="CN88" s="88">
        <v>0</v>
      </c>
      <c r="CO88" s="88">
        <v>0</v>
      </c>
      <c r="CP88" s="88">
        <v>0</v>
      </c>
      <c r="CQ88" s="229">
        <v>0</v>
      </c>
      <c r="CR88" s="91">
        <v>0</v>
      </c>
      <c r="CS88" s="91">
        <v>0</v>
      </c>
      <c r="CT88" s="91">
        <v>0</v>
      </c>
      <c r="CU88" s="91">
        <v>0</v>
      </c>
      <c r="CV88" s="91">
        <v>0</v>
      </c>
      <c r="CW88" s="91">
        <v>0</v>
      </c>
      <c r="CX88" s="225">
        <v>0</v>
      </c>
      <c r="CY88" s="1265">
        <v>7748.9171200000001</v>
      </c>
      <c r="CZ88" s="90">
        <v>0</v>
      </c>
      <c r="DA88" s="88">
        <v>0</v>
      </c>
      <c r="DB88" s="88">
        <v>0</v>
      </c>
      <c r="DC88" s="88">
        <v>0</v>
      </c>
      <c r="DD88" s="88">
        <v>0</v>
      </c>
      <c r="DE88" s="152">
        <v>0</v>
      </c>
      <c r="DF88" s="230">
        <v>0</v>
      </c>
      <c r="DG88" s="38">
        <v>0</v>
      </c>
      <c r="DH88" s="1237">
        <v>0</v>
      </c>
      <c r="DI88" s="956">
        <v>0</v>
      </c>
      <c r="DJ88" s="956">
        <v>0</v>
      </c>
      <c r="DK88" s="956">
        <v>0</v>
      </c>
      <c r="DL88" s="152">
        <v>0</v>
      </c>
      <c r="DM88" s="160">
        <v>0</v>
      </c>
      <c r="DN88" s="160">
        <v>0</v>
      </c>
      <c r="DO88" s="160">
        <v>0</v>
      </c>
      <c r="DP88" s="160">
        <v>0</v>
      </c>
      <c r="DQ88" s="160">
        <v>0</v>
      </c>
      <c r="DR88" s="230">
        <v>0</v>
      </c>
      <c r="DS88" s="88">
        <v>0</v>
      </c>
      <c r="DT88" s="88">
        <v>0</v>
      </c>
      <c r="DU88" s="88">
        <v>0</v>
      </c>
      <c r="DV88" s="88">
        <v>0</v>
      </c>
      <c r="DW88" s="88">
        <v>0</v>
      </c>
      <c r="DX88" s="88">
        <v>0</v>
      </c>
      <c r="DY88" s="88">
        <v>0</v>
      </c>
      <c r="DZ88" s="88">
        <v>0</v>
      </c>
      <c r="EA88" s="88">
        <v>0</v>
      </c>
      <c r="EB88" s="152">
        <v>0</v>
      </c>
      <c r="EC88" s="52">
        <f t="shared" si="95"/>
        <v>0</v>
      </c>
      <c r="ED88" s="52">
        <f t="shared" si="95"/>
        <v>0</v>
      </c>
      <c r="EE88" s="52">
        <f t="shared" si="95"/>
        <v>0</v>
      </c>
      <c r="EF88" s="52">
        <f t="shared" si="71"/>
        <v>0</v>
      </c>
      <c r="EG88" s="52">
        <f t="shared" si="96"/>
        <v>0</v>
      </c>
      <c r="EH88" s="238">
        <v>0</v>
      </c>
      <c r="EI88" s="211">
        <v>0</v>
      </c>
      <c r="EJ88" s="211">
        <v>0</v>
      </c>
      <c r="EK88" s="211">
        <v>0</v>
      </c>
      <c r="EL88" s="217">
        <f>IF(C88&gt;=Summary!$E$26,MAX(0,SUM(EH88:EK88)),0)</f>
        <v>0</v>
      </c>
      <c r="EM88" s="52">
        <f>IF(C88&gt;=Summary!$E$26,DX88*BL88,0)</f>
        <v>0</v>
      </c>
      <c r="EN88" s="52">
        <f>IF(C88&gt;=Summary!$E$26,DY88*BM88,0)</f>
        <v>0</v>
      </c>
      <c r="EO88" s="52">
        <f>IF(C88&gt;=Summary!$E$26,DZ88*BN88,0)</f>
        <v>0</v>
      </c>
      <c r="EP88" s="52">
        <f>IF(C88&gt;=Summary!$E$26,EA88*BO88,0)</f>
        <v>0</v>
      </c>
      <c r="EQ88" s="52">
        <f>IF(C88&gt;=Summary!$E$26,DX88*BL88+DY88*BM88+DZ88*BN88+EA88*BO88,0)</f>
        <v>0</v>
      </c>
      <c r="ER88" s="826">
        <v>0</v>
      </c>
      <c r="ES88" s="278">
        <v>0</v>
      </c>
      <c r="ET88" s="278">
        <v>0</v>
      </c>
      <c r="EU88" s="278">
        <v>0</v>
      </c>
      <c r="EV88" s="212">
        <f>IF(C88&gt;=Summary!$E$26,MAX(0,SUM(ER88:EU88)),0)</f>
        <v>0</v>
      </c>
      <c r="EW88" s="52"/>
      <c r="EX88" s="1049">
        <f t="shared" si="97"/>
        <v>0</v>
      </c>
      <c r="EY88" s="1045" t="str">
        <f t="shared" si="98"/>
        <v/>
      </c>
      <c r="EZ88" s="1684" t="s">
        <v>525</v>
      </c>
      <c r="FA88" s="1046">
        <f t="shared" si="111"/>
        <v>45</v>
      </c>
      <c r="FB88" s="256">
        <f t="shared" si="99"/>
        <v>9308.25</v>
      </c>
      <c r="FC88" s="194">
        <f t="shared" si="100"/>
        <v>2792.4749999999999</v>
      </c>
      <c r="FD88" s="194">
        <f t="shared" si="101"/>
        <v>2216.25</v>
      </c>
      <c r="FE88" s="194">
        <f t="shared" si="102"/>
        <v>664.875</v>
      </c>
      <c r="FF88" s="194">
        <f t="shared" si="103"/>
        <v>2216.25</v>
      </c>
      <c r="FG88" s="194">
        <f t="shared" si="104"/>
        <v>664.875</v>
      </c>
      <c r="FH88" s="257">
        <f>IF(EZ88="No",IF((OR(MONTH(C88)=5,MONTH(C88)=6,MONTH(C88)=7,MONTH(C88)=8,MONTH(C88)=9)),Summary!$O$15*12*(AX88+AY88+AZ88+BA88)*(1-$BC88),Summary!$O$15*13*(AX88+AY88+AZ88+BA88)*(1-$BC88)+IF(Summary!$O$16="Yes",(CALC!FA88+Summary!$O$15)*6*(AX88+AY88+AZ88+BA88)*(1-$BC88),0)),0)</f>
        <v>0</v>
      </c>
      <c r="FI88" s="1412">
        <f>IF(MONTH(C88)=5,FI87*(IF(Summary!$E$70="no",(1+(Summary!$E$71*0.8)),1+HLOOKUP(YEAR(C88)-1,CCFMODEL!$I$127:$AF$128,2)*0.8)),+FI87)</f>
        <v>30.670680453537404</v>
      </c>
      <c r="FJ88" s="1411">
        <f>IF(MONTH(C88)=5,FJ87*(IF(Summary!$E$70="no",(1+(Summary!$E$71*0.8)),1+HLOOKUP(YEAR(CALC!C88)-1,CCFMODEL!$I$127:$AF$128,2)*0.8)),FJ87)</f>
        <v>26.806657719233474</v>
      </c>
      <c r="FK88" s="832">
        <f t="shared" si="72"/>
        <v>547869.59817452729</v>
      </c>
      <c r="FL88" s="1412">
        <f>IF(MONTH(C88)=5,FL87*(IF(Summary!$E$70="no",(1+(Summary!$E$71*0.8)),1+HLOOKUP(YEAR(CALC!C88)-1,CCFMODEL!$I$127:$AF$128,2)*0.8)),+FL87)</f>
        <v>64.503879514019971</v>
      </c>
      <c r="FM88" s="1411">
        <f>IF(MONTH(C88)=5,FM87*(IF(Summary!$E$70="no",(1+(Summary!$E$71*0.8)),1+HLOOKUP(YEAR(CALC!C88)-1,CCFMODEL!$I$127:$AF$128,2)*0.8)),+FM87)</f>
        <v>30.785681130153588</v>
      </c>
      <c r="FN88" s="832">
        <f t="shared" si="73"/>
        <v>558298.32729533536</v>
      </c>
      <c r="FO88" s="194">
        <f t="shared" si="105"/>
        <v>1106167.9254698628</v>
      </c>
      <c r="FP88" s="263">
        <f t="shared" si="69"/>
        <v>9308.25</v>
      </c>
      <c r="FQ88" s="194">
        <f t="shared" si="69"/>
        <v>2792.4749999999999</v>
      </c>
      <c r="FR88" s="194">
        <f t="shared" si="69"/>
        <v>2216.25</v>
      </c>
      <c r="FS88" s="194">
        <f t="shared" si="68"/>
        <v>664.875</v>
      </c>
      <c r="FT88" s="194">
        <f t="shared" si="68"/>
        <v>2216.25</v>
      </c>
      <c r="FU88" s="194">
        <f t="shared" si="68"/>
        <v>664.875</v>
      </c>
      <c r="FV88" s="257">
        <f t="shared" si="68"/>
        <v>0</v>
      </c>
      <c r="FW88" s="189">
        <f t="shared" si="74"/>
        <v>0</v>
      </c>
      <c r="FX88" s="189">
        <f t="shared" si="75"/>
        <v>0</v>
      </c>
      <c r="FY88" s="189">
        <f t="shared" si="76"/>
        <v>0</v>
      </c>
      <c r="FZ88" s="258">
        <f t="shared" si="77"/>
        <v>0</v>
      </c>
      <c r="GA88" s="1293">
        <f>(SUM(FP88:FV88)+SUM(GU88:HB88)/(1-Summary!$O$25))*CY88/1000</f>
        <v>236376.57107494079</v>
      </c>
      <c r="GB88" s="1369">
        <f>IF($C88&lt;Summary!$M$81,+Summary!$O$81,VLOOKUP(C88,GasTable,19))</f>
        <v>2.4</v>
      </c>
      <c r="GC88" s="1370">
        <f>IF(H88&lt;=Summary!$N$84,MIN(GA88,Summary!$O$75*(H88-G88+1)),0)</f>
        <v>155000</v>
      </c>
      <c r="GD88" s="1371">
        <f>IF(Summary!$O$75*(H88-G88+1)*0.8&gt;GC88,1,0)</f>
        <v>0</v>
      </c>
      <c r="GE88" s="1372">
        <v>0</v>
      </c>
      <c r="GF88" s="1370">
        <f t="shared" si="106"/>
        <v>81376.571074940788</v>
      </c>
      <c r="GG88" s="1371">
        <f>GF88*(IF(Summary!$O$74=1,VLOOKUP($C88,GasTable,16)+Summary!$O$92+Summary!$O$93,VLOOKUP($C88,GasTable,19)+Summary!$O$92+Summary!$O$93))</f>
        <v>270615.00781707355</v>
      </c>
      <c r="GH88" s="1373">
        <v>19809</v>
      </c>
      <c r="GI88" s="1466">
        <v>0</v>
      </c>
      <c r="GJ88" s="1374">
        <f t="shared" si="107"/>
        <v>662424.00781707349</v>
      </c>
      <c r="GK88" s="189">
        <f t="shared" si="78"/>
        <v>30062.012850000003</v>
      </c>
      <c r="GL88" s="266">
        <v>0.76094366118400003</v>
      </c>
      <c r="GM88" s="255">
        <f t="shared" si="79"/>
        <v>15221.000000000002</v>
      </c>
      <c r="GN88" s="189">
        <f>IF(SUM(GU88:HB88)=0,0,IF(Summary!$O$16="Yes",SUM(GX88:HB88),IF(Summary!$O$17="Yes",SUM(GY88:HB88),SUM(GU88:HB88))))</f>
        <v>12199.037850000001</v>
      </c>
      <c r="GO88" s="203">
        <v>2.7585222762877999</v>
      </c>
      <c r="GP88" s="258">
        <f t="shared" si="108"/>
        <v>33651.317658503031</v>
      </c>
      <c r="GQ88" s="189"/>
      <c r="GR88" s="189"/>
      <c r="GS88" s="189"/>
      <c r="GT88" s="189"/>
      <c r="GU88" s="268">
        <v>5389.4767500000007</v>
      </c>
      <c r="GV88" s="189">
        <v>1283.20875</v>
      </c>
      <c r="GW88" s="189">
        <v>1283.20875</v>
      </c>
      <c r="GX88" s="189"/>
      <c r="GY88" s="254">
        <v>2874.3875999999996</v>
      </c>
      <c r="GZ88" s="189">
        <v>684.37800000000004</v>
      </c>
      <c r="HA88" s="189">
        <v>684.37800000000004</v>
      </c>
      <c r="HB88" s="255"/>
      <c r="HC88" s="189">
        <v>12199.037850000001</v>
      </c>
      <c r="HD88" s="189"/>
      <c r="HE88" s="189">
        <v>20950.521525</v>
      </c>
      <c r="HF88" s="189">
        <v>510171.09790249838</v>
      </c>
      <c r="HG88" s="189"/>
      <c r="HH88" s="203">
        <v>41.550743053032555</v>
      </c>
      <c r="HI88" s="189">
        <v>870509.73671230278</v>
      </c>
      <c r="HJ88" s="268">
        <f t="shared" si="80"/>
        <v>0</v>
      </c>
      <c r="HK88" s="189">
        <f t="shared" si="81"/>
        <v>0</v>
      </c>
      <c r="HL88" s="189">
        <f t="shared" si="82"/>
        <v>0</v>
      </c>
      <c r="HM88" s="255">
        <f t="shared" si="83"/>
        <v>0</v>
      </c>
      <c r="HN88" s="189">
        <f t="shared" si="84"/>
        <v>0</v>
      </c>
      <c r="HO88" s="203">
        <f t="shared" si="109"/>
        <v>0</v>
      </c>
      <c r="HP88" s="258">
        <f t="shared" si="85"/>
        <v>0</v>
      </c>
      <c r="HQ88" s="804"/>
      <c r="HR88" s="268"/>
      <c r="HS88" s="38"/>
      <c r="HT88" s="255"/>
      <c r="HU88" s="254"/>
      <c r="HV88" s="203"/>
      <c r="HW88" s="189"/>
      <c r="HX88" s="1020"/>
      <c r="HY88" s="258"/>
      <c r="HZ88" s="268"/>
      <c r="IA88" s="203"/>
      <c r="IB88" s="255"/>
      <c r="IC88" s="254"/>
      <c r="ID88" s="203"/>
      <c r="IE88" s="255"/>
      <c r="IF88" s="189"/>
      <c r="IG88" s="203"/>
      <c r="IH88" s="255"/>
      <c r="II88" s="189"/>
      <c r="IJ88" s="203"/>
      <c r="IK88" s="189"/>
      <c r="IL88" s="1182"/>
      <c r="IM88" s="1403"/>
      <c r="IN88" s="254"/>
      <c r="IO88" s="254"/>
      <c r="IP88" s="254"/>
      <c r="IQ88" s="254"/>
      <c r="IR88" s="223"/>
    </row>
    <row r="89" spans="1:252" ht="13.8" thickBot="1">
      <c r="A89" t="str">
        <f t="shared" si="86"/>
        <v>2006Q1</v>
      </c>
      <c r="B89">
        <f t="shared" si="87"/>
        <v>2006</v>
      </c>
      <c r="C89" s="49">
        <f t="shared" si="88"/>
        <v>38718</v>
      </c>
      <c r="D89" s="115">
        <f t="shared" si="89"/>
        <v>2006</v>
      </c>
      <c r="E89" s="10">
        <f t="shared" si="112"/>
        <v>1</v>
      </c>
      <c r="F89" s="248">
        <f t="shared" si="113"/>
        <v>38719</v>
      </c>
      <c r="G89" s="245">
        <v>38718</v>
      </c>
      <c r="H89" s="251">
        <v>38748</v>
      </c>
      <c r="I89" s="959">
        <f t="shared" si="110"/>
        <v>7.1499999999999994E-2</v>
      </c>
      <c r="J89" s="37">
        <f t="shared" si="90"/>
        <v>0.64759325907273835</v>
      </c>
      <c r="K89" s="1036"/>
      <c r="L89" s="37"/>
      <c r="M89" s="1004">
        <v>0</v>
      </c>
      <c r="N89" s="38">
        <f t="shared" ref="N89:O108" si="115">M89</f>
        <v>0</v>
      </c>
      <c r="O89" s="40">
        <f t="shared" si="115"/>
        <v>0</v>
      </c>
      <c r="P89" s="159">
        <f t="shared" si="60"/>
        <v>0</v>
      </c>
      <c r="Q89" s="38">
        <f t="shared" ref="Q89:X98" si="116">P89</f>
        <v>0</v>
      </c>
      <c r="R89" s="40">
        <f t="shared" si="116"/>
        <v>0</v>
      </c>
      <c r="S89" s="38">
        <f t="shared" si="116"/>
        <v>0</v>
      </c>
      <c r="T89" s="38">
        <f t="shared" si="116"/>
        <v>0</v>
      </c>
      <c r="U89" s="38">
        <f t="shared" si="116"/>
        <v>0</v>
      </c>
      <c r="V89" s="159">
        <f t="shared" si="116"/>
        <v>0</v>
      </c>
      <c r="W89" s="38">
        <f t="shared" si="116"/>
        <v>0</v>
      </c>
      <c r="X89" s="39">
        <f t="shared" si="116"/>
        <v>0</v>
      </c>
      <c r="Y89" s="46">
        <v>0</v>
      </c>
      <c r="Z89" s="46">
        <v>0</v>
      </c>
      <c r="AA89" s="47">
        <v>0</v>
      </c>
      <c r="AB89" s="46">
        <v>0</v>
      </c>
      <c r="AC89" s="46">
        <v>0</v>
      </c>
      <c r="AD89" s="47">
        <v>0</v>
      </c>
      <c r="AE89" s="46">
        <v>0</v>
      </c>
      <c r="AF89" s="46">
        <v>0</v>
      </c>
      <c r="AG89" s="47">
        <v>0</v>
      </c>
      <c r="AH89" s="46">
        <v>0</v>
      </c>
      <c r="AI89" s="46">
        <v>0</v>
      </c>
      <c r="AJ89" s="47">
        <v>0</v>
      </c>
      <c r="AK89" s="46">
        <v>0</v>
      </c>
      <c r="AL89" s="46">
        <v>0</v>
      </c>
      <c r="AM89" s="47">
        <v>0</v>
      </c>
      <c r="AN89" s="46">
        <v>0</v>
      </c>
      <c r="AO89" s="46">
        <v>0</v>
      </c>
      <c r="AP89" s="47">
        <v>0</v>
      </c>
      <c r="AQ89" s="46">
        <v>0</v>
      </c>
      <c r="AR89" s="46">
        <v>0</v>
      </c>
      <c r="AS89" s="47">
        <v>0</v>
      </c>
      <c r="AT89" s="46">
        <v>0</v>
      </c>
      <c r="AU89" s="46">
        <v>0</v>
      </c>
      <c r="AV89" s="46">
        <v>0</v>
      </c>
      <c r="AW89" s="1545">
        <v>0</v>
      </c>
      <c r="AX89" s="10">
        <f t="shared" si="114"/>
        <v>21</v>
      </c>
      <c r="AY89" s="42">
        <f>IF(AND($E89=MONTH(Summary!$E$24),$D89=YEAR(Summary!$E$24)),Summary!$E$25,1)*IF(G89="",0,INT((H89-MOD(H89,7)-G89)/7)+1-IF(BA89,IF(WEEKDAY(F89)=7,1,0),0))</f>
        <v>4</v>
      </c>
      <c r="AZ89" s="42">
        <f>IF(AND($E89=MONTH(Summary!$E$24),$D89=YEAR(Summary!$E$24)),Summary!$E$25,1)*IF(G89="",0,INT((H89-MOD(H89-1,7)-G89)/7)+1-IF(BA89,IF(WEEKDAY(F89)=1,1,0),0))</f>
        <v>5</v>
      </c>
      <c r="BA89" s="42">
        <v>1</v>
      </c>
      <c r="BB89" s="10">
        <f>IF(AND($E89=MONTH(Summary!$E$24),$D89=YEAR(Summary!$E$24)),Summary!$E$25,1)*IF(G89="",0,H89-G89+1)</f>
        <v>31</v>
      </c>
      <c r="BC89" s="914">
        <f>Summary!$E$19</f>
        <v>1.4999999999999999E-2</v>
      </c>
      <c r="BD89" s="113">
        <v>14893.2</v>
      </c>
      <c r="BE89" s="171">
        <v>2836.8</v>
      </c>
      <c r="BF89" s="171">
        <v>4255.2</v>
      </c>
      <c r="BG89" s="174"/>
      <c r="BH89" s="1198">
        <v>1</v>
      </c>
      <c r="BI89" s="1198">
        <v>1</v>
      </c>
      <c r="BJ89" s="1198">
        <v>1</v>
      </c>
      <c r="BK89" s="1198">
        <v>1</v>
      </c>
      <c r="BL89" s="95">
        <v>2978.64</v>
      </c>
      <c r="BM89" s="171">
        <v>567.36</v>
      </c>
      <c r="BN89" s="171">
        <v>851.04</v>
      </c>
      <c r="BO89" s="174"/>
      <c r="BP89" s="1198">
        <v>1</v>
      </c>
      <c r="BQ89" s="1199">
        <v>1</v>
      </c>
      <c r="BR89" s="1199">
        <v>1</v>
      </c>
      <c r="BS89" s="1200">
        <v>1</v>
      </c>
      <c r="BT89" s="94">
        <f t="shared" si="91"/>
        <v>21985.200000000001</v>
      </c>
      <c r="BU89" s="233">
        <f t="shared" si="92"/>
        <v>21985.200000000001</v>
      </c>
      <c r="BV89" s="92">
        <f t="shared" si="93"/>
        <v>4397.04</v>
      </c>
      <c r="BW89" s="233">
        <f t="shared" si="94"/>
        <v>4397.04</v>
      </c>
      <c r="BX89" s="88">
        <v>6.0479123887748116</v>
      </c>
      <c r="BY89" s="90">
        <v>0</v>
      </c>
      <c r="BZ89" s="88">
        <v>0</v>
      </c>
      <c r="CA89" s="88">
        <v>0</v>
      </c>
      <c r="CB89" s="88">
        <v>0</v>
      </c>
      <c r="CC89" s="88">
        <v>0</v>
      </c>
      <c r="CD89" s="88">
        <v>0</v>
      </c>
      <c r="CE89" s="100">
        <v>0</v>
      </c>
      <c r="CF89" s="88">
        <v>0</v>
      </c>
      <c r="CG89" s="88">
        <v>0</v>
      </c>
      <c r="CH89" s="88">
        <v>0</v>
      </c>
      <c r="CI89" s="88">
        <v>0</v>
      </c>
      <c r="CJ89" s="228">
        <v>0</v>
      </c>
      <c r="CK89" s="88">
        <v>0</v>
      </c>
      <c r="CL89" s="88">
        <v>0</v>
      </c>
      <c r="CM89" s="88">
        <v>0</v>
      </c>
      <c r="CN89" s="88">
        <v>0</v>
      </c>
      <c r="CO89" s="88">
        <v>0</v>
      </c>
      <c r="CP89" s="88">
        <v>0</v>
      </c>
      <c r="CQ89" s="229">
        <v>0</v>
      </c>
      <c r="CR89" s="91">
        <v>0</v>
      </c>
      <c r="CS89" s="91">
        <v>0</v>
      </c>
      <c r="CT89" s="91">
        <v>0</v>
      </c>
      <c r="CU89" s="91">
        <v>0</v>
      </c>
      <c r="CV89" s="91">
        <v>0</v>
      </c>
      <c r="CW89" s="91">
        <v>0</v>
      </c>
      <c r="CX89" s="225">
        <v>0</v>
      </c>
      <c r="CY89" s="1265">
        <v>7750.22</v>
      </c>
      <c r="CZ89" s="90">
        <v>0</v>
      </c>
      <c r="DA89" s="88">
        <v>0</v>
      </c>
      <c r="DB89" s="88">
        <v>0</v>
      </c>
      <c r="DC89" s="88">
        <v>0</v>
      </c>
      <c r="DD89" s="88">
        <v>0</v>
      </c>
      <c r="DE89" s="152">
        <v>0</v>
      </c>
      <c r="DF89" s="230">
        <v>0</v>
      </c>
      <c r="DG89" s="38">
        <v>0</v>
      </c>
      <c r="DH89" s="1237">
        <v>0</v>
      </c>
      <c r="DI89" s="956">
        <v>0</v>
      </c>
      <c r="DJ89" s="956">
        <v>0</v>
      </c>
      <c r="DK89" s="956">
        <v>0</v>
      </c>
      <c r="DL89" s="152">
        <v>0</v>
      </c>
      <c r="DM89" s="160">
        <v>0</v>
      </c>
      <c r="DN89" s="160">
        <v>0</v>
      </c>
      <c r="DO89" s="160">
        <v>0</v>
      </c>
      <c r="DP89" s="160">
        <v>0</v>
      </c>
      <c r="DQ89" s="160">
        <v>0</v>
      </c>
      <c r="DR89" s="230">
        <v>0</v>
      </c>
      <c r="DS89" s="88">
        <v>0</v>
      </c>
      <c r="DT89" s="88">
        <v>0</v>
      </c>
      <c r="DU89" s="88">
        <v>0</v>
      </c>
      <c r="DV89" s="88">
        <v>0</v>
      </c>
      <c r="DW89" s="88">
        <v>0</v>
      </c>
      <c r="DX89" s="88">
        <v>0</v>
      </c>
      <c r="DY89" s="88">
        <v>0</v>
      </c>
      <c r="DZ89" s="88">
        <v>0</v>
      </c>
      <c r="EA89" s="88">
        <v>0</v>
      </c>
      <c r="EB89" s="152">
        <v>0</v>
      </c>
      <c r="EC89" s="52">
        <f t="shared" si="95"/>
        <v>0</v>
      </c>
      <c r="ED89" s="52">
        <f t="shared" si="95"/>
        <v>0</v>
      </c>
      <c r="EE89" s="52">
        <f t="shared" si="95"/>
        <v>0</v>
      </c>
      <c r="EF89" s="52">
        <f t="shared" si="71"/>
        <v>0</v>
      </c>
      <c r="EG89" s="52">
        <f t="shared" si="96"/>
        <v>0</v>
      </c>
      <c r="EH89" s="238">
        <v>0</v>
      </c>
      <c r="EI89" s="211">
        <v>0</v>
      </c>
      <c r="EJ89" s="211">
        <v>0</v>
      </c>
      <c r="EK89" s="211">
        <v>0</v>
      </c>
      <c r="EL89" s="217">
        <f>IF(C89&gt;=Summary!$E$26,MAX(0,SUM(EH89:EK89)),0)</f>
        <v>0</v>
      </c>
      <c r="EM89" s="52">
        <f>IF(C89&gt;=Summary!$E$26,DX89*BL89,0)</f>
        <v>0</v>
      </c>
      <c r="EN89" s="52">
        <f>IF(C89&gt;=Summary!$E$26,DY89*BM89,0)</f>
        <v>0</v>
      </c>
      <c r="EO89" s="52">
        <f>IF(C89&gt;=Summary!$E$26,DZ89*BN89,0)</f>
        <v>0</v>
      </c>
      <c r="EP89" s="52">
        <f>IF(C89&gt;=Summary!$E$26,EA89*BO89,0)</f>
        <v>0</v>
      </c>
      <c r="EQ89" s="52">
        <f>IF(C89&gt;=Summary!$E$26,DX89*BL89+DY89*BM89+DZ89*BN89+EA89*BO89,0)</f>
        <v>0</v>
      </c>
      <c r="ER89" s="826">
        <v>0</v>
      </c>
      <c r="ES89" s="278">
        <v>0</v>
      </c>
      <c r="ET89" s="278">
        <v>0</v>
      </c>
      <c r="EU89" s="278">
        <v>0</v>
      </c>
      <c r="EV89" s="212">
        <f>IF(C89&gt;=Summary!$E$26,MAX(0,SUM(ER89:EU89)),0)</f>
        <v>0</v>
      </c>
      <c r="EW89" s="52"/>
      <c r="EX89" s="1049">
        <f t="shared" si="97"/>
        <v>0</v>
      </c>
      <c r="EY89" s="1045" t="str">
        <f t="shared" si="98"/>
        <v/>
      </c>
      <c r="EZ89" s="1684" t="s">
        <v>525</v>
      </c>
      <c r="FA89" s="1046">
        <f t="shared" si="111"/>
        <v>45</v>
      </c>
      <c r="FB89" s="256">
        <f t="shared" si="99"/>
        <v>9308.25</v>
      </c>
      <c r="FC89" s="194">
        <f t="shared" si="100"/>
        <v>2792.4749999999999</v>
      </c>
      <c r="FD89" s="194">
        <f t="shared" si="101"/>
        <v>1773</v>
      </c>
      <c r="FE89" s="194">
        <f t="shared" si="102"/>
        <v>531.9</v>
      </c>
      <c r="FF89" s="194">
        <f t="shared" si="103"/>
        <v>2659.5</v>
      </c>
      <c r="FG89" s="194">
        <f t="shared" si="104"/>
        <v>797.85</v>
      </c>
      <c r="FH89" s="257">
        <f>IF(EZ89="No",IF((OR(MONTH(C89)=5,MONTH(C89)=6,MONTH(C89)=7,MONTH(C89)=8,MONTH(C89)=9)),Summary!$O$15*12*(AX89+AY89+AZ89+BA89)*(1-$BC89),Summary!$O$15*13*(AX89+AY89+AZ89+BA89)*(1-$BC89)+IF(Summary!$O$16="Yes",(CALC!FA89+Summary!$O$15)*6*(AX89+AY89+AZ89+BA89)*(1-$BC89),0)),0)</f>
        <v>0</v>
      </c>
      <c r="FI89" s="1412">
        <f>IF(MONTH(C89)=5,FI88*(IF(Summary!$E$70="no",(1+(Summary!$E$71*0.8)),1+HLOOKUP(YEAR(C89)-1,CCFMODEL!$I$127:$AF$128,2)*0.8)),+FI88)</f>
        <v>30.670680453537404</v>
      </c>
      <c r="FJ89" s="1411">
        <f>IF(MONTH(C89)=5,FJ88*(IF(Summary!$E$70="no",(1+(Summary!$E$71*0.8)),1+HLOOKUP(YEAR(CALC!C89)-1,CCFMODEL!$I$127:$AF$128,2)*0.8)),FJ88)</f>
        <v>26.806657719233474</v>
      </c>
      <c r="FK89" s="832">
        <f t="shared" si="72"/>
        <v>547869.59817452729</v>
      </c>
      <c r="FL89" s="1412">
        <f>IF(MONTH(C89)=5,FL88*(IF(Summary!$E$70="no",(1+(Summary!$E$71*0.8)),1+HLOOKUP(YEAR(CALC!C89)-1,CCFMODEL!$I$127:$AF$128,2)*0.8)),+FL88)</f>
        <v>64.503879514019971</v>
      </c>
      <c r="FM89" s="1411">
        <f>IF(MONTH(C89)=5,FM88*(IF(Summary!$E$70="no",(1+(Summary!$E$71*0.8)),1+HLOOKUP(YEAR(CALC!C89)-1,CCFMODEL!$I$127:$AF$128,2)*0.8)),+FM88)</f>
        <v>30.785681130153588</v>
      </c>
      <c r="FN89" s="832">
        <f t="shared" si="73"/>
        <v>558298.32729533536</v>
      </c>
      <c r="FO89" s="194">
        <f t="shared" si="105"/>
        <v>1106167.9254698628</v>
      </c>
      <c r="FP89" s="263">
        <f t="shared" si="69"/>
        <v>9308.25</v>
      </c>
      <c r="FQ89" s="194">
        <f t="shared" si="69"/>
        <v>2792.4749999999999</v>
      </c>
      <c r="FR89" s="194">
        <f t="shared" si="69"/>
        <v>1773</v>
      </c>
      <c r="FS89" s="194">
        <f t="shared" si="68"/>
        <v>531.9</v>
      </c>
      <c r="FT89" s="194">
        <f t="shared" si="68"/>
        <v>2659.5</v>
      </c>
      <c r="FU89" s="194">
        <f t="shared" si="68"/>
        <v>797.85</v>
      </c>
      <c r="FV89" s="257">
        <f t="shared" si="68"/>
        <v>0</v>
      </c>
      <c r="FW89" s="189">
        <f t="shared" si="74"/>
        <v>0</v>
      </c>
      <c r="FX89" s="189">
        <f t="shared" si="75"/>
        <v>0</v>
      </c>
      <c r="FY89" s="189">
        <f t="shared" si="76"/>
        <v>0</v>
      </c>
      <c r="FZ89" s="258">
        <f t="shared" si="77"/>
        <v>0</v>
      </c>
      <c r="GA89" s="1293">
        <f>(SUM(FP89:FV89)+SUM(GU89:HB89)/(1-Summary!$O$25))*CY89/1000</f>
        <v>236416.31473229997</v>
      </c>
      <c r="GB89" s="1369">
        <f>IF($C89&lt;Summary!$M$81,+Summary!$O$81,VLOOKUP(C89,GasTable,19))</f>
        <v>2.4</v>
      </c>
      <c r="GC89" s="1370">
        <f>IF(H89&lt;=Summary!$N$84,MIN(GA89,Summary!$O$75*(H89-G89+1)),0)</f>
        <v>155000</v>
      </c>
      <c r="GD89" s="1371">
        <f>IF(Summary!$O$75*(H89-G89+1)*0.8&gt;GC89,1,0)</f>
        <v>0</v>
      </c>
      <c r="GE89" s="1372">
        <v>0</v>
      </c>
      <c r="GF89" s="1370">
        <f t="shared" si="106"/>
        <v>81416.314732299972</v>
      </c>
      <c r="GG89" s="1371">
        <f>GF89*(IF(Summary!$O$74=1,VLOOKUP($C89,GasTable,16)+Summary!$O$92+Summary!$O$93,VLOOKUP($C89,GasTable,19)+Summary!$O$92+Summary!$O$93))</f>
        <v>260519.91771934769</v>
      </c>
      <c r="GH89" s="1373">
        <v>20633.599999999999</v>
      </c>
      <c r="GI89" s="1466">
        <v>0</v>
      </c>
      <c r="GJ89" s="1374">
        <f t="shared" si="107"/>
        <v>653153.51771934761</v>
      </c>
      <c r="GK89" s="189">
        <f t="shared" si="78"/>
        <v>30062.012849999999</v>
      </c>
      <c r="GL89" s="266">
        <v>0.76107160400000007</v>
      </c>
      <c r="GM89" s="255">
        <f t="shared" si="79"/>
        <v>15221</v>
      </c>
      <c r="GN89" s="189">
        <f>IF(SUM(GU89:HB89)=0,0,IF(Summary!$O$16="Yes",SUM(GX89:HB89),IF(Summary!$O$17="Yes",SUM(GY89:HB89),SUM(GU89:HB89))))</f>
        <v>12199.037849999999</v>
      </c>
      <c r="GO89" s="203">
        <v>2.8412779445764338</v>
      </c>
      <c r="GP89" s="258">
        <f t="shared" si="108"/>
        <v>34660.857188258116</v>
      </c>
      <c r="GQ89" s="189"/>
      <c r="GR89" s="189"/>
      <c r="GS89" s="189"/>
      <c r="GT89" s="189"/>
      <c r="GU89" s="268">
        <v>5389.4767500000007</v>
      </c>
      <c r="GV89" s="189">
        <v>1026.5670000000002</v>
      </c>
      <c r="GW89" s="189">
        <v>1539.8504999999998</v>
      </c>
      <c r="GX89" s="189"/>
      <c r="GY89" s="254">
        <v>2874.3875999999996</v>
      </c>
      <c r="GZ89" s="189">
        <v>547.50239999999997</v>
      </c>
      <c r="HA89" s="189">
        <v>821.25359999999989</v>
      </c>
      <c r="HB89" s="255"/>
      <c r="HC89" s="189">
        <v>12199.037849999999</v>
      </c>
      <c r="HD89" s="189"/>
      <c r="HE89" s="189">
        <v>20950.521524999996</v>
      </c>
      <c r="HF89" s="189">
        <v>501770.94504352007</v>
      </c>
      <c r="HG89" s="189"/>
      <c r="HH89" s="203">
        <v>40.817036212077284</v>
      </c>
      <c r="HI89" s="189">
        <v>855138.19574782951</v>
      </c>
      <c r="HJ89" s="268">
        <f t="shared" si="80"/>
        <v>0</v>
      </c>
      <c r="HK89" s="189">
        <f t="shared" si="81"/>
        <v>0</v>
      </c>
      <c r="HL89" s="189">
        <f t="shared" si="82"/>
        <v>0</v>
      </c>
      <c r="HM89" s="255">
        <f t="shared" si="83"/>
        <v>0</v>
      </c>
      <c r="HN89" s="189">
        <f t="shared" si="84"/>
        <v>0</v>
      </c>
      <c r="HO89" s="203">
        <f t="shared" si="109"/>
        <v>0</v>
      </c>
      <c r="HP89" s="258">
        <f t="shared" si="85"/>
        <v>0</v>
      </c>
      <c r="HQ89" s="804"/>
      <c r="HR89" s="268"/>
      <c r="HS89" s="38"/>
      <c r="HT89" s="255"/>
      <c r="HU89" s="254"/>
      <c r="HV89" s="203"/>
      <c r="HW89" s="189"/>
      <c r="HX89" s="1020"/>
      <c r="HY89" s="258"/>
      <c r="HZ89" s="268"/>
      <c r="IA89" s="203"/>
      <c r="IB89" s="255"/>
      <c r="IC89" s="254"/>
      <c r="ID89" s="203"/>
      <c r="IE89" s="255"/>
      <c r="IF89" s="189"/>
      <c r="IG89" s="203"/>
      <c r="IH89" s="255"/>
      <c r="II89" s="189"/>
      <c r="IJ89" s="203"/>
      <c r="IK89" s="189"/>
      <c r="IL89" s="1182"/>
      <c r="IM89" s="1403"/>
      <c r="IN89" s="254"/>
      <c r="IO89" s="254"/>
      <c r="IP89" s="254"/>
      <c r="IQ89" s="254"/>
      <c r="IR89" s="223"/>
    </row>
    <row r="90" spans="1:252" ht="13.8" thickBot="1">
      <c r="A90" t="str">
        <f t="shared" si="86"/>
        <v>2006Q1</v>
      </c>
      <c r="B90">
        <f t="shared" si="87"/>
        <v>2006</v>
      </c>
      <c r="C90" s="49">
        <f t="shared" si="88"/>
        <v>38749</v>
      </c>
      <c r="D90" s="115">
        <f t="shared" si="89"/>
        <v>2006</v>
      </c>
      <c r="E90" s="10">
        <f t="shared" si="112"/>
        <v>2</v>
      </c>
      <c r="F90" s="248" t="str">
        <f t="shared" si="113"/>
        <v/>
      </c>
      <c r="G90" s="245">
        <v>38749</v>
      </c>
      <c r="H90" s="251">
        <v>38776</v>
      </c>
      <c r="I90" s="959">
        <f t="shared" si="110"/>
        <v>7.1499999999999994E-2</v>
      </c>
      <c r="J90" s="37">
        <f t="shared" si="90"/>
        <v>0.64411503581962271</v>
      </c>
      <c r="K90" s="1036"/>
      <c r="L90" s="37"/>
      <c r="M90" s="1004">
        <v>0</v>
      </c>
      <c r="N90" s="38">
        <f t="shared" si="115"/>
        <v>0</v>
      </c>
      <c r="O90" s="40">
        <f t="shared" si="115"/>
        <v>0</v>
      </c>
      <c r="P90" s="159">
        <f t="shared" si="60"/>
        <v>0</v>
      </c>
      <c r="Q90" s="38">
        <f t="shared" si="116"/>
        <v>0</v>
      </c>
      <c r="R90" s="40">
        <f t="shared" si="116"/>
        <v>0</v>
      </c>
      <c r="S90" s="38">
        <f t="shared" si="116"/>
        <v>0</v>
      </c>
      <c r="T90" s="38">
        <f t="shared" si="116"/>
        <v>0</v>
      </c>
      <c r="U90" s="38">
        <f t="shared" si="116"/>
        <v>0</v>
      </c>
      <c r="V90" s="159">
        <f t="shared" si="116"/>
        <v>0</v>
      </c>
      <c r="W90" s="38">
        <f t="shared" si="116"/>
        <v>0</v>
      </c>
      <c r="X90" s="39">
        <f t="shared" si="116"/>
        <v>0</v>
      </c>
      <c r="Y90" s="46">
        <v>0</v>
      </c>
      <c r="Z90" s="46">
        <v>0</v>
      </c>
      <c r="AA90" s="47">
        <v>0</v>
      </c>
      <c r="AB90" s="46">
        <v>0</v>
      </c>
      <c r="AC90" s="46">
        <v>0</v>
      </c>
      <c r="AD90" s="47">
        <v>0</v>
      </c>
      <c r="AE90" s="46">
        <v>0</v>
      </c>
      <c r="AF90" s="46">
        <v>0</v>
      </c>
      <c r="AG90" s="47">
        <v>0</v>
      </c>
      <c r="AH90" s="46">
        <v>0</v>
      </c>
      <c r="AI90" s="46">
        <v>0</v>
      </c>
      <c r="AJ90" s="47">
        <v>0</v>
      </c>
      <c r="AK90" s="46">
        <v>0</v>
      </c>
      <c r="AL90" s="46">
        <v>0</v>
      </c>
      <c r="AM90" s="47">
        <v>0</v>
      </c>
      <c r="AN90" s="46">
        <v>0</v>
      </c>
      <c r="AO90" s="46">
        <v>0</v>
      </c>
      <c r="AP90" s="47">
        <v>0</v>
      </c>
      <c r="AQ90" s="46">
        <v>0</v>
      </c>
      <c r="AR90" s="46">
        <v>0</v>
      </c>
      <c r="AS90" s="47">
        <v>0</v>
      </c>
      <c r="AT90" s="46">
        <v>0</v>
      </c>
      <c r="AU90" s="46">
        <v>0</v>
      </c>
      <c r="AV90" s="46">
        <v>0</v>
      </c>
      <c r="AW90" s="1545">
        <v>0</v>
      </c>
      <c r="AX90" s="10">
        <f t="shared" si="114"/>
        <v>20</v>
      </c>
      <c r="AY90" s="42">
        <f>IF(AND($E90=MONTH(Summary!$E$24),$D90=YEAR(Summary!$E$24)),Summary!$E$25,1)*IF(G90="",0,INT((H90-MOD(H90,7)-G90)/7)+1-IF(BA90,IF(WEEKDAY(F90)=7,1,0),0))</f>
        <v>4</v>
      </c>
      <c r="AZ90" s="42">
        <f>IF(AND($E90=MONTH(Summary!$E$24),$D90=YEAR(Summary!$E$24)),Summary!$E$25,1)*IF(G90="",0,INT((H90-MOD(H90-1,7)-G90)/7)+1-IF(BA90,IF(WEEKDAY(F90)=1,1,0),0))</f>
        <v>4</v>
      </c>
      <c r="BA90" s="42">
        <v>0</v>
      </c>
      <c r="BB90" s="10">
        <f>IF(AND($E90=MONTH(Summary!$E$24),$D90=YEAR(Summary!$E$24)),Summary!$E$25,1)*IF(G90="",0,H90-G90+1)</f>
        <v>28</v>
      </c>
      <c r="BC90" s="914">
        <f>Summary!$E$19</f>
        <v>1.4999999999999999E-2</v>
      </c>
      <c r="BD90" s="113">
        <v>14184</v>
      </c>
      <c r="BE90" s="171">
        <v>2836.8</v>
      </c>
      <c r="BF90" s="171">
        <v>2836.8</v>
      </c>
      <c r="BG90" s="174"/>
      <c r="BH90" s="1198">
        <v>1</v>
      </c>
      <c r="BI90" s="1198">
        <v>1</v>
      </c>
      <c r="BJ90" s="1198">
        <v>1</v>
      </c>
      <c r="BK90" s="1198">
        <v>1</v>
      </c>
      <c r="BL90" s="95">
        <v>2836.8</v>
      </c>
      <c r="BM90" s="171">
        <v>567.36</v>
      </c>
      <c r="BN90" s="171">
        <v>567.36</v>
      </c>
      <c r="BO90" s="174"/>
      <c r="BP90" s="1198">
        <v>1</v>
      </c>
      <c r="BQ90" s="1199">
        <v>1</v>
      </c>
      <c r="BR90" s="1199">
        <v>1</v>
      </c>
      <c r="BS90" s="1200">
        <v>1</v>
      </c>
      <c r="BT90" s="94">
        <f t="shared" si="91"/>
        <v>19857.599999999999</v>
      </c>
      <c r="BU90" s="233">
        <f t="shared" si="92"/>
        <v>19857.599999999999</v>
      </c>
      <c r="BV90" s="92">
        <f t="shared" si="93"/>
        <v>3971.5200000000004</v>
      </c>
      <c r="BW90" s="233">
        <f t="shared" si="94"/>
        <v>3971.5200000000004</v>
      </c>
      <c r="BX90" s="88">
        <v>6.1327857631759066</v>
      </c>
      <c r="BY90" s="90">
        <v>0</v>
      </c>
      <c r="BZ90" s="88">
        <v>0</v>
      </c>
      <c r="CA90" s="88">
        <v>0</v>
      </c>
      <c r="CB90" s="88">
        <v>0</v>
      </c>
      <c r="CC90" s="88">
        <v>0</v>
      </c>
      <c r="CD90" s="88">
        <v>0</v>
      </c>
      <c r="CE90" s="100">
        <v>0</v>
      </c>
      <c r="CF90" s="88">
        <v>0</v>
      </c>
      <c r="CG90" s="88">
        <v>0</v>
      </c>
      <c r="CH90" s="88">
        <v>0</v>
      </c>
      <c r="CI90" s="88">
        <v>0</v>
      </c>
      <c r="CJ90" s="228">
        <v>0</v>
      </c>
      <c r="CK90" s="88">
        <v>0</v>
      </c>
      <c r="CL90" s="88">
        <v>0</v>
      </c>
      <c r="CM90" s="88">
        <v>0</v>
      </c>
      <c r="CN90" s="88">
        <v>0</v>
      </c>
      <c r="CO90" s="88">
        <v>0</v>
      </c>
      <c r="CP90" s="88">
        <v>0</v>
      </c>
      <c r="CQ90" s="229">
        <v>0</v>
      </c>
      <c r="CR90" s="91">
        <v>0</v>
      </c>
      <c r="CS90" s="91">
        <v>0</v>
      </c>
      <c r="CT90" s="91">
        <v>0</v>
      </c>
      <c r="CU90" s="91">
        <v>0</v>
      </c>
      <c r="CV90" s="91">
        <v>0</v>
      </c>
      <c r="CW90" s="91">
        <v>0</v>
      </c>
      <c r="CX90" s="225">
        <v>0</v>
      </c>
      <c r="CY90" s="1265">
        <v>7751.5228799999995</v>
      </c>
      <c r="CZ90" s="90">
        <v>0</v>
      </c>
      <c r="DA90" s="88">
        <v>0</v>
      </c>
      <c r="DB90" s="88">
        <v>0</v>
      </c>
      <c r="DC90" s="88">
        <v>0</v>
      </c>
      <c r="DD90" s="88">
        <v>0</v>
      </c>
      <c r="DE90" s="152">
        <v>0</v>
      </c>
      <c r="DF90" s="230">
        <v>0</v>
      </c>
      <c r="DG90" s="38">
        <v>0</v>
      </c>
      <c r="DH90" s="1237">
        <v>0</v>
      </c>
      <c r="DI90" s="956">
        <v>0</v>
      </c>
      <c r="DJ90" s="956">
        <v>0</v>
      </c>
      <c r="DK90" s="956">
        <v>0</v>
      </c>
      <c r="DL90" s="152">
        <v>0</v>
      </c>
      <c r="DM90" s="160">
        <v>0</v>
      </c>
      <c r="DN90" s="160">
        <v>0</v>
      </c>
      <c r="DO90" s="160">
        <v>0</v>
      </c>
      <c r="DP90" s="160">
        <v>0</v>
      </c>
      <c r="DQ90" s="160">
        <v>0</v>
      </c>
      <c r="DR90" s="230">
        <v>0</v>
      </c>
      <c r="DS90" s="88">
        <v>0</v>
      </c>
      <c r="DT90" s="88">
        <v>0</v>
      </c>
      <c r="DU90" s="88">
        <v>0</v>
      </c>
      <c r="DV90" s="88">
        <v>0</v>
      </c>
      <c r="DW90" s="88">
        <v>0</v>
      </c>
      <c r="DX90" s="88">
        <v>0</v>
      </c>
      <c r="DY90" s="88">
        <v>0</v>
      </c>
      <c r="DZ90" s="88">
        <v>0</v>
      </c>
      <c r="EA90" s="88">
        <v>0</v>
      </c>
      <c r="EB90" s="152">
        <v>0</v>
      </c>
      <c r="EC90" s="52">
        <f t="shared" si="95"/>
        <v>0</v>
      </c>
      <c r="ED90" s="52">
        <f t="shared" si="95"/>
        <v>0</v>
      </c>
      <c r="EE90" s="52">
        <f t="shared" si="95"/>
        <v>0</v>
      </c>
      <c r="EF90" s="52">
        <f t="shared" si="71"/>
        <v>0</v>
      </c>
      <c r="EG90" s="52">
        <f t="shared" si="96"/>
        <v>0</v>
      </c>
      <c r="EH90" s="238">
        <v>0</v>
      </c>
      <c r="EI90" s="211">
        <v>0</v>
      </c>
      <c r="EJ90" s="211">
        <v>0</v>
      </c>
      <c r="EK90" s="211">
        <v>0</v>
      </c>
      <c r="EL90" s="217">
        <f>IF(C90&gt;=Summary!$E$26,MAX(0,SUM(EH90:EK90)),0)</f>
        <v>0</v>
      </c>
      <c r="EM90" s="52">
        <f>IF(C90&gt;=Summary!$E$26,DX90*BL90,0)</f>
        <v>0</v>
      </c>
      <c r="EN90" s="52">
        <f>IF(C90&gt;=Summary!$E$26,DY90*BM90,0)</f>
        <v>0</v>
      </c>
      <c r="EO90" s="52">
        <f>IF(C90&gt;=Summary!$E$26,DZ90*BN90,0)</f>
        <v>0</v>
      </c>
      <c r="EP90" s="52">
        <f>IF(C90&gt;=Summary!$E$26,EA90*BO90,0)</f>
        <v>0</v>
      </c>
      <c r="EQ90" s="52">
        <f>IF(C90&gt;=Summary!$E$26,DX90*BL90+DY90*BM90+DZ90*BN90+EA90*BO90,0)</f>
        <v>0</v>
      </c>
      <c r="ER90" s="826">
        <v>0</v>
      </c>
      <c r="ES90" s="278">
        <v>0</v>
      </c>
      <c r="ET90" s="278">
        <v>0</v>
      </c>
      <c r="EU90" s="278">
        <v>0</v>
      </c>
      <c r="EV90" s="212">
        <f>IF(C90&gt;=Summary!$E$26,MAX(0,SUM(ER90:EU90)),0)</f>
        <v>0</v>
      </c>
      <c r="EW90" s="52"/>
      <c r="EX90" s="1049">
        <f t="shared" si="97"/>
        <v>0</v>
      </c>
      <c r="EY90" s="1045" t="str">
        <f t="shared" si="98"/>
        <v/>
      </c>
      <c r="EZ90" s="1684" t="s">
        <v>525</v>
      </c>
      <c r="FA90" s="1046">
        <f t="shared" si="111"/>
        <v>45</v>
      </c>
      <c r="FB90" s="256">
        <f t="shared" si="99"/>
        <v>8865</v>
      </c>
      <c r="FC90" s="194">
        <f t="shared" si="100"/>
        <v>2659.5</v>
      </c>
      <c r="FD90" s="194">
        <f t="shared" si="101"/>
        <v>1773</v>
      </c>
      <c r="FE90" s="194">
        <f t="shared" si="102"/>
        <v>531.9</v>
      </c>
      <c r="FF90" s="194">
        <f t="shared" si="103"/>
        <v>1773</v>
      </c>
      <c r="FG90" s="194">
        <f t="shared" si="104"/>
        <v>531.9</v>
      </c>
      <c r="FH90" s="257">
        <f>IF(EZ90="No",IF((OR(MONTH(C90)=5,MONTH(C90)=6,MONTH(C90)=7,MONTH(C90)=8,MONTH(C90)=9)),Summary!$O$15*12*(AX90+AY90+AZ90+BA90)*(1-$BC90),Summary!$O$15*13*(AX90+AY90+AZ90+BA90)*(1-$BC90)+IF(Summary!$O$16="Yes",(CALC!FA90+Summary!$O$15)*6*(AX90+AY90+AZ90+BA90)*(1-$BC90),0)),0)</f>
        <v>0</v>
      </c>
      <c r="FI90" s="1412">
        <f>IF(MONTH(C90)=5,FI89*(IF(Summary!$E$70="no",(1+(Summary!$E$71*0.8)),1+HLOOKUP(YEAR(C90)-1,CCFMODEL!$I$127:$AF$128,2)*0.8)),+FI89)</f>
        <v>30.670680453537404</v>
      </c>
      <c r="FJ90" s="1411">
        <f>IF(MONTH(C90)=5,FJ89*(IF(Summary!$E$70="no",(1+(Summary!$E$71*0.8)),1+HLOOKUP(YEAR(CALC!C90)-1,CCFMODEL!$I$127:$AF$128,2)*0.8)),FJ89)</f>
        <v>26.806657719233474</v>
      </c>
      <c r="FK90" s="832">
        <f t="shared" si="72"/>
        <v>494849.95964150853</v>
      </c>
      <c r="FL90" s="1412">
        <f>IF(MONTH(C90)=5,FL89*(IF(Summary!$E$70="no",(1+(Summary!$E$71*0.8)),1+HLOOKUP(YEAR(CALC!C90)-1,CCFMODEL!$I$127:$AF$128,2)*0.8)),+FL89)</f>
        <v>64.503879514019971</v>
      </c>
      <c r="FM90" s="1411">
        <f>IF(MONTH(C90)=5,FM89*(IF(Summary!$E$70="no",(1+(Summary!$E$71*0.8)),1+HLOOKUP(YEAR(CALC!C90)-1,CCFMODEL!$I$127:$AF$128,2)*0.8)),+FM89)</f>
        <v>30.785681130153588</v>
      </c>
      <c r="FN90" s="832">
        <f t="shared" si="73"/>
        <v>504269.45691191574</v>
      </c>
      <c r="FO90" s="194">
        <f t="shared" si="105"/>
        <v>999119.41655342421</v>
      </c>
      <c r="FP90" s="263">
        <f t="shared" si="69"/>
        <v>8865</v>
      </c>
      <c r="FQ90" s="194">
        <f t="shared" si="69"/>
        <v>2659.5</v>
      </c>
      <c r="FR90" s="194">
        <f t="shared" si="69"/>
        <v>1773</v>
      </c>
      <c r="FS90" s="194">
        <f t="shared" si="68"/>
        <v>531.9</v>
      </c>
      <c r="FT90" s="194">
        <f t="shared" si="68"/>
        <v>1773</v>
      </c>
      <c r="FU90" s="194">
        <f t="shared" si="68"/>
        <v>531.9</v>
      </c>
      <c r="FV90" s="257">
        <f t="shared" si="68"/>
        <v>0</v>
      </c>
      <c r="FW90" s="189">
        <f t="shared" si="74"/>
        <v>0</v>
      </c>
      <c r="FX90" s="189">
        <f t="shared" si="75"/>
        <v>0</v>
      </c>
      <c r="FY90" s="189">
        <f t="shared" si="76"/>
        <v>0</v>
      </c>
      <c r="FZ90" s="258">
        <f t="shared" si="77"/>
        <v>0</v>
      </c>
      <c r="GA90" s="1293">
        <f>(SUM(FP90:FV90)+SUM(GU90:HB90)/(1-Summary!$O$25))*CY90/1000</f>
        <v>213573.21402936956</v>
      </c>
      <c r="GB90" s="1369">
        <f>IF($C90&lt;Summary!$M$81,+Summary!$O$81,VLOOKUP(C90,GasTable,19))</f>
        <v>2.4</v>
      </c>
      <c r="GC90" s="1370">
        <f>IF(H90&lt;=Summary!$N$84,MIN(GA90,Summary!$O$75*(H90-G90+1)),0)</f>
        <v>140000</v>
      </c>
      <c r="GD90" s="1371">
        <f>IF(Summary!$O$75*(H90-G90+1)*0.8&gt;GC90,1,0)</f>
        <v>0</v>
      </c>
      <c r="GE90" s="1372">
        <v>0</v>
      </c>
      <c r="GF90" s="1370">
        <f t="shared" si="106"/>
        <v>73573.214029369556</v>
      </c>
      <c r="GG90" s="1371">
        <f>GF90*(IF(Summary!$O$74=1,VLOOKUP($C90,GasTable,16)+Summary!$O$92+Summary!$O$93,VLOOKUP($C90,GasTable,19)+Summary!$O$92+Summary!$O$93))</f>
        <v>217733.6933132633</v>
      </c>
      <c r="GH90" s="1373">
        <v>17976</v>
      </c>
      <c r="GI90" s="1466">
        <v>0</v>
      </c>
      <c r="GJ90" s="1374">
        <f t="shared" si="107"/>
        <v>571709.69331326336</v>
      </c>
      <c r="GK90" s="189">
        <f t="shared" si="78"/>
        <v>27152.785799999998</v>
      </c>
      <c r="GL90" s="266">
        <v>0.76119954681599999</v>
      </c>
      <c r="GM90" s="255">
        <f t="shared" si="79"/>
        <v>13748</v>
      </c>
      <c r="GN90" s="189">
        <f>IF(SUM(GU90:HB90)=0,0,IF(Summary!$O$16="Yes",SUM(GX90:HB90),IF(Summary!$O$17="Yes",SUM(GY90:HB90),SUM(GU90:HB90))))</f>
        <v>11018.485799999999</v>
      </c>
      <c r="GO90" s="203">
        <v>2.8412779445764338</v>
      </c>
      <c r="GP90" s="258">
        <f t="shared" si="108"/>
        <v>31306.580686168618</v>
      </c>
      <c r="GQ90" s="189"/>
      <c r="GR90" s="189"/>
      <c r="GS90" s="189"/>
      <c r="GT90" s="189"/>
      <c r="GU90" s="268">
        <v>5132.835</v>
      </c>
      <c r="GV90" s="189">
        <v>1026.5670000000002</v>
      </c>
      <c r="GW90" s="189">
        <v>1026.5670000000002</v>
      </c>
      <c r="GX90" s="189"/>
      <c r="GY90" s="254">
        <v>2737.5120000000002</v>
      </c>
      <c r="GZ90" s="189">
        <v>547.50239999999997</v>
      </c>
      <c r="HA90" s="189">
        <v>547.50239999999997</v>
      </c>
      <c r="HB90" s="255"/>
      <c r="HC90" s="189">
        <v>11018.485799999999</v>
      </c>
      <c r="HD90" s="189"/>
      <c r="HE90" s="189">
        <v>18923.051699999996</v>
      </c>
      <c r="HF90" s="189">
        <v>350844.60397215071</v>
      </c>
      <c r="HG90" s="189"/>
      <c r="HH90" s="203">
        <v>31.60372815195085</v>
      </c>
      <c r="HI90" s="189">
        <v>598038.98173211131</v>
      </c>
      <c r="HJ90" s="268">
        <f t="shared" si="80"/>
        <v>0</v>
      </c>
      <c r="HK90" s="189">
        <f t="shared" si="81"/>
        <v>0</v>
      </c>
      <c r="HL90" s="189">
        <f t="shared" si="82"/>
        <v>0</v>
      </c>
      <c r="HM90" s="255">
        <f t="shared" si="83"/>
        <v>0</v>
      </c>
      <c r="HN90" s="189">
        <f t="shared" si="84"/>
        <v>0</v>
      </c>
      <c r="HO90" s="203">
        <f t="shared" si="109"/>
        <v>0</v>
      </c>
      <c r="HP90" s="258">
        <f t="shared" si="85"/>
        <v>0</v>
      </c>
      <c r="HQ90" s="804"/>
      <c r="HR90" s="268"/>
      <c r="HS90" s="38"/>
      <c r="HT90" s="255"/>
      <c r="HU90" s="254"/>
      <c r="HV90" s="203"/>
      <c r="HW90" s="189"/>
      <c r="HX90" s="1020"/>
      <c r="HY90" s="258"/>
      <c r="HZ90" s="268"/>
      <c r="IA90" s="203"/>
      <c r="IB90" s="255"/>
      <c r="IC90" s="254"/>
      <c r="ID90" s="203"/>
      <c r="IE90" s="255"/>
      <c r="IF90" s="189"/>
      <c r="IG90" s="203"/>
      <c r="IH90" s="255"/>
      <c r="II90" s="189"/>
      <c r="IJ90" s="203"/>
      <c r="IK90" s="189"/>
      <c r="IL90" s="1182"/>
      <c r="IM90" s="1403"/>
      <c r="IN90" s="254"/>
      <c r="IO90" s="254"/>
      <c r="IP90" s="254"/>
      <c r="IQ90" s="254"/>
      <c r="IR90" s="223"/>
    </row>
    <row r="91" spans="1:252" ht="13.8" thickBot="1">
      <c r="A91" t="str">
        <f t="shared" si="86"/>
        <v>2006Q1</v>
      </c>
      <c r="B91">
        <f t="shared" si="87"/>
        <v>2006</v>
      </c>
      <c r="C91" s="49">
        <f t="shared" si="88"/>
        <v>38777</v>
      </c>
      <c r="D91" s="115">
        <f t="shared" si="89"/>
        <v>2006</v>
      </c>
      <c r="E91" s="10">
        <f t="shared" si="112"/>
        <v>3</v>
      </c>
      <c r="F91" s="248" t="str">
        <f t="shared" si="113"/>
        <v/>
      </c>
      <c r="G91" s="245">
        <v>38777</v>
      </c>
      <c r="H91" s="251">
        <v>38807</v>
      </c>
      <c r="I91" s="959">
        <f t="shared" si="110"/>
        <v>7.1499999999999994E-2</v>
      </c>
      <c r="J91" s="37">
        <f t="shared" si="90"/>
        <v>0.64028593275866263</v>
      </c>
      <c r="K91" s="1036"/>
      <c r="L91" s="37"/>
      <c r="M91" s="1004">
        <v>0</v>
      </c>
      <c r="N91" s="38">
        <f t="shared" si="115"/>
        <v>0</v>
      </c>
      <c r="O91" s="40">
        <f t="shared" si="115"/>
        <v>0</v>
      </c>
      <c r="P91" s="159">
        <f t="shared" si="60"/>
        <v>0</v>
      </c>
      <c r="Q91" s="38">
        <f t="shared" si="116"/>
        <v>0</v>
      </c>
      <c r="R91" s="40">
        <f t="shared" si="116"/>
        <v>0</v>
      </c>
      <c r="S91" s="38">
        <f t="shared" si="116"/>
        <v>0</v>
      </c>
      <c r="T91" s="38">
        <f t="shared" si="116"/>
        <v>0</v>
      </c>
      <c r="U91" s="38">
        <f t="shared" si="116"/>
        <v>0</v>
      </c>
      <c r="V91" s="159">
        <f t="shared" si="116"/>
        <v>0</v>
      </c>
      <c r="W91" s="38">
        <f t="shared" si="116"/>
        <v>0</v>
      </c>
      <c r="X91" s="39">
        <f t="shared" si="116"/>
        <v>0</v>
      </c>
      <c r="Y91" s="46">
        <v>0</v>
      </c>
      <c r="Z91" s="46">
        <v>0</v>
      </c>
      <c r="AA91" s="47">
        <v>0</v>
      </c>
      <c r="AB91" s="46">
        <v>0</v>
      </c>
      <c r="AC91" s="46">
        <v>0</v>
      </c>
      <c r="AD91" s="47">
        <v>0</v>
      </c>
      <c r="AE91" s="46">
        <v>0</v>
      </c>
      <c r="AF91" s="46">
        <v>0</v>
      </c>
      <c r="AG91" s="47">
        <v>0</v>
      </c>
      <c r="AH91" s="46">
        <v>0</v>
      </c>
      <c r="AI91" s="46">
        <v>0</v>
      </c>
      <c r="AJ91" s="47">
        <v>0</v>
      </c>
      <c r="AK91" s="46">
        <v>0</v>
      </c>
      <c r="AL91" s="46">
        <v>0</v>
      </c>
      <c r="AM91" s="47">
        <v>0</v>
      </c>
      <c r="AN91" s="46">
        <v>0</v>
      </c>
      <c r="AO91" s="46">
        <v>0</v>
      </c>
      <c r="AP91" s="47">
        <v>0</v>
      </c>
      <c r="AQ91" s="46">
        <v>0</v>
      </c>
      <c r="AR91" s="46">
        <v>0</v>
      </c>
      <c r="AS91" s="47">
        <v>0</v>
      </c>
      <c r="AT91" s="46">
        <v>0</v>
      </c>
      <c r="AU91" s="46">
        <v>0</v>
      </c>
      <c r="AV91" s="46">
        <v>0</v>
      </c>
      <c r="AW91" s="1545">
        <v>0</v>
      </c>
      <c r="AX91" s="10">
        <f t="shared" si="114"/>
        <v>23</v>
      </c>
      <c r="AY91" s="42">
        <f>IF(AND($E91=MONTH(Summary!$E$24),$D91=YEAR(Summary!$E$24)),Summary!$E$25,1)*IF(G91="",0,INT((H91-MOD(H91,7)-G91)/7)+1-IF(BA91,IF(WEEKDAY(F91)=7,1,0),0))</f>
        <v>4</v>
      </c>
      <c r="AZ91" s="42">
        <f>IF(AND($E91=MONTH(Summary!$E$24),$D91=YEAR(Summary!$E$24)),Summary!$E$25,1)*IF(G91="",0,INT((H91-MOD(H91-1,7)-G91)/7)+1-IF(BA91,IF(WEEKDAY(F91)=1,1,0),0))</f>
        <v>4</v>
      </c>
      <c r="BA91" s="42">
        <v>0</v>
      </c>
      <c r="BB91" s="10">
        <f>IF(AND($E91=MONTH(Summary!$E$24),$D91=YEAR(Summary!$E$24)),Summary!$E$25,1)*IF(G91="",0,H91-G91+1)</f>
        <v>31</v>
      </c>
      <c r="BC91" s="914">
        <f>Summary!$E$19</f>
        <v>1.4999999999999999E-2</v>
      </c>
      <c r="BD91" s="113">
        <v>16311.6</v>
      </c>
      <c r="BE91" s="171">
        <v>2836.8</v>
      </c>
      <c r="BF91" s="171">
        <v>2836.8</v>
      </c>
      <c r="BG91" s="174"/>
      <c r="BH91" s="1198">
        <v>1</v>
      </c>
      <c r="BI91" s="1198">
        <v>1</v>
      </c>
      <c r="BJ91" s="1198">
        <v>1</v>
      </c>
      <c r="BK91" s="1198">
        <v>1</v>
      </c>
      <c r="BL91" s="95">
        <v>3262.32</v>
      </c>
      <c r="BM91" s="171">
        <v>567.36</v>
      </c>
      <c r="BN91" s="171">
        <v>567.36</v>
      </c>
      <c r="BO91" s="174"/>
      <c r="BP91" s="1198">
        <v>1</v>
      </c>
      <c r="BQ91" s="1199">
        <v>1</v>
      </c>
      <c r="BR91" s="1199">
        <v>1</v>
      </c>
      <c r="BS91" s="1200">
        <v>1</v>
      </c>
      <c r="BT91" s="94">
        <f t="shared" si="91"/>
        <v>21985.200000000001</v>
      </c>
      <c r="BU91" s="233">
        <f t="shared" si="92"/>
        <v>21985.200000000001</v>
      </c>
      <c r="BV91" s="92">
        <f t="shared" si="93"/>
        <v>4397.04</v>
      </c>
      <c r="BW91" s="233">
        <f t="shared" si="94"/>
        <v>4397.04</v>
      </c>
      <c r="BX91" s="88">
        <v>6.2094455852156054</v>
      </c>
      <c r="BY91" s="90">
        <v>0</v>
      </c>
      <c r="BZ91" s="88">
        <v>0</v>
      </c>
      <c r="CA91" s="88">
        <v>0</v>
      </c>
      <c r="CB91" s="88">
        <v>0</v>
      </c>
      <c r="CC91" s="88">
        <v>0</v>
      </c>
      <c r="CD91" s="88">
        <v>0</v>
      </c>
      <c r="CE91" s="100">
        <v>0</v>
      </c>
      <c r="CF91" s="88">
        <v>0</v>
      </c>
      <c r="CG91" s="88">
        <v>0</v>
      </c>
      <c r="CH91" s="88">
        <v>0</v>
      </c>
      <c r="CI91" s="88">
        <v>0</v>
      </c>
      <c r="CJ91" s="228">
        <v>0</v>
      </c>
      <c r="CK91" s="88">
        <v>0</v>
      </c>
      <c r="CL91" s="88">
        <v>0</v>
      </c>
      <c r="CM91" s="88">
        <v>0</v>
      </c>
      <c r="CN91" s="88">
        <v>0</v>
      </c>
      <c r="CO91" s="88">
        <v>0</v>
      </c>
      <c r="CP91" s="88">
        <v>0</v>
      </c>
      <c r="CQ91" s="229">
        <v>0</v>
      </c>
      <c r="CR91" s="91">
        <v>0</v>
      </c>
      <c r="CS91" s="91">
        <v>0</v>
      </c>
      <c r="CT91" s="91">
        <v>0</v>
      </c>
      <c r="CU91" s="91">
        <v>0</v>
      </c>
      <c r="CV91" s="91">
        <v>0</v>
      </c>
      <c r="CW91" s="91">
        <v>0</v>
      </c>
      <c r="CX91" s="225">
        <v>0</v>
      </c>
      <c r="CY91" s="1265">
        <v>7752.8257599999997</v>
      </c>
      <c r="CZ91" s="90">
        <v>0</v>
      </c>
      <c r="DA91" s="88">
        <v>0</v>
      </c>
      <c r="DB91" s="88">
        <v>0</v>
      </c>
      <c r="DC91" s="88">
        <v>0</v>
      </c>
      <c r="DD91" s="88">
        <v>0</v>
      </c>
      <c r="DE91" s="152">
        <v>0</v>
      </c>
      <c r="DF91" s="230">
        <v>0</v>
      </c>
      <c r="DG91" s="38">
        <v>0</v>
      </c>
      <c r="DH91" s="1237">
        <v>0</v>
      </c>
      <c r="DI91" s="956">
        <v>0</v>
      </c>
      <c r="DJ91" s="956">
        <v>0</v>
      </c>
      <c r="DK91" s="956">
        <v>0</v>
      </c>
      <c r="DL91" s="152">
        <v>0</v>
      </c>
      <c r="DM91" s="160">
        <v>0</v>
      </c>
      <c r="DN91" s="160">
        <v>0</v>
      </c>
      <c r="DO91" s="160">
        <v>0</v>
      </c>
      <c r="DP91" s="160">
        <v>0</v>
      </c>
      <c r="DQ91" s="160">
        <v>0</v>
      </c>
      <c r="DR91" s="230">
        <v>0</v>
      </c>
      <c r="DS91" s="88">
        <v>0</v>
      </c>
      <c r="DT91" s="88">
        <v>0</v>
      </c>
      <c r="DU91" s="88">
        <v>0</v>
      </c>
      <c r="DV91" s="88">
        <v>0</v>
      </c>
      <c r="DW91" s="88">
        <v>0</v>
      </c>
      <c r="DX91" s="88">
        <v>0</v>
      </c>
      <c r="DY91" s="88">
        <v>0</v>
      </c>
      <c r="DZ91" s="88">
        <v>0</v>
      </c>
      <c r="EA91" s="88">
        <v>0</v>
      </c>
      <c r="EB91" s="152">
        <v>0</v>
      </c>
      <c r="EC91" s="52">
        <f t="shared" si="95"/>
        <v>0</v>
      </c>
      <c r="ED91" s="52">
        <f t="shared" si="95"/>
        <v>0</v>
      </c>
      <c r="EE91" s="52">
        <f t="shared" si="95"/>
        <v>0</v>
      </c>
      <c r="EF91" s="52">
        <f t="shared" si="71"/>
        <v>0</v>
      </c>
      <c r="EG91" s="52">
        <f t="shared" si="96"/>
        <v>0</v>
      </c>
      <c r="EH91" s="238">
        <v>0</v>
      </c>
      <c r="EI91" s="211">
        <v>0</v>
      </c>
      <c r="EJ91" s="211">
        <v>0</v>
      </c>
      <c r="EK91" s="211">
        <v>0</v>
      </c>
      <c r="EL91" s="217">
        <f>IF(C91&gt;=Summary!$E$26,MAX(0,SUM(EH91:EK91)),0)</f>
        <v>0</v>
      </c>
      <c r="EM91" s="52">
        <f>IF(C91&gt;=Summary!$E$26,DX91*BL91,0)</f>
        <v>0</v>
      </c>
      <c r="EN91" s="52">
        <f>IF(C91&gt;=Summary!$E$26,DY91*BM91,0)</f>
        <v>0</v>
      </c>
      <c r="EO91" s="52">
        <f>IF(C91&gt;=Summary!$E$26,DZ91*BN91,0)</f>
        <v>0</v>
      </c>
      <c r="EP91" s="52">
        <f>IF(C91&gt;=Summary!$E$26,EA91*BO91,0)</f>
        <v>0</v>
      </c>
      <c r="EQ91" s="52">
        <f>IF(C91&gt;=Summary!$E$26,DX91*BL91+DY91*BM91+DZ91*BN91+EA91*BO91,0)</f>
        <v>0</v>
      </c>
      <c r="ER91" s="826">
        <v>0</v>
      </c>
      <c r="ES91" s="278">
        <v>0</v>
      </c>
      <c r="ET91" s="278">
        <v>0</v>
      </c>
      <c r="EU91" s="278">
        <v>0</v>
      </c>
      <c r="EV91" s="212">
        <f>IF(C91&gt;=Summary!$E$26,MAX(0,SUM(ER91:EU91)),0)</f>
        <v>0</v>
      </c>
      <c r="EW91" s="52"/>
      <c r="EX91" s="1049">
        <f t="shared" si="97"/>
        <v>0</v>
      </c>
      <c r="EY91" s="1045" t="str">
        <f t="shared" si="98"/>
        <v/>
      </c>
      <c r="EZ91" s="1684" t="s">
        <v>525</v>
      </c>
      <c r="FA91" s="1046">
        <f t="shared" si="111"/>
        <v>45</v>
      </c>
      <c r="FB91" s="256">
        <f t="shared" si="99"/>
        <v>10194.75</v>
      </c>
      <c r="FC91" s="194">
        <f t="shared" si="100"/>
        <v>3058.4250000000002</v>
      </c>
      <c r="FD91" s="194">
        <f t="shared" si="101"/>
        <v>1773</v>
      </c>
      <c r="FE91" s="194">
        <f t="shared" si="102"/>
        <v>531.9</v>
      </c>
      <c r="FF91" s="194">
        <f t="shared" si="103"/>
        <v>1773</v>
      </c>
      <c r="FG91" s="194">
        <f t="shared" si="104"/>
        <v>531.9</v>
      </c>
      <c r="FH91" s="257">
        <f>IF(EZ91="No",IF((OR(MONTH(C91)=5,MONTH(C91)=6,MONTH(C91)=7,MONTH(C91)=8,MONTH(C91)=9)),Summary!$O$15*12*(AX91+AY91+AZ91+BA91)*(1-$BC91),Summary!$O$15*13*(AX91+AY91+AZ91+BA91)*(1-$BC91)+IF(Summary!$O$16="Yes",(CALC!FA91+Summary!$O$15)*6*(AX91+AY91+AZ91+BA91)*(1-$BC91),0)),0)</f>
        <v>0</v>
      </c>
      <c r="FI91" s="1412">
        <f>IF(MONTH(C91)=5,FI90*(IF(Summary!$E$70="no",(1+(Summary!$E$71*0.8)),1+HLOOKUP(YEAR(C91)-1,CCFMODEL!$I$127:$AF$128,2)*0.8)),+FI90)</f>
        <v>30.670680453537404</v>
      </c>
      <c r="FJ91" s="1411">
        <f>IF(MONTH(C91)=5,FJ90*(IF(Summary!$E$70="no",(1+(Summary!$E$71*0.8)),1+HLOOKUP(YEAR(CALC!C91)-1,CCFMODEL!$I$127:$AF$128,2)*0.8)),FJ90)</f>
        <v>26.806657719233474</v>
      </c>
      <c r="FK91" s="832">
        <f t="shared" si="72"/>
        <v>547869.59817452729</v>
      </c>
      <c r="FL91" s="1412">
        <f>IF(MONTH(C91)=5,FL90*(IF(Summary!$E$70="no",(1+(Summary!$E$71*0.8)),1+HLOOKUP(YEAR(CALC!C91)-1,CCFMODEL!$I$127:$AF$128,2)*0.8)),+FL90)</f>
        <v>64.503879514019971</v>
      </c>
      <c r="FM91" s="1411">
        <f>IF(MONTH(C91)=5,FM90*(IF(Summary!$E$70="no",(1+(Summary!$E$71*0.8)),1+HLOOKUP(YEAR(CALC!C91)-1,CCFMODEL!$I$127:$AF$128,2)*0.8)),+FM90)</f>
        <v>30.785681130153588</v>
      </c>
      <c r="FN91" s="832">
        <f t="shared" si="73"/>
        <v>558298.32729533536</v>
      </c>
      <c r="FO91" s="194">
        <f t="shared" si="105"/>
        <v>1106167.9254698628</v>
      </c>
      <c r="FP91" s="263">
        <f t="shared" si="69"/>
        <v>10194.75</v>
      </c>
      <c r="FQ91" s="194">
        <f t="shared" si="69"/>
        <v>3058.4250000000002</v>
      </c>
      <c r="FR91" s="194">
        <f t="shared" si="69"/>
        <v>1773</v>
      </c>
      <c r="FS91" s="194">
        <f t="shared" si="68"/>
        <v>531.9</v>
      </c>
      <c r="FT91" s="194">
        <f t="shared" si="68"/>
        <v>1773</v>
      </c>
      <c r="FU91" s="194">
        <f t="shared" si="68"/>
        <v>531.9</v>
      </c>
      <c r="FV91" s="257">
        <f t="shared" si="68"/>
        <v>0</v>
      </c>
      <c r="FW91" s="189">
        <f t="shared" si="74"/>
        <v>0</v>
      </c>
      <c r="FX91" s="189">
        <f t="shared" si="75"/>
        <v>0</v>
      </c>
      <c r="FY91" s="189">
        <f t="shared" si="76"/>
        <v>0</v>
      </c>
      <c r="FZ91" s="258">
        <f t="shared" si="77"/>
        <v>0</v>
      </c>
      <c r="GA91" s="1293">
        <f>(SUM(FP91:FV91)+SUM(GU91:HB91)/(1-Summary!$O$25))*CY91/1000</f>
        <v>236495.80204701837</v>
      </c>
      <c r="GB91" s="1369">
        <f>IF($C91&lt;Summary!$M$81,+Summary!$O$81,VLOOKUP(C91,GasTable,19))</f>
        <v>2.4</v>
      </c>
      <c r="GC91" s="1370">
        <f>IF(H91&lt;=Summary!$N$84,MIN(GA91,Summary!$O$75*(H91-G91+1)),0)</f>
        <v>155000</v>
      </c>
      <c r="GD91" s="1371">
        <f>IF(Summary!$O$75*(H91-G91+1)*0.8&gt;GC91,1,0)</f>
        <v>0</v>
      </c>
      <c r="GE91" s="1372">
        <v>0</v>
      </c>
      <c r="GF91" s="1370">
        <f t="shared" si="106"/>
        <v>81495.802047018369</v>
      </c>
      <c r="GG91" s="1371">
        <f>GF91*(IF(Summary!$O$74=1,VLOOKUP($C91,GasTable,16)+Summary!$O$92+Summary!$O$93,VLOOKUP($C91,GasTable,19)+Summary!$O$92+Summary!$O$93))</f>
        <v>228460.48883611345</v>
      </c>
      <c r="GH91" s="1373">
        <v>19089.8</v>
      </c>
      <c r="GI91" s="1466">
        <v>0</v>
      </c>
      <c r="GJ91" s="1374">
        <f t="shared" si="107"/>
        <v>619550.28883611353</v>
      </c>
      <c r="GK91" s="189">
        <f t="shared" si="78"/>
        <v>30062.012849999999</v>
      </c>
      <c r="GL91" s="266">
        <v>0.76132748963199992</v>
      </c>
      <c r="GM91" s="255">
        <f t="shared" si="79"/>
        <v>15221</v>
      </c>
      <c r="GN91" s="189">
        <f>IF(SUM(GU91:HB91)=0,0,IF(Summary!$O$16="Yes",SUM(GX91:HB91),IF(Summary!$O$17="Yes",SUM(GY91:HB91),SUM(GU91:HB91))))</f>
        <v>12199.037849999999</v>
      </c>
      <c r="GO91" s="203">
        <v>2.8412779445764338</v>
      </c>
      <c r="GP91" s="258">
        <f t="shared" si="108"/>
        <v>34660.857188258116</v>
      </c>
      <c r="GQ91" s="189"/>
      <c r="GR91" s="189"/>
      <c r="GS91" s="189"/>
      <c r="GT91" s="189"/>
      <c r="GU91" s="268">
        <v>5902.7602500000003</v>
      </c>
      <c r="GV91" s="189">
        <v>1026.5670000000002</v>
      </c>
      <c r="GW91" s="189">
        <v>1026.5670000000002</v>
      </c>
      <c r="GX91" s="189"/>
      <c r="GY91" s="254">
        <v>3148.1388000000002</v>
      </c>
      <c r="GZ91" s="189">
        <v>547.50239999999997</v>
      </c>
      <c r="HA91" s="189">
        <v>547.50239999999997</v>
      </c>
      <c r="HB91" s="255"/>
      <c r="HC91" s="189">
        <v>12199.037849999999</v>
      </c>
      <c r="HD91" s="189"/>
      <c r="HE91" s="189">
        <v>14320.609649999999</v>
      </c>
      <c r="HF91" s="189">
        <v>374798.24296887394</v>
      </c>
      <c r="HG91" s="189"/>
      <c r="HH91" s="203">
        <v>30.740823071901296</v>
      </c>
      <c r="HI91" s="189">
        <v>440227.32753241231</v>
      </c>
      <c r="HJ91" s="268">
        <f t="shared" si="80"/>
        <v>0</v>
      </c>
      <c r="HK91" s="189">
        <f t="shared" si="81"/>
        <v>0</v>
      </c>
      <c r="HL91" s="189">
        <f t="shared" si="82"/>
        <v>0</v>
      </c>
      <c r="HM91" s="255">
        <f t="shared" si="83"/>
        <v>0</v>
      </c>
      <c r="HN91" s="189">
        <f t="shared" si="84"/>
        <v>0</v>
      </c>
      <c r="HO91" s="203">
        <f t="shared" si="109"/>
        <v>0</v>
      </c>
      <c r="HP91" s="258">
        <f t="shared" si="85"/>
        <v>0</v>
      </c>
      <c r="HQ91" s="804"/>
      <c r="HR91" s="268"/>
      <c r="HS91" s="38"/>
      <c r="HT91" s="255"/>
      <c r="HU91" s="254"/>
      <c r="HV91" s="203"/>
      <c r="HW91" s="189"/>
      <c r="HX91" s="1020"/>
      <c r="HY91" s="258"/>
      <c r="HZ91" s="268"/>
      <c r="IA91" s="203"/>
      <c r="IB91" s="255"/>
      <c r="IC91" s="254"/>
      <c r="ID91" s="203"/>
      <c r="IE91" s="255"/>
      <c r="IF91" s="189"/>
      <c r="IG91" s="203"/>
      <c r="IH91" s="255"/>
      <c r="II91" s="189"/>
      <c r="IJ91" s="203"/>
      <c r="IK91" s="189"/>
      <c r="IL91" s="1182"/>
      <c r="IM91" s="1403"/>
      <c r="IN91" s="254"/>
      <c r="IO91" s="254"/>
      <c r="IP91" s="254"/>
      <c r="IQ91" s="254"/>
      <c r="IR91" s="223"/>
    </row>
    <row r="92" spans="1:252" ht="13.8" thickBot="1">
      <c r="A92" t="str">
        <f t="shared" si="86"/>
        <v>2006Q2</v>
      </c>
      <c r="B92">
        <f t="shared" si="87"/>
        <v>2006</v>
      </c>
      <c r="C92" s="49">
        <f t="shared" si="88"/>
        <v>38808</v>
      </c>
      <c r="D92" s="115">
        <f t="shared" si="89"/>
        <v>2006</v>
      </c>
      <c r="E92" s="10">
        <f t="shared" si="112"/>
        <v>4</v>
      </c>
      <c r="F92" s="248" t="str">
        <f t="shared" si="113"/>
        <v/>
      </c>
      <c r="G92" s="245">
        <v>38808</v>
      </c>
      <c r="H92" s="251">
        <v>38837</v>
      </c>
      <c r="I92" s="959">
        <f t="shared" si="110"/>
        <v>7.1499999999999994E-2</v>
      </c>
      <c r="J92" s="37">
        <f t="shared" si="90"/>
        <v>0.636602024005405</v>
      </c>
      <c r="K92" s="1036"/>
      <c r="L92" s="37"/>
      <c r="M92" s="1004">
        <v>0</v>
      </c>
      <c r="N92" s="38">
        <f t="shared" si="115"/>
        <v>0</v>
      </c>
      <c r="O92" s="40">
        <f t="shared" si="115"/>
        <v>0</v>
      </c>
      <c r="P92" s="159">
        <f t="shared" si="60"/>
        <v>0</v>
      </c>
      <c r="Q92" s="38">
        <f t="shared" si="116"/>
        <v>0</v>
      </c>
      <c r="R92" s="40">
        <f t="shared" si="116"/>
        <v>0</v>
      </c>
      <c r="S92" s="38">
        <f t="shared" si="116"/>
        <v>0</v>
      </c>
      <c r="T92" s="38">
        <f t="shared" si="116"/>
        <v>0</v>
      </c>
      <c r="U92" s="38">
        <f t="shared" si="116"/>
        <v>0</v>
      </c>
      <c r="V92" s="159">
        <f t="shared" si="116"/>
        <v>0</v>
      </c>
      <c r="W92" s="38">
        <f t="shared" si="116"/>
        <v>0</v>
      </c>
      <c r="X92" s="39">
        <f t="shared" si="116"/>
        <v>0</v>
      </c>
      <c r="Y92" s="46">
        <v>0</v>
      </c>
      <c r="Z92" s="46">
        <v>0</v>
      </c>
      <c r="AA92" s="47">
        <v>0</v>
      </c>
      <c r="AB92" s="46">
        <v>0</v>
      </c>
      <c r="AC92" s="46">
        <v>0</v>
      </c>
      <c r="AD92" s="47">
        <v>0</v>
      </c>
      <c r="AE92" s="46">
        <v>0</v>
      </c>
      <c r="AF92" s="46">
        <v>0</v>
      </c>
      <c r="AG92" s="47">
        <v>0</v>
      </c>
      <c r="AH92" s="46">
        <v>0</v>
      </c>
      <c r="AI92" s="46">
        <v>0</v>
      </c>
      <c r="AJ92" s="47">
        <v>0</v>
      </c>
      <c r="AK92" s="46">
        <v>0</v>
      </c>
      <c r="AL92" s="46">
        <v>0</v>
      </c>
      <c r="AM92" s="47">
        <v>0</v>
      </c>
      <c r="AN92" s="46">
        <v>0</v>
      </c>
      <c r="AO92" s="46">
        <v>0</v>
      </c>
      <c r="AP92" s="47">
        <v>0</v>
      </c>
      <c r="AQ92" s="46">
        <v>0</v>
      </c>
      <c r="AR92" s="46">
        <v>0</v>
      </c>
      <c r="AS92" s="47">
        <v>0</v>
      </c>
      <c r="AT92" s="46">
        <v>0</v>
      </c>
      <c r="AU92" s="46">
        <v>0</v>
      </c>
      <c r="AV92" s="46">
        <v>0</v>
      </c>
      <c r="AW92" s="1545">
        <v>0</v>
      </c>
      <c r="AX92" s="10">
        <f t="shared" si="114"/>
        <v>20</v>
      </c>
      <c r="AY92" s="42">
        <f>IF(AND($E92=MONTH(Summary!$E$24),$D92=YEAR(Summary!$E$24)),Summary!$E$25,1)*IF(G92="",0,INT((H92-MOD(H92,7)-G92)/7)+1-IF(BA92,IF(WEEKDAY(F92)=7,1,0),0))</f>
        <v>5</v>
      </c>
      <c r="AZ92" s="42">
        <f>IF(AND($E92=MONTH(Summary!$E$24),$D92=YEAR(Summary!$E$24)),Summary!$E$25,1)*IF(G92="",0,INT((H92-MOD(H92-1,7)-G92)/7)+1-IF(BA92,IF(WEEKDAY(F92)=1,1,0),0))</f>
        <v>5</v>
      </c>
      <c r="BA92" s="42">
        <v>0</v>
      </c>
      <c r="BB92" s="10">
        <f>IF(AND($E92=MONTH(Summary!$E$24),$D92=YEAR(Summary!$E$24)),Summary!$E$25,1)*IF(G92="",0,H92-G92+1)</f>
        <v>30</v>
      </c>
      <c r="BC92" s="914">
        <f>Summary!$E$19</f>
        <v>1.4999999999999999E-2</v>
      </c>
      <c r="BD92" s="113">
        <v>14184</v>
      </c>
      <c r="BE92" s="171">
        <v>3546</v>
      </c>
      <c r="BF92" s="171">
        <v>3546</v>
      </c>
      <c r="BG92" s="174"/>
      <c r="BH92" s="1198">
        <v>1</v>
      </c>
      <c r="BI92" s="1198">
        <v>1</v>
      </c>
      <c r="BJ92" s="1198">
        <v>1</v>
      </c>
      <c r="BK92" s="1198">
        <v>1</v>
      </c>
      <c r="BL92" s="95">
        <v>2836.8</v>
      </c>
      <c r="BM92" s="171">
        <v>709.2</v>
      </c>
      <c r="BN92" s="171">
        <v>709.2</v>
      </c>
      <c r="BO92" s="174"/>
      <c r="BP92" s="1198">
        <v>1</v>
      </c>
      <c r="BQ92" s="1199">
        <v>1</v>
      </c>
      <c r="BR92" s="1199">
        <v>1</v>
      </c>
      <c r="BS92" s="1200">
        <v>1</v>
      </c>
      <c r="BT92" s="94">
        <f t="shared" si="91"/>
        <v>21276</v>
      </c>
      <c r="BU92" s="233">
        <f t="shared" si="92"/>
        <v>21276</v>
      </c>
      <c r="BV92" s="92">
        <f t="shared" si="93"/>
        <v>4255.2</v>
      </c>
      <c r="BW92" s="233">
        <f t="shared" si="94"/>
        <v>4255.2</v>
      </c>
      <c r="BX92" s="88">
        <v>6.2943189596167013</v>
      </c>
      <c r="BY92" s="90">
        <v>0</v>
      </c>
      <c r="BZ92" s="88">
        <v>0</v>
      </c>
      <c r="CA92" s="88">
        <v>0</v>
      </c>
      <c r="CB92" s="88">
        <v>0</v>
      </c>
      <c r="CC92" s="88">
        <v>0</v>
      </c>
      <c r="CD92" s="88">
        <v>0</v>
      </c>
      <c r="CE92" s="100">
        <v>0</v>
      </c>
      <c r="CF92" s="88">
        <v>0</v>
      </c>
      <c r="CG92" s="88">
        <v>0</v>
      </c>
      <c r="CH92" s="88">
        <v>0</v>
      </c>
      <c r="CI92" s="88">
        <v>0</v>
      </c>
      <c r="CJ92" s="228">
        <v>0</v>
      </c>
      <c r="CK92" s="88">
        <v>0</v>
      </c>
      <c r="CL92" s="88">
        <v>0</v>
      </c>
      <c r="CM92" s="88">
        <v>0</v>
      </c>
      <c r="CN92" s="88">
        <v>0</v>
      </c>
      <c r="CO92" s="88">
        <v>0</v>
      </c>
      <c r="CP92" s="88">
        <v>0</v>
      </c>
      <c r="CQ92" s="229">
        <v>0</v>
      </c>
      <c r="CR92" s="91">
        <v>0</v>
      </c>
      <c r="CS92" s="91">
        <v>0</v>
      </c>
      <c r="CT92" s="91">
        <v>0</v>
      </c>
      <c r="CU92" s="91">
        <v>0</v>
      </c>
      <c r="CV92" s="91">
        <v>0</v>
      </c>
      <c r="CW92" s="91">
        <v>0</v>
      </c>
      <c r="CX92" s="225">
        <v>0</v>
      </c>
      <c r="CY92" s="1265">
        <v>7754.1286399999999</v>
      </c>
      <c r="CZ92" s="90">
        <v>0</v>
      </c>
      <c r="DA92" s="88">
        <v>0</v>
      </c>
      <c r="DB92" s="88">
        <v>0</v>
      </c>
      <c r="DC92" s="88">
        <v>0</v>
      </c>
      <c r="DD92" s="88">
        <v>0</v>
      </c>
      <c r="DE92" s="152">
        <v>0</v>
      </c>
      <c r="DF92" s="230">
        <v>0</v>
      </c>
      <c r="DG92" s="38">
        <v>0</v>
      </c>
      <c r="DH92" s="1237">
        <v>0</v>
      </c>
      <c r="DI92" s="956">
        <v>0</v>
      </c>
      <c r="DJ92" s="956">
        <v>0</v>
      </c>
      <c r="DK92" s="956">
        <v>0</v>
      </c>
      <c r="DL92" s="152">
        <v>0</v>
      </c>
      <c r="DM92" s="160">
        <v>0</v>
      </c>
      <c r="DN92" s="160">
        <v>0</v>
      </c>
      <c r="DO92" s="160">
        <v>0</v>
      </c>
      <c r="DP92" s="160">
        <v>0</v>
      </c>
      <c r="DQ92" s="160">
        <v>0</v>
      </c>
      <c r="DR92" s="230">
        <v>0</v>
      </c>
      <c r="DS92" s="88">
        <v>0</v>
      </c>
      <c r="DT92" s="88">
        <v>0</v>
      </c>
      <c r="DU92" s="88">
        <v>0</v>
      </c>
      <c r="DV92" s="88">
        <v>0</v>
      </c>
      <c r="DW92" s="88">
        <v>0</v>
      </c>
      <c r="DX92" s="88">
        <v>0</v>
      </c>
      <c r="DY92" s="88">
        <v>0</v>
      </c>
      <c r="DZ92" s="88">
        <v>0</v>
      </c>
      <c r="EA92" s="88">
        <v>0</v>
      </c>
      <c r="EB92" s="152">
        <v>0</v>
      </c>
      <c r="EC92" s="52">
        <f t="shared" si="95"/>
        <v>0</v>
      </c>
      <c r="ED92" s="52">
        <f t="shared" si="95"/>
        <v>0</v>
      </c>
      <c r="EE92" s="52">
        <f t="shared" si="95"/>
        <v>0</v>
      </c>
      <c r="EF92" s="52">
        <f t="shared" si="71"/>
        <v>0</v>
      </c>
      <c r="EG92" s="52">
        <f t="shared" si="96"/>
        <v>0</v>
      </c>
      <c r="EH92" s="238">
        <v>0</v>
      </c>
      <c r="EI92" s="211">
        <v>0</v>
      </c>
      <c r="EJ92" s="211">
        <v>0</v>
      </c>
      <c r="EK92" s="211">
        <v>0</v>
      </c>
      <c r="EL92" s="217">
        <f>IF(C92&gt;=Summary!$E$26,MAX(0,SUM(EH92:EK92)),0)</f>
        <v>0</v>
      </c>
      <c r="EM92" s="52">
        <f>IF(C92&gt;=Summary!$E$26,DX92*BL92,0)</f>
        <v>0</v>
      </c>
      <c r="EN92" s="52">
        <f>IF(C92&gt;=Summary!$E$26,DY92*BM92,0)</f>
        <v>0</v>
      </c>
      <c r="EO92" s="52">
        <f>IF(C92&gt;=Summary!$E$26,DZ92*BN92,0)</f>
        <v>0</v>
      </c>
      <c r="EP92" s="52">
        <f>IF(C92&gt;=Summary!$E$26,EA92*BO92,0)</f>
        <v>0</v>
      </c>
      <c r="EQ92" s="52">
        <f>IF(C92&gt;=Summary!$E$26,DX92*BL92+DY92*BM92+DZ92*BN92+EA92*BO92,0)</f>
        <v>0</v>
      </c>
      <c r="ER92" s="826">
        <v>0</v>
      </c>
      <c r="ES92" s="278">
        <v>0</v>
      </c>
      <c r="ET92" s="278">
        <v>0</v>
      </c>
      <c r="EU92" s="278">
        <v>0</v>
      </c>
      <c r="EV92" s="212">
        <f>IF(C92&gt;=Summary!$E$26,MAX(0,SUM(ER92:EU92)),0)</f>
        <v>0</v>
      </c>
      <c r="EW92" s="52"/>
      <c r="EX92" s="1049">
        <f t="shared" si="97"/>
        <v>0</v>
      </c>
      <c r="EY92" s="1045" t="str">
        <f t="shared" si="98"/>
        <v/>
      </c>
      <c r="EZ92" s="1684" t="s">
        <v>525</v>
      </c>
      <c r="FA92" s="1046">
        <f t="shared" si="111"/>
        <v>45</v>
      </c>
      <c r="FB92" s="256">
        <f t="shared" si="99"/>
        <v>8865</v>
      </c>
      <c r="FC92" s="194">
        <f t="shared" si="100"/>
        <v>2659.5</v>
      </c>
      <c r="FD92" s="194">
        <f t="shared" si="101"/>
        <v>2216.25</v>
      </c>
      <c r="FE92" s="194">
        <f t="shared" si="102"/>
        <v>664.875</v>
      </c>
      <c r="FF92" s="194">
        <f t="shared" si="103"/>
        <v>2216.25</v>
      </c>
      <c r="FG92" s="194">
        <f t="shared" si="104"/>
        <v>664.875</v>
      </c>
      <c r="FH92" s="257">
        <f>IF(EZ92="No",IF((OR(MONTH(C92)=5,MONTH(C92)=6,MONTH(C92)=7,MONTH(C92)=8,MONTH(C92)=9)),Summary!$O$15*12*(AX92+AY92+AZ92+BA92)*(1-$BC92),Summary!$O$15*13*(AX92+AY92+AZ92+BA92)*(1-$BC92)+IF(Summary!$O$16="Yes",(CALC!FA92+Summary!$O$15)*6*(AX92+AY92+AZ92+BA92)*(1-$BC92),0)),0)</f>
        <v>0</v>
      </c>
      <c r="FI92" s="1412">
        <f>IF(MONTH(C92)=5,FI91*(IF(Summary!$E$70="no",(1+(Summary!$E$71*0.8)),1+HLOOKUP(YEAR(C92)-1,CCFMODEL!$I$127:$AF$128,2)*0.8)),+FI91)</f>
        <v>30.670680453537404</v>
      </c>
      <c r="FJ92" s="1411">
        <f>IF(MONTH(C92)=5,FJ91*(IF(Summary!$E$70="no",(1+(Summary!$E$71*0.8)),1+HLOOKUP(YEAR(CALC!C92)-1,CCFMODEL!$I$127:$AF$128,2)*0.8)),FJ91)</f>
        <v>26.806657719233474</v>
      </c>
      <c r="FK92" s="832">
        <f t="shared" si="72"/>
        <v>530196.38533018774</v>
      </c>
      <c r="FL92" s="1412">
        <f>IF(MONTH(C92)=5,FL91*(IF(Summary!$E$70="no",(1+(Summary!$E$71*0.8)),1+HLOOKUP(YEAR(CALC!C92)-1,CCFMODEL!$I$127:$AF$128,2)*0.8)),+FL91)</f>
        <v>64.503879514019971</v>
      </c>
      <c r="FM92" s="1411">
        <f>IF(MONTH(C92)=5,FM91*(IF(Summary!$E$70="no",(1+(Summary!$E$71*0.8)),1+HLOOKUP(YEAR(CALC!C92)-1,CCFMODEL!$I$127:$AF$128,2)*0.8)),+FM91)</f>
        <v>30.785681130153588</v>
      </c>
      <c r="FN92" s="832">
        <f t="shared" si="73"/>
        <v>540288.7038341955</v>
      </c>
      <c r="FO92" s="194">
        <f t="shared" si="105"/>
        <v>1070485.0891643832</v>
      </c>
      <c r="FP92" s="263">
        <f t="shared" si="69"/>
        <v>8865</v>
      </c>
      <c r="FQ92" s="194">
        <f t="shared" si="69"/>
        <v>2659.5</v>
      </c>
      <c r="FR92" s="194">
        <f t="shared" si="69"/>
        <v>2216.25</v>
      </c>
      <c r="FS92" s="194">
        <f t="shared" si="68"/>
        <v>664.875</v>
      </c>
      <c r="FT92" s="194">
        <f t="shared" si="68"/>
        <v>2216.25</v>
      </c>
      <c r="FU92" s="194">
        <f t="shared" si="68"/>
        <v>664.875</v>
      </c>
      <c r="FV92" s="257">
        <f t="shared" si="68"/>
        <v>0</v>
      </c>
      <c r="FW92" s="189">
        <f t="shared" si="74"/>
        <v>0</v>
      </c>
      <c r="FX92" s="189">
        <f t="shared" si="75"/>
        <v>0</v>
      </c>
      <c r="FY92" s="189">
        <f t="shared" si="76"/>
        <v>0</v>
      </c>
      <c r="FZ92" s="258">
        <f t="shared" si="77"/>
        <v>0</v>
      </c>
      <c r="GA92" s="1293">
        <f>(SUM(FP92:FV92)+SUM(GU92:HB92)/(1-Summary!$O$25))*CY92/1000</f>
        <v>228905.36681068799</v>
      </c>
      <c r="GB92" s="1369">
        <f>IF($C92&lt;Summary!$M$81,+Summary!$O$81,VLOOKUP(C92,GasTable,19))</f>
        <v>2.4</v>
      </c>
      <c r="GC92" s="1370">
        <f>IF(H92&lt;=Summary!$N$84,MIN(GA92,Summary!$O$75*(H92-G92+1)),0)</f>
        <v>150000</v>
      </c>
      <c r="GD92" s="1371">
        <f>IF(Summary!$O$75*(H92-G92+1)*0.8&gt;GC92,1,0)</f>
        <v>0</v>
      </c>
      <c r="GE92" s="1372">
        <v>0</v>
      </c>
      <c r="GF92" s="1370">
        <f t="shared" si="106"/>
        <v>78905.366810687992</v>
      </c>
      <c r="GG92" s="1371">
        <f>GF92*(IF(Summary!$O$74=1,VLOOKUP($C92,GasTable,16)+Summary!$O$92+Summary!$O$93,VLOOKUP($C92,GasTable,19)+Summary!$O$92+Summary!$O$93))</f>
        <v>214685.8322395288</v>
      </c>
      <c r="GH92" s="1373">
        <v>17688</v>
      </c>
      <c r="GI92" s="1466">
        <v>0</v>
      </c>
      <c r="GJ92" s="1374">
        <f t="shared" si="107"/>
        <v>592373.83223952877</v>
      </c>
      <c r="GK92" s="189">
        <f t="shared" si="78"/>
        <v>29092.270500000002</v>
      </c>
      <c r="GL92" s="266">
        <v>0.76145543244799996</v>
      </c>
      <c r="GM92" s="255">
        <f t="shared" si="79"/>
        <v>14730</v>
      </c>
      <c r="GN92" s="189">
        <f>IF(SUM(GU92:HB92)=0,0,IF(Summary!$O$16="Yes",SUM(GX92:HB92),IF(Summary!$O$17="Yes",SUM(GY92:HB92),SUM(GU92:HB92))))</f>
        <v>11805.520500000001</v>
      </c>
      <c r="GO92" s="203">
        <v>2.8412779445764338</v>
      </c>
      <c r="GP92" s="258">
        <f t="shared" si="108"/>
        <v>33542.765020894956</v>
      </c>
      <c r="GQ92" s="189"/>
      <c r="GR92" s="189"/>
      <c r="GS92" s="189"/>
      <c r="GT92" s="189"/>
      <c r="GU92" s="268">
        <v>5132.835</v>
      </c>
      <c r="GV92" s="189">
        <v>1283.20875</v>
      </c>
      <c r="GW92" s="189">
        <v>1283.20875</v>
      </c>
      <c r="GX92" s="189"/>
      <c r="GY92" s="254">
        <v>2737.5120000000002</v>
      </c>
      <c r="GZ92" s="189">
        <v>684.37800000000004</v>
      </c>
      <c r="HA92" s="189">
        <v>684.37800000000004</v>
      </c>
      <c r="HB92" s="255"/>
      <c r="HC92" s="189">
        <v>11805.520500000001</v>
      </c>
      <c r="HD92" s="189"/>
      <c r="HE92" s="189">
        <v>20274.698250000001</v>
      </c>
      <c r="HF92" s="189">
        <v>358925.2110292936</v>
      </c>
      <c r="HG92" s="189"/>
      <c r="HH92" s="203">
        <v>29.853793296679065</v>
      </c>
      <c r="HI92" s="189">
        <v>605276.6507080408</v>
      </c>
      <c r="HJ92" s="268">
        <f t="shared" si="80"/>
        <v>0</v>
      </c>
      <c r="HK92" s="189">
        <f t="shared" si="81"/>
        <v>0</v>
      </c>
      <c r="HL92" s="189">
        <f t="shared" si="82"/>
        <v>0</v>
      </c>
      <c r="HM92" s="255">
        <f t="shared" si="83"/>
        <v>0</v>
      </c>
      <c r="HN92" s="189">
        <f t="shared" si="84"/>
        <v>0</v>
      </c>
      <c r="HO92" s="203">
        <f t="shared" si="109"/>
        <v>0</v>
      </c>
      <c r="HP92" s="258">
        <f t="shared" si="85"/>
        <v>0</v>
      </c>
      <c r="HQ92" s="804"/>
      <c r="HR92" s="268"/>
      <c r="HS92" s="38"/>
      <c r="HT92" s="255"/>
      <c r="HU92" s="254"/>
      <c r="HV92" s="203"/>
      <c r="HW92" s="189"/>
      <c r="HX92" s="1020"/>
      <c r="HY92" s="258"/>
      <c r="HZ92" s="268"/>
      <c r="IA92" s="203"/>
      <c r="IB92" s="255"/>
      <c r="IC92" s="254"/>
      <c r="ID92" s="203"/>
      <c r="IE92" s="255"/>
      <c r="IF92" s="189"/>
      <c r="IG92" s="203"/>
      <c r="IH92" s="255"/>
      <c r="II92" s="189"/>
      <c r="IJ92" s="203"/>
      <c r="IK92" s="189"/>
      <c r="IL92" s="1182"/>
      <c r="IM92" s="1403"/>
      <c r="IN92" s="254"/>
      <c r="IO92" s="254"/>
      <c r="IP92" s="254"/>
      <c r="IQ92" s="254"/>
      <c r="IR92" s="223"/>
    </row>
    <row r="93" spans="1:252" ht="13.8" thickBot="1">
      <c r="A93" t="str">
        <f t="shared" si="86"/>
        <v>2006Q2</v>
      </c>
      <c r="B93">
        <f t="shared" si="87"/>
        <v>2006</v>
      </c>
      <c r="C93" s="49">
        <f t="shared" si="88"/>
        <v>38838</v>
      </c>
      <c r="D93" s="115">
        <f t="shared" si="89"/>
        <v>2006</v>
      </c>
      <c r="E93" s="10">
        <f t="shared" si="112"/>
        <v>5</v>
      </c>
      <c r="F93" s="248">
        <f t="shared" si="113"/>
        <v>38866</v>
      </c>
      <c r="G93" s="245">
        <v>38838</v>
      </c>
      <c r="H93" s="251">
        <v>38868</v>
      </c>
      <c r="I93" s="959">
        <f t="shared" si="110"/>
        <v>7.1499999999999994E-2</v>
      </c>
      <c r="J93" s="37">
        <f t="shared" si="90"/>
        <v>0.63281758392378107</v>
      </c>
      <c r="K93" s="1036"/>
      <c r="L93" s="37"/>
      <c r="M93" s="1004">
        <v>0</v>
      </c>
      <c r="N93" s="38">
        <f t="shared" si="115"/>
        <v>0</v>
      </c>
      <c r="O93" s="40">
        <f t="shared" si="115"/>
        <v>0</v>
      </c>
      <c r="P93" s="159">
        <f t="shared" si="60"/>
        <v>0</v>
      </c>
      <c r="Q93" s="38">
        <f t="shared" si="116"/>
        <v>0</v>
      </c>
      <c r="R93" s="40">
        <f t="shared" si="116"/>
        <v>0</v>
      </c>
      <c r="S93" s="38">
        <f t="shared" si="116"/>
        <v>0</v>
      </c>
      <c r="T93" s="38">
        <f t="shared" si="116"/>
        <v>0</v>
      </c>
      <c r="U93" s="38">
        <f t="shared" si="116"/>
        <v>0</v>
      </c>
      <c r="V93" s="159">
        <f t="shared" si="116"/>
        <v>0</v>
      </c>
      <c r="W93" s="38">
        <f t="shared" si="116"/>
        <v>0</v>
      </c>
      <c r="X93" s="39">
        <f t="shared" si="116"/>
        <v>0</v>
      </c>
      <c r="Y93" s="46">
        <v>0</v>
      </c>
      <c r="Z93" s="46">
        <v>0</v>
      </c>
      <c r="AA93" s="47">
        <v>0</v>
      </c>
      <c r="AB93" s="46">
        <v>0</v>
      </c>
      <c r="AC93" s="46">
        <v>0</v>
      </c>
      <c r="AD93" s="47">
        <v>0</v>
      </c>
      <c r="AE93" s="46">
        <v>0</v>
      </c>
      <c r="AF93" s="46">
        <v>0</v>
      </c>
      <c r="AG93" s="47">
        <v>0</v>
      </c>
      <c r="AH93" s="46">
        <v>0</v>
      </c>
      <c r="AI93" s="46">
        <v>0</v>
      </c>
      <c r="AJ93" s="47">
        <v>0</v>
      </c>
      <c r="AK93" s="46">
        <v>0</v>
      </c>
      <c r="AL93" s="46">
        <v>0</v>
      </c>
      <c r="AM93" s="47">
        <v>0</v>
      </c>
      <c r="AN93" s="46">
        <v>0</v>
      </c>
      <c r="AO93" s="46">
        <v>0</v>
      </c>
      <c r="AP93" s="47">
        <v>0</v>
      </c>
      <c r="AQ93" s="46">
        <v>0</v>
      </c>
      <c r="AR93" s="46">
        <v>0</v>
      </c>
      <c r="AS93" s="47">
        <v>0</v>
      </c>
      <c r="AT93" s="46">
        <v>0</v>
      </c>
      <c r="AU93" s="46">
        <v>0</v>
      </c>
      <c r="AV93" s="46">
        <v>0</v>
      </c>
      <c r="AW93" s="1545">
        <v>0</v>
      </c>
      <c r="AX93" s="10">
        <f t="shared" si="114"/>
        <v>22</v>
      </c>
      <c r="AY93" s="42">
        <f>IF(AND($E93=MONTH(Summary!$E$24),$D93=YEAR(Summary!$E$24)),Summary!$E$25,1)*IF(G93="",0,INT((H93-MOD(H93,7)-G93)/7)+1-IF(BA93,IF(WEEKDAY(F93)=7,1,0),0))</f>
        <v>4</v>
      </c>
      <c r="AZ93" s="42">
        <f>IF(AND($E93=MONTH(Summary!$E$24),$D93=YEAR(Summary!$E$24)),Summary!$E$25,1)*IF(G93="",0,INT((H93-MOD(H93-1,7)-G93)/7)+1-IF(BA93,IF(WEEKDAY(F93)=1,1,0),0))</f>
        <v>4</v>
      </c>
      <c r="BA93" s="42">
        <v>1</v>
      </c>
      <c r="BB93" s="10">
        <f>IF(AND($E93=MONTH(Summary!$E$24),$D93=YEAR(Summary!$E$24)),Summary!$E$25,1)*IF(G93="",0,H93-G93+1)</f>
        <v>31</v>
      </c>
      <c r="BC93" s="914">
        <f>Summary!$E$19</f>
        <v>1.4999999999999999E-2</v>
      </c>
      <c r="BD93" s="113">
        <v>15602.4</v>
      </c>
      <c r="BE93" s="171">
        <v>2836.8</v>
      </c>
      <c r="BF93" s="171">
        <v>3546</v>
      </c>
      <c r="BG93" s="174"/>
      <c r="BH93" s="1198">
        <v>1</v>
      </c>
      <c r="BI93" s="1198">
        <v>1</v>
      </c>
      <c r="BJ93" s="1198">
        <v>1</v>
      </c>
      <c r="BK93" s="1198">
        <v>1</v>
      </c>
      <c r="BL93" s="95">
        <v>3120.48</v>
      </c>
      <c r="BM93" s="171">
        <v>567.36</v>
      </c>
      <c r="BN93" s="171">
        <v>709.2</v>
      </c>
      <c r="BO93" s="174"/>
      <c r="BP93" s="1198">
        <v>1</v>
      </c>
      <c r="BQ93" s="1199">
        <v>1</v>
      </c>
      <c r="BR93" s="1199">
        <v>1</v>
      </c>
      <c r="BS93" s="1200">
        <v>1</v>
      </c>
      <c r="BT93" s="94">
        <f t="shared" si="91"/>
        <v>21985.200000000001</v>
      </c>
      <c r="BU93" s="233">
        <f t="shared" si="92"/>
        <v>21985.200000000001</v>
      </c>
      <c r="BV93" s="92">
        <f t="shared" si="93"/>
        <v>4397.04</v>
      </c>
      <c r="BW93" s="233">
        <f t="shared" si="94"/>
        <v>4397.04</v>
      </c>
      <c r="BX93" s="88">
        <v>6.3764544832306642</v>
      </c>
      <c r="BY93" s="90">
        <v>0</v>
      </c>
      <c r="BZ93" s="88">
        <v>0</v>
      </c>
      <c r="CA93" s="88">
        <v>0</v>
      </c>
      <c r="CB93" s="88">
        <v>0</v>
      </c>
      <c r="CC93" s="88">
        <v>0</v>
      </c>
      <c r="CD93" s="88">
        <v>0</v>
      </c>
      <c r="CE93" s="100">
        <v>0</v>
      </c>
      <c r="CF93" s="88">
        <v>0</v>
      </c>
      <c r="CG93" s="88">
        <v>0</v>
      </c>
      <c r="CH93" s="88">
        <v>0</v>
      </c>
      <c r="CI93" s="88">
        <v>0</v>
      </c>
      <c r="CJ93" s="228">
        <v>0</v>
      </c>
      <c r="CK93" s="88">
        <v>0</v>
      </c>
      <c r="CL93" s="88">
        <v>0</v>
      </c>
      <c r="CM93" s="88">
        <v>0</v>
      </c>
      <c r="CN93" s="88">
        <v>0</v>
      </c>
      <c r="CO93" s="88">
        <v>0</v>
      </c>
      <c r="CP93" s="88">
        <v>0</v>
      </c>
      <c r="CQ93" s="229">
        <v>0</v>
      </c>
      <c r="CR93" s="91">
        <v>0</v>
      </c>
      <c r="CS93" s="91">
        <v>0</v>
      </c>
      <c r="CT93" s="91">
        <v>0</v>
      </c>
      <c r="CU93" s="91">
        <v>0</v>
      </c>
      <c r="CV93" s="91">
        <v>0</v>
      </c>
      <c r="CW93" s="91">
        <v>0</v>
      </c>
      <c r="CX93" s="225">
        <v>0</v>
      </c>
      <c r="CY93" s="1265">
        <v>7755.4315200000001</v>
      </c>
      <c r="CZ93" s="90">
        <v>0</v>
      </c>
      <c r="DA93" s="88">
        <v>0</v>
      </c>
      <c r="DB93" s="88">
        <v>0</v>
      </c>
      <c r="DC93" s="88">
        <v>0</v>
      </c>
      <c r="DD93" s="88">
        <v>0</v>
      </c>
      <c r="DE93" s="152">
        <v>0</v>
      </c>
      <c r="DF93" s="230">
        <v>0</v>
      </c>
      <c r="DG93" s="38">
        <v>0</v>
      </c>
      <c r="DH93" s="1237">
        <v>0</v>
      </c>
      <c r="DI93" s="956">
        <v>0</v>
      </c>
      <c r="DJ93" s="956">
        <v>0</v>
      </c>
      <c r="DK93" s="956">
        <v>0</v>
      </c>
      <c r="DL93" s="152">
        <v>0</v>
      </c>
      <c r="DM93" s="160">
        <v>0</v>
      </c>
      <c r="DN93" s="160">
        <v>0</v>
      </c>
      <c r="DO93" s="160">
        <v>0</v>
      </c>
      <c r="DP93" s="160">
        <v>0</v>
      </c>
      <c r="DQ93" s="160">
        <v>0</v>
      </c>
      <c r="DR93" s="230">
        <v>0</v>
      </c>
      <c r="DS93" s="88">
        <v>0</v>
      </c>
      <c r="DT93" s="88">
        <v>0</v>
      </c>
      <c r="DU93" s="88">
        <v>0</v>
      </c>
      <c r="DV93" s="88">
        <v>0</v>
      </c>
      <c r="DW93" s="88">
        <v>0</v>
      </c>
      <c r="DX93" s="88">
        <v>0</v>
      </c>
      <c r="DY93" s="88">
        <v>0</v>
      </c>
      <c r="DZ93" s="88">
        <v>0</v>
      </c>
      <c r="EA93" s="88">
        <v>0</v>
      </c>
      <c r="EB93" s="152">
        <v>0</v>
      </c>
      <c r="EC93" s="52">
        <f t="shared" si="95"/>
        <v>0</v>
      </c>
      <c r="ED93" s="52">
        <f t="shared" si="95"/>
        <v>0</v>
      </c>
      <c r="EE93" s="52">
        <f t="shared" si="95"/>
        <v>0</v>
      </c>
      <c r="EF93" s="52">
        <f t="shared" si="71"/>
        <v>0</v>
      </c>
      <c r="EG93" s="52">
        <f t="shared" si="96"/>
        <v>0</v>
      </c>
      <c r="EH93" s="238">
        <v>0</v>
      </c>
      <c r="EI93" s="211">
        <v>0</v>
      </c>
      <c r="EJ93" s="211">
        <v>0</v>
      </c>
      <c r="EK93" s="211">
        <v>0</v>
      </c>
      <c r="EL93" s="217">
        <f>IF(C93&gt;=Summary!$E$26,MAX(0,SUM(EH93:EK93)),0)</f>
        <v>0</v>
      </c>
      <c r="EM93" s="52">
        <f>IF(C93&gt;=Summary!$E$26,DX93*BL93,0)</f>
        <v>0</v>
      </c>
      <c r="EN93" s="52">
        <f>IF(C93&gt;=Summary!$E$26,DY93*BM93,0)</f>
        <v>0</v>
      </c>
      <c r="EO93" s="52">
        <f>IF(C93&gt;=Summary!$E$26,DZ93*BN93,0)</f>
        <v>0</v>
      </c>
      <c r="EP93" s="52">
        <f>IF(C93&gt;=Summary!$E$26,EA93*BO93,0)</f>
        <v>0</v>
      </c>
      <c r="EQ93" s="52">
        <f>IF(C93&gt;=Summary!$E$26,DX93*BL93+DY93*BM93+DZ93*BN93+EA93*BO93,0)</f>
        <v>0</v>
      </c>
      <c r="ER93" s="826">
        <v>0</v>
      </c>
      <c r="ES93" s="278">
        <v>0</v>
      </c>
      <c r="ET93" s="278">
        <v>0</v>
      </c>
      <c r="EU93" s="278">
        <v>0</v>
      </c>
      <c r="EV93" s="212">
        <f>IF(C93&gt;=Summary!$E$26,MAX(0,SUM(ER93:EU93)),0)</f>
        <v>0</v>
      </c>
      <c r="EW93" s="52"/>
      <c r="EX93" s="1049">
        <f t="shared" si="97"/>
        <v>0</v>
      </c>
      <c r="EY93" s="1045" t="str">
        <f t="shared" si="98"/>
        <v/>
      </c>
      <c r="EZ93" s="1684" t="s">
        <v>525</v>
      </c>
      <c r="FA93" s="1046">
        <f t="shared" si="111"/>
        <v>45</v>
      </c>
      <c r="FB93" s="256">
        <f t="shared" si="99"/>
        <v>11701.8</v>
      </c>
      <c r="FC93" s="194">
        <f t="shared" si="100"/>
        <v>0</v>
      </c>
      <c r="FD93" s="194">
        <f t="shared" si="101"/>
        <v>2127.6</v>
      </c>
      <c r="FE93" s="194">
        <f t="shared" si="102"/>
        <v>0</v>
      </c>
      <c r="FF93" s="194">
        <f t="shared" si="103"/>
        <v>2659.5</v>
      </c>
      <c r="FG93" s="194">
        <f t="shared" si="104"/>
        <v>0</v>
      </c>
      <c r="FH93" s="257">
        <f>IF(EZ93="No",IF((OR(MONTH(C93)=5,MONTH(C93)=6,MONTH(C93)=7,MONTH(C93)=8,MONTH(C93)=9)),Summary!$O$15*12*(AX93+AY93+AZ93+BA93)*(1-$BC93),Summary!$O$15*13*(AX93+AY93+AZ93+BA93)*(1-$BC93)+IF(Summary!$O$16="Yes",(CALC!FA93+Summary!$O$15)*6*(AX93+AY93+AZ93+BA93)*(1-$BC93),0)),0)</f>
        <v>0</v>
      </c>
      <c r="FI93" s="1412">
        <f>IF(MONTH(C93)=5,FI92*(IF(Summary!$E$70="no",(1+(Summary!$E$71*0.8)),1+HLOOKUP(YEAR(C93)-1,CCFMODEL!$I$127:$AF$128,2)*0.8)),+FI92)</f>
        <v>31.406776784422302</v>
      </c>
      <c r="FJ93" s="1411">
        <f>IF(MONTH(C93)=5,FJ92*(IF(Summary!$E$70="no",(1+(Summary!$E$71*0.8)),1+HLOOKUP(YEAR(CALC!C93)-1,CCFMODEL!$I$127:$AF$128,2)*0.8)),FJ92)</f>
        <v>27.450017504495079</v>
      </c>
      <c r="FK93" s="832">
        <f t="shared" si="72"/>
        <v>517863.20172066096</v>
      </c>
      <c r="FL93" s="1412">
        <f>IF(MONTH(C93)=5,FL92*(IF(Summary!$E$70="no",(1+(Summary!$E$71*0.8)),1+HLOOKUP(YEAR(CALC!C93)-1,CCFMODEL!$I$127:$AF$128,2)*0.8)),+FL92)</f>
        <v>66.051972622356445</v>
      </c>
      <c r="FM93" s="1411">
        <f>IF(MONTH(C93)=5,FM92*(IF(Summary!$E$70="no",(1+(Summary!$E$71*0.8)),1+HLOOKUP(YEAR(CALC!C93)-1,CCFMODEL!$I$127:$AF$128,2)*0.8)),+FM92)</f>
        <v>31.524537477277274</v>
      </c>
      <c r="FN93" s="832">
        <f t="shared" si="73"/>
        <v>1105710.0216982469</v>
      </c>
      <c r="FO93" s="194">
        <f t="shared" si="105"/>
        <v>1623573.223418908</v>
      </c>
      <c r="FP93" s="263">
        <f t="shared" si="69"/>
        <v>11701.8</v>
      </c>
      <c r="FQ93" s="194">
        <f t="shared" si="69"/>
        <v>0</v>
      </c>
      <c r="FR93" s="194">
        <f t="shared" si="69"/>
        <v>2127.6</v>
      </c>
      <c r="FS93" s="194">
        <f t="shared" si="68"/>
        <v>0</v>
      </c>
      <c r="FT93" s="194">
        <f t="shared" si="68"/>
        <v>2659.5</v>
      </c>
      <c r="FU93" s="194">
        <f t="shared" si="68"/>
        <v>0</v>
      </c>
      <c r="FV93" s="257">
        <f t="shared" si="68"/>
        <v>0</v>
      </c>
      <c r="FW93" s="189">
        <f t="shared" si="74"/>
        <v>0</v>
      </c>
      <c r="FX93" s="189">
        <f t="shared" si="75"/>
        <v>0</v>
      </c>
      <c r="FY93" s="189">
        <f t="shared" si="76"/>
        <v>0</v>
      </c>
      <c r="FZ93" s="258">
        <f t="shared" si="77"/>
        <v>0</v>
      </c>
      <c r="GA93" s="1293">
        <f>(SUM(FP93:FV93)+SUM(GU93:HB93)/(1-Summary!$O$25))*CY93/1000</f>
        <v>204605.65566420479</v>
      </c>
      <c r="GB93" s="1369">
        <f>IF($C93&lt;Summary!$M$81,+Summary!$O$81,VLOOKUP(C93,GasTable,19))</f>
        <v>2.4</v>
      </c>
      <c r="GC93" s="1370">
        <f>IF(H93&lt;=Summary!$N$84,MIN(GA93,Summary!$O$75*(H93-G93+1)),0)</f>
        <v>155000</v>
      </c>
      <c r="GD93" s="1371">
        <f>IF(Summary!$O$75*(H93-G93+1)*0.8&gt;GC93,1,0)</f>
        <v>0</v>
      </c>
      <c r="GE93" s="1372">
        <v>0</v>
      </c>
      <c r="GF93" s="1370">
        <f t="shared" si="106"/>
        <v>49605.655664204794</v>
      </c>
      <c r="GG93" s="1371">
        <f>GF93*(IF(Summary!$O$74=1,VLOOKUP($C93,GasTable,16)+Summary!$O$92+Summary!$O$93,VLOOKUP($C93,GasTable,19)+Summary!$O$92+Summary!$O$93))</f>
        <v>133968.74798271488</v>
      </c>
      <c r="GH93" s="1373">
        <v>18203.2</v>
      </c>
      <c r="GI93" s="1466">
        <v>0</v>
      </c>
      <c r="GJ93" s="1374">
        <f t="shared" si="107"/>
        <v>524171.94798271492</v>
      </c>
      <c r="GK93" s="189">
        <f t="shared" si="78"/>
        <v>26035.973100000007</v>
      </c>
      <c r="GL93" s="266">
        <v>0.76158337526400011</v>
      </c>
      <c r="GM93" s="255">
        <f t="shared" si="79"/>
        <v>15221.000000000002</v>
      </c>
      <c r="GN93" s="189">
        <f>IF(SUM(GU93:HB93)=0,0,IF(Summary!$O$16="Yes",SUM(GX93:HB93),IF(Summary!$O$17="Yes",SUM(GY93:HB93),SUM(GU93:HB93))))</f>
        <v>9547.0730999999996</v>
      </c>
      <c r="GO93" s="203">
        <v>2.8412779445764338</v>
      </c>
      <c r="GP93" s="258">
        <f t="shared" si="108"/>
        <v>27125.888234288959</v>
      </c>
      <c r="GQ93" s="189"/>
      <c r="GR93" s="189"/>
      <c r="GS93" s="189"/>
      <c r="GT93" s="189"/>
      <c r="GU93" s="268">
        <v>3764.0790000000002</v>
      </c>
      <c r="GV93" s="189">
        <v>684.37800000000027</v>
      </c>
      <c r="GW93" s="189">
        <v>855.47249999999997</v>
      </c>
      <c r="GX93" s="189"/>
      <c r="GY93" s="254">
        <v>3011.2631999999999</v>
      </c>
      <c r="GZ93" s="189">
        <v>547.50239999999997</v>
      </c>
      <c r="HA93" s="189">
        <v>684.37800000000004</v>
      </c>
      <c r="HB93" s="255"/>
      <c r="HC93" s="189">
        <v>9547.0730999999996</v>
      </c>
      <c r="HD93" s="189"/>
      <c r="HE93" s="189">
        <v>22276.5039</v>
      </c>
      <c r="HF93" s="189">
        <v>283840.81459115777</v>
      </c>
      <c r="HG93" s="189"/>
      <c r="HH93" s="203">
        <v>30.122947991882111</v>
      </c>
      <c r="HI93" s="189">
        <v>671033.96842065896</v>
      </c>
      <c r="HJ93" s="268">
        <f t="shared" si="80"/>
        <v>0</v>
      </c>
      <c r="HK93" s="189">
        <f t="shared" si="81"/>
        <v>0</v>
      </c>
      <c r="HL93" s="189">
        <f t="shared" si="82"/>
        <v>0</v>
      </c>
      <c r="HM93" s="255">
        <f t="shared" si="83"/>
        <v>0</v>
      </c>
      <c r="HN93" s="189">
        <f t="shared" si="84"/>
        <v>0</v>
      </c>
      <c r="HO93" s="203">
        <f t="shared" si="109"/>
        <v>0</v>
      </c>
      <c r="HP93" s="258">
        <f t="shared" si="85"/>
        <v>0</v>
      </c>
      <c r="HQ93" s="804"/>
      <c r="HR93" s="268"/>
      <c r="HS93" s="38"/>
      <c r="HT93" s="255"/>
      <c r="HU93" s="254"/>
      <c r="HV93" s="203"/>
      <c r="HW93" s="189"/>
      <c r="HX93" s="1020"/>
      <c r="HY93" s="258"/>
      <c r="HZ93" s="268"/>
      <c r="IA93" s="203"/>
      <c r="IB93" s="255"/>
      <c r="IC93" s="254"/>
      <c r="ID93" s="203"/>
      <c r="IE93" s="255"/>
      <c r="IF93" s="189"/>
      <c r="IG93" s="203"/>
      <c r="IH93" s="255"/>
      <c r="II93" s="189"/>
      <c r="IJ93" s="203"/>
      <c r="IK93" s="189"/>
      <c r="IL93" s="1182"/>
      <c r="IM93" s="1403"/>
      <c r="IN93" s="254"/>
      <c r="IO93" s="254"/>
      <c r="IP93" s="254"/>
      <c r="IQ93" s="254"/>
      <c r="IR93" s="223"/>
    </row>
    <row r="94" spans="1:252" ht="13.8" thickBot="1">
      <c r="A94" t="str">
        <f t="shared" si="86"/>
        <v>2006Q2</v>
      </c>
      <c r="B94">
        <f t="shared" si="87"/>
        <v>2006</v>
      </c>
      <c r="C94" s="49">
        <f t="shared" si="88"/>
        <v>38869</v>
      </c>
      <c r="D94" s="115">
        <f t="shared" si="89"/>
        <v>2006</v>
      </c>
      <c r="E94" s="10">
        <f t="shared" si="112"/>
        <v>6</v>
      </c>
      <c r="F94" s="248" t="str">
        <f t="shared" si="113"/>
        <v/>
      </c>
      <c r="G94" s="245">
        <v>38869</v>
      </c>
      <c r="H94" s="251">
        <v>38898</v>
      </c>
      <c r="I94" s="959">
        <f t="shared" si="110"/>
        <v>7.1499999999999994E-2</v>
      </c>
      <c r="J94" s="37">
        <f t="shared" si="90"/>
        <v>0.62917664459127354</v>
      </c>
      <c r="K94" s="1036"/>
      <c r="L94" s="37"/>
      <c r="M94" s="1004">
        <v>0</v>
      </c>
      <c r="N94" s="38">
        <f t="shared" si="115"/>
        <v>0</v>
      </c>
      <c r="O94" s="40">
        <f t="shared" si="115"/>
        <v>0</v>
      </c>
      <c r="P94" s="159">
        <f t="shared" ref="P94:P157" si="117">M94</f>
        <v>0</v>
      </c>
      <c r="Q94" s="38">
        <f t="shared" si="116"/>
        <v>0</v>
      </c>
      <c r="R94" s="40">
        <f t="shared" si="116"/>
        <v>0</v>
      </c>
      <c r="S94" s="38">
        <f t="shared" si="116"/>
        <v>0</v>
      </c>
      <c r="T94" s="38">
        <f t="shared" si="116"/>
        <v>0</v>
      </c>
      <c r="U94" s="38">
        <f t="shared" si="116"/>
        <v>0</v>
      </c>
      <c r="V94" s="159">
        <f t="shared" si="116"/>
        <v>0</v>
      </c>
      <c r="W94" s="38">
        <f t="shared" si="116"/>
        <v>0</v>
      </c>
      <c r="X94" s="39">
        <f t="shared" si="116"/>
        <v>0</v>
      </c>
      <c r="Y94" s="46">
        <v>0</v>
      </c>
      <c r="Z94" s="46">
        <v>0</v>
      </c>
      <c r="AA94" s="47">
        <v>0</v>
      </c>
      <c r="AB94" s="46">
        <v>0</v>
      </c>
      <c r="AC94" s="46">
        <v>0</v>
      </c>
      <c r="AD94" s="47">
        <v>0</v>
      </c>
      <c r="AE94" s="46">
        <v>0</v>
      </c>
      <c r="AF94" s="46">
        <v>0</v>
      </c>
      <c r="AG94" s="47">
        <v>0</v>
      </c>
      <c r="AH94" s="46">
        <v>0</v>
      </c>
      <c r="AI94" s="46">
        <v>0</v>
      </c>
      <c r="AJ94" s="47">
        <v>0</v>
      </c>
      <c r="AK94" s="46">
        <v>0</v>
      </c>
      <c r="AL94" s="46">
        <v>0</v>
      </c>
      <c r="AM94" s="47">
        <v>0</v>
      </c>
      <c r="AN94" s="46">
        <v>0</v>
      </c>
      <c r="AO94" s="46">
        <v>0</v>
      </c>
      <c r="AP94" s="47">
        <v>0</v>
      </c>
      <c r="AQ94" s="46">
        <v>0</v>
      </c>
      <c r="AR94" s="46">
        <v>0</v>
      </c>
      <c r="AS94" s="47">
        <v>0</v>
      </c>
      <c r="AT94" s="46">
        <v>0</v>
      </c>
      <c r="AU94" s="46">
        <v>0</v>
      </c>
      <c r="AV94" s="46">
        <v>0</v>
      </c>
      <c r="AW94" s="1545">
        <v>0</v>
      </c>
      <c r="AX94" s="10">
        <f t="shared" si="114"/>
        <v>22</v>
      </c>
      <c r="AY94" s="42">
        <f>IF(AND($E94=MONTH(Summary!$E$24),$D94=YEAR(Summary!$E$24)),Summary!$E$25,1)*IF(G94="",0,INT((H94-MOD(H94,7)-G94)/7)+1-IF(BA94,IF(WEEKDAY(F94)=7,1,0),0))</f>
        <v>4</v>
      </c>
      <c r="AZ94" s="42">
        <f>IF(AND($E94=MONTH(Summary!$E$24),$D94=YEAR(Summary!$E$24)),Summary!$E$25,1)*IF(G94="",0,INT((H94-MOD(H94-1,7)-G94)/7)+1-IF(BA94,IF(WEEKDAY(F94)=1,1,0),0))</f>
        <v>4</v>
      </c>
      <c r="BA94" s="42">
        <v>0</v>
      </c>
      <c r="BB94" s="10">
        <f>IF(AND($E94=MONTH(Summary!$E$24),$D94=YEAR(Summary!$E$24)),Summary!$E$25,1)*IF(G94="",0,H94-G94+1)</f>
        <v>30</v>
      </c>
      <c r="BC94" s="914">
        <f>Summary!$E$19</f>
        <v>1.4999999999999999E-2</v>
      </c>
      <c r="BD94" s="113">
        <v>15602.4</v>
      </c>
      <c r="BE94" s="171">
        <v>2836.8</v>
      </c>
      <c r="BF94" s="171">
        <v>2836.8</v>
      </c>
      <c r="BG94" s="174"/>
      <c r="BH94" s="1198">
        <v>1</v>
      </c>
      <c r="BI94" s="1198">
        <v>1</v>
      </c>
      <c r="BJ94" s="1198">
        <v>1</v>
      </c>
      <c r="BK94" s="1198">
        <v>1</v>
      </c>
      <c r="BL94" s="95">
        <v>3120.48</v>
      </c>
      <c r="BM94" s="171">
        <v>567.36</v>
      </c>
      <c r="BN94" s="171">
        <v>567.36</v>
      </c>
      <c r="BO94" s="174"/>
      <c r="BP94" s="1198">
        <v>1</v>
      </c>
      <c r="BQ94" s="1199">
        <v>1</v>
      </c>
      <c r="BR94" s="1199">
        <v>1</v>
      </c>
      <c r="BS94" s="1200">
        <v>1</v>
      </c>
      <c r="BT94" s="94">
        <f t="shared" si="91"/>
        <v>21276</v>
      </c>
      <c r="BU94" s="233">
        <f t="shared" si="92"/>
        <v>21276</v>
      </c>
      <c r="BV94" s="92">
        <f t="shared" si="93"/>
        <v>4255.2</v>
      </c>
      <c r="BW94" s="233">
        <f t="shared" si="94"/>
        <v>4255.2</v>
      </c>
      <c r="BX94" s="88">
        <v>6.4613278576317592</v>
      </c>
      <c r="BY94" s="90">
        <v>0</v>
      </c>
      <c r="BZ94" s="88">
        <v>0</v>
      </c>
      <c r="CA94" s="88">
        <v>0</v>
      </c>
      <c r="CB94" s="88">
        <v>0</v>
      </c>
      <c r="CC94" s="88">
        <v>0</v>
      </c>
      <c r="CD94" s="88">
        <v>0</v>
      </c>
      <c r="CE94" s="100">
        <v>0</v>
      </c>
      <c r="CF94" s="88">
        <v>0</v>
      </c>
      <c r="CG94" s="88">
        <v>0</v>
      </c>
      <c r="CH94" s="88">
        <v>0</v>
      </c>
      <c r="CI94" s="88">
        <v>0</v>
      </c>
      <c r="CJ94" s="228">
        <v>0</v>
      </c>
      <c r="CK94" s="88">
        <v>0</v>
      </c>
      <c r="CL94" s="88">
        <v>0</v>
      </c>
      <c r="CM94" s="88">
        <v>0</v>
      </c>
      <c r="CN94" s="88">
        <v>0</v>
      </c>
      <c r="CO94" s="88">
        <v>0</v>
      </c>
      <c r="CP94" s="88">
        <v>0</v>
      </c>
      <c r="CQ94" s="229">
        <v>0</v>
      </c>
      <c r="CR94" s="91">
        <v>0</v>
      </c>
      <c r="CS94" s="91">
        <v>0</v>
      </c>
      <c r="CT94" s="91">
        <v>0</v>
      </c>
      <c r="CU94" s="91">
        <v>0</v>
      </c>
      <c r="CV94" s="91">
        <v>0</v>
      </c>
      <c r="CW94" s="91">
        <v>0</v>
      </c>
      <c r="CX94" s="225">
        <v>0</v>
      </c>
      <c r="CY94" s="1265">
        <v>7756.7344000000003</v>
      </c>
      <c r="CZ94" s="90">
        <v>0</v>
      </c>
      <c r="DA94" s="88">
        <v>0</v>
      </c>
      <c r="DB94" s="88">
        <v>0</v>
      </c>
      <c r="DC94" s="88">
        <v>0</v>
      </c>
      <c r="DD94" s="88">
        <v>0</v>
      </c>
      <c r="DE94" s="152">
        <v>0</v>
      </c>
      <c r="DF94" s="230">
        <v>0</v>
      </c>
      <c r="DG94" s="38">
        <v>0</v>
      </c>
      <c r="DH94" s="1237">
        <v>0</v>
      </c>
      <c r="DI94" s="956">
        <v>0</v>
      </c>
      <c r="DJ94" s="956">
        <v>0</v>
      </c>
      <c r="DK94" s="956">
        <v>0</v>
      </c>
      <c r="DL94" s="152">
        <v>0</v>
      </c>
      <c r="DM94" s="160">
        <v>0</v>
      </c>
      <c r="DN94" s="160">
        <v>0</v>
      </c>
      <c r="DO94" s="160">
        <v>0</v>
      </c>
      <c r="DP94" s="160">
        <v>0</v>
      </c>
      <c r="DQ94" s="160">
        <v>0</v>
      </c>
      <c r="DR94" s="230">
        <v>0</v>
      </c>
      <c r="DS94" s="88">
        <v>0</v>
      </c>
      <c r="DT94" s="88">
        <v>0</v>
      </c>
      <c r="DU94" s="88">
        <v>0</v>
      </c>
      <c r="DV94" s="88">
        <v>0</v>
      </c>
      <c r="DW94" s="88">
        <v>0</v>
      </c>
      <c r="DX94" s="88">
        <v>0</v>
      </c>
      <c r="DY94" s="88">
        <v>0</v>
      </c>
      <c r="DZ94" s="88">
        <v>0</v>
      </c>
      <c r="EA94" s="88">
        <v>0</v>
      </c>
      <c r="EB94" s="152">
        <v>0</v>
      </c>
      <c r="EC94" s="52">
        <f t="shared" si="95"/>
        <v>0</v>
      </c>
      <c r="ED94" s="52">
        <f t="shared" si="95"/>
        <v>0</v>
      </c>
      <c r="EE94" s="52">
        <f t="shared" si="95"/>
        <v>0</v>
      </c>
      <c r="EF94" s="52">
        <f t="shared" si="71"/>
        <v>0</v>
      </c>
      <c r="EG94" s="52">
        <f t="shared" si="96"/>
        <v>0</v>
      </c>
      <c r="EH94" s="238">
        <v>0</v>
      </c>
      <c r="EI94" s="211">
        <v>0</v>
      </c>
      <c r="EJ94" s="211">
        <v>0</v>
      </c>
      <c r="EK94" s="211">
        <v>0</v>
      </c>
      <c r="EL94" s="217">
        <f>IF(C94&gt;=Summary!$E$26,MAX(0,SUM(EH94:EK94)),0)</f>
        <v>0</v>
      </c>
      <c r="EM94" s="52">
        <f>IF(C94&gt;=Summary!$E$26,DX94*BL94,0)</f>
        <v>0</v>
      </c>
      <c r="EN94" s="52">
        <f>IF(C94&gt;=Summary!$E$26,DY94*BM94,0)</f>
        <v>0</v>
      </c>
      <c r="EO94" s="52">
        <f>IF(C94&gt;=Summary!$E$26,DZ94*BN94,0)</f>
        <v>0</v>
      </c>
      <c r="EP94" s="52">
        <f>IF(C94&gt;=Summary!$E$26,EA94*BO94,0)</f>
        <v>0</v>
      </c>
      <c r="EQ94" s="52">
        <f>IF(C94&gt;=Summary!$E$26,DX94*BL94+DY94*BM94+DZ94*BN94+EA94*BO94,0)</f>
        <v>0</v>
      </c>
      <c r="ER94" s="826">
        <v>0</v>
      </c>
      <c r="ES94" s="278">
        <v>0</v>
      </c>
      <c r="ET94" s="278">
        <v>0</v>
      </c>
      <c r="EU94" s="278">
        <v>0</v>
      </c>
      <c r="EV94" s="212">
        <f>IF(C94&gt;=Summary!$E$26,MAX(0,SUM(ER94:EU94)),0)</f>
        <v>0</v>
      </c>
      <c r="EW94" s="52"/>
      <c r="EX94" s="1049">
        <f t="shared" si="97"/>
        <v>0</v>
      </c>
      <c r="EY94" s="1045" t="str">
        <f t="shared" si="98"/>
        <v/>
      </c>
      <c r="EZ94" s="1684" t="s">
        <v>525</v>
      </c>
      <c r="FA94" s="1046">
        <f t="shared" si="111"/>
        <v>45</v>
      </c>
      <c r="FB94" s="256">
        <f t="shared" si="99"/>
        <v>11701.8</v>
      </c>
      <c r="FC94" s="194">
        <f t="shared" si="100"/>
        <v>0</v>
      </c>
      <c r="FD94" s="194">
        <f t="shared" si="101"/>
        <v>2127.6</v>
      </c>
      <c r="FE94" s="194">
        <f t="shared" si="102"/>
        <v>0</v>
      </c>
      <c r="FF94" s="194">
        <f t="shared" si="103"/>
        <v>2127.6</v>
      </c>
      <c r="FG94" s="194">
        <f t="shared" si="104"/>
        <v>0</v>
      </c>
      <c r="FH94" s="257">
        <f>IF(EZ94="No",IF((OR(MONTH(C94)=5,MONTH(C94)=6,MONTH(C94)=7,MONTH(C94)=8,MONTH(C94)=9)),Summary!$O$15*12*(AX94+AY94+AZ94+BA94)*(1-$BC94),Summary!$O$15*13*(AX94+AY94+AZ94+BA94)*(1-$BC94)+IF(Summary!$O$16="Yes",(CALC!FA94+Summary!$O$15)*6*(AX94+AY94+AZ94+BA94)*(1-$BC94),0)),0)</f>
        <v>0</v>
      </c>
      <c r="FI94" s="1412">
        <f>IF(MONTH(C94)=5,FI93*(IF(Summary!$E$70="no",(1+(Summary!$E$71*0.8)),1+HLOOKUP(YEAR(C94)-1,CCFMODEL!$I$127:$AF$128,2)*0.8)),+FI93)</f>
        <v>31.406776784422302</v>
      </c>
      <c r="FJ94" s="1411">
        <f>IF(MONTH(C94)=5,FJ93*(IF(Summary!$E$70="no",(1+(Summary!$E$71*0.8)),1+HLOOKUP(YEAR(CALC!C94)-1,CCFMODEL!$I$127:$AF$128,2)*0.8)),FJ93)</f>
        <v>27.450017504495079</v>
      </c>
      <c r="FK94" s="832">
        <f t="shared" si="72"/>
        <v>501157.93714902666</v>
      </c>
      <c r="FL94" s="1412">
        <f>IF(MONTH(C94)=5,FL93*(IF(Summary!$E$70="no",(1+(Summary!$E$71*0.8)),1+HLOOKUP(YEAR(CALC!C94)-1,CCFMODEL!$I$127:$AF$128,2)*0.8)),+FL93)</f>
        <v>66.051972622356445</v>
      </c>
      <c r="FM94" s="1411">
        <f>IF(MONTH(C94)=5,FM93*(IF(Summary!$E$70="no",(1+(Summary!$E$71*0.8)),1+HLOOKUP(YEAR(CALC!C94)-1,CCFMODEL!$I$127:$AF$128,2)*0.8)),+FM93)</f>
        <v>31.524537477277274</v>
      </c>
      <c r="FN94" s="832">
        <f t="shared" si="73"/>
        <v>1070041.9564821743</v>
      </c>
      <c r="FO94" s="194">
        <f t="shared" si="105"/>
        <v>1571199.893631201</v>
      </c>
      <c r="FP94" s="263">
        <f t="shared" si="69"/>
        <v>11701.8</v>
      </c>
      <c r="FQ94" s="194">
        <f t="shared" si="69"/>
        <v>0</v>
      </c>
      <c r="FR94" s="194">
        <f t="shared" si="69"/>
        <v>2127.6</v>
      </c>
      <c r="FS94" s="194">
        <f t="shared" si="68"/>
        <v>0</v>
      </c>
      <c r="FT94" s="194">
        <f t="shared" si="68"/>
        <v>2127.6</v>
      </c>
      <c r="FU94" s="194">
        <f t="shared" si="68"/>
        <v>0</v>
      </c>
      <c r="FV94" s="257">
        <f t="shared" si="68"/>
        <v>0</v>
      </c>
      <c r="FW94" s="189">
        <f t="shared" si="74"/>
        <v>0</v>
      </c>
      <c r="FX94" s="189">
        <f t="shared" si="75"/>
        <v>0</v>
      </c>
      <c r="FY94" s="189">
        <f t="shared" si="76"/>
        <v>0</v>
      </c>
      <c r="FZ94" s="258">
        <f t="shared" si="77"/>
        <v>0</v>
      </c>
      <c r="GA94" s="1293">
        <f>(SUM(FP94:FV94)+SUM(GU94:HB94)/(1-Summary!$O$25))*CY94/1000</f>
        <v>156780.66703968</v>
      </c>
      <c r="GB94" s="1369">
        <f>IF($C94&lt;Summary!$M$81,+Summary!$O$81,VLOOKUP(C94,GasTable,19))</f>
        <v>2.4</v>
      </c>
      <c r="GC94" s="1370">
        <f>IF(H94&lt;=Summary!$N$84,MIN(GA94,Summary!$O$75*(H94-G94+1)),0)</f>
        <v>150000</v>
      </c>
      <c r="GD94" s="1371">
        <f>IF(Summary!$O$75*(H94-G94+1)*0.8&gt;GC94,1,0)</f>
        <v>0</v>
      </c>
      <c r="GE94" s="1372">
        <v>0</v>
      </c>
      <c r="GF94" s="1370">
        <f t="shared" si="106"/>
        <v>6780.6670396800037</v>
      </c>
      <c r="GG94" s="1371">
        <f>GF94*(IF(Summary!$O$74=1,VLOOKUP($C94,GasTable,16)+Summary!$O$92+Summary!$O$93,VLOOKUP($C94,GasTable,19)+Summary!$O$92+Summary!$O$93))</f>
        <v>18529.312732321832</v>
      </c>
      <c r="GH94" s="1373">
        <v>17826</v>
      </c>
      <c r="GI94" s="1466">
        <v>0</v>
      </c>
      <c r="GJ94" s="1374">
        <f t="shared" si="107"/>
        <v>396355.31273232185</v>
      </c>
      <c r="GK94" s="189">
        <f t="shared" si="78"/>
        <v>20063.268000000004</v>
      </c>
      <c r="GL94" s="266">
        <v>0.76171131808000003</v>
      </c>
      <c r="GM94" s="255">
        <f t="shared" si="79"/>
        <v>14730</v>
      </c>
      <c r="GN94" s="189">
        <f>IF(SUM(GU94:HB94)=0,0,IF(Summary!$O$16="Yes",SUM(GX94:HB94),IF(Summary!$O$17="Yes",SUM(GY94:HB94),SUM(GU94:HB94))))</f>
        <v>4106.268</v>
      </c>
      <c r="GO94" s="203">
        <v>2.8412779445764338</v>
      </c>
      <c r="GP94" s="258">
        <f t="shared" si="108"/>
        <v>11667.048702919983</v>
      </c>
      <c r="GQ94" s="189"/>
      <c r="GR94" s="189"/>
      <c r="GS94" s="189"/>
      <c r="GT94" s="189"/>
      <c r="GU94" s="268">
        <v>0</v>
      </c>
      <c r="GV94" s="189">
        <v>0</v>
      </c>
      <c r="GW94" s="189">
        <v>0</v>
      </c>
      <c r="GX94" s="189"/>
      <c r="GY94" s="254">
        <v>3011.2631999999999</v>
      </c>
      <c r="GZ94" s="189">
        <v>547.50239999999997</v>
      </c>
      <c r="HA94" s="189">
        <v>547.50239999999997</v>
      </c>
      <c r="HB94" s="255"/>
      <c r="HC94" s="189">
        <v>4106.268</v>
      </c>
      <c r="HD94" s="189"/>
      <c r="HE94" s="189">
        <v>16425.072</v>
      </c>
      <c r="HF94" s="189">
        <v>122626.72480898257</v>
      </c>
      <c r="HG94" s="189"/>
      <c r="HH94" s="203">
        <v>29.863302835806763</v>
      </c>
      <c r="HI94" s="189">
        <v>490506.89923593029</v>
      </c>
      <c r="HJ94" s="268">
        <f t="shared" si="80"/>
        <v>0</v>
      </c>
      <c r="HK94" s="189">
        <f t="shared" si="81"/>
        <v>0</v>
      </c>
      <c r="HL94" s="189">
        <f t="shared" si="82"/>
        <v>0</v>
      </c>
      <c r="HM94" s="255">
        <f t="shared" si="83"/>
        <v>0</v>
      </c>
      <c r="HN94" s="189">
        <f t="shared" si="84"/>
        <v>0</v>
      </c>
      <c r="HO94" s="203">
        <f t="shared" si="109"/>
        <v>0</v>
      </c>
      <c r="HP94" s="258">
        <f t="shared" si="85"/>
        <v>0</v>
      </c>
      <c r="HQ94" s="804"/>
      <c r="HR94" s="268"/>
      <c r="HS94" s="38"/>
      <c r="HT94" s="255"/>
      <c r="HU94" s="254"/>
      <c r="HV94" s="203"/>
      <c r="HW94" s="189"/>
      <c r="HX94" s="1020"/>
      <c r="HY94" s="258"/>
      <c r="HZ94" s="268"/>
      <c r="IA94" s="203"/>
      <c r="IB94" s="255"/>
      <c r="IC94" s="254"/>
      <c r="ID94" s="203"/>
      <c r="IE94" s="255"/>
      <c r="IF94" s="189"/>
      <c r="IG94" s="203"/>
      <c r="IH94" s="255"/>
      <c r="II94" s="189"/>
      <c r="IJ94" s="203"/>
      <c r="IK94" s="189"/>
      <c r="IL94" s="1182"/>
      <c r="IM94" s="1403"/>
      <c r="IN94" s="254"/>
      <c r="IO94" s="254"/>
      <c r="IP94" s="254"/>
      <c r="IQ94" s="254"/>
      <c r="IR94" s="223"/>
    </row>
    <row r="95" spans="1:252" ht="13.8" thickBot="1">
      <c r="A95" t="str">
        <f t="shared" si="86"/>
        <v>2006Q3</v>
      </c>
      <c r="B95">
        <f t="shared" si="87"/>
        <v>2006</v>
      </c>
      <c r="C95" s="49">
        <f t="shared" si="88"/>
        <v>38899</v>
      </c>
      <c r="D95" s="115">
        <f t="shared" si="89"/>
        <v>2006</v>
      </c>
      <c r="E95" s="10">
        <f t="shared" si="112"/>
        <v>7</v>
      </c>
      <c r="F95" s="248">
        <f t="shared" si="113"/>
        <v>38902</v>
      </c>
      <c r="G95" s="245">
        <v>38899</v>
      </c>
      <c r="H95" s="251">
        <v>38929</v>
      </c>
      <c r="I95" s="959">
        <f t="shared" si="110"/>
        <v>7.1499999999999994E-2</v>
      </c>
      <c r="J95" s="37">
        <f t="shared" si="90"/>
        <v>0.62543634653624791</v>
      </c>
      <c r="K95" s="1036"/>
      <c r="L95" s="37"/>
      <c r="M95" s="1004">
        <v>0</v>
      </c>
      <c r="N95" s="38">
        <f t="shared" si="115"/>
        <v>0</v>
      </c>
      <c r="O95" s="40">
        <f t="shared" si="115"/>
        <v>0</v>
      </c>
      <c r="P95" s="159">
        <f t="shared" si="117"/>
        <v>0</v>
      </c>
      <c r="Q95" s="38">
        <f t="shared" si="116"/>
        <v>0</v>
      </c>
      <c r="R95" s="40">
        <f t="shared" si="116"/>
        <v>0</v>
      </c>
      <c r="S95" s="38">
        <f t="shared" si="116"/>
        <v>0</v>
      </c>
      <c r="T95" s="38">
        <f t="shared" si="116"/>
        <v>0</v>
      </c>
      <c r="U95" s="38">
        <f t="shared" si="116"/>
        <v>0</v>
      </c>
      <c r="V95" s="159">
        <f t="shared" si="116"/>
        <v>0</v>
      </c>
      <c r="W95" s="38">
        <f t="shared" si="116"/>
        <v>0</v>
      </c>
      <c r="X95" s="39">
        <f t="shared" si="116"/>
        <v>0</v>
      </c>
      <c r="Y95" s="46">
        <v>0</v>
      </c>
      <c r="Z95" s="46">
        <v>0</v>
      </c>
      <c r="AA95" s="47">
        <v>0</v>
      </c>
      <c r="AB95" s="46">
        <v>0</v>
      </c>
      <c r="AC95" s="46">
        <v>0</v>
      </c>
      <c r="AD95" s="47">
        <v>0</v>
      </c>
      <c r="AE95" s="46">
        <v>0</v>
      </c>
      <c r="AF95" s="46">
        <v>0</v>
      </c>
      <c r="AG95" s="47">
        <v>0</v>
      </c>
      <c r="AH95" s="46">
        <v>0</v>
      </c>
      <c r="AI95" s="46">
        <v>0</v>
      </c>
      <c r="AJ95" s="47">
        <v>0</v>
      </c>
      <c r="AK95" s="46">
        <v>0</v>
      </c>
      <c r="AL95" s="46">
        <v>0</v>
      </c>
      <c r="AM95" s="47">
        <v>0</v>
      </c>
      <c r="AN95" s="46">
        <v>0</v>
      </c>
      <c r="AO95" s="46">
        <v>0</v>
      </c>
      <c r="AP95" s="47">
        <v>0</v>
      </c>
      <c r="AQ95" s="46">
        <v>0</v>
      </c>
      <c r="AR95" s="46">
        <v>0</v>
      </c>
      <c r="AS95" s="47">
        <v>0</v>
      </c>
      <c r="AT95" s="46">
        <v>0</v>
      </c>
      <c r="AU95" s="46">
        <v>0</v>
      </c>
      <c r="AV95" s="46">
        <v>0</v>
      </c>
      <c r="AW95" s="1545">
        <v>0</v>
      </c>
      <c r="AX95" s="10">
        <f t="shared" si="114"/>
        <v>20</v>
      </c>
      <c r="AY95" s="42">
        <f>IF(AND($E95=MONTH(Summary!$E$24),$D95=YEAR(Summary!$E$24)),Summary!$E$25,1)*IF(G95="",0,INT((H95-MOD(H95,7)-G95)/7)+1-IF(BA95,IF(WEEKDAY(F95)=7,1,0),0))</f>
        <v>5</v>
      </c>
      <c r="AZ95" s="42">
        <f>IF(AND($E95=MONTH(Summary!$E$24),$D95=YEAR(Summary!$E$24)),Summary!$E$25,1)*IF(G95="",0,INT((H95-MOD(H95-1,7)-G95)/7)+1-IF(BA95,IF(WEEKDAY(F95)=1,1,0),0))</f>
        <v>5</v>
      </c>
      <c r="BA95" s="42">
        <v>1</v>
      </c>
      <c r="BB95" s="10">
        <f>IF(AND($E95=MONTH(Summary!$E$24),$D95=YEAR(Summary!$E$24)),Summary!$E$25,1)*IF(G95="",0,H95-G95+1)</f>
        <v>31</v>
      </c>
      <c r="BC95" s="914">
        <f>Summary!$E$19</f>
        <v>1.4999999999999999E-2</v>
      </c>
      <c r="BD95" s="113">
        <v>14184</v>
      </c>
      <c r="BE95" s="171">
        <v>3546</v>
      </c>
      <c r="BF95" s="171">
        <v>4255.2</v>
      </c>
      <c r="BG95" s="174"/>
      <c r="BH95" s="1198">
        <v>1</v>
      </c>
      <c r="BI95" s="1198">
        <v>1</v>
      </c>
      <c r="BJ95" s="1198">
        <v>1</v>
      </c>
      <c r="BK95" s="1198">
        <v>1</v>
      </c>
      <c r="BL95" s="95">
        <v>2836.8</v>
      </c>
      <c r="BM95" s="171">
        <v>709.2</v>
      </c>
      <c r="BN95" s="171">
        <v>851.04</v>
      </c>
      <c r="BO95" s="174"/>
      <c r="BP95" s="1198">
        <v>1</v>
      </c>
      <c r="BQ95" s="1199">
        <v>1</v>
      </c>
      <c r="BR95" s="1199">
        <v>1</v>
      </c>
      <c r="BS95" s="1200">
        <v>1</v>
      </c>
      <c r="BT95" s="94">
        <f t="shared" si="91"/>
        <v>21985.200000000001</v>
      </c>
      <c r="BU95" s="233">
        <f t="shared" si="92"/>
        <v>21985.200000000001</v>
      </c>
      <c r="BV95" s="92">
        <f t="shared" si="93"/>
        <v>4397.04</v>
      </c>
      <c r="BW95" s="233">
        <f t="shared" si="94"/>
        <v>4397.04</v>
      </c>
      <c r="BX95" s="88">
        <v>6.5434633812457221</v>
      </c>
      <c r="BY95" s="90">
        <v>0</v>
      </c>
      <c r="BZ95" s="88">
        <v>0</v>
      </c>
      <c r="CA95" s="88">
        <v>0</v>
      </c>
      <c r="CB95" s="88">
        <v>0</v>
      </c>
      <c r="CC95" s="88">
        <v>0</v>
      </c>
      <c r="CD95" s="88">
        <v>0</v>
      </c>
      <c r="CE95" s="100">
        <v>0</v>
      </c>
      <c r="CF95" s="88">
        <v>0</v>
      </c>
      <c r="CG95" s="88">
        <v>0</v>
      </c>
      <c r="CH95" s="88">
        <v>0</v>
      </c>
      <c r="CI95" s="88">
        <v>0</v>
      </c>
      <c r="CJ95" s="228">
        <v>0</v>
      </c>
      <c r="CK95" s="88">
        <v>0</v>
      </c>
      <c r="CL95" s="88">
        <v>0</v>
      </c>
      <c r="CM95" s="88">
        <v>0</v>
      </c>
      <c r="CN95" s="88">
        <v>0</v>
      </c>
      <c r="CO95" s="88">
        <v>0</v>
      </c>
      <c r="CP95" s="88">
        <v>0</v>
      </c>
      <c r="CQ95" s="229">
        <v>0</v>
      </c>
      <c r="CR95" s="91">
        <v>0</v>
      </c>
      <c r="CS95" s="91">
        <v>0</v>
      </c>
      <c r="CT95" s="91">
        <v>0</v>
      </c>
      <c r="CU95" s="91">
        <v>0</v>
      </c>
      <c r="CV95" s="91">
        <v>0</v>
      </c>
      <c r="CW95" s="91">
        <v>0</v>
      </c>
      <c r="CX95" s="225">
        <v>0</v>
      </c>
      <c r="CY95" s="1265">
        <v>7758.0372800000005</v>
      </c>
      <c r="CZ95" s="90">
        <v>0</v>
      </c>
      <c r="DA95" s="88">
        <v>0</v>
      </c>
      <c r="DB95" s="88">
        <v>0</v>
      </c>
      <c r="DC95" s="88">
        <v>0</v>
      </c>
      <c r="DD95" s="88">
        <v>0</v>
      </c>
      <c r="DE95" s="152">
        <v>0</v>
      </c>
      <c r="DF95" s="230">
        <v>0</v>
      </c>
      <c r="DG95" s="38">
        <v>0</v>
      </c>
      <c r="DH95" s="1237">
        <v>0</v>
      </c>
      <c r="DI95" s="956">
        <v>0</v>
      </c>
      <c r="DJ95" s="956">
        <v>0</v>
      </c>
      <c r="DK95" s="956">
        <v>0</v>
      </c>
      <c r="DL95" s="152">
        <v>0</v>
      </c>
      <c r="DM95" s="160">
        <v>0</v>
      </c>
      <c r="DN95" s="160">
        <v>0</v>
      </c>
      <c r="DO95" s="160">
        <v>0</v>
      </c>
      <c r="DP95" s="160">
        <v>0</v>
      </c>
      <c r="DQ95" s="160">
        <v>0</v>
      </c>
      <c r="DR95" s="230">
        <v>0</v>
      </c>
      <c r="DS95" s="88">
        <v>0</v>
      </c>
      <c r="DT95" s="88">
        <v>0</v>
      </c>
      <c r="DU95" s="88">
        <v>0</v>
      </c>
      <c r="DV95" s="88">
        <v>0</v>
      </c>
      <c r="DW95" s="88">
        <v>0</v>
      </c>
      <c r="DX95" s="88">
        <v>0</v>
      </c>
      <c r="DY95" s="88">
        <v>0</v>
      </c>
      <c r="DZ95" s="88">
        <v>0</v>
      </c>
      <c r="EA95" s="88">
        <v>0</v>
      </c>
      <c r="EB95" s="152">
        <v>0</v>
      </c>
      <c r="EC95" s="52">
        <f t="shared" si="95"/>
        <v>0</v>
      </c>
      <c r="ED95" s="52">
        <f t="shared" si="95"/>
        <v>0</v>
      </c>
      <c r="EE95" s="52">
        <f t="shared" si="95"/>
        <v>0</v>
      </c>
      <c r="EF95" s="52">
        <f t="shared" si="71"/>
        <v>0</v>
      </c>
      <c r="EG95" s="52">
        <f t="shared" si="96"/>
        <v>0</v>
      </c>
      <c r="EH95" s="238">
        <v>0</v>
      </c>
      <c r="EI95" s="211">
        <v>0</v>
      </c>
      <c r="EJ95" s="211">
        <v>0</v>
      </c>
      <c r="EK95" s="211">
        <v>0</v>
      </c>
      <c r="EL95" s="217">
        <f>IF(C95&gt;=Summary!$E$26,MAX(0,SUM(EH95:EK95)),0)</f>
        <v>0</v>
      </c>
      <c r="EM95" s="52">
        <f>IF(C95&gt;=Summary!$E$26,DX95*BL95,0)</f>
        <v>0</v>
      </c>
      <c r="EN95" s="52">
        <f>IF(C95&gt;=Summary!$E$26,DY95*BM95,0)</f>
        <v>0</v>
      </c>
      <c r="EO95" s="52">
        <f>IF(C95&gt;=Summary!$E$26,DZ95*BN95,0)</f>
        <v>0</v>
      </c>
      <c r="EP95" s="52">
        <f>IF(C95&gt;=Summary!$E$26,EA95*BO95,0)</f>
        <v>0</v>
      </c>
      <c r="EQ95" s="52">
        <f>IF(C95&gt;=Summary!$E$26,DX95*BL95+DY95*BM95+DZ95*BN95+EA95*BO95,0)</f>
        <v>0</v>
      </c>
      <c r="ER95" s="826">
        <v>0</v>
      </c>
      <c r="ES95" s="278">
        <v>0</v>
      </c>
      <c r="ET95" s="278">
        <v>0</v>
      </c>
      <c r="EU95" s="278">
        <v>0</v>
      </c>
      <c r="EV95" s="212">
        <f>IF(C95&gt;=Summary!$E$26,MAX(0,SUM(ER95:EU95)),0)</f>
        <v>0</v>
      </c>
      <c r="EW95" s="52"/>
      <c r="EX95" s="1049">
        <f t="shared" si="97"/>
        <v>0</v>
      </c>
      <c r="EY95" s="1045" t="str">
        <f t="shared" si="98"/>
        <v/>
      </c>
      <c r="EZ95" s="1684" t="s">
        <v>525</v>
      </c>
      <c r="FA95" s="1046">
        <f t="shared" si="111"/>
        <v>45</v>
      </c>
      <c r="FB95" s="256">
        <f t="shared" si="99"/>
        <v>10638</v>
      </c>
      <c r="FC95" s="194">
        <f t="shared" si="100"/>
        <v>0</v>
      </c>
      <c r="FD95" s="194">
        <f t="shared" si="101"/>
        <v>2659.5</v>
      </c>
      <c r="FE95" s="194">
        <f t="shared" si="102"/>
        <v>0</v>
      </c>
      <c r="FF95" s="194">
        <f t="shared" si="103"/>
        <v>3191.4</v>
      </c>
      <c r="FG95" s="194">
        <f t="shared" si="104"/>
        <v>0</v>
      </c>
      <c r="FH95" s="257">
        <f>IF(EZ95="No",IF((OR(MONTH(C95)=5,MONTH(C95)=6,MONTH(C95)=7,MONTH(C95)=8,MONTH(C95)=9)),Summary!$O$15*12*(AX95+AY95+AZ95+BA95)*(1-$BC95),Summary!$O$15*13*(AX95+AY95+AZ95+BA95)*(1-$BC95)+IF(Summary!$O$16="Yes",(CALC!FA95+Summary!$O$15)*6*(AX95+AY95+AZ95+BA95)*(1-$BC95),0)),0)</f>
        <v>0</v>
      </c>
      <c r="FI95" s="1412">
        <f>IF(MONTH(C95)=5,FI94*(IF(Summary!$E$70="no",(1+(Summary!$E$71*0.8)),1+HLOOKUP(YEAR(C95)-1,CCFMODEL!$I$127:$AF$128,2)*0.8)),+FI94)</f>
        <v>31.406776784422302</v>
      </c>
      <c r="FJ95" s="1411">
        <f>IF(MONTH(C95)=5,FJ94*(IF(Summary!$E$70="no",(1+(Summary!$E$71*0.8)),1+HLOOKUP(YEAR(CALC!C95)-1,CCFMODEL!$I$127:$AF$128,2)*0.8)),FJ94)</f>
        <v>27.450017504495079</v>
      </c>
      <c r="FK95" s="832">
        <f t="shared" si="72"/>
        <v>517863.20172066096</v>
      </c>
      <c r="FL95" s="1412">
        <f>IF(MONTH(C95)=5,FL94*(IF(Summary!$E$70="no",(1+(Summary!$E$71*0.8)),1+HLOOKUP(YEAR(CALC!C95)-1,CCFMODEL!$I$127:$AF$128,2)*0.8)),+FL94)</f>
        <v>66.051972622356445</v>
      </c>
      <c r="FM95" s="1411">
        <f>IF(MONTH(C95)=5,FM94*(IF(Summary!$E$70="no",(1+(Summary!$E$71*0.8)),1+HLOOKUP(YEAR(CALC!C95)-1,CCFMODEL!$I$127:$AF$128,2)*0.8)),+FM94)</f>
        <v>31.524537477277274</v>
      </c>
      <c r="FN95" s="832">
        <f t="shared" si="73"/>
        <v>1105710.0216982469</v>
      </c>
      <c r="FO95" s="194">
        <f t="shared" si="105"/>
        <v>1623573.223418908</v>
      </c>
      <c r="FP95" s="263">
        <f t="shared" si="69"/>
        <v>10638</v>
      </c>
      <c r="FQ95" s="194">
        <f t="shared" si="69"/>
        <v>0</v>
      </c>
      <c r="FR95" s="194">
        <f t="shared" si="69"/>
        <v>2659.5</v>
      </c>
      <c r="FS95" s="194">
        <f t="shared" si="68"/>
        <v>0</v>
      </c>
      <c r="FT95" s="194">
        <f t="shared" si="68"/>
        <v>3191.4</v>
      </c>
      <c r="FU95" s="194">
        <f t="shared" si="68"/>
        <v>0</v>
      </c>
      <c r="FV95" s="257">
        <f t="shared" si="68"/>
        <v>0</v>
      </c>
      <c r="FW95" s="189">
        <f t="shared" si="74"/>
        <v>0</v>
      </c>
      <c r="FX95" s="189">
        <f t="shared" si="75"/>
        <v>0</v>
      </c>
      <c r="FY95" s="189">
        <f t="shared" si="76"/>
        <v>0</v>
      </c>
      <c r="FZ95" s="258">
        <f t="shared" si="77"/>
        <v>0</v>
      </c>
      <c r="GA95" s="1293">
        <f>(SUM(FP95:FV95)+SUM(GU95:HB95)/(1-Summary!$O$25))*CY95/1000</f>
        <v>204674.40144990725</v>
      </c>
      <c r="GB95" s="1369">
        <f>IF($C95&lt;Summary!$M$81,+Summary!$O$81,VLOOKUP(C95,GasTable,19))</f>
        <v>2.4</v>
      </c>
      <c r="GC95" s="1370">
        <f>IF(H95&lt;=Summary!$N$84,MIN(GA95,Summary!$O$75*(H95-G95+1)),0)</f>
        <v>155000</v>
      </c>
      <c r="GD95" s="1371">
        <f>IF(Summary!$O$75*(H95-G95+1)*0.8&gt;GC95,1,0)</f>
        <v>0</v>
      </c>
      <c r="GE95" s="1372">
        <v>0</v>
      </c>
      <c r="GF95" s="1370">
        <f t="shared" si="106"/>
        <v>49674.401449907251</v>
      </c>
      <c r="GG95" s="1371">
        <f>GF95*(IF(Summary!$O$74=1,VLOOKUP($C95,GasTable,16)+Summary!$O$92+Summary!$O$93,VLOOKUP($C95,GasTable,19)+Summary!$O$92+Summary!$O$93))</f>
        <v>139378.28158291106</v>
      </c>
      <c r="GH95" s="1373">
        <v>18494.599999999999</v>
      </c>
      <c r="GI95" s="1466">
        <v>0</v>
      </c>
      <c r="GJ95" s="1374">
        <f t="shared" si="107"/>
        <v>529872.88158291101</v>
      </c>
      <c r="GK95" s="189">
        <f t="shared" si="78"/>
        <v>26035.973099999999</v>
      </c>
      <c r="GL95" s="266">
        <v>0.76183926089600007</v>
      </c>
      <c r="GM95" s="255">
        <f t="shared" si="79"/>
        <v>15221</v>
      </c>
      <c r="GN95" s="189">
        <f>IF(SUM(GU95:HB95)=0,0,IF(Summary!$O$16="Yes",SUM(GX95:HB95),IF(Summary!$O$17="Yes",SUM(GY95:HB95),SUM(GU95:HB95))))</f>
        <v>9547.0731000000014</v>
      </c>
      <c r="GO95" s="203">
        <v>2.8412779445764338</v>
      </c>
      <c r="GP95" s="258">
        <f t="shared" si="108"/>
        <v>27125.888234288966</v>
      </c>
      <c r="GQ95" s="189"/>
      <c r="GR95" s="189"/>
      <c r="GS95" s="189"/>
      <c r="GT95" s="189"/>
      <c r="GU95" s="268">
        <v>3421.89</v>
      </c>
      <c r="GV95" s="189">
        <v>855.47249999999997</v>
      </c>
      <c r="GW95" s="189">
        <v>1026.5669999999998</v>
      </c>
      <c r="GX95" s="189"/>
      <c r="GY95" s="254">
        <v>2737.5120000000002</v>
      </c>
      <c r="GZ95" s="189">
        <v>684.37800000000004</v>
      </c>
      <c r="HA95" s="189">
        <v>821.25359999999989</v>
      </c>
      <c r="HB95" s="255"/>
      <c r="HC95" s="189">
        <v>9547.0731000000014</v>
      </c>
      <c r="HD95" s="189"/>
      <c r="HE95" s="189">
        <v>22276.503900000003</v>
      </c>
      <c r="HF95" s="189">
        <v>373241.653321855</v>
      </c>
      <c r="HG95" s="189"/>
      <c r="HH95" s="203">
        <v>41.400495878191776</v>
      </c>
      <c r="HI95" s="189">
        <v>922258.30789247318</v>
      </c>
      <c r="HJ95" s="268">
        <f t="shared" si="80"/>
        <v>0</v>
      </c>
      <c r="HK95" s="189">
        <f t="shared" si="81"/>
        <v>0</v>
      </c>
      <c r="HL95" s="189">
        <f t="shared" si="82"/>
        <v>0</v>
      </c>
      <c r="HM95" s="255">
        <f t="shared" si="83"/>
        <v>0</v>
      </c>
      <c r="HN95" s="189">
        <f t="shared" si="84"/>
        <v>0</v>
      </c>
      <c r="HO95" s="203">
        <f t="shared" si="109"/>
        <v>0</v>
      </c>
      <c r="HP95" s="258">
        <f t="shared" si="85"/>
        <v>0</v>
      </c>
      <c r="HQ95" s="804"/>
      <c r="HR95" s="268"/>
      <c r="HS95" s="38"/>
      <c r="HT95" s="255"/>
      <c r="HU95" s="254"/>
      <c r="HV95" s="203"/>
      <c r="HW95" s="189"/>
      <c r="HX95" s="1020"/>
      <c r="HY95" s="258"/>
      <c r="HZ95" s="268"/>
      <c r="IA95" s="203"/>
      <c r="IB95" s="255"/>
      <c r="IC95" s="254"/>
      <c r="ID95" s="203"/>
      <c r="IE95" s="255"/>
      <c r="IF95" s="189"/>
      <c r="IG95" s="203"/>
      <c r="IH95" s="255"/>
      <c r="II95" s="189"/>
      <c r="IJ95" s="203"/>
      <c r="IK95" s="189"/>
      <c r="IL95" s="1182"/>
      <c r="IM95" s="1403"/>
      <c r="IN95" s="254"/>
      <c r="IO95" s="254"/>
      <c r="IP95" s="254"/>
      <c r="IQ95" s="254"/>
      <c r="IR95" s="223"/>
    </row>
    <row r="96" spans="1:252" ht="13.8" thickBot="1">
      <c r="A96" t="str">
        <f t="shared" si="86"/>
        <v>2006Q3</v>
      </c>
      <c r="B96">
        <f t="shared" si="87"/>
        <v>2006</v>
      </c>
      <c r="C96" s="49">
        <f t="shared" si="88"/>
        <v>38930</v>
      </c>
      <c r="D96" s="115">
        <f t="shared" si="89"/>
        <v>2006</v>
      </c>
      <c r="E96" s="10">
        <f t="shared" si="112"/>
        <v>8</v>
      </c>
      <c r="F96" s="248" t="str">
        <f t="shared" si="113"/>
        <v/>
      </c>
      <c r="G96" s="245">
        <v>38930</v>
      </c>
      <c r="H96" s="251">
        <v>38960</v>
      </c>
      <c r="I96" s="959">
        <f t="shared" si="110"/>
        <v>7.1499999999999994E-2</v>
      </c>
      <c r="J96" s="37">
        <f t="shared" si="90"/>
        <v>0.62171828361925652</v>
      </c>
      <c r="K96" s="1036"/>
      <c r="L96" s="37"/>
      <c r="M96" s="1004">
        <v>0</v>
      </c>
      <c r="N96" s="38">
        <f t="shared" si="115"/>
        <v>0</v>
      </c>
      <c r="O96" s="40">
        <f t="shared" si="115"/>
        <v>0</v>
      </c>
      <c r="P96" s="159">
        <f t="shared" si="117"/>
        <v>0</v>
      </c>
      <c r="Q96" s="38">
        <f t="shared" si="116"/>
        <v>0</v>
      </c>
      <c r="R96" s="40">
        <f t="shared" si="116"/>
        <v>0</v>
      </c>
      <c r="S96" s="38">
        <f t="shared" si="116"/>
        <v>0</v>
      </c>
      <c r="T96" s="38">
        <f t="shared" si="116"/>
        <v>0</v>
      </c>
      <c r="U96" s="38">
        <f t="shared" si="116"/>
        <v>0</v>
      </c>
      <c r="V96" s="159">
        <f t="shared" si="116"/>
        <v>0</v>
      </c>
      <c r="W96" s="38">
        <f t="shared" si="116"/>
        <v>0</v>
      </c>
      <c r="X96" s="39">
        <f t="shared" si="116"/>
        <v>0</v>
      </c>
      <c r="Y96" s="46">
        <v>0</v>
      </c>
      <c r="Z96" s="46">
        <v>0</v>
      </c>
      <c r="AA96" s="47">
        <v>0</v>
      </c>
      <c r="AB96" s="46">
        <v>0</v>
      </c>
      <c r="AC96" s="46">
        <v>0</v>
      </c>
      <c r="AD96" s="47">
        <v>0</v>
      </c>
      <c r="AE96" s="46">
        <v>0</v>
      </c>
      <c r="AF96" s="46">
        <v>0</v>
      </c>
      <c r="AG96" s="47">
        <v>0</v>
      </c>
      <c r="AH96" s="46">
        <v>0</v>
      </c>
      <c r="AI96" s="46">
        <v>0</v>
      </c>
      <c r="AJ96" s="47">
        <v>0</v>
      </c>
      <c r="AK96" s="46">
        <v>0</v>
      </c>
      <c r="AL96" s="46">
        <v>0</v>
      </c>
      <c r="AM96" s="47">
        <v>0</v>
      </c>
      <c r="AN96" s="46">
        <v>0</v>
      </c>
      <c r="AO96" s="46">
        <v>0</v>
      </c>
      <c r="AP96" s="47">
        <v>0</v>
      </c>
      <c r="AQ96" s="46">
        <v>0</v>
      </c>
      <c r="AR96" s="46">
        <v>0</v>
      </c>
      <c r="AS96" s="47">
        <v>0</v>
      </c>
      <c r="AT96" s="46">
        <v>0</v>
      </c>
      <c r="AU96" s="46">
        <v>0</v>
      </c>
      <c r="AV96" s="46">
        <v>0</v>
      </c>
      <c r="AW96" s="1545">
        <v>0</v>
      </c>
      <c r="AX96" s="10">
        <f t="shared" si="114"/>
        <v>23</v>
      </c>
      <c r="AY96" s="42">
        <f>IF(AND($E96=MONTH(Summary!$E$24),$D96=YEAR(Summary!$E$24)),Summary!$E$25,1)*IF(G96="",0,INT((H96-MOD(H96,7)-G96)/7)+1-IF(BA96,IF(WEEKDAY(F96)=7,1,0),0))</f>
        <v>4</v>
      </c>
      <c r="AZ96" s="42">
        <f>IF(AND($E96=MONTH(Summary!$E$24),$D96=YEAR(Summary!$E$24)),Summary!$E$25,1)*IF(G96="",0,INT((H96-MOD(H96-1,7)-G96)/7)+1-IF(BA96,IF(WEEKDAY(F96)=1,1,0),0))</f>
        <v>4</v>
      </c>
      <c r="BA96" s="42">
        <v>0</v>
      </c>
      <c r="BB96" s="10">
        <f>IF(AND($E96=MONTH(Summary!$E$24),$D96=YEAR(Summary!$E$24)),Summary!$E$25,1)*IF(G96="",0,H96-G96+1)</f>
        <v>31</v>
      </c>
      <c r="BC96" s="914">
        <f>Summary!$E$19</f>
        <v>1.4999999999999999E-2</v>
      </c>
      <c r="BD96" s="113">
        <v>16311.6</v>
      </c>
      <c r="BE96" s="171">
        <v>2836.8</v>
      </c>
      <c r="BF96" s="171">
        <v>2836.8</v>
      </c>
      <c r="BG96" s="174"/>
      <c r="BH96" s="1198">
        <v>1</v>
      </c>
      <c r="BI96" s="1198">
        <v>1</v>
      </c>
      <c r="BJ96" s="1198">
        <v>1</v>
      </c>
      <c r="BK96" s="1198">
        <v>1</v>
      </c>
      <c r="BL96" s="95">
        <v>3262.32</v>
      </c>
      <c r="BM96" s="171">
        <v>567.36</v>
      </c>
      <c r="BN96" s="171">
        <v>567.36</v>
      </c>
      <c r="BO96" s="174"/>
      <c r="BP96" s="1198">
        <v>1</v>
      </c>
      <c r="BQ96" s="1199">
        <v>1</v>
      </c>
      <c r="BR96" s="1199">
        <v>1</v>
      </c>
      <c r="BS96" s="1200">
        <v>1</v>
      </c>
      <c r="BT96" s="94">
        <f t="shared" si="91"/>
        <v>21985.200000000001</v>
      </c>
      <c r="BU96" s="233">
        <f t="shared" si="92"/>
        <v>21985.200000000001</v>
      </c>
      <c r="BV96" s="92">
        <f t="shared" si="93"/>
        <v>4397.04</v>
      </c>
      <c r="BW96" s="233">
        <f t="shared" si="94"/>
        <v>4397.04</v>
      </c>
      <c r="BX96" s="88">
        <v>6.6283367556468171</v>
      </c>
      <c r="BY96" s="90">
        <v>0</v>
      </c>
      <c r="BZ96" s="88">
        <v>0</v>
      </c>
      <c r="CA96" s="88">
        <v>0</v>
      </c>
      <c r="CB96" s="88">
        <v>0</v>
      </c>
      <c r="CC96" s="88">
        <v>0</v>
      </c>
      <c r="CD96" s="88">
        <v>0</v>
      </c>
      <c r="CE96" s="100">
        <v>0</v>
      </c>
      <c r="CF96" s="88">
        <v>0</v>
      </c>
      <c r="CG96" s="88">
        <v>0</v>
      </c>
      <c r="CH96" s="88">
        <v>0</v>
      </c>
      <c r="CI96" s="88">
        <v>0</v>
      </c>
      <c r="CJ96" s="228">
        <v>0</v>
      </c>
      <c r="CK96" s="88">
        <v>0</v>
      </c>
      <c r="CL96" s="88">
        <v>0</v>
      </c>
      <c r="CM96" s="88">
        <v>0</v>
      </c>
      <c r="CN96" s="88">
        <v>0</v>
      </c>
      <c r="CO96" s="88">
        <v>0</v>
      </c>
      <c r="CP96" s="88">
        <v>0</v>
      </c>
      <c r="CQ96" s="229">
        <v>0</v>
      </c>
      <c r="CR96" s="91">
        <v>0</v>
      </c>
      <c r="CS96" s="91">
        <v>0</v>
      </c>
      <c r="CT96" s="91">
        <v>0</v>
      </c>
      <c r="CU96" s="91">
        <v>0</v>
      </c>
      <c r="CV96" s="91">
        <v>0</v>
      </c>
      <c r="CW96" s="91">
        <v>0</v>
      </c>
      <c r="CX96" s="225">
        <v>0</v>
      </c>
      <c r="CY96" s="1265">
        <v>7759.3401599999997</v>
      </c>
      <c r="CZ96" s="90">
        <v>0</v>
      </c>
      <c r="DA96" s="88">
        <v>0</v>
      </c>
      <c r="DB96" s="88">
        <v>0</v>
      </c>
      <c r="DC96" s="88">
        <v>0</v>
      </c>
      <c r="DD96" s="88">
        <v>0</v>
      </c>
      <c r="DE96" s="152">
        <v>0</v>
      </c>
      <c r="DF96" s="230">
        <v>0</v>
      </c>
      <c r="DG96" s="38">
        <v>0</v>
      </c>
      <c r="DH96" s="1237">
        <v>0</v>
      </c>
      <c r="DI96" s="956">
        <v>0</v>
      </c>
      <c r="DJ96" s="956">
        <v>0</v>
      </c>
      <c r="DK96" s="956">
        <v>0</v>
      </c>
      <c r="DL96" s="152">
        <v>0</v>
      </c>
      <c r="DM96" s="160">
        <v>0</v>
      </c>
      <c r="DN96" s="160">
        <v>0</v>
      </c>
      <c r="DO96" s="160">
        <v>0</v>
      </c>
      <c r="DP96" s="160">
        <v>0</v>
      </c>
      <c r="DQ96" s="160">
        <v>0</v>
      </c>
      <c r="DR96" s="230">
        <v>0</v>
      </c>
      <c r="DS96" s="88">
        <v>0</v>
      </c>
      <c r="DT96" s="88">
        <v>0</v>
      </c>
      <c r="DU96" s="88">
        <v>0</v>
      </c>
      <c r="DV96" s="88">
        <v>0</v>
      </c>
      <c r="DW96" s="88">
        <v>0</v>
      </c>
      <c r="DX96" s="88">
        <v>0</v>
      </c>
      <c r="DY96" s="88">
        <v>0</v>
      </c>
      <c r="DZ96" s="88">
        <v>0</v>
      </c>
      <c r="EA96" s="88">
        <v>0</v>
      </c>
      <c r="EB96" s="152">
        <v>0</v>
      </c>
      <c r="EC96" s="52">
        <f t="shared" si="95"/>
        <v>0</v>
      </c>
      <c r="ED96" s="52">
        <f t="shared" si="95"/>
        <v>0</v>
      </c>
      <c r="EE96" s="52">
        <f t="shared" si="95"/>
        <v>0</v>
      </c>
      <c r="EF96" s="52">
        <f t="shared" si="71"/>
        <v>0</v>
      </c>
      <c r="EG96" s="52">
        <f t="shared" si="96"/>
        <v>0</v>
      </c>
      <c r="EH96" s="238">
        <v>0</v>
      </c>
      <c r="EI96" s="211">
        <v>0</v>
      </c>
      <c r="EJ96" s="211">
        <v>0</v>
      </c>
      <c r="EK96" s="211">
        <v>0</v>
      </c>
      <c r="EL96" s="217">
        <f>IF(C96&gt;=Summary!$E$26,MAX(0,SUM(EH96:EK96)),0)</f>
        <v>0</v>
      </c>
      <c r="EM96" s="52">
        <f>IF(C96&gt;=Summary!$E$26,DX96*BL96,0)</f>
        <v>0</v>
      </c>
      <c r="EN96" s="52">
        <f>IF(C96&gt;=Summary!$E$26,DY96*BM96,0)</f>
        <v>0</v>
      </c>
      <c r="EO96" s="52">
        <f>IF(C96&gt;=Summary!$E$26,DZ96*BN96,0)</f>
        <v>0</v>
      </c>
      <c r="EP96" s="52">
        <f>IF(C96&gt;=Summary!$E$26,EA96*BO96,0)</f>
        <v>0</v>
      </c>
      <c r="EQ96" s="52">
        <f>IF(C96&gt;=Summary!$E$26,DX96*BL96+DY96*BM96+DZ96*BN96+EA96*BO96,0)</f>
        <v>0</v>
      </c>
      <c r="ER96" s="826">
        <v>0</v>
      </c>
      <c r="ES96" s="278">
        <v>0</v>
      </c>
      <c r="ET96" s="278">
        <v>0</v>
      </c>
      <c r="EU96" s="278">
        <v>0</v>
      </c>
      <c r="EV96" s="212">
        <f>IF(C96&gt;=Summary!$E$26,MAX(0,SUM(ER96:EU96)),0)</f>
        <v>0</v>
      </c>
      <c r="EW96" s="52"/>
      <c r="EX96" s="1049">
        <f t="shared" si="97"/>
        <v>0</v>
      </c>
      <c r="EY96" s="1045" t="str">
        <f t="shared" si="98"/>
        <v/>
      </c>
      <c r="EZ96" s="1684" t="s">
        <v>525</v>
      </c>
      <c r="FA96" s="1046">
        <f t="shared" si="111"/>
        <v>45</v>
      </c>
      <c r="FB96" s="256">
        <f t="shared" si="99"/>
        <v>12233.7</v>
      </c>
      <c r="FC96" s="194">
        <f t="shared" si="100"/>
        <v>0</v>
      </c>
      <c r="FD96" s="194">
        <f t="shared" si="101"/>
        <v>2127.6</v>
      </c>
      <c r="FE96" s="194">
        <f t="shared" si="102"/>
        <v>0</v>
      </c>
      <c r="FF96" s="194">
        <f t="shared" si="103"/>
        <v>2127.6</v>
      </c>
      <c r="FG96" s="194">
        <f t="shared" si="104"/>
        <v>0</v>
      </c>
      <c r="FH96" s="257">
        <f>IF(EZ96="No",IF((OR(MONTH(C96)=5,MONTH(C96)=6,MONTH(C96)=7,MONTH(C96)=8,MONTH(C96)=9)),Summary!$O$15*12*(AX96+AY96+AZ96+BA96)*(1-$BC96),Summary!$O$15*13*(AX96+AY96+AZ96+BA96)*(1-$BC96)+IF(Summary!$O$16="Yes",(CALC!FA96+Summary!$O$15)*6*(AX96+AY96+AZ96+BA96)*(1-$BC96),0)),0)</f>
        <v>0</v>
      </c>
      <c r="FI96" s="1412">
        <f>IF(MONTH(C96)=5,FI95*(IF(Summary!$E$70="no",(1+(Summary!$E$71*0.8)),1+HLOOKUP(YEAR(C96)-1,CCFMODEL!$I$127:$AF$128,2)*0.8)),+FI95)</f>
        <v>31.406776784422302</v>
      </c>
      <c r="FJ96" s="1411">
        <f>IF(MONTH(C96)=5,FJ95*(IF(Summary!$E$70="no",(1+(Summary!$E$71*0.8)),1+HLOOKUP(YEAR(CALC!C96)-1,CCFMODEL!$I$127:$AF$128,2)*0.8)),FJ95)</f>
        <v>27.450017504495079</v>
      </c>
      <c r="FK96" s="832">
        <f t="shared" si="72"/>
        <v>517863.20172066096</v>
      </c>
      <c r="FL96" s="1412">
        <f>IF(MONTH(C96)=5,FL95*(IF(Summary!$E$70="no",(1+(Summary!$E$71*0.8)),1+HLOOKUP(YEAR(CALC!C96)-1,CCFMODEL!$I$127:$AF$128,2)*0.8)),+FL95)</f>
        <v>66.051972622356445</v>
      </c>
      <c r="FM96" s="1411">
        <f>IF(MONTH(C96)=5,FM95*(IF(Summary!$E$70="no",(1+(Summary!$E$71*0.8)),1+HLOOKUP(YEAR(CALC!C96)-1,CCFMODEL!$I$127:$AF$128,2)*0.8)),+FM95)</f>
        <v>31.524537477277274</v>
      </c>
      <c r="FN96" s="832">
        <f t="shared" si="73"/>
        <v>1105710.0216982469</v>
      </c>
      <c r="FO96" s="194">
        <f t="shared" si="105"/>
        <v>1623573.223418908</v>
      </c>
      <c r="FP96" s="263">
        <f t="shared" si="69"/>
        <v>12233.7</v>
      </c>
      <c r="FQ96" s="194">
        <f t="shared" si="69"/>
        <v>0</v>
      </c>
      <c r="FR96" s="194">
        <f t="shared" si="69"/>
        <v>2127.6</v>
      </c>
      <c r="FS96" s="194">
        <f t="shared" si="68"/>
        <v>0</v>
      </c>
      <c r="FT96" s="194">
        <f t="shared" si="68"/>
        <v>2127.6</v>
      </c>
      <c r="FU96" s="194">
        <f t="shared" si="68"/>
        <v>0</v>
      </c>
      <c r="FV96" s="257">
        <f t="shared" si="68"/>
        <v>0</v>
      </c>
      <c r="FW96" s="189">
        <f t="shared" si="74"/>
        <v>0</v>
      </c>
      <c r="FX96" s="189">
        <f t="shared" si="75"/>
        <v>0</v>
      </c>
      <c r="FY96" s="189">
        <f t="shared" si="76"/>
        <v>0</v>
      </c>
      <c r="FZ96" s="258">
        <f t="shared" si="77"/>
        <v>0</v>
      </c>
      <c r="GA96" s="1293">
        <f>(SUM(FP96:FV96)+SUM(GU96:HB96)/(1-Summary!$O$25))*CY96/1000</f>
        <v>204708.77434275841</v>
      </c>
      <c r="GB96" s="1369">
        <f>IF($C96&lt;Summary!$M$81,+Summary!$O$81,VLOOKUP(C96,GasTable,19))</f>
        <v>2.4</v>
      </c>
      <c r="GC96" s="1370">
        <f>IF(H96&lt;=Summary!$N$84,MIN(GA96,Summary!$O$75*(H96-G96+1)),0)</f>
        <v>155000</v>
      </c>
      <c r="GD96" s="1371">
        <f>IF(Summary!$O$75*(H96-G96+1)*0.8&gt;GC96,1,0)</f>
        <v>0</v>
      </c>
      <c r="GE96" s="1372">
        <v>0</v>
      </c>
      <c r="GF96" s="1370">
        <f t="shared" si="106"/>
        <v>49708.774342758406</v>
      </c>
      <c r="GG96" s="1371">
        <f>GF96*(IF(Summary!$O$74=1,VLOOKUP($C96,GasTable,16)+Summary!$O$92+Summary!$O$93,VLOOKUP($C96,GasTable,19)+Summary!$O$92+Summary!$O$93))</f>
        <v>144640.22449284125</v>
      </c>
      <c r="GH96" s="1373">
        <v>18624.8</v>
      </c>
      <c r="GI96" s="1466">
        <v>0</v>
      </c>
      <c r="GJ96" s="1374">
        <f t="shared" si="107"/>
        <v>535265.02449284133</v>
      </c>
      <c r="GK96" s="189">
        <f t="shared" si="78"/>
        <v>26035.973100000007</v>
      </c>
      <c r="GL96" s="266">
        <v>0.761967203712</v>
      </c>
      <c r="GM96" s="255">
        <f t="shared" si="79"/>
        <v>15221.000000000002</v>
      </c>
      <c r="GN96" s="189">
        <f>IF(SUM(GU96:HB96)=0,0,IF(Summary!$O$16="Yes",SUM(GX96:HB96),IF(Summary!$O$17="Yes",SUM(GY96:HB96),SUM(GU96:HB96))))</f>
        <v>9547.0730999999996</v>
      </c>
      <c r="GO96" s="203">
        <v>2.8412779445764338</v>
      </c>
      <c r="GP96" s="258">
        <f t="shared" si="108"/>
        <v>27125.888234288959</v>
      </c>
      <c r="GQ96" s="189"/>
      <c r="GR96" s="189"/>
      <c r="GS96" s="189"/>
      <c r="GT96" s="189"/>
      <c r="GU96" s="268">
        <v>3935.1734999999994</v>
      </c>
      <c r="GV96" s="189">
        <v>684.37800000000027</v>
      </c>
      <c r="GW96" s="189">
        <v>684.37800000000027</v>
      </c>
      <c r="GX96" s="189"/>
      <c r="GY96" s="254">
        <v>3148.1388000000002</v>
      </c>
      <c r="GZ96" s="189">
        <v>547.50239999999997</v>
      </c>
      <c r="HA96" s="189">
        <v>547.50239999999997</v>
      </c>
      <c r="HB96" s="255"/>
      <c r="HC96" s="189">
        <v>9547.0730999999996</v>
      </c>
      <c r="HD96" s="189"/>
      <c r="HE96" s="189">
        <v>22276.5039</v>
      </c>
      <c r="HF96" s="189">
        <v>540652.80494248681</v>
      </c>
      <c r="HG96" s="189"/>
      <c r="HH96" s="203">
        <v>59.626150127198542</v>
      </c>
      <c r="HI96" s="189">
        <v>1328262.1658505239</v>
      </c>
      <c r="HJ96" s="268">
        <f t="shared" si="80"/>
        <v>0</v>
      </c>
      <c r="HK96" s="189">
        <f t="shared" si="81"/>
        <v>0</v>
      </c>
      <c r="HL96" s="189">
        <f t="shared" si="82"/>
        <v>0</v>
      </c>
      <c r="HM96" s="255">
        <f t="shared" si="83"/>
        <v>0</v>
      </c>
      <c r="HN96" s="189">
        <f t="shared" si="84"/>
        <v>0</v>
      </c>
      <c r="HO96" s="203">
        <f t="shared" si="109"/>
        <v>0</v>
      </c>
      <c r="HP96" s="258">
        <f t="shared" si="85"/>
        <v>0</v>
      </c>
      <c r="HQ96" s="804"/>
      <c r="HR96" s="268"/>
      <c r="HS96" s="38"/>
      <c r="HT96" s="255"/>
      <c r="HU96" s="254"/>
      <c r="HV96" s="203"/>
      <c r="HW96" s="189"/>
      <c r="HX96" s="1020"/>
      <c r="HY96" s="258"/>
      <c r="HZ96" s="268"/>
      <c r="IA96" s="203"/>
      <c r="IB96" s="255"/>
      <c r="IC96" s="254"/>
      <c r="ID96" s="203"/>
      <c r="IE96" s="255"/>
      <c r="IF96" s="189"/>
      <c r="IG96" s="203"/>
      <c r="IH96" s="255"/>
      <c r="II96" s="189"/>
      <c r="IJ96" s="203"/>
      <c r="IK96" s="189"/>
      <c r="IL96" s="1182"/>
      <c r="IM96" s="1403"/>
      <c r="IN96" s="254"/>
      <c r="IO96" s="254"/>
      <c r="IP96" s="254"/>
      <c r="IQ96" s="254"/>
      <c r="IR96" s="223"/>
    </row>
    <row r="97" spans="1:252" ht="13.8" thickBot="1">
      <c r="A97" t="str">
        <f t="shared" si="86"/>
        <v>2006Q3</v>
      </c>
      <c r="B97">
        <f t="shared" si="87"/>
        <v>2006</v>
      </c>
      <c r="C97" s="49">
        <f t="shared" si="88"/>
        <v>38961</v>
      </c>
      <c r="D97" s="115">
        <f t="shared" si="89"/>
        <v>2006</v>
      </c>
      <c r="E97" s="10">
        <f t="shared" si="112"/>
        <v>9</v>
      </c>
      <c r="F97" s="248">
        <f t="shared" si="113"/>
        <v>38964</v>
      </c>
      <c r="G97" s="245">
        <v>38961</v>
      </c>
      <c r="H97" s="251">
        <v>38990</v>
      </c>
      <c r="I97" s="959">
        <f t="shared" si="110"/>
        <v>7.1499999999999994E-2</v>
      </c>
      <c r="J97" s="37">
        <f t="shared" si="90"/>
        <v>0.61814120452083332</v>
      </c>
      <c r="K97" s="1036"/>
      <c r="L97" s="37"/>
      <c r="M97" s="1004">
        <v>0</v>
      </c>
      <c r="N97" s="38">
        <f t="shared" si="115"/>
        <v>0</v>
      </c>
      <c r="O97" s="40">
        <f t="shared" si="115"/>
        <v>0</v>
      </c>
      <c r="P97" s="159">
        <f t="shared" si="117"/>
        <v>0</v>
      </c>
      <c r="Q97" s="38">
        <f t="shared" si="116"/>
        <v>0</v>
      </c>
      <c r="R97" s="40">
        <f t="shared" si="116"/>
        <v>0</v>
      </c>
      <c r="S97" s="38">
        <f t="shared" si="116"/>
        <v>0</v>
      </c>
      <c r="T97" s="38">
        <f t="shared" si="116"/>
        <v>0</v>
      </c>
      <c r="U97" s="38">
        <f t="shared" si="116"/>
        <v>0</v>
      </c>
      <c r="V97" s="159">
        <f t="shared" si="116"/>
        <v>0</v>
      </c>
      <c r="W97" s="38">
        <f t="shared" si="116"/>
        <v>0</v>
      </c>
      <c r="X97" s="39">
        <f t="shared" si="116"/>
        <v>0</v>
      </c>
      <c r="Y97" s="46">
        <v>0</v>
      </c>
      <c r="Z97" s="46">
        <v>0</v>
      </c>
      <c r="AA97" s="47">
        <v>0</v>
      </c>
      <c r="AB97" s="46">
        <v>0</v>
      </c>
      <c r="AC97" s="46">
        <v>0</v>
      </c>
      <c r="AD97" s="47">
        <v>0</v>
      </c>
      <c r="AE97" s="46">
        <v>0</v>
      </c>
      <c r="AF97" s="46">
        <v>0</v>
      </c>
      <c r="AG97" s="47">
        <v>0</v>
      </c>
      <c r="AH97" s="46">
        <v>0</v>
      </c>
      <c r="AI97" s="46">
        <v>0</v>
      </c>
      <c r="AJ97" s="47">
        <v>0</v>
      </c>
      <c r="AK97" s="46">
        <v>0</v>
      </c>
      <c r="AL97" s="46">
        <v>0</v>
      </c>
      <c r="AM97" s="47">
        <v>0</v>
      </c>
      <c r="AN97" s="46">
        <v>0</v>
      </c>
      <c r="AO97" s="46">
        <v>0</v>
      </c>
      <c r="AP97" s="47">
        <v>0</v>
      </c>
      <c r="AQ97" s="46">
        <v>0</v>
      </c>
      <c r="AR97" s="46">
        <v>0</v>
      </c>
      <c r="AS97" s="47">
        <v>0</v>
      </c>
      <c r="AT97" s="46">
        <v>0</v>
      </c>
      <c r="AU97" s="46">
        <v>0</v>
      </c>
      <c r="AV97" s="46">
        <v>0</v>
      </c>
      <c r="AW97" s="1545">
        <v>0</v>
      </c>
      <c r="AX97" s="10">
        <f t="shared" si="114"/>
        <v>20</v>
      </c>
      <c r="AY97" s="42">
        <f>IF(AND($E97=MONTH(Summary!$E$24),$D97=YEAR(Summary!$E$24)),Summary!$E$25,1)*IF(G97="",0,INT((H97-MOD(H97,7)-G97)/7)+1-IF(BA97,IF(WEEKDAY(F97)=7,1,0),0))</f>
        <v>5</v>
      </c>
      <c r="AZ97" s="42">
        <f>IF(AND($E97=MONTH(Summary!$E$24),$D97=YEAR(Summary!$E$24)),Summary!$E$25,1)*IF(G97="",0,INT((H97-MOD(H97-1,7)-G97)/7)+1-IF(BA97,IF(WEEKDAY(F97)=1,1,0),0))</f>
        <v>4</v>
      </c>
      <c r="BA97" s="42">
        <v>1</v>
      </c>
      <c r="BB97" s="10">
        <f>IF(AND($E97=MONTH(Summary!$E$24),$D97=YEAR(Summary!$E$24)),Summary!$E$25,1)*IF(G97="",0,H97-G97+1)</f>
        <v>30</v>
      </c>
      <c r="BC97" s="914">
        <f>Summary!$E$19</f>
        <v>1.4999999999999999E-2</v>
      </c>
      <c r="BD97" s="113">
        <v>14184</v>
      </c>
      <c r="BE97" s="171">
        <v>3546</v>
      </c>
      <c r="BF97" s="171">
        <v>3546</v>
      </c>
      <c r="BG97" s="174"/>
      <c r="BH97" s="1198">
        <v>1</v>
      </c>
      <c r="BI97" s="1198">
        <v>1</v>
      </c>
      <c r="BJ97" s="1198">
        <v>1</v>
      </c>
      <c r="BK97" s="1198">
        <v>1</v>
      </c>
      <c r="BL97" s="95">
        <v>2836.8</v>
      </c>
      <c r="BM97" s="171">
        <v>709.2</v>
      </c>
      <c r="BN97" s="171">
        <v>709.2</v>
      </c>
      <c r="BO97" s="174"/>
      <c r="BP97" s="1198">
        <v>1</v>
      </c>
      <c r="BQ97" s="1199">
        <v>1</v>
      </c>
      <c r="BR97" s="1199">
        <v>1</v>
      </c>
      <c r="BS97" s="1200">
        <v>1</v>
      </c>
      <c r="BT97" s="94">
        <f t="shared" si="91"/>
        <v>21276</v>
      </c>
      <c r="BU97" s="233">
        <f t="shared" si="92"/>
        <v>21276</v>
      </c>
      <c r="BV97" s="92">
        <f t="shared" si="93"/>
        <v>4255.2</v>
      </c>
      <c r="BW97" s="233">
        <f t="shared" si="94"/>
        <v>4255.2</v>
      </c>
      <c r="BX97" s="88">
        <v>6.7132101300479121</v>
      </c>
      <c r="BY97" s="90">
        <v>0</v>
      </c>
      <c r="BZ97" s="88">
        <v>0</v>
      </c>
      <c r="CA97" s="88">
        <v>0</v>
      </c>
      <c r="CB97" s="88">
        <v>0</v>
      </c>
      <c r="CC97" s="88">
        <v>0</v>
      </c>
      <c r="CD97" s="88">
        <v>0</v>
      </c>
      <c r="CE97" s="100">
        <v>0</v>
      </c>
      <c r="CF97" s="88">
        <v>0</v>
      </c>
      <c r="CG97" s="88">
        <v>0</v>
      </c>
      <c r="CH97" s="88">
        <v>0</v>
      </c>
      <c r="CI97" s="88">
        <v>0</v>
      </c>
      <c r="CJ97" s="228">
        <v>0</v>
      </c>
      <c r="CK97" s="88">
        <v>0</v>
      </c>
      <c r="CL97" s="88">
        <v>0</v>
      </c>
      <c r="CM97" s="88">
        <v>0</v>
      </c>
      <c r="CN97" s="88">
        <v>0</v>
      </c>
      <c r="CO97" s="88">
        <v>0</v>
      </c>
      <c r="CP97" s="88">
        <v>0</v>
      </c>
      <c r="CQ97" s="229">
        <v>0</v>
      </c>
      <c r="CR97" s="91">
        <v>0</v>
      </c>
      <c r="CS97" s="91">
        <v>0</v>
      </c>
      <c r="CT97" s="91">
        <v>0</v>
      </c>
      <c r="CU97" s="91">
        <v>0</v>
      </c>
      <c r="CV97" s="91">
        <v>0</v>
      </c>
      <c r="CW97" s="91">
        <v>0</v>
      </c>
      <c r="CX97" s="225">
        <v>0</v>
      </c>
      <c r="CY97" s="1265">
        <v>7760.6430399999999</v>
      </c>
      <c r="CZ97" s="90">
        <v>0</v>
      </c>
      <c r="DA97" s="88">
        <v>0</v>
      </c>
      <c r="DB97" s="88">
        <v>0</v>
      </c>
      <c r="DC97" s="88">
        <v>0</v>
      </c>
      <c r="DD97" s="88">
        <v>0</v>
      </c>
      <c r="DE97" s="152">
        <v>0</v>
      </c>
      <c r="DF97" s="230">
        <v>0</v>
      </c>
      <c r="DG97" s="38">
        <v>0</v>
      </c>
      <c r="DH97" s="1237">
        <v>0</v>
      </c>
      <c r="DI97" s="956">
        <v>0</v>
      </c>
      <c r="DJ97" s="956">
        <v>0</v>
      </c>
      <c r="DK97" s="956">
        <v>0</v>
      </c>
      <c r="DL97" s="152">
        <v>0</v>
      </c>
      <c r="DM97" s="160">
        <v>0</v>
      </c>
      <c r="DN97" s="160">
        <v>0</v>
      </c>
      <c r="DO97" s="160">
        <v>0</v>
      </c>
      <c r="DP97" s="160">
        <v>0</v>
      </c>
      <c r="DQ97" s="160">
        <v>0</v>
      </c>
      <c r="DR97" s="230">
        <v>0</v>
      </c>
      <c r="DS97" s="88">
        <v>0</v>
      </c>
      <c r="DT97" s="88">
        <v>0</v>
      </c>
      <c r="DU97" s="88">
        <v>0</v>
      </c>
      <c r="DV97" s="88">
        <v>0</v>
      </c>
      <c r="DW97" s="88">
        <v>0</v>
      </c>
      <c r="DX97" s="88">
        <v>0</v>
      </c>
      <c r="DY97" s="88">
        <v>0</v>
      </c>
      <c r="DZ97" s="88">
        <v>0</v>
      </c>
      <c r="EA97" s="88">
        <v>0</v>
      </c>
      <c r="EB97" s="152">
        <v>0</v>
      </c>
      <c r="EC97" s="52">
        <f t="shared" si="95"/>
        <v>0</v>
      </c>
      <c r="ED97" s="52">
        <f t="shared" si="95"/>
        <v>0</v>
      </c>
      <c r="EE97" s="52">
        <f t="shared" si="95"/>
        <v>0</v>
      </c>
      <c r="EF97" s="52">
        <f t="shared" si="71"/>
        <v>0</v>
      </c>
      <c r="EG97" s="52">
        <f t="shared" si="96"/>
        <v>0</v>
      </c>
      <c r="EH97" s="238">
        <v>0</v>
      </c>
      <c r="EI97" s="211">
        <v>0</v>
      </c>
      <c r="EJ97" s="211">
        <v>0</v>
      </c>
      <c r="EK97" s="211">
        <v>0</v>
      </c>
      <c r="EL97" s="217">
        <f>IF(C97&gt;=Summary!$E$26,MAX(0,SUM(EH97:EK97)),0)</f>
        <v>0</v>
      </c>
      <c r="EM97" s="52">
        <f>IF(C97&gt;=Summary!$E$26,DX97*BL97,0)</f>
        <v>0</v>
      </c>
      <c r="EN97" s="52">
        <f>IF(C97&gt;=Summary!$E$26,DY97*BM97,0)</f>
        <v>0</v>
      </c>
      <c r="EO97" s="52">
        <f>IF(C97&gt;=Summary!$E$26,DZ97*BN97,0)</f>
        <v>0</v>
      </c>
      <c r="EP97" s="52">
        <f>IF(C97&gt;=Summary!$E$26,EA97*BO97,0)</f>
        <v>0</v>
      </c>
      <c r="EQ97" s="52">
        <f>IF(C97&gt;=Summary!$E$26,DX97*BL97+DY97*BM97+DZ97*BN97+EA97*BO97,0)</f>
        <v>0</v>
      </c>
      <c r="ER97" s="826">
        <v>0</v>
      </c>
      <c r="ES97" s="278">
        <v>0</v>
      </c>
      <c r="ET97" s="278">
        <v>0</v>
      </c>
      <c r="EU97" s="278">
        <v>0</v>
      </c>
      <c r="EV97" s="212">
        <f>IF(C97&gt;=Summary!$E$26,MAX(0,SUM(ER97:EU97)),0)</f>
        <v>0</v>
      </c>
      <c r="EW97" s="52"/>
      <c r="EX97" s="1049">
        <f t="shared" si="97"/>
        <v>0</v>
      </c>
      <c r="EY97" s="1045" t="str">
        <f t="shared" si="98"/>
        <v/>
      </c>
      <c r="EZ97" s="1684" t="s">
        <v>525</v>
      </c>
      <c r="FA97" s="1046">
        <f t="shared" si="111"/>
        <v>45</v>
      </c>
      <c r="FB97" s="256">
        <f t="shared" si="99"/>
        <v>10638</v>
      </c>
      <c r="FC97" s="194">
        <f t="shared" si="100"/>
        <v>0</v>
      </c>
      <c r="FD97" s="194">
        <f t="shared" si="101"/>
        <v>2659.5</v>
      </c>
      <c r="FE97" s="194">
        <f t="shared" si="102"/>
        <v>0</v>
      </c>
      <c r="FF97" s="194">
        <f t="shared" si="103"/>
        <v>2659.5</v>
      </c>
      <c r="FG97" s="194">
        <f t="shared" si="104"/>
        <v>0</v>
      </c>
      <c r="FH97" s="257">
        <f>IF(EZ97="No",IF((OR(MONTH(C97)=5,MONTH(C97)=6,MONTH(C97)=7,MONTH(C97)=8,MONTH(C97)=9)),Summary!$O$15*12*(AX97+AY97+AZ97+BA97)*(1-$BC97),Summary!$O$15*13*(AX97+AY97+AZ97+BA97)*(1-$BC97)+IF(Summary!$O$16="Yes",(CALC!FA97+Summary!$O$15)*6*(AX97+AY97+AZ97+BA97)*(1-$BC97),0)),0)</f>
        <v>0</v>
      </c>
      <c r="FI97" s="1412">
        <f>IF(MONTH(C97)=5,FI96*(IF(Summary!$E$70="no",(1+(Summary!$E$71*0.8)),1+HLOOKUP(YEAR(C97)-1,CCFMODEL!$I$127:$AF$128,2)*0.8)),+FI96)</f>
        <v>31.406776784422302</v>
      </c>
      <c r="FJ97" s="1411">
        <f>IF(MONTH(C97)=5,FJ96*(IF(Summary!$E$70="no",(1+(Summary!$E$71*0.8)),1+HLOOKUP(YEAR(CALC!C97)-1,CCFMODEL!$I$127:$AF$128,2)*0.8)),FJ96)</f>
        <v>27.450017504495079</v>
      </c>
      <c r="FK97" s="832">
        <f t="shared" si="72"/>
        <v>501157.93714902666</v>
      </c>
      <c r="FL97" s="1412">
        <f>IF(MONTH(C97)=5,FL96*(IF(Summary!$E$70="no",(1+(Summary!$E$71*0.8)),1+HLOOKUP(YEAR(CALC!C97)-1,CCFMODEL!$I$127:$AF$128,2)*0.8)),+FL96)</f>
        <v>66.051972622356445</v>
      </c>
      <c r="FM97" s="1411">
        <f>IF(MONTH(C97)=5,FM96*(IF(Summary!$E$70="no",(1+(Summary!$E$71*0.8)),1+HLOOKUP(YEAR(CALC!C97)-1,CCFMODEL!$I$127:$AF$128,2)*0.8)),+FM96)</f>
        <v>31.524537477277274</v>
      </c>
      <c r="FN97" s="832">
        <f t="shared" si="73"/>
        <v>1070041.9564821743</v>
      </c>
      <c r="FO97" s="194">
        <f t="shared" si="105"/>
        <v>1571199.893631201</v>
      </c>
      <c r="FP97" s="263">
        <f t="shared" si="69"/>
        <v>10638</v>
      </c>
      <c r="FQ97" s="194">
        <f t="shared" si="69"/>
        <v>0</v>
      </c>
      <c r="FR97" s="194">
        <f t="shared" si="69"/>
        <v>2659.5</v>
      </c>
      <c r="FS97" s="194">
        <f t="shared" si="68"/>
        <v>0</v>
      </c>
      <c r="FT97" s="194">
        <f t="shared" si="68"/>
        <v>2659.5</v>
      </c>
      <c r="FU97" s="194">
        <f t="shared" si="68"/>
        <v>0</v>
      </c>
      <c r="FV97" s="257">
        <f t="shared" si="68"/>
        <v>0</v>
      </c>
      <c r="FW97" s="189">
        <f t="shared" si="74"/>
        <v>0</v>
      </c>
      <c r="FX97" s="189">
        <f t="shared" si="75"/>
        <v>0</v>
      </c>
      <c r="FY97" s="189">
        <f t="shared" si="76"/>
        <v>0</v>
      </c>
      <c r="FZ97" s="258">
        <f t="shared" si="77"/>
        <v>0</v>
      </c>
      <c r="GA97" s="1293">
        <f>(SUM(FP97:FV97)+SUM(GU97:HB97)/(1-Summary!$O$25))*CY97/1000</f>
        <v>198138.52958284802</v>
      </c>
      <c r="GB97" s="1369">
        <f>IF($C97&lt;Summary!$M$81,+Summary!$O$81,VLOOKUP(C97,GasTable,19))</f>
        <v>2.4</v>
      </c>
      <c r="GC97" s="1370">
        <f>IF(H97&lt;=Summary!$N$84,MIN(GA97,Summary!$O$75*(H97-G97+1)),0)</f>
        <v>150000</v>
      </c>
      <c r="GD97" s="1371">
        <f>IF(Summary!$O$75*(H97-G97+1)*0.8&gt;GC97,1,0)</f>
        <v>0</v>
      </c>
      <c r="GE97" s="1372">
        <v>0</v>
      </c>
      <c r="GF97" s="1370">
        <f t="shared" si="106"/>
        <v>48138.529582848016</v>
      </c>
      <c r="GG97" s="1371">
        <f>GF97*(IF(Summary!$O$74=1,VLOOKUP($C97,GasTable,16)+Summary!$O$92+Summary!$O$93,VLOOKUP($C97,GasTable,19)+Summary!$O$92+Summary!$O$93))</f>
        <v>146026.96066981685</v>
      </c>
      <c r="GH97" s="1373">
        <v>18186</v>
      </c>
      <c r="GI97" s="1466">
        <v>0</v>
      </c>
      <c r="GJ97" s="1374">
        <f t="shared" si="107"/>
        <v>524212.96066981682</v>
      </c>
      <c r="GK97" s="189">
        <f t="shared" si="78"/>
        <v>25196.102999999999</v>
      </c>
      <c r="GL97" s="266">
        <v>0.76209514652800014</v>
      </c>
      <c r="GM97" s="255">
        <f t="shared" si="79"/>
        <v>14730.000000000004</v>
      </c>
      <c r="GN97" s="189">
        <f>IF(SUM(GU97:HB97)=0,0,IF(Summary!$O$16="Yes",SUM(GX97:HB97),IF(Summary!$O$17="Yes",SUM(GY97:HB97),SUM(GU97:HB97))))</f>
        <v>9239.103000000001</v>
      </c>
      <c r="GO97" s="203">
        <v>2.8412779445764338</v>
      </c>
      <c r="GP97" s="258">
        <f t="shared" si="108"/>
        <v>26250.859581569966</v>
      </c>
      <c r="GQ97" s="189"/>
      <c r="GR97" s="189"/>
      <c r="GS97" s="189"/>
      <c r="GT97" s="189"/>
      <c r="GU97" s="268">
        <v>3421.89</v>
      </c>
      <c r="GV97" s="189">
        <v>855.47249999999997</v>
      </c>
      <c r="GW97" s="189">
        <v>855.47249999999997</v>
      </c>
      <c r="GX97" s="189"/>
      <c r="GY97" s="254">
        <v>2737.5120000000002</v>
      </c>
      <c r="GZ97" s="189">
        <v>684.37800000000004</v>
      </c>
      <c r="HA97" s="189">
        <v>684.37800000000004</v>
      </c>
      <c r="HB97" s="255"/>
      <c r="HC97" s="189">
        <v>9239.103000000001</v>
      </c>
      <c r="HD97" s="189"/>
      <c r="HE97" s="189">
        <v>21557.906999999999</v>
      </c>
      <c r="HF97" s="189">
        <v>433814.41391096893</v>
      </c>
      <c r="HG97" s="189"/>
      <c r="HH97" s="203">
        <v>48.735694292532791</v>
      </c>
      <c r="HI97" s="189">
        <v>1050639.5651388527</v>
      </c>
      <c r="HJ97" s="268">
        <f t="shared" si="80"/>
        <v>0</v>
      </c>
      <c r="HK97" s="189">
        <f t="shared" si="81"/>
        <v>0</v>
      </c>
      <c r="HL97" s="189">
        <f t="shared" si="82"/>
        <v>0</v>
      </c>
      <c r="HM97" s="255">
        <f t="shared" si="83"/>
        <v>0</v>
      </c>
      <c r="HN97" s="189">
        <f t="shared" si="84"/>
        <v>0</v>
      </c>
      <c r="HO97" s="203">
        <f t="shared" si="109"/>
        <v>0</v>
      </c>
      <c r="HP97" s="258">
        <f t="shared" si="85"/>
        <v>0</v>
      </c>
      <c r="HQ97" s="804"/>
      <c r="HR97" s="268"/>
      <c r="HS97" s="38"/>
      <c r="HT97" s="255"/>
      <c r="HU97" s="254"/>
      <c r="HV97" s="203"/>
      <c r="HW97" s="189"/>
      <c r="HX97" s="1020"/>
      <c r="HY97" s="258"/>
      <c r="HZ97" s="268"/>
      <c r="IA97" s="203"/>
      <c r="IB97" s="255"/>
      <c r="IC97" s="254"/>
      <c r="ID97" s="203"/>
      <c r="IE97" s="255"/>
      <c r="IF97" s="189"/>
      <c r="IG97" s="203"/>
      <c r="IH97" s="255"/>
      <c r="II97" s="189"/>
      <c r="IJ97" s="203"/>
      <c r="IK97" s="189"/>
      <c r="IL97" s="1182"/>
      <c r="IM97" s="1403"/>
      <c r="IN97" s="254"/>
      <c r="IO97" s="254"/>
      <c r="IP97" s="254"/>
      <c r="IQ97" s="254"/>
      <c r="IR97" s="223"/>
    </row>
    <row r="98" spans="1:252" ht="13.8" thickBot="1">
      <c r="A98" t="str">
        <f t="shared" si="86"/>
        <v>2006Q4</v>
      </c>
      <c r="B98">
        <f t="shared" si="87"/>
        <v>2006</v>
      </c>
      <c r="C98" s="49">
        <f t="shared" si="88"/>
        <v>38991</v>
      </c>
      <c r="D98" s="115">
        <f t="shared" si="89"/>
        <v>2006</v>
      </c>
      <c r="E98" s="10">
        <f t="shared" si="112"/>
        <v>10</v>
      </c>
      <c r="F98" s="248" t="str">
        <f t="shared" si="113"/>
        <v/>
      </c>
      <c r="G98" s="245">
        <v>38991</v>
      </c>
      <c r="H98" s="251">
        <v>39021</v>
      </c>
      <c r="I98" s="959">
        <f t="shared" si="110"/>
        <v>7.1499999999999994E-2</v>
      </c>
      <c r="J98" s="37">
        <f t="shared" si="90"/>
        <v>0.61446650940162328</v>
      </c>
      <c r="K98" s="1036"/>
      <c r="L98" s="37"/>
      <c r="M98" s="1004">
        <v>0</v>
      </c>
      <c r="N98" s="38">
        <f t="shared" si="115"/>
        <v>0</v>
      </c>
      <c r="O98" s="40">
        <f t="shared" si="115"/>
        <v>0</v>
      </c>
      <c r="P98" s="159">
        <f t="shared" si="117"/>
        <v>0</v>
      </c>
      <c r="Q98" s="38">
        <f t="shared" si="116"/>
        <v>0</v>
      </c>
      <c r="R98" s="40">
        <f t="shared" si="116"/>
        <v>0</v>
      </c>
      <c r="S98" s="38">
        <f t="shared" si="116"/>
        <v>0</v>
      </c>
      <c r="T98" s="38">
        <f t="shared" si="116"/>
        <v>0</v>
      </c>
      <c r="U98" s="38">
        <f t="shared" si="116"/>
        <v>0</v>
      </c>
      <c r="V98" s="159">
        <f t="shared" si="116"/>
        <v>0</v>
      </c>
      <c r="W98" s="38">
        <f t="shared" si="116"/>
        <v>0</v>
      </c>
      <c r="X98" s="39">
        <f t="shared" si="116"/>
        <v>0</v>
      </c>
      <c r="Y98" s="46">
        <v>0</v>
      </c>
      <c r="Z98" s="46">
        <v>0</v>
      </c>
      <c r="AA98" s="47">
        <v>0</v>
      </c>
      <c r="AB98" s="46">
        <v>0</v>
      </c>
      <c r="AC98" s="46">
        <v>0</v>
      </c>
      <c r="AD98" s="47">
        <v>0</v>
      </c>
      <c r="AE98" s="46">
        <v>0</v>
      </c>
      <c r="AF98" s="46">
        <v>0</v>
      </c>
      <c r="AG98" s="47">
        <v>0</v>
      </c>
      <c r="AH98" s="46">
        <v>0</v>
      </c>
      <c r="AI98" s="46">
        <v>0</v>
      </c>
      <c r="AJ98" s="47">
        <v>0</v>
      </c>
      <c r="AK98" s="46">
        <v>0</v>
      </c>
      <c r="AL98" s="46">
        <v>0</v>
      </c>
      <c r="AM98" s="47">
        <v>0</v>
      </c>
      <c r="AN98" s="46">
        <v>0</v>
      </c>
      <c r="AO98" s="46">
        <v>0</v>
      </c>
      <c r="AP98" s="47">
        <v>0</v>
      </c>
      <c r="AQ98" s="46">
        <v>0</v>
      </c>
      <c r="AR98" s="46">
        <v>0</v>
      </c>
      <c r="AS98" s="47">
        <v>0</v>
      </c>
      <c r="AT98" s="46">
        <v>0</v>
      </c>
      <c r="AU98" s="46">
        <v>0</v>
      </c>
      <c r="AV98" s="46">
        <v>0</v>
      </c>
      <c r="AW98" s="1545">
        <v>0</v>
      </c>
      <c r="AX98" s="10">
        <f t="shared" si="114"/>
        <v>22</v>
      </c>
      <c r="AY98" s="42">
        <f>IF(AND($E98=MONTH(Summary!$E$24),$D98=YEAR(Summary!$E$24)),Summary!$E$25,1)*IF(G98="",0,INT((H98-MOD(H98,7)-G98)/7)+1-IF(BA98,IF(WEEKDAY(F98)=7,1,0),0))</f>
        <v>4</v>
      </c>
      <c r="AZ98" s="42">
        <f>IF(AND($E98=MONTH(Summary!$E$24),$D98=YEAR(Summary!$E$24)),Summary!$E$25,1)*IF(G98="",0,INT((H98-MOD(H98-1,7)-G98)/7)+1-IF(BA98,IF(WEEKDAY(F98)=1,1,0),0))</f>
        <v>5</v>
      </c>
      <c r="BA98" s="42">
        <v>0</v>
      </c>
      <c r="BB98" s="10">
        <f>IF(AND($E98=MONTH(Summary!$E$24),$D98=YEAR(Summary!$E$24)),Summary!$E$25,1)*IF(G98="",0,H98-G98+1)</f>
        <v>31</v>
      </c>
      <c r="BC98" s="914">
        <f>Summary!$E$19</f>
        <v>1.4999999999999999E-2</v>
      </c>
      <c r="BD98" s="113">
        <v>15602.4</v>
      </c>
      <c r="BE98" s="171">
        <v>2836.8</v>
      </c>
      <c r="BF98" s="171">
        <v>3546</v>
      </c>
      <c r="BG98" s="174"/>
      <c r="BH98" s="1198">
        <v>1</v>
      </c>
      <c r="BI98" s="1198">
        <v>1</v>
      </c>
      <c r="BJ98" s="1198">
        <v>1</v>
      </c>
      <c r="BK98" s="1198">
        <v>1</v>
      </c>
      <c r="BL98" s="95">
        <v>3120.48</v>
      </c>
      <c r="BM98" s="171">
        <v>567.36</v>
      </c>
      <c r="BN98" s="171">
        <v>709.2</v>
      </c>
      <c r="BO98" s="174"/>
      <c r="BP98" s="1198">
        <v>1</v>
      </c>
      <c r="BQ98" s="1199">
        <v>1</v>
      </c>
      <c r="BR98" s="1199">
        <v>1</v>
      </c>
      <c r="BS98" s="1200">
        <v>1</v>
      </c>
      <c r="BT98" s="94">
        <f t="shared" si="91"/>
        <v>21985.200000000001</v>
      </c>
      <c r="BU98" s="233">
        <f t="shared" si="92"/>
        <v>21985.200000000001</v>
      </c>
      <c r="BV98" s="92">
        <f t="shared" si="93"/>
        <v>4397.04</v>
      </c>
      <c r="BW98" s="233">
        <f t="shared" si="94"/>
        <v>4397.04</v>
      </c>
      <c r="BX98" s="88">
        <v>6.795345653661875</v>
      </c>
      <c r="BY98" s="90">
        <v>0</v>
      </c>
      <c r="BZ98" s="88">
        <v>0</v>
      </c>
      <c r="CA98" s="88">
        <v>0</v>
      </c>
      <c r="CB98" s="88">
        <v>0</v>
      </c>
      <c r="CC98" s="88">
        <v>0</v>
      </c>
      <c r="CD98" s="88">
        <v>0</v>
      </c>
      <c r="CE98" s="100">
        <v>0</v>
      </c>
      <c r="CF98" s="88">
        <v>0</v>
      </c>
      <c r="CG98" s="88">
        <v>0</v>
      </c>
      <c r="CH98" s="88">
        <v>0</v>
      </c>
      <c r="CI98" s="88">
        <v>0</v>
      </c>
      <c r="CJ98" s="228">
        <v>0</v>
      </c>
      <c r="CK98" s="88">
        <v>0</v>
      </c>
      <c r="CL98" s="88">
        <v>0</v>
      </c>
      <c r="CM98" s="88">
        <v>0</v>
      </c>
      <c r="CN98" s="88">
        <v>0</v>
      </c>
      <c r="CO98" s="88">
        <v>0</v>
      </c>
      <c r="CP98" s="88">
        <v>0</v>
      </c>
      <c r="CQ98" s="229">
        <v>0</v>
      </c>
      <c r="CR98" s="91">
        <v>0</v>
      </c>
      <c r="CS98" s="91">
        <v>0</v>
      </c>
      <c r="CT98" s="91">
        <v>0</v>
      </c>
      <c r="CU98" s="91">
        <v>0</v>
      </c>
      <c r="CV98" s="91">
        <v>0</v>
      </c>
      <c r="CW98" s="91">
        <v>0</v>
      </c>
      <c r="CX98" s="225">
        <v>0</v>
      </c>
      <c r="CY98" s="1265">
        <v>7761.9459200000001</v>
      </c>
      <c r="CZ98" s="90">
        <v>0</v>
      </c>
      <c r="DA98" s="88">
        <v>0</v>
      </c>
      <c r="DB98" s="88">
        <v>0</v>
      </c>
      <c r="DC98" s="88">
        <v>0</v>
      </c>
      <c r="DD98" s="88">
        <v>0</v>
      </c>
      <c r="DE98" s="152">
        <v>0</v>
      </c>
      <c r="DF98" s="230">
        <v>0</v>
      </c>
      <c r="DG98" s="38">
        <v>0</v>
      </c>
      <c r="DH98" s="1237">
        <v>0</v>
      </c>
      <c r="DI98" s="956">
        <v>0</v>
      </c>
      <c r="DJ98" s="956">
        <v>0</v>
      </c>
      <c r="DK98" s="956">
        <v>0</v>
      </c>
      <c r="DL98" s="152">
        <v>0</v>
      </c>
      <c r="DM98" s="160">
        <v>0</v>
      </c>
      <c r="DN98" s="160">
        <v>0</v>
      </c>
      <c r="DO98" s="160">
        <v>0</v>
      </c>
      <c r="DP98" s="160">
        <v>0</v>
      </c>
      <c r="DQ98" s="160">
        <v>0</v>
      </c>
      <c r="DR98" s="230">
        <v>0</v>
      </c>
      <c r="DS98" s="88">
        <v>0</v>
      </c>
      <c r="DT98" s="88">
        <v>0</v>
      </c>
      <c r="DU98" s="88">
        <v>0</v>
      </c>
      <c r="DV98" s="88">
        <v>0</v>
      </c>
      <c r="DW98" s="88">
        <v>0</v>
      </c>
      <c r="DX98" s="88">
        <v>0</v>
      </c>
      <c r="DY98" s="88">
        <v>0</v>
      </c>
      <c r="DZ98" s="88">
        <v>0</v>
      </c>
      <c r="EA98" s="88">
        <v>0</v>
      </c>
      <c r="EB98" s="152">
        <v>0</v>
      </c>
      <c r="EC98" s="52">
        <f t="shared" si="95"/>
        <v>0</v>
      </c>
      <c r="ED98" s="52">
        <f t="shared" si="95"/>
        <v>0</v>
      </c>
      <c r="EE98" s="52">
        <f t="shared" si="95"/>
        <v>0</v>
      </c>
      <c r="EF98" s="52">
        <f t="shared" si="71"/>
        <v>0</v>
      </c>
      <c r="EG98" s="52">
        <f t="shared" si="96"/>
        <v>0</v>
      </c>
      <c r="EH98" s="238">
        <v>0</v>
      </c>
      <c r="EI98" s="211">
        <v>0</v>
      </c>
      <c r="EJ98" s="211">
        <v>0</v>
      </c>
      <c r="EK98" s="211">
        <v>0</v>
      </c>
      <c r="EL98" s="217">
        <f>IF(C98&gt;=Summary!$E$26,MAX(0,SUM(EH98:EK98)),0)</f>
        <v>0</v>
      </c>
      <c r="EM98" s="52">
        <f>IF(C98&gt;=Summary!$E$26,DX98*BL98,0)</f>
        <v>0</v>
      </c>
      <c r="EN98" s="52">
        <f>IF(C98&gt;=Summary!$E$26,DY98*BM98,0)</f>
        <v>0</v>
      </c>
      <c r="EO98" s="52">
        <f>IF(C98&gt;=Summary!$E$26,DZ98*BN98,0)</f>
        <v>0</v>
      </c>
      <c r="EP98" s="52">
        <f>IF(C98&gt;=Summary!$E$26,EA98*BO98,0)</f>
        <v>0</v>
      </c>
      <c r="EQ98" s="52">
        <f>IF(C98&gt;=Summary!$E$26,DX98*BL98+DY98*BM98+DZ98*BN98+EA98*BO98,0)</f>
        <v>0</v>
      </c>
      <c r="ER98" s="826">
        <v>0</v>
      </c>
      <c r="ES98" s="278">
        <v>0</v>
      </c>
      <c r="ET98" s="278">
        <v>0</v>
      </c>
      <c r="EU98" s="278">
        <v>0</v>
      </c>
      <c r="EV98" s="212">
        <f>IF(C98&gt;=Summary!$E$26,MAX(0,SUM(ER98:EU98)),0)</f>
        <v>0</v>
      </c>
      <c r="EW98" s="52"/>
      <c r="EX98" s="1049">
        <f t="shared" si="97"/>
        <v>0</v>
      </c>
      <c r="EY98" s="1045" t="str">
        <f t="shared" si="98"/>
        <v/>
      </c>
      <c r="EZ98" s="1684" t="s">
        <v>525</v>
      </c>
      <c r="FA98" s="1046">
        <f t="shared" si="111"/>
        <v>45</v>
      </c>
      <c r="FB98" s="256">
        <f t="shared" si="99"/>
        <v>9751.5</v>
      </c>
      <c r="FC98" s="194">
        <f t="shared" si="100"/>
        <v>2925.45</v>
      </c>
      <c r="FD98" s="194">
        <f t="shared" si="101"/>
        <v>1773</v>
      </c>
      <c r="FE98" s="194">
        <f t="shared" si="102"/>
        <v>531.9</v>
      </c>
      <c r="FF98" s="194">
        <f t="shared" si="103"/>
        <v>2216.25</v>
      </c>
      <c r="FG98" s="194">
        <f t="shared" si="104"/>
        <v>664.875</v>
      </c>
      <c r="FH98" s="257">
        <f>IF(EZ98="No",IF((OR(MONTH(C98)=5,MONTH(C98)=6,MONTH(C98)=7,MONTH(C98)=8,MONTH(C98)=9)),Summary!$O$15*12*(AX98+AY98+AZ98+BA98)*(1-$BC98),Summary!$O$15*13*(AX98+AY98+AZ98+BA98)*(1-$BC98)+IF(Summary!$O$16="Yes",(CALC!FA98+Summary!$O$15)*6*(AX98+AY98+AZ98+BA98)*(1-$BC98),0)),0)</f>
        <v>0</v>
      </c>
      <c r="FI98" s="1412">
        <f>IF(MONTH(C98)=5,FI97*(IF(Summary!$E$70="no",(1+(Summary!$E$71*0.8)),1+HLOOKUP(YEAR(C98)-1,CCFMODEL!$I$127:$AF$128,2)*0.8)),+FI97)</f>
        <v>31.406776784422302</v>
      </c>
      <c r="FJ98" s="1411">
        <f>IF(MONTH(C98)=5,FJ97*(IF(Summary!$E$70="no",(1+(Summary!$E$71*0.8)),1+HLOOKUP(YEAR(CALC!C98)-1,CCFMODEL!$I$127:$AF$128,2)*0.8)),FJ97)</f>
        <v>27.450017504495079</v>
      </c>
      <c r="FK98" s="832">
        <f t="shared" si="72"/>
        <v>561018.46853071591</v>
      </c>
      <c r="FL98" s="1412">
        <f>IF(MONTH(C98)=5,FL97*(IF(Summary!$E$70="no",(1+(Summary!$E$71*0.8)),1+HLOOKUP(YEAR(CALC!C98)-1,CCFMODEL!$I$127:$AF$128,2)*0.8)),+FL97)</f>
        <v>66.051972622356445</v>
      </c>
      <c r="FM98" s="1411">
        <f>IF(MONTH(C98)=5,FM97*(IF(Summary!$E$70="no",(1+(Summary!$E$71*0.8)),1+HLOOKUP(YEAR(CALC!C98)-1,CCFMODEL!$I$127:$AF$128,2)*0.8)),+FM97)</f>
        <v>31.524537477277274</v>
      </c>
      <c r="FN98" s="832">
        <f t="shared" si="73"/>
        <v>571697.48715042335</v>
      </c>
      <c r="FO98" s="194">
        <f t="shared" si="105"/>
        <v>1132715.9556811391</v>
      </c>
      <c r="FP98" s="263">
        <f t="shared" si="69"/>
        <v>9751.5</v>
      </c>
      <c r="FQ98" s="194">
        <f t="shared" si="69"/>
        <v>2925.45</v>
      </c>
      <c r="FR98" s="194">
        <f t="shared" si="69"/>
        <v>1773</v>
      </c>
      <c r="FS98" s="194">
        <f t="shared" si="68"/>
        <v>531.9</v>
      </c>
      <c r="FT98" s="194">
        <f t="shared" si="68"/>
        <v>2216.25</v>
      </c>
      <c r="FU98" s="194">
        <f t="shared" si="68"/>
        <v>664.875</v>
      </c>
      <c r="FV98" s="257">
        <f t="shared" si="68"/>
        <v>0</v>
      </c>
      <c r="FW98" s="189">
        <f t="shared" si="74"/>
        <v>0</v>
      </c>
      <c r="FX98" s="189">
        <f t="shared" si="75"/>
        <v>0</v>
      </c>
      <c r="FY98" s="189">
        <f t="shared" si="76"/>
        <v>0</v>
      </c>
      <c r="FZ98" s="258">
        <f t="shared" si="77"/>
        <v>0</v>
      </c>
      <c r="GA98" s="1293">
        <f>(SUM(FP98:FV98)+SUM(GU98:HB98)/(1-Summary!$O$25))*CY98/1000</f>
        <v>236774.00764853277</v>
      </c>
      <c r="GB98" s="1369">
        <f>IF($C98&lt;Summary!$M$81,+Summary!$O$81,VLOOKUP(C98,GasTable,19))</f>
        <v>2.4</v>
      </c>
      <c r="GC98" s="1370">
        <f>IF(H98&lt;=Summary!$N$84,MIN(GA98,Summary!$O$75*(H98-G98+1)),0)</f>
        <v>155000</v>
      </c>
      <c r="GD98" s="1371">
        <f>IF(Summary!$O$75*(H98-G98+1)*0.8&gt;GC98,1,0)</f>
        <v>0</v>
      </c>
      <c r="GE98" s="1372">
        <v>0</v>
      </c>
      <c r="GF98" s="1370">
        <f t="shared" si="106"/>
        <v>81774.007648532774</v>
      </c>
      <c r="GG98" s="1371">
        <f>GF98*(IF(Summary!$O$74=1,VLOOKUP($C98,GasTable,16)+Summary!$O$92+Summary!$O$93,VLOOKUP($C98,GasTable,19)+Summary!$O$92+Summary!$O$93))</f>
        <v>258893.57647474975</v>
      </c>
      <c r="GH98" s="1373">
        <v>18866.599999999999</v>
      </c>
      <c r="GI98" s="1466">
        <v>0</v>
      </c>
      <c r="GJ98" s="1374">
        <f t="shared" si="107"/>
        <v>649760.17647474969</v>
      </c>
      <c r="GK98" s="189">
        <f t="shared" si="78"/>
        <v>30062.012850000003</v>
      </c>
      <c r="GL98" s="266">
        <v>0.76222308934400007</v>
      </c>
      <c r="GM98" s="255">
        <f t="shared" si="79"/>
        <v>15221.000000000002</v>
      </c>
      <c r="GN98" s="189">
        <f>IF(SUM(GU98:HB98)=0,0,IF(Summary!$O$16="Yes",SUM(GX98:HB98),IF(Summary!$O$17="Yes",SUM(GY98:HB98),SUM(GU98:HB98))))</f>
        <v>12199.037849999999</v>
      </c>
      <c r="GO98" s="203">
        <v>2.8412779445764338</v>
      </c>
      <c r="GP98" s="258">
        <f t="shared" si="108"/>
        <v>34660.857188258116</v>
      </c>
      <c r="GQ98" s="189"/>
      <c r="GR98" s="189"/>
      <c r="GS98" s="189"/>
      <c r="GT98" s="189"/>
      <c r="GU98" s="268">
        <v>5646.1184999999996</v>
      </c>
      <c r="GV98" s="189">
        <v>1026.5670000000002</v>
      </c>
      <c r="GW98" s="189">
        <v>1283.20875</v>
      </c>
      <c r="GX98" s="189"/>
      <c r="GY98" s="254">
        <v>3011.2631999999999</v>
      </c>
      <c r="GZ98" s="189">
        <v>547.50239999999997</v>
      </c>
      <c r="HA98" s="189">
        <v>684.37800000000004</v>
      </c>
      <c r="HB98" s="255"/>
      <c r="HC98" s="189">
        <v>12199.037849999999</v>
      </c>
      <c r="HD98" s="189"/>
      <c r="HE98" s="189">
        <v>20950.521524999996</v>
      </c>
      <c r="HF98" s="189">
        <v>532340.81647881086</v>
      </c>
      <c r="HG98" s="189"/>
      <c r="HH98" s="203">
        <v>42.94773718893687</v>
      </c>
      <c r="HI98" s="189">
        <v>899777.4924268648</v>
      </c>
      <c r="HJ98" s="268">
        <f t="shared" si="80"/>
        <v>0</v>
      </c>
      <c r="HK98" s="189">
        <f t="shared" si="81"/>
        <v>0</v>
      </c>
      <c r="HL98" s="189">
        <f t="shared" si="82"/>
        <v>0</v>
      </c>
      <c r="HM98" s="255">
        <f t="shared" si="83"/>
        <v>0</v>
      </c>
      <c r="HN98" s="189">
        <f t="shared" si="84"/>
        <v>0</v>
      </c>
      <c r="HO98" s="203">
        <f t="shared" si="109"/>
        <v>0</v>
      </c>
      <c r="HP98" s="258">
        <f t="shared" si="85"/>
        <v>0</v>
      </c>
      <c r="HQ98" s="804"/>
      <c r="HR98" s="268"/>
      <c r="HS98" s="38"/>
      <c r="HT98" s="255"/>
      <c r="HU98" s="254"/>
      <c r="HV98" s="203"/>
      <c r="HW98" s="189"/>
      <c r="HX98" s="1020"/>
      <c r="HY98" s="258"/>
      <c r="HZ98" s="268"/>
      <c r="IA98" s="203"/>
      <c r="IB98" s="255"/>
      <c r="IC98" s="254"/>
      <c r="ID98" s="203"/>
      <c r="IE98" s="255"/>
      <c r="IF98" s="189"/>
      <c r="IG98" s="203"/>
      <c r="IH98" s="255"/>
      <c r="II98" s="189"/>
      <c r="IJ98" s="203"/>
      <c r="IK98" s="189"/>
      <c r="IL98" s="1182"/>
      <c r="IM98" s="1403"/>
      <c r="IN98" s="254"/>
      <c r="IO98" s="254"/>
      <c r="IP98" s="254"/>
      <c r="IQ98" s="254"/>
      <c r="IR98" s="223"/>
    </row>
    <row r="99" spans="1:252" ht="13.8" thickBot="1">
      <c r="A99" t="str">
        <f t="shared" si="86"/>
        <v>2006Q4</v>
      </c>
      <c r="B99">
        <f t="shared" si="87"/>
        <v>2006</v>
      </c>
      <c r="C99" s="49">
        <f t="shared" si="88"/>
        <v>39022</v>
      </c>
      <c r="D99" s="115">
        <f t="shared" si="89"/>
        <v>2006</v>
      </c>
      <c r="E99" s="10">
        <f t="shared" si="112"/>
        <v>11</v>
      </c>
      <c r="F99" s="248">
        <f t="shared" si="113"/>
        <v>39044</v>
      </c>
      <c r="G99" s="245">
        <v>39022</v>
      </c>
      <c r="H99" s="251">
        <v>39051</v>
      </c>
      <c r="I99" s="959">
        <f t="shared" si="110"/>
        <v>7.1499999999999994E-2</v>
      </c>
      <c r="J99" s="37">
        <f t="shared" si="90"/>
        <v>0.61093115365389428</v>
      </c>
      <c r="K99" s="1036"/>
      <c r="L99" s="37"/>
      <c r="M99" s="1004">
        <v>0</v>
      </c>
      <c r="N99" s="38">
        <f t="shared" si="115"/>
        <v>0</v>
      </c>
      <c r="O99" s="40">
        <f t="shared" si="115"/>
        <v>0</v>
      </c>
      <c r="P99" s="159">
        <f t="shared" si="117"/>
        <v>0</v>
      </c>
      <c r="Q99" s="38">
        <f t="shared" ref="Q99:X108" si="118">P99</f>
        <v>0</v>
      </c>
      <c r="R99" s="40">
        <f t="shared" si="118"/>
        <v>0</v>
      </c>
      <c r="S99" s="38">
        <f t="shared" si="118"/>
        <v>0</v>
      </c>
      <c r="T99" s="38">
        <f t="shared" si="118"/>
        <v>0</v>
      </c>
      <c r="U99" s="38">
        <f t="shared" si="118"/>
        <v>0</v>
      </c>
      <c r="V99" s="159">
        <f t="shared" si="118"/>
        <v>0</v>
      </c>
      <c r="W99" s="38">
        <f t="shared" si="118"/>
        <v>0</v>
      </c>
      <c r="X99" s="39">
        <f t="shared" si="118"/>
        <v>0</v>
      </c>
      <c r="Y99" s="46">
        <v>0</v>
      </c>
      <c r="Z99" s="46">
        <v>0</v>
      </c>
      <c r="AA99" s="47">
        <v>0</v>
      </c>
      <c r="AB99" s="46">
        <v>0</v>
      </c>
      <c r="AC99" s="46">
        <v>0</v>
      </c>
      <c r="AD99" s="47">
        <v>0</v>
      </c>
      <c r="AE99" s="46">
        <v>0</v>
      </c>
      <c r="AF99" s="46">
        <v>0</v>
      </c>
      <c r="AG99" s="47">
        <v>0</v>
      </c>
      <c r="AH99" s="46">
        <v>0</v>
      </c>
      <c r="AI99" s="46">
        <v>0</v>
      </c>
      <c r="AJ99" s="47">
        <v>0</v>
      </c>
      <c r="AK99" s="46">
        <v>0</v>
      </c>
      <c r="AL99" s="46">
        <v>0</v>
      </c>
      <c r="AM99" s="47">
        <v>0</v>
      </c>
      <c r="AN99" s="46">
        <v>0</v>
      </c>
      <c r="AO99" s="46">
        <v>0</v>
      </c>
      <c r="AP99" s="47">
        <v>0</v>
      </c>
      <c r="AQ99" s="46">
        <v>0</v>
      </c>
      <c r="AR99" s="46">
        <v>0</v>
      </c>
      <c r="AS99" s="47">
        <v>0</v>
      </c>
      <c r="AT99" s="46">
        <v>0</v>
      </c>
      <c r="AU99" s="46">
        <v>0</v>
      </c>
      <c r="AV99" s="46">
        <v>0</v>
      </c>
      <c r="AW99" s="1545">
        <v>0</v>
      </c>
      <c r="AX99" s="10">
        <f t="shared" si="114"/>
        <v>21</v>
      </c>
      <c r="AY99" s="42">
        <f>IF(AND($E99=MONTH(Summary!$E$24),$D99=YEAR(Summary!$E$24)),Summary!$E$25,1)*IF(G99="",0,INT((H99-MOD(H99,7)-G99)/7)+1-IF(BA99,IF(WEEKDAY(F99)=7,1,0),0))</f>
        <v>4</v>
      </c>
      <c r="AZ99" s="42">
        <f>IF(AND($E99=MONTH(Summary!$E$24),$D99=YEAR(Summary!$E$24)),Summary!$E$25,1)*IF(G99="",0,INT((H99-MOD(H99-1,7)-G99)/7)+1-IF(BA99,IF(WEEKDAY(F99)=1,1,0),0))</f>
        <v>4</v>
      </c>
      <c r="BA99" s="42">
        <v>1</v>
      </c>
      <c r="BB99" s="10">
        <f>IF(AND($E99=MONTH(Summary!$E$24),$D99=YEAR(Summary!$E$24)),Summary!$E$25,1)*IF(G99="",0,H99-G99+1)</f>
        <v>30</v>
      </c>
      <c r="BC99" s="914">
        <f>Summary!$E$19</f>
        <v>1.4999999999999999E-2</v>
      </c>
      <c r="BD99" s="113">
        <v>14893.2</v>
      </c>
      <c r="BE99" s="171">
        <v>2836.8</v>
      </c>
      <c r="BF99" s="171">
        <v>3546</v>
      </c>
      <c r="BG99" s="174"/>
      <c r="BH99" s="1198">
        <v>1</v>
      </c>
      <c r="BI99" s="1198">
        <v>1</v>
      </c>
      <c r="BJ99" s="1198">
        <v>1</v>
      </c>
      <c r="BK99" s="1198">
        <v>1</v>
      </c>
      <c r="BL99" s="95">
        <v>2978.64</v>
      </c>
      <c r="BM99" s="171">
        <v>567.36</v>
      </c>
      <c r="BN99" s="171">
        <v>709.2</v>
      </c>
      <c r="BO99" s="174"/>
      <c r="BP99" s="1198">
        <v>1</v>
      </c>
      <c r="BQ99" s="1199">
        <v>1</v>
      </c>
      <c r="BR99" s="1199">
        <v>1</v>
      </c>
      <c r="BS99" s="1200">
        <v>1</v>
      </c>
      <c r="BT99" s="94">
        <f t="shared" si="91"/>
        <v>21276</v>
      </c>
      <c r="BU99" s="233">
        <f t="shared" si="92"/>
        <v>21276</v>
      </c>
      <c r="BV99" s="92">
        <f t="shared" si="93"/>
        <v>4255.2</v>
      </c>
      <c r="BW99" s="233">
        <f t="shared" si="94"/>
        <v>4255.2</v>
      </c>
      <c r="BX99" s="88">
        <v>6.8802190280629709</v>
      </c>
      <c r="BY99" s="90">
        <v>0</v>
      </c>
      <c r="BZ99" s="88">
        <v>0</v>
      </c>
      <c r="CA99" s="88">
        <v>0</v>
      </c>
      <c r="CB99" s="88">
        <v>0</v>
      </c>
      <c r="CC99" s="88">
        <v>0</v>
      </c>
      <c r="CD99" s="88">
        <v>0</v>
      </c>
      <c r="CE99" s="100">
        <v>0</v>
      </c>
      <c r="CF99" s="88">
        <v>0</v>
      </c>
      <c r="CG99" s="88">
        <v>0</v>
      </c>
      <c r="CH99" s="88">
        <v>0</v>
      </c>
      <c r="CI99" s="88">
        <v>0</v>
      </c>
      <c r="CJ99" s="228">
        <v>0</v>
      </c>
      <c r="CK99" s="88">
        <v>0</v>
      </c>
      <c r="CL99" s="88">
        <v>0</v>
      </c>
      <c r="CM99" s="88">
        <v>0</v>
      </c>
      <c r="CN99" s="88">
        <v>0</v>
      </c>
      <c r="CO99" s="88">
        <v>0</v>
      </c>
      <c r="CP99" s="88">
        <v>0</v>
      </c>
      <c r="CQ99" s="229">
        <v>0</v>
      </c>
      <c r="CR99" s="91">
        <v>0</v>
      </c>
      <c r="CS99" s="91">
        <v>0</v>
      </c>
      <c r="CT99" s="91">
        <v>0</v>
      </c>
      <c r="CU99" s="91">
        <v>0</v>
      </c>
      <c r="CV99" s="91">
        <v>0</v>
      </c>
      <c r="CW99" s="91">
        <v>0</v>
      </c>
      <c r="CX99" s="225">
        <v>0</v>
      </c>
      <c r="CY99" s="1265">
        <v>7763.2488000000003</v>
      </c>
      <c r="CZ99" s="90">
        <v>0</v>
      </c>
      <c r="DA99" s="88">
        <v>0</v>
      </c>
      <c r="DB99" s="88">
        <v>0</v>
      </c>
      <c r="DC99" s="88">
        <v>0</v>
      </c>
      <c r="DD99" s="88">
        <v>0</v>
      </c>
      <c r="DE99" s="152">
        <v>0</v>
      </c>
      <c r="DF99" s="230">
        <v>0</v>
      </c>
      <c r="DG99" s="38">
        <v>0</v>
      </c>
      <c r="DH99" s="1237">
        <v>0</v>
      </c>
      <c r="DI99" s="956">
        <v>0</v>
      </c>
      <c r="DJ99" s="956">
        <v>0</v>
      </c>
      <c r="DK99" s="956">
        <v>0</v>
      </c>
      <c r="DL99" s="152">
        <v>0</v>
      </c>
      <c r="DM99" s="160">
        <v>0</v>
      </c>
      <c r="DN99" s="160">
        <v>0</v>
      </c>
      <c r="DO99" s="160">
        <v>0</v>
      </c>
      <c r="DP99" s="160">
        <v>0</v>
      </c>
      <c r="DQ99" s="160">
        <v>0</v>
      </c>
      <c r="DR99" s="230">
        <v>0</v>
      </c>
      <c r="DS99" s="88">
        <v>0</v>
      </c>
      <c r="DT99" s="88">
        <v>0</v>
      </c>
      <c r="DU99" s="88">
        <v>0</v>
      </c>
      <c r="DV99" s="88">
        <v>0</v>
      </c>
      <c r="DW99" s="88">
        <v>0</v>
      </c>
      <c r="DX99" s="88">
        <v>0</v>
      </c>
      <c r="DY99" s="88">
        <v>0</v>
      </c>
      <c r="DZ99" s="88">
        <v>0</v>
      </c>
      <c r="EA99" s="88">
        <v>0</v>
      </c>
      <c r="EB99" s="152">
        <v>0</v>
      </c>
      <c r="EC99" s="52">
        <f t="shared" si="95"/>
        <v>0</v>
      </c>
      <c r="ED99" s="52">
        <f t="shared" si="95"/>
        <v>0</v>
      </c>
      <c r="EE99" s="52">
        <f t="shared" si="95"/>
        <v>0</v>
      </c>
      <c r="EF99" s="52">
        <f t="shared" si="71"/>
        <v>0</v>
      </c>
      <c r="EG99" s="52">
        <f t="shared" si="96"/>
        <v>0</v>
      </c>
      <c r="EH99" s="238">
        <v>0</v>
      </c>
      <c r="EI99" s="211">
        <v>0</v>
      </c>
      <c r="EJ99" s="211">
        <v>0</v>
      </c>
      <c r="EK99" s="211">
        <v>0</v>
      </c>
      <c r="EL99" s="217">
        <f>IF(C99&gt;=Summary!$E$26,MAX(0,SUM(EH99:EK99)),0)</f>
        <v>0</v>
      </c>
      <c r="EM99" s="52">
        <f>IF(C99&gt;=Summary!$E$26,DX99*BL99,0)</f>
        <v>0</v>
      </c>
      <c r="EN99" s="52">
        <f>IF(C99&gt;=Summary!$E$26,DY99*BM99,0)</f>
        <v>0</v>
      </c>
      <c r="EO99" s="52">
        <f>IF(C99&gt;=Summary!$E$26,DZ99*BN99,0)</f>
        <v>0</v>
      </c>
      <c r="EP99" s="52">
        <f>IF(C99&gt;=Summary!$E$26,EA99*BO99,0)</f>
        <v>0</v>
      </c>
      <c r="EQ99" s="52">
        <f>IF(C99&gt;=Summary!$E$26,DX99*BL99+DY99*BM99+DZ99*BN99+EA99*BO99,0)</f>
        <v>0</v>
      </c>
      <c r="ER99" s="826">
        <v>0</v>
      </c>
      <c r="ES99" s="278">
        <v>0</v>
      </c>
      <c r="ET99" s="278">
        <v>0</v>
      </c>
      <c r="EU99" s="278">
        <v>0</v>
      </c>
      <c r="EV99" s="212">
        <f>IF(C99&gt;=Summary!$E$26,MAX(0,SUM(ER99:EU99)),0)</f>
        <v>0</v>
      </c>
      <c r="EW99" s="52"/>
      <c r="EX99" s="1049">
        <f t="shared" si="97"/>
        <v>0</v>
      </c>
      <c r="EY99" s="1045" t="str">
        <f t="shared" si="98"/>
        <v/>
      </c>
      <c r="EZ99" s="1684" t="s">
        <v>525</v>
      </c>
      <c r="FA99" s="1046">
        <f t="shared" si="111"/>
        <v>45</v>
      </c>
      <c r="FB99" s="256">
        <f t="shared" si="99"/>
        <v>9308.25</v>
      </c>
      <c r="FC99" s="194">
        <f t="shared" si="100"/>
        <v>2792.4749999999999</v>
      </c>
      <c r="FD99" s="194">
        <f t="shared" si="101"/>
        <v>1773</v>
      </c>
      <c r="FE99" s="194">
        <f t="shared" si="102"/>
        <v>531.9</v>
      </c>
      <c r="FF99" s="194">
        <f t="shared" si="103"/>
        <v>2216.25</v>
      </c>
      <c r="FG99" s="194">
        <f t="shared" si="104"/>
        <v>664.875</v>
      </c>
      <c r="FH99" s="257">
        <f>IF(EZ99="No",IF((OR(MONTH(C99)=5,MONTH(C99)=6,MONTH(C99)=7,MONTH(C99)=8,MONTH(C99)=9)),Summary!$O$15*12*(AX99+AY99+AZ99+BA99)*(1-$BC99),Summary!$O$15*13*(AX99+AY99+AZ99+BA99)*(1-$BC99)+IF(Summary!$O$16="Yes",(CALC!FA99+Summary!$O$15)*6*(AX99+AY99+AZ99+BA99)*(1-$BC99),0)),0)</f>
        <v>0</v>
      </c>
      <c r="FI99" s="1412">
        <f>IF(MONTH(C99)=5,FI98*(IF(Summary!$E$70="no",(1+(Summary!$E$71*0.8)),1+HLOOKUP(YEAR(C99)-1,CCFMODEL!$I$127:$AF$128,2)*0.8)),+FI98)</f>
        <v>31.406776784422302</v>
      </c>
      <c r="FJ99" s="1411">
        <f>IF(MONTH(C99)=5,FJ98*(IF(Summary!$E$70="no",(1+(Summary!$E$71*0.8)),1+HLOOKUP(YEAR(CALC!C99)-1,CCFMODEL!$I$127:$AF$128,2)*0.8)),FJ98)</f>
        <v>27.450017504495079</v>
      </c>
      <c r="FK99" s="832">
        <f t="shared" si="72"/>
        <v>542921.0985781122</v>
      </c>
      <c r="FL99" s="1412">
        <f>IF(MONTH(C99)=5,FL98*(IF(Summary!$E$70="no",(1+(Summary!$E$71*0.8)),1+HLOOKUP(YEAR(CALC!C99)-1,CCFMODEL!$I$127:$AF$128,2)*0.8)),+FL98)</f>
        <v>66.051972622356445</v>
      </c>
      <c r="FM99" s="1411">
        <f>IF(MONTH(C99)=5,FM98*(IF(Summary!$E$70="no",(1+(Summary!$E$71*0.8)),1+HLOOKUP(YEAR(CALC!C99)-1,CCFMODEL!$I$127:$AF$128,2)*0.8)),+FM98)</f>
        <v>31.524537477277274</v>
      </c>
      <c r="FN99" s="832">
        <f t="shared" si="73"/>
        <v>553255.63272621611</v>
      </c>
      <c r="FO99" s="194">
        <f t="shared" si="105"/>
        <v>1096176.7313043284</v>
      </c>
      <c r="FP99" s="263">
        <f t="shared" si="69"/>
        <v>9308.25</v>
      </c>
      <c r="FQ99" s="194">
        <f t="shared" si="69"/>
        <v>2792.4749999999999</v>
      </c>
      <c r="FR99" s="194">
        <f t="shared" si="69"/>
        <v>1773</v>
      </c>
      <c r="FS99" s="194">
        <f t="shared" si="68"/>
        <v>531.9</v>
      </c>
      <c r="FT99" s="194">
        <f t="shared" si="68"/>
        <v>2216.25</v>
      </c>
      <c r="FU99" s="194">
        <f t="shared" si="68"/>
        <v>664.875</v>
      </c>
      <c r="FV99" s="257">
        <f t="shared" si="68"/>
        <v>0</v>
      </c>
      <c r="FW99" s="189">
        <f t="shared" si="74"/>
        <v>0</v>
      </c>
      <c r="FX99" s="189">
        <f t="shared" si="75"/>
        <v>0</v>
      </c>
      <c r="FY99" s="189">
        <f t="shared" si="76"/>
        <v>0</v>
      </c>
      <c r="FZ99" s="258">
        <f t="shared" si="77"/>
        <v>0</v>
      </c>
      <c r="GA99" s="1293">
        <f>(SUM(FP99:FV99)+SUM(GU99:HB99)/(1-Summary!$O$25))*CY99/1000</f>
        <v>229174.59803796004</v>
      </c>
      <c r="GB99" s="1369">
        <f>IF($C99&lt;Summary!$M$81,+Summary!$O$81,VLOOKUP(C99,GasTable,19))</f>
        <v>2.4</v>
      </c>
      <c r="GC99" s="1370">
        <f>IF(H99&lt;=Summary!$N$84,MIN(GA99,Summary!$O$75*(H99-G99+1)),0)</f>
        <v>150000</v>
      </c>
      <c r="GD99" s="1371">
        <f>IF(Summary!$O$75*(H99-G99+1)*0.8&gt;GC99,1,0)</f>
        <v>0</v>
      </c>
      <c r="GE99" s="1372">
        <v>0</v>
      </c>
      <c r="GF99" s="1370">
        <f t="shared" si="106"/>
        <v>79174.598037960037</v>
      </c>
      <c r="GG99" s="1371">
        <f>GF99*(IF(Summary!$O$74=1,VLOOKUP($C99,GasTable,16)+Summary!$O$92+Summary!$O$93,VLOOKUP($C99,GasTable,19)+Summary!$O$92+Summary!$O$93))</f>
        <v>261008.01240125799</v>
      </c>
      <c r="GH99" s="1373">
        <v>18732</v>
      </c>
      <c r="GI99" s="1466">
        <v>0</v>
      </c>
      <c r="GJ99" s="1374">
        <f t="shared" si="107"/>
        <v>639740.01240125799</v>
      </c>
      <c r="GK99" s="189">
        <f t="shared" si="78"/>
        <v>29092.270500000002</v>
      </c>
      <c r="GL99" s="266">
        <v>0.76235103216000011</v>
      </c>
      <c r="GM99" s="255">
        <f t="shared" si="79"/>
        <v>14730.000000000002</v>
      </c>
      <c r="GN99" s="189">
        <f>IF(SUM(GU99:HB99)=0,0,IF(Summary!$O$16="Yes",SUM(GX99:HB99),IF(Summary!$O$17="Yes",SUM(GY99:HB99),SUM(GU99:HB99))))</f>
        <v>11805.520500000001</v>
      </c>
      <c r="GO99" s="203">
        <v>2.8412779445764338</v>
      </c>
      <c r="GP99" s="258">
        <f t="shared" si="108"/>
        <v>33542.765020894956</v>
      </c>
      <c r="GQ99" s="189"/>
      <c r="GR99" s="189"/>
      <c r="GS99" s="189"/>
      <c r="GT99" s="189"/>
      <c r="GU99" s="268">
        <v>5389.4767500000007</v>
      </c>
      <c r="GV99" s="189">
        <v>1026.5670000000002</v>
      </c>
      <c r="GW99" s="189">
        <v>1283.20875</v>
      </c>
      <c r="GX99" s="189"/>
      <c r="GY99" s="254">
        <v>2874.3875999999996</v>
      </c>
      <c r="GZ99" s="189">
        <v>547.50239999999997</v>
      </c>
      <c r="HA99" s="189">
        <v>684.37800000000004</v>
      </c>
      <c r="HB99" s="255"/>
      <c r="HC99" s="189">
        <v>11805.520500000001</v>
      </c>
      <c r="HD99" s="189"/>
      <c r="HE99" s="189">
        <v>20274.698250000001</v>
      </c>
      <c r="HF99" s="189">
        <v>534293.33661461028</v>
      </c>
      <c r="HG99" s="189"/>
      <c r="HH99" s="203">
        <v>44.991501097284129</v>
      </c>
      <c r="HI99" s="189">
        <v>912189.10856197972</v>
      </c>
      <c r="HJ99" s="268">
        <f t="shared" si="80"/>
        <v>0</v>
      </c>
      <c r="HK99" s="189">
        <f t="shared" si="81"/>
        <v>0</v>
      </c>
      <c r="HL99" s="189">
        <f t="shared" si="82"/>
        <v>0</v>
      </c>
      <c r="HM99" s="255">
        <f t="shared" si="83"/>
        <v>0</v>
      </c>
      <c r="HN99" s="189">
        <f t="shared" si="84"/>
        <v>0</v>
      </c>
      <c r="HO99" s="203">
        <f t="shared" si="109"/>
        <v>0</v>
      </c>
      <c r="HP99" s="258">
        <f t="shared" si="85"/>
        <v>0</v>
      </c>
      <c r="HQ99" s="804"/>
      <c r="HR99" s="268"/>
      <c r="HS99" s="38"/>
      <c r="HT99" s="255"/>
      <c r="HU99" s="254"/>
      <c r="HV99" s="203"/>
      <c r="HW99" s="189"/>
      <c r="HX99" s="1020"/>
      <c r="HY99" s="258"/>
      <c r="HZ99" s="268"/>
      <c r="IA99" s="203"/>
      <c r="IB99" s="255"/>
      <c r="IC99" s="254"/>
      <c r="ID99" s="203"/>
      <c r="IE99" s="255"/>
      <c r="IF99" s="189"/>
      <c r="IG99" s="203"/>
      <c r="IH99" s="255"/>
      <c r="II99" s="189"/>
      <c r="IJ99" s="203"/>
      <c r="IK99" s="189"/>
      <c r="IL99" s="1182"/>
      <c r="IM99" s="1403"/>
      <c r="IN99" s="254"/>
      <c r="IO99" s="254"/>
      <c r="IP99" s="254"/>
      <c r="IQ99" s="254"/>
      <c r="IR99" s="223"/>
    </row>
    <row r="100" spans="1:252" ht="13.8" thickBot="1">
      <c r="A100" t="str">
        <f t="shared" si="86"/>
        <v>2006Q4</v>
      </c>
      <c r="B100">
        <f t="shared" si="87"/>
        <v>2006</v>
      </c>
      <c r="C100" s="49">
        <f t="shared" si="88"/>
        <v>39052</v>
      </c>
      <c r="D100" s="115">
        <f t="shared" si="89"/>
        <v>2006</v>
      </c>
      <c r="E100" s="10">
        <f t="shared" si="112"/>
        <v>12</v>
      </c>
      <c r="F100" s="248">
        <f t="shared" si="113"/>
        <v>39076</v>
      </c>
      <c r="G100" s="245">
        <v>39052</v>
      </c>
      <c r="H100" s="251">
        <v>39082</v>
      </c>
      <c r="I100" s="959">
        <f t="shared" si="110"/>
        <v>7.1499999999999994E-2</v>
      </c>
      <c r="J100" s="37">
        <f t="shared" si="90"/>
        <v>0.60729932048683399</v>
      </c>
      <c r="K100" s="1036"/>
      <c r="L100" s="37"/>
      <c r="M100" s="1004">
        <v>0</v>
      </c>
      <c r="N100" s="38">
        <f t="shared" si="115"/>
        <v>0</v>
      </c>
      <c r="O100" s="40">
        <f t="shared" si="115"/>
        <v>0</v>
      </c>
      <c r="P100" s="159">
        <f t="shared" si="117"/>
        <v>0</v>
      </c>
      <c r="Q100" s="38">
        <f t="shared" si="118"/>
        <v>0</v>
      </c>
      <c r="R100" s="40">
        <f t="shared" si="118"/>
        <v>0</v>
      </c>
      <c r="S100" s="38">
        <f t="shared" si="118"/>
        <v>0</v>
      </c>
      <c r="T100" s="38">
        <f t="shared" si="118"/>
        <v>0</v>
      </c>
      <c r="U100" s="38">
        <f t="shared" si="118"/>
        <v>0</v>
      </c>
      <c r="V100" s="159">
        <f t="shared" si="118"/>
        <v>0</v>
      </c>
      <c r="W100" s="38">
        <f t="shared" si="118"/>
        <v>0</v>
      </c>
      <c r="X100" s="39">
        <f t="shared" si="118"/>
        <v>0</v>
      </c>
      <c r="Y100" s="46">
        <v>0</v>
      </c>
      <c r="Z100" s="46">
        <v>0</v>
      </c>
      <c r="AA100" s="47">
        <v>0</v>
      </c>
      <c r="AB100" s="46">
        <v>0</v>
      </c>
      <c r="AC100" s="46">
        <v>0</v>
      </c>
      <c r="AD100" s="47">
        <v>0</v>
      </c>
      <c r="AE100" s="46">
        <v>0</v>
      </c>
      <c r="AF100" s="46">
        <v>0</v>
      </c>
      <c r="AG100" s="47">
        <v>0</v>
      </c>
      <c r="AH100" s="46">
        <v>0</v>
      </c>
      <c r="AI100" s="46">
        <v>0</v>
      </c>
      <c r="AJ100" s="47">
        <v>0</v>
      </c>
      <c r="AK100" s="46">
        <v>0</v>
      </c>
      <c r="AL100" s="46">
        <v>0</v>
      </c>
      <c r="AM100" s="47">
        <v>0</v>
      </c>
      <c r="AN100" s="46">
        <v>0</v>
      </c>
      <c r="AO100" s="46">
        <v>0</v>
      </c>
      <c r="AP100" s="47">
        <v>0</v>
      </c>
      <c r="AQ100" s="46">
        <v>0</v>
      </c>
      <c r="AR100" s="46">
        <v>0</v>
      </c>
      <c r="AS100" s="47">
        <v>0</v>
      </c>
      <c r="AT100" s="46">
        <v>0</v>
      </c>
      <c r="AU100" s="46">
        <v>0</v>
      </c>
      <c r="AV100" s="46">
        <v>0</v>
      </c>
      <c r="AW100" s="1545">
        <v>0</v>
      </c>
      <c r="AX100" s="10">
        <f t="shared" si="114"/>
        <v>20</v>
      </c>
      <c r="AY100" s="42">
        <f>IF(AND($E100=MONTH(Summary!$E$24),$D100=YEAR(Summary!$E$24)),Summary!$E$25,1)*IF(G100="",0,INT((H100-MOD(H100,7)-G100)/7)+1-IF(BA100,IF(WEEKDAY(F100)=7,1,0),0))</f>
        <v>5</v>
      </c>
      <c r="AZ100" s="42">
        <f>IF(AND($E100=MONTH(Summary!$E$24),$D100=YEAR(Summary!$E$24)),Summary!$E$25,1)*IF(G100="",0,INT((H100-MOD(H100-1,7)-G100)/7)+1-IF(BA100,IF(WEEKDAY(F100)=1,1,0),0))</f>
        <v>5</v>
      </c>
      <c r="BA100" s="42">
        <v>1</v>
      </c>
      <c r="BB100" s="10">
        <f>IF(AND($E100=MONTH(Summary!$E$24),$D100=YEAR(Summary!$E$24)),Summary!$E$25,1)*IF(G100="",0,H100-G100+1)</f>
        <v>31</v>
      </c>
      <c r="BC100" s="914">
        <f>Summary!$E$19</f>
        <v>1.4999999999999999E-2</v>
      </c>
      <c r="BD100" s="113">
        <v>14184</v>
      </c>
      <c r="BE100" s="171">
        <v>3546</v>
      </c>
      <c r="BF100" s="171">
        <v>4255.2</v>
      </c>
      <c r="BG100" s="174"/>
      <c r="BH100" s="1198">
        <v>1</v>
      </c>
      <c r="BI100" s="1198">
        <v>1</v>
      </c>
      <c r="BJ100" s="1198">
        <v>1</v>
      </c>
      <c r="BK100" s="1198">
        <v>1</v>
      </c>
      <c r="BL100" s="95">
        <v>2836.8</v>
      </c>
      <c r="BM100" s="171">
        <v>709.2</v>
      </c>
      <c r="BN100" s="171">
        <v>851.04</v>
      </c>
      <c r="BO100" s="174"/>
      <c r="BP100" s="1198">
        <v>1</v>
      </c>
      <c r="BQ100" s="1199">
        <v>1</v>
      </c>
      <c r="BR100" s="1199">
        <v>1</v>
      </c>
      <c r="BS100" s="1200">
        <v>1</v>
      </c>
      <c r="BT100" s="94">
        <f t="shared" si="91"/>
        <v>21985.200000000001</v>
      </c>
      <c r="BU100" s="233">
        <f t="shared" si="92"/>
        <v>21985.200000000001</v>
      </c>
      <c r="BV100" s="92">
        <f t="shared" si="93"/>
        <v>4397.04</v>
      </c>
      <c r="BW100" s="233">
        <f t="shared" si="94"/>
        <v>4397.04</v>
      </c>
      <c r="BX100" s="88">
        <v>6.9623545516769338</v>
      </c>
      <c r="BY100" s="90">
        <v>0</v>
      </c>
      <c r="BZ100" s="88">
        <v>0</v>
      </c>
      <c r="CA100" s="88">
        <v>0</v>
      </c>
      <c r="CB100" s="88">
        <v>0</v>
      </c>
      <c r="CC100" s="88">
        <v>0</v>
      </c>
      <c r="CD100" s="88">
        <v>0</v>
      </c>
      <c r="CE100" s="100">
        <v>0</v>
      </c>
      <c r="CF100" s="88">
        <v>0</v>
      </c>
      <c r="CG100" s="88">
        <v>0</v>
      </c>
      <c r="CH100" s="88">
        <v>0</v>
      </c>
      <c r="CI100" s="88">
        <v>0</v>
      </c>
      <c r="CJ100" s="228">
        <v>0</v>
      </c>
      <c r="CK100" s="88">
        <v>0</v>
      </c>
      <c r="CL100" s="88">
        <v>0</v>
      </c>
      <c r="CM100" s="88">
        <v>0</v>
      </c>
      <c r="CN100" s="88">
        <v>0</v>
      </c>
      <c r="CO100" s="88">
        <v>0</v>
      </c>
      <c r="CP100" s="88">
        <v>0</v>
      </c>
      <c r="CQ100" s="229">
        <v>0</v>
      </c>
      <c r="CR100" s="91">
        <v>0</v>
      </c>
      <c r="CS100" s="91">
        <v>0</v>
      </c>
      <c r="CT100" s="91">
        <v>0</v>
      </c>
      <c r="CU100" s="91">
        <v>0</v>
      </c>
      <c r="CV100" s="91">
        <v>0</v>
      </c>
      <c r="CW100" s="91">
        <v>0</v>
      </c>
      <c r="CX100" s="225">
        <v>0</v>
      </c>
      <c r="CY100" s="1265">
        <v>7764.5516800000005</v>
      </c>
      <c r="CZ100" s="90">
        <v>0</v>
      </c>
      <c r="DA100" s="88">
        <v>0</v>
      </c>
      <c r="DB100" s="88">
        <v>0</v>
      </c>
      <c r="DC100" s="88">
        <v>0</v>
      </c>
      <c r="DD100" s="88">
        <v>0</v>
      </c>
      <c r="DE100" s="152">
        <v>0</v>
      </c>
      <c r="DF100" s="230">
        <v>0</v>
      </c>
      <c r="DG100" s="38">
        <v>0</v>
      </c>
      <c r="DH100" s="1237">
        <v>0</v>
      </c>
      <c r="DI100" s="956">
        <v>0</v>
      </c>
      <c r="DJ100" s="956">
        <v>0</v>
      </c>
      <c r="DK100" s="956">
        <v>0</v>
      </c>
      <c r="DL100" s="152">
        <v>0</v>
      </c>
      <c r="DM100" s="160">
        <v>0</v>
      </c>
      <c r="DN100" s="160">
        <v>0</v>
      </c>
      <c r="DO100" s="160">
        <v>0</v>
      </c>
      <c r="DP100" s="160">
        <v>0</v>
      </c>
      <c r="DQ100" s="160">
        <v>0</v>
      </c>
      <c r="DR100" s="230">
        <v>0</v>
      </c>
      <c r="DS100" s="88">
        <v>0</v>
      </c>
      <c r="DT100" s="88">
        <v>0</v>
      </c>
      <c r="DU100" s="88">
        <v>0</v>
      </c>
      <c r="DV100" s="88">
        <v>0</v>
      </c>
      <c r="DW100" s="88">
        <v>0</v>
      </c>
      <c r="DX100" s="88">
        <v>0</v>
      </c>
      <c r="DY100" s="88">
        <v>0</v>
      </c>
      <c r="DZ100" s="88">
        <v>0</v>
      </c>
      <c r="EA100" s="88">
        <v>0</v>
      </c>
      <c r="EB100" s="152">
        <v>0</v>
      </c>
      <c r="EC100" s="52">
        <f t="shared" si="95"/>
        <v>0</v>
      </c>
      <c r="ED100" s="52">
        <f t="shared" si="95"/>
        <v>0</v>
      </c>
      <c r="EE100" s="52">
        <f t="shared" si="95"/>
        <v>0</v>
      </c>
      <c r="EF100" s="52">
        <f t="shared" si="71"/>
        <v>0</v>
      </c>
      <c r="EG100" s="52">
        <f t="shared" si="96"/>
        <v>0</v>
      </c>
      <c r="EH100" s="238">
        <v>0</v>
      </c>
      <c r="EI100" s="211">
        <v>0</v>
      </c>
      <c r="EJ100" s="211">
        <v>0</v>
      </c>
      <c r="EK100" s="211">
        <v>0</v>
      </c>
      <c r="EL100" s="217">
        <f>IF(C100&gt;=Summary!$E$26,MAX(0,SUM(EH100:EK100)),0)</f>
        <v>0</v>
      </c>
      <c r="EM100" s="52">
        <f>IF(C100&gt;=Summary!$E$26,DX100*BL100,0)</f>
        <v>0</v>
      </c>
      <c r="EN100" s="52">
        <f>IF(C100&gt;=Summary!$E$26,DY100*BM100,0)</f>
        <v>0</v>
      </c>
      <c r="EO100" s="52">
        <f>IF(C100&gt;=Summary!$E$26,DZ100*BN100,0)</f>
        <v>0</v>
      </c>
      <c r="EP100" s="52">
        <f>IF(C100&gt;=Summary!$E$26,EA100*BO100,0)</f>
        <v>0</v>
      </c>
      <c r="EQ100" s="52">
        <f>IF(C100&gt;=Summary!$E$26,DX100*BL100+DY100*BM100+DZ100*BN100+EA100*BO100,0)</f>
        <v>0</v>
      </c>
      <c r="ER100" s="826">
        <v>0</v>
      </c>
      <c r="ES100" s="278">
        <v>0</v>
      </c>
      <c r="ET100" s="278">
        <v>0</v>
      </c>
      <c r="EU100" s="278">
        <v>0</v>
      </c>
      <c r="EV100" s="212">
        <f>IF(C100&gt;=Summary!$E$26,MAX(0,SUM(ER100:EU100)),0)</f>
        <v>0</v>
      </c>
      <c r="EW100" s="52"/>
      <c r="EX100" s="1049">
        <f t="shared" si="97"/>
        <v>0</v>
      </c>
      <c r="EY100" s="1045" t="str">
        <f t="shared" si="98"/>
        <v/>
      </c>
      <c r="EZ100" s="1684" t="s">
        <v>525</v>
      </c>
      <c r="FA100" s="1046">
        <f t="shared" si="111"/>
        <v>45</v>
      </c>
      <c r="FB100" s="256">
        <f t="shared" si="99"/>
        <v>8865</v>
      </c>
      <c r="FC100" s="194">
        <f t="shared" si="100"/>
        <v>2659.5</v>
      </c>
      <c r="FD100" s="194">
        <f t="shared" si="101"/>
        <v>2216.25</v>
      </c>
      <c r="FE100" s="194">
        <f t="shared" si="102"/>
        <v>664.875</v>
      </c>
      <c r="FF100" s="194">
        <f t="shared" si="103"/>
        <v>2659.5</v>
      </c>
      <c r="FG100" s="194">
        <f t="shared" si="104"/>
        <v>797.85</v>
      </c>
      <c r="FH100" s="257">
        <f>IF(EZ100="No",IF((OR(MONTH(C100)=5,MONTH(C100)=6,MONTH(C100)=7,MONTH(C100)=8,MONTH(C100)=9)),Summary!$O$15*12*(AX100+AY100+AZ100+BA100)*(1-$BC100),Summary!$O$15*13*(AX100+AY100+AZ100+BA100)*(1-$BC100)+IF(Summary!$O$16="Yes",(CALC!FA100+Summary!$O$15)*6*(AX100+AY100+AZ100+BA100)*(1-$BC100),0)),0)</f>
        <v>0</v>
      </c>
      <c r="FI100" s="1412">
        <f>IF(MONTH(C100)=5,FI99*(IF(Summary!$E$70="no",(1+(Summary!$E$71*0.8)),1+HLOOKUP(YEAR(C100)-1,CCFMODEL!$I$127:$AF$128,2)*0.8)),+FI99)</f>
        <v>31.406776784422302</v>
      </c>
      <c r="FJ100" s="1411">
        <f>IF(MONTH(C100)=5,FJ99*(IF(Summary!$E$70="no",(1+(Summary!$E$71*0.8)),1+HLOOKUP(YEAR(CALC!C100)-1,CCFMODEL!$I$127:$AF$128,2)*0.8)),FJ99)</f>
        <v>27.450017504495079</v>
      </c>
      <c r="FK100" s="832">
        <f t="shared" si="72"/>
        <v>561018.46853071591</v>
      </c>
      <c r="FL100" s="1412">
        <f>IF(MONTH(C100)=5,FL99*(IF(Summary!$E$70="no",(1+(Summary!$E$71*0.8)),1+HLOOKUP(YEAR(CALC!C100)-1,CCFMODEL!$I$127:$AF$128,2)*0.8)),+FL99)</f>
        <v>66.051972622356445</v>
      </c>
      <c r="FM100" s="1411">
        <f>IF(MONTH(C100)=5,FM99*(IF(Summary!$E$70="no",(1+(Summary!$E$71*0.8)),1+HLOOKUP(YEAR(CALC!C100)-1,CCFMODEL!$I$127:$AF$128,2)*0.8)),+FM99)</f>
        <v>31.524537477277274</v>
      </c>
      <c r="FN100" s="832">
        <f t="shared" si="73"/>
        <v>571697.48715042335</v>
      </c>
      <c r="FO100" s="194">
        <f t="shared" si="105"/>
        <v>1132715.9556811391</v>
      </c>
      <c r="FP100" s="263">
        <f t="shared" si="69"/>
        <v>8865</v>
      </c>
      <c r="FQ100" s="194">
        <f t="shared" si="69"/>
        <v>2659.5</v>
      </c>
      <c r="FR100" s="194">
        <f t="shared" si="69"/>
        <v>2216.25</v>
      </c>
      <c r="FS100" s="194">
        <f t="shared" si="68"/>
        <v>664.875</v>
      </c>
      <c r="FT100" s="194">
        <f t="shared" si="68"/>
        <v>2659.5</v>
      </c>
      <c r="FU100" s="194">
        <f t="shared" si="68"/>
        <v>797.85</v>
      </c>
      <c r="FV100" s="257">
        <f t="shared" si="68"/>
        <v>0</v>
      </c>
      <c r="FW100" s="189">
        <f t="shared" si="74"/>
        <v>0</v>
      </c>
      <c r="FX100" s="189">
        <f t="shared" si="75"/>
        <v>0</v>
      </c>
      <c r="FY100" s="189">
        <f t="shared" si="76"/>
        <v>0</v>
      </c>
      <c r="FZ100" s="258">
        <f t="shared" si="77"/>
        <v>0</v>
      </c>
      <c r="GA100" s="1293">
        <f>(SUM(FP100:FV100)+SUM(GU100:HB100)/(1-Summary!$O$25))*CY100/1000</f>
        <v>236853.4949632512</v>
      </c>
      <c r="GB100" s="1369">
        <f>IF($C100&lt;Summary!$M$81,+Summary!$O$81,VLOOKUP(C100,GasTable,19))</f>
        <v>2.4</v>
      </c>
      <c r="GC100" s="1370">
        <f>IF(H100&lt;=Summary!$N$84,MIN(GA100,Summary!$O$75*(H100-G100+1)),0)</f>
        <v>155000</v>
      </c>
      <c r="GD100" s="1371">
        <f>IF(Summary!$O$75*(H100-G100+1)*0.8&gt;GC100,1,0)</f>
        <v>0</v>
      </c>
      <c r="GE100" s="1372">
        <v>0</v>
      </c>
      <c r="GF100" s="1370">
        <f t="shared" si="106"/>
        <v>81853.4949632512</v>
      </c>
      <c r="GG100" s="1371">
        <f>GF100*(IF(Summary!$O$74=1,VLOOKUP($C100,GasTable,16)+Summary!$O$92+Summary!$O$93,VLOOKUP($C100,GasTable,19)+Summary!$O$92+Summary!$O$93))</f>
        <v>281135.54705880972</v>
      </c>
      <c r="GH100" s="1373">
        <v>19864.8</v>
      </c>
      <c r="GI100" s="1466">
        <v>0</v>
      </c>
      <c r="GJ100" s="1374">
        <f t="shared" si="107"/>
        <v>673000.34705880983</v>
      </c>
      <c r="GK100" s="189">
        <f t="shared" si="78"/>
        <v>30062.012849999999</v>
      </c>
      <c r="GL100" s="266">
        <v>0.76247897497600015</v>
      </c>
      <c r="GM100" s="255">
        <f t="shared" si="79"/>
        <v>15221.000000000002</v>
      </c>
      <c r="GN100" s="189">
        <f>IF(SUM(GU100:HB100)=0,0,IF(Summary!$O$16="Yes",SUM(GX100:HB100),IF(Summary!$O$17="Yes",SUM(GY100:HB100),SUM(GU100:HB100))))</f>
        <v>12199.037850000001</v>
      </c>
      <c r="GO100" s="203">
        <v>2.8412779445764338</v>
      </c>
      <c r="GP100" s="258">
        <f t="shared" si="108"/>
        <v>34660.857188258116</v>
      </c>
      <c r="GQ100" s="189"/>
      <c r="GR100" s="189"/>
      <c r="GS100" s="189"/>
      <c r="GT100" s="189"/>
      <c r="GU100" s="268">
        <v>5132.835</v>
      </c>
      <c r="GV100" s="189">
        <v>1283.20875</v>
      </c>
      <c r="GW100" s="189">
        <v>1539.8504999999998</v>
      </c>
      <c r="GX100" s="189"/>
      <c r="GY100" s="254">
        <v>2737.5120000000002</v>
      </c>
      <c r="GZ100" s="189">
        <v>684.37800000000004</v>
      </c>
      <c r="HA100" s="189">
        <v>821.25359999999989</v>
      </c>
      <c r="HB100" s="255"/>
      <c r="HC100" s="189">
        <v>12199.037850000001</v>
      </c>
      <c r="HD100" s="189"/>
      <c r="HE100" s="189">
        <v>20950.521525</v>
      </c>
      <c r="HF100" s="189">
        <v>514034.12681805482</v>
      </c>
      <c r="HG100" s="189"/>
      <c r="HH100" s="203">
        <v>41.865366367713925</v>
      </c>
      <c r="HI100" s="189">
        <v>877101.25923880166</v>
      </c>
      <c r="HJ100" s="268">
        <f t="shared" si="80"/>
        <v>0</v>
      </c>
      <c r="HK100" s="189">
        <f t="shared" si="81"/>
        <v>0</v>
      </c>
      <c r="HL100" s="189">
        <f t="shared" si="82"/>
        <v>0</v>
      </c>
      <c r="HM100" s="255">
        <f t="shared" si="83"/>
        <v>0</v>
      </c>
      <c r="HN100" s="189">
        <f t="shared" si="84"/>
        <v>0</v>
      </c>
      <c r="HO100" s="203">
        <f t="shared" si="109"/>
        <v>0</v>
      </c>
      <c r="HP100" s="258">
        <f t="shared" si="85"/>
        <v>0</v>
      </c>
      <c r="HQ100" s="804"/>
      <c r="HR100" s="268"/>
      <c r="HS100" s="38"/>
      <c r="HT100" s="255"/>
      <c r="HU100" s="254"/>
      <c r="HV100" s="203"/>
      <c r="HW100" s="189"/>
      <c r="HX100" s="1020"/>
      <c r="HY100" s="258"/>
      <c r="HZ100" s="268"/>
      <c r="IA100" s="203"/>
      <c r="IB100" s="255"/>
      <c r="IC100" s="254"/>
      <c r="ID100" s="203"/>
      <c r="IE100" s="255"/>
      <c r="IF100" s="189"/>
      <c r="IG100" s="203"/>
      <c r="IH100" s="255"/>
      <c r="II100" s="189"/>
      <c r="IJ100" s="203"/>
      <c r="IK100" s="189"/>
      <c r="IL100" s="1182"/>
      <c r="IM100" s="1403"/>
      <c r="IN100" s="254"/>
      <c r="IO100" s="254"/>
      <c r="IP100" s="254"/>
      <c r="IQ100" s="254"/>
      <c r="IR100" s="223"/>
    </row>
    <row r="101" spans="1:252" ht="13.8" thickBot="1">
      <c r="A101" t="str">
        <f t="shared" si="86"/>
        <v>2007Q1</v>
      </c>
      <c r="B101">
        <f t="shared" si="87"/>
        <v>2007</v>
      </c>
      <c r="C101" s="49">
        <f t="shared" si="88"/>
        <v>39083</v>
      </c>
      <c r="D101" s="115">
        <f t="shared" si="89"/>
        <v>2007</v>
      </c>
      <c r="E101" s="10">
        <f t="shared" si="112"/>
        <v>1</v>
      </c>
      <c r="F101" s="248">
        <f t="shared" si="113"/>
        <v>39083</v>
      </c>
      <c r="G101" s="245">
        <v>39083</v>
      </c>
      <c r="H101" s="251">
        <v>39113</v>
      </c>
      <c r="I101" s="959">
        <f t="shared" si="110"/>
        <v>7.1499999999999994E-2</v>
      </c>
      <c r="J101" s="37">
        <f t="shared" si="90"/>
        <v>0.60368907766113133</v>
      </c>
      <c r="K101" s="1036"/>
      <c r="L101" s="37"/>
      <c r="M101" s="1004">
        <v>0</v>
      </c>
      <c r="N101" s="38">
        <f t="shared" si="115"/>
        <v>0</v>
      </c>
      <c r="O101" s="40">
        <f t="shared" si="115"/>
        <v>0</v>
      </c>
      <c r="P101" s="159">
        <f t="shared" si="117"/>
        <v>0</v>
      </c>
      <c r="Q101" s="38">
        <f t="shared" si="118"/>
        <v>0</v>
      </c>
      <c r="R101" s="40">
        <f t="shared" si="118"/>
        <v>0</v>
      </c>
      <c r="S101" s="38">
        <f t="shared" si="118"/>
        <v>0</v>
      </c>
      <c r="T101" s="38">
        <f t="shared" si="118"/>
        <v>0</v>
      </c>
      <c r="U101" s="38">
        <f t="shared" si="118"/>
        <v>0</v>
      </c>
      <c r="V101" s="159">
        <f t="shared" si="118"/>
        <v>0</v>
      </c>
      <c r="W101" s="38">
        <f t="shared" si="118"/>
        <v>0</v>
      </c>
      <c r="X101" s="39">
        <f t="shared" si="118"/>
        <v>0</v>
      </c>
      <c r="Y101" s="46">
        <v>0</v>
      </c>
      <c r="Z101" s="46">
        <v>0</v>
      </c>
      <c r="AA101" s="47">
        <v>0</v>
      </c>
      <c r="AB101" s="46">
        <v>0</v>
      </c>
      <c r="AC101" s="46">
        <v>0</v>
      </c>
      <c r="AD101" s="47">
        <v>0</v>
      </c>
      <c r="AE101" s="46">
        <v>0</v>
      </c>
      <c r="AF101" s="46">
        <v>0</v>
      </c>
      <c r="AG101" s="47">
        <v>0</v>
      </c>
      <c r="AH101" s="46">
        <v>0</v>
      </c>
      <c r="AI101" s="46">
        <v>0</v>
      </c>
      <c r="AJ101" s="47">
        <v>0</v>
      </c>
      <c r="AK101" s="46">
        <v>0</v>
      </c>
      <c r="AL101" s="46">
        <v>0</v>
      </c>
      <c r="AM101" s="47">
        <v>0</v>
      </c>
      <c r="AN101" s="46">
        <v>0</v>
      </c>
      <c r="AO101" s="46">
        <v>0</v>
      </c>
      <c r="AP101" s="47">
        <v>0</v>
      </c>
      <c r="AQ101" s="46">
        <v>0</v>
      </c>
      <c r="AR101" s="46">
        <v>0</v>
      </c>
      <c r="AS101" s="47">
        <v>0</v>
      </c>
      <c r="AT101" s="46">
        <v>0</v>
      </c>
      <c r="AU101" s="46">
        <v>0</v>
      </c>
      <c r="AV101" s="46">
        <v>0</v>
      </c>
      <c r="AW101" s="1545">
        <v>0</v>
      </c>
      <c r="AX101" s="10">
        <f t="shared" si="114"/>
        <v>22</v>
      </c>
      <c r="AY101" s="42">
        <f>IF(AND($E101=MONTH(Summary!$E$24),$D101=YEAR(Summary!$E$24)),Summary!$E$25,1)*IF(G101="",0,INT((H101-MOD(H101,7)-G101)/7)+1-IF(BA101,IF(WEEKDAY(F101)=7,1,0),0))</f>
        <v>4</v>
      </c>
      <c r="AZ101" s="42">
        <f>IF(AND($E101=MONTH(Summary!$E$24),$D101=YEAR(Summary!$E$24)),Summary!$E$25,1)*IF(G101="",0,INT((H101-MOD(H101-1,7)-G101)/7)+1-IF(BA101,IF(WEEKDAY(F101)=1,1,0),0))</f>
        <v>4</v>
      </c>
      <c r="BA101" s="42">
        <v>1</v>
      </c>
      <c r="BB101" s="10">
        <f>IF(AND($E101=MONTH(Summary!$E$24),$D101=YEAR(Summary!$E$24)),Summary!$E$25,1)*IF(G101="",0,H101-G101+1)</f>
        <v>31</v>
      </c>
      <c r="BC101" s="914">
        <f>Summary!$E$19</f>
        <v>1.4999999999999999E-2</v>
      </c>
      <c r="BD101" s="113">
        <v>15602.4</v>
      </c>
      <c r="BE101" s="171">
        <v>2836.8</v>
      </c>
      <c r="BF101" s="171">
        <v>3546</v>
      </c>
      <c r="BG101" s="174"/>
      <c r="BH101" s="1198">
        <v>1</v>
      </c>
      <c r="BI101" s="1198">
        <v>1</v>
      </c>
      <c r="BJ101" s="1198">
        <v>1</v>
      </c>
      <c r="BK101" s="1198">
        <v>1</v>
      </c>
      <c r="BL101" s="95">
        <v>3120.48</v>
      </c>
      <c r="BM101" s="171">
        <v>567.36</v>
      </c>
      <c r="BN101" s="171">
        <v>709.2</v>
      </c>
      <c r="BO101" s="174"/>
      <c r="BP101" s="1198">
        <v>1</v>
      </c>
      <c r="BQ101" s="1199">
        <v>1</v>
      </c>
      <c r="BR101" s="1199">
        <v>1</v>
      </c>
      <c r="BS101" s="1200">
        <v>1</v>
      </c>
      <c r="BT101" s="94">
        <f t="shared" si="91"/>
        <v>21985.200000000001</v>
      </c>
      <c r="BU101" s="233">
        <f t="shared" si="92"/>
        <v>21985.200000000001</v>
      </c>
      <c r="BV101" s="92">
        <f t="shared" si="93"/>
        <v>4397.04</v>
      </c>
      <c r="BW101" s="233">
        <f t="shared" si="94"/>
        <v>4397.04</v>
      </c>
      <c r="BX101" s="88">
        <v>7.0472279260780288</v>
      </c>
      <c r="BY101" s="90">
        <v>0</v>
      </c>
      <c r="BZ101" s="88">
        <v>0</v>
      </c>
      <c r="CA101" s="88">
        <v>0</v>
      </c>
      <c r="CB101" s="88">
        <v>0</v>
      </c>
      <c r="CC101" s="88">
        <v>0</v>
      </c>
      <c r="CD101" s="88">
        <v>0</v>
      </c>
      <c r="CE101" s="100">
        <v>0</v>
      </c>
      <c r="CF101" s="88">
        <v>0</v>
      </c>
      <c r="CG101" s="88">
        <v>0</v>
      </c>
      <c r="CH101" s="88">
        <v>0</v>
      </c>
      <c r="CI101" s="88">
        <v>0</v>
      </c>
      <c r="CJ101" s="228">
        <v>0</v>
      </c>
      <c r="CK101" s="88">
        <v>0</v>
      </c>
      <c r="CL101" s="88">
        <v>0</v>
      </c>
      <c r="CM101" s="88">
        <v>0</v>
      </c>
      <c r="CN101" s="88">
        <v>0</v>
      </c>
      <c r="CO101" s="88">
        <v>0</v>
      </c>
      <c r="CP101" s="88">
        <v>0</v>
      </c>
      <c r="CQ101" s="229">
        <v>0</v>
      </c>
      <c r="CR101" s="91">
        <v>0</v>
      </c>
      <c r="CS101" s="91">
        <v>0</v>
      </c>
      <c r="CT101" s="91">
        <v>0</v>
      </c>
      <c r="CU101" s="91">
        <v>0</v>
      </c>
      <c r="CV101" s="91">
        <v>0</v>
      </c>
      <c r="CW101" s="91">
        <v>0</v>
      </c>
      <c r="CX101" s="225">
        <v>0</v>
      </c>
      <c r="CY101" s="1265">
        <v>7765.8545599999998</v>
      </c>
      <c r="CZ101" s="90">
        <v>0</v>
      </c>
      <c r="DA101" s="88">
        <v>0</v>
      </c>
      <c r="DB101" s="88">
        <v>0</v>
      </c>
      <c r="DC101" s="88">
        <v>0</v>
      </c>
      <c r="DD101" s="88">
        <v>0</v>
      </c>
      <c r="DE101" s="152">
        <v>0</v>
      </c>
      <c r="DF101" s="230">
        <v>0</v>
      </c>
      <c r="DG101" s="38">
        <v>0</v>
      </c>
      <c r="DH101" s="1237">
        <v>0</v>
      </c>
      <c r="DI101" s="956">
        <v>0</v>
      </c>
      <c r="DJ101" s="956">
        <v>0</v>
      </c>
      <c r="DK101" s="956">
        <v>0</v>
      </c>
      <c r="DL101" s="152">
        <v>0</v>
      </c>
      <c r="DM101" s="160">
        <v>0</v>
      </c>
      <c r="DN101" s="160">
        <v>0</v>
      </c>
      <c r="DO101" s="160">
        <v>0</v>
      </c>
      <c r="DP101" s="160">
        <v>0</v>
      </c>
      <c r="DQ101" s="160">
        <v>0</v>
      </c>
      <c r="DR101" s="230">
        <v>0</v>
      </c>
      <c r="DS101" s="88">
        <v>0</v>
      </c>
      <c r="DT101" s="88">
        <v>0</v>
      </c>
      <c r="DU101" s="88">
        <v>0</v>
      </c>
      <c r="DV101" s="88">
        <v>0</v>
      </c>
      <c r="DW101" s="88">
        <v>0</v>
      </c>
      <c r="DX101" s="88">
        <v>0</v>
      </c>
      <c r="DY101" s="88">
        <v>0</v>
      </c>
      <c r="DZ101" s="88">
        <v>0</v>
      </c>
      <c r="EA101" s="88">
        <v>0</v>
      </c>
      <c r="EB101" s="152">
        <v>0</v>
      </c>
      <c r="EC101" s="52">
        <f t="shared" si="95"/>
        <v>0</v>
      </c>
      <c r="ED101" s="52">
        <f t="shared" si="95"/>
        <v>0</v>
      </c>
      <c r="EE101" s="52">
        <f t="shared" si="95"/>
        <v>0</v>
      </c>
      <c r="EF101" s="52">
        <f t="shared" si="71"/>
        <v>0</v>
      </c>
      <c r="EG101" s="52">
        <f t="shared" si="96"/>
        <v>0</v>
      </c>
      <c r="EH101" s="238">
        <v>0</v>
      </c>
      <c r="EI101" s="211">
        <v>0</v>
      </c>
      <c r="EJ101" s="211">
        <v>0</v>
      </c>
      <c r="EK101" s="211">
        <v>0</v>
      </c>
      <c r="EL101" s="217">
        <f>IF(C101&gt;=Summary!$E$26,MAX(0,SUM(EH101:EK101)),0)</f>
        <v>0</v>
      </c>
      <c r="EM101" s="52">
        <f>IF(C101&gt;=Summary!$E$26,DX101*BL101,0)</f>
        <v>0</v>
      </c>
      <c r="EN101" s="52">
        <f>IF(C101&gt;=Summary!$E$26,DY101*BM101,0)</f>
        <v>0</v>
      </c>
      <c r="EO101" s="52">
        <f>IF(C101&gt;=Summary!$E$26,DZ101*BN101,0)</f>
        <v>0</v>
      </c>
      <c r="EP101" s="52">
        <f>IF(C101&gt;=Summary!$E$26,EA101*BO101,0)</f>
        <v>0</v>
      </c>
      <c r="EQ101" s="52">
        <f>IF(C101&gt;=Summary!$E$26,DX101*BL101+DY101*BM101+DZ101*BN101+EA101*BO101,0)</f>
        <v>0</v>
      </c>
      <c r="ER101" s="826">
        <v>0</v>
      </c>
      <c r="ES101" s="278">
        <v>0</v>
      </c>
      <c r="ET101" s="278">
        <v>0</v>
      </c>
      <c r="EU101" s="278">
        <v>0</v>
      </c>
      <c r="EV101" s="212">
        <f>IF(C101&gt;=Summary!$E$26,MAX(0,SUM(ER101:EU101)),0)</f>
        <v>0</v>
      </c>
      <c r="EW101" s="52"/>
      <c r="EX101" s="1049">
        <f t="shared" si="97"/>
        <v>0</v>
      </c>
      <c r="EY101" s="1045" t="str">
        <f t="shared" si="98"/>
        <v/>
      </c>
      <c r="EZ101" s="1684" t="s">
        <v>525</v>
      </c>
      <c r="FA101" s="1046">
        <f t="shared" si="111"/>
        <v>45</v>
      </c>
      <c r="FB101" s="256">
        <f t="shared" si="99"/>
        <v>9751.5</v>
      </c>
      <c r="FC101" s="194">
        <f t="shared" si="100"/>
        <v>2925.45</v>
      </c>
      <c r="FD101" s="194">
        <f t="shared" si="101"/>
        <v>1773</v>
      </c>
      <c r="FE101" s="194">
        <f t="shared" si="102"/>
        <v>531.9</v>
      </c>
      <c r="FF101" s="194">
        <f t="shared" si="103"/>
        <v>2216.25</v>
      </c>
      <c r="FG101" s="194">
        <f t="shared" si="104"/>
        <v>664.875</v>
      </c>
      <c r="FH101" s="257">
        <f>IF(EZ101="No",IF((OR(MONTH(C101)=5,MONTH(C101)=6,MONTH(C101)=7,MONTH(C101)=8,MONTH(C101)=9)),Summary!$O$15*12*(AX101+AY101+AZ101+BA101)*(1-$BC101),Summary!$O$15*13*(AX101+AY101+AZ101+BA101)*(1-$BC101)+IF(Summary!$O$16="Yes",(CALC!FA101+Summary!$O$15)*6*(AX101+AY101+AZ101+BA101)*(1-$BC101),0)),0)</f>
        <v>0</v>
      </c>
      <c r="FI101" s="1412">
        <f>IF(MONTH(C101)=5,FI100*(IF(Summary!$E$70="no",(1+(Summary!$E$71*0.8)),1+HLOOKUP(YEAR(C101)-1,CCFMODEL!$I$127:$AF$128,2)*0.8)),+FI100)</f>
        <v>31.406776784422302</v>
      </c>
      <c r="FJ101" s="1411">
        <f>IF(MONTH(C101)=5,FJ100*(IF(Summary!$E$70="no",(1+(Summary!$E$71*0.8)),1+HLOOKUP(YEAR(CALC!C101)-1,CCFMODEL!$I$127:$AF$128,2)*0.8)),FJ100)</f>
        <v>27.450017504495079</v>
      </c>
      <c r="FK101" s="832">
        <f t="shared" si="72"/>
        <v>561018.46853071591</v>
      </c>
      <c r="FL101" s="1412">
        <f>IF(MONTH(C101)=5,FL100*(IF(Summary!$E$70="no",(1+(Summary!$E$71*0.8)),1+HLOOKUP(YEAR(CALC!C101)-1,CCFMODEL!$I$127:$AF$128,2)*0.8)),+FL100)</f>
        <v>66.051972622356445</v>
      </c>
      <c r="FM101" s="1411">
        <f>IF(MONTH(C101)=5,FM100*(IF(Summary!$E$70="no",(1+(Summary!$E$71*0.8)),1+HLOOKUP(YEAR(CALC!C101)-1,CCFMODEL!$I$127:$AF$128,2)*0.8)),+FM100)</f>
        <v>31.524537477277274</v>
      </c>
      <c r="FN101" s="832">
        <f t="shared" si="73"/>
        <v>571697.48715042335</v>
      </c>
      <c r="FO101" s="194">
        <f t="shared" si="105"/>
        <v>1132715.9556811391</v>
      </c>
      <c r="FP101" s="263">
        <f t="shared" si="69"/>
        <v>9751.5</v>
      </c>
      <c r="FQ101" s="194">
        <f t="shared" si="69"/>
        <v>2925.45</v>
      </c>
      <c r="FR101" s="194">
        <f t="shared" si="69"/>
        <v>1773</v>
      </c>
      <c r="FS101" s="194">
        <f t="shared" si="68"/>
        <v>531.9</v>
      </c>
      <c r="FT101" s="194">
        <f t="shared" si="68"/>
        <v>2216.25</v>
      </c>
      <c r="FU101" s="194">
        <f t="shared" si="68"/>
        <v>664.875</v>
      </c>
      <c r="FV101" s="257">
        <f t="shared" si="68"/>
        <v>0</v>
      </c>
      <c r="FW101" s="189">
        <f t="shared" si="74"/>
        <v>0</v>
      </c>
      <c r="FX101" s="189">
        <f t="shared" si="75"/>
        <v>0</v>
      </c>
      <c r="FY101" s="189">
        <f t="shared" si="76"/>
        <v>0</v>
      </c>
      <c r="FZ101" s="258">
        <f t="shared" si="77"/>
        <v>0</v>
      </c>
      <c r="GA101" s="1293">
        <f>(SUM(FP101:FV101)+SUM(GU101:HB101)/(1-Summary!$O$25))*CY101/1000</f>
        <v>236893.23862061035</v>
      </c>
      <c r="GB101" s="1369">
        <f>IF($C101&lt;Summary!$M$81,+Summary!$O$81,VLOOKUP(C101,GasTable,19))</f>
        <v>2.4</v>
      </c>
      <c r="GC101" s="1370">
        <f>IF(H101&lt;=Summary!$N$84,MIN(GA101,Summary!$O$75*(H101-G101+1)),0)</f>
        <v>155000</v>
      </c>
      <c r="GD101" s="1371">
        <f>IF(Summary!$O$75*(H101-G101+1)*0.8&gt;GC101,1,0)</f>
        <v>0</v>
      </c>
      <c r="GE101" s="1372">
        <v>0</v>
      </c>
      <c r="GF101" s="1370">
        <f t="shared" si="106"/>
        <v>81893.238620610355</v>
      </c>
      <c r="GG101" s="1371">
        <f>GF101*(IF(Summary!$O$74=1,VLOOKUP($C101,GasTable,16)+Summary!$O$92+Summary!$O$93,VLOOKUP($C101,GasTable,19)+Summary!$O$92+Summary!$O$93))</f>
        <v>269973.17772338365</v>
      </c>
      <c r="GH101" s="1373">
        <v>20770</v>
      </c>
      <c r="GI101" s="1466">
        <v>0</v>
      </c>
      <c r="GJ101" s="1374">
        <f t="shared" si="107"/>
        <v>662743.17772338365</v>
      </c>
      <c r="GK101" s="189">
        <f t="shared" si="78"/>
        <v>30062.012850000003</v>
      </c>
      <c r="GL101" s="266">
        <v>0.76260691779200007</v>
      </c>
      <c r="GM101" s="255">
        <f t="shared" si="79"/>
        <v>15221.000000000002</v>
      </c>
      <c r="GN101" s="189">
        <f>IF(SUM(GU101:HB101)=0,0,IF(Summary!$O$16="Yes",SUM(GX101:HB101),IF(Summary!$O$17="Yes",SUM(GY101:HB101),SUM(GU101:HB101))))</f>
        <v>12199.037849999999</v>
      </c>
      <c r="GO101" s="203">
        <v>2.9265162829137266</v>
      </c>
      <c r="GP101" s="258">
        <f t="shared" si="108"/>
        <v>35700.682903905858</v>
      </c>
      <c r="GQ101" s="189"/>
      <c r="GR101" s="189"/>
      <c r="GS101" s="189"/>
      <c r="GT101" s="189"/>
      <c r="GU101" s="268">
        <v>5646.1184999999996</v>
      </c>
      <c r="GV101" s="189">
        <v>1026.5670000000002</v>
      </c>
      <c r="GW101" s="189">
        <v>1283.20875</v>
      </c>
      <c r="GX101" s="189"/>
      <c r="GY101" s="254">
        <v>3011.2631999999999</v>
      </c>
      <c r="GZ101" s="189">
        <v>547.50239999999997</v>
      </c>
      <c r="HA101" s="189">
        <v>684.37800000000004</v>
      </c>
      <c r="HB101" s="255"/>
      <c r="HC101" s="189">
        <v>12199.037849999999</v>
      </c>
      <c r="HD101" s="189"/>
      <c r="HE101" s="189">
        <v>20950.521524999996</v>
      </c>
      <c r="HF101" s="189">
        <v>505571.43164198048</v>
      </c>
      <c r="HG101" s="189"/>
      <c r="HH101" s="203">
        <v>41.126190420078345</v>
      </c>
      <c r="HI101" s="189">
        <v>861615.13763709995</v>
      </c>
      <c r="HJ101" s="268">
        <f t="shared" si="80"/>
        <v>0</v>
      </c>
      <c r="HK101" s="189">
        <f t="shared" si="81"/>
        <v>0</v>
      </c>
      <c r="HL101" s="189">
        <f t="shared" si="82"/>
        <v>0</v>
      </c>
      <c r="HM101" s="255">
        <f t="shared" si="83"/>
        <v>0</v>
      </c>
      <c r="HN101" s="189">
        <f t="shared" si="84"/>
        <v>0</v>
      </c>
      <c r="HO101" s="203">
        <f t="shared" si="109"/>
        <v>0</v>
      </c>
      <c r="HP101" s="258">
        <f t="shared" si="85"/>
        <v>0</v>
      </c>
      <c r="HQ101" s="804"/>
      <c r="HR101" s="268"/>
      <c r="HS101" s="38"/>
      <c r="HT101" s="255"/>
      <c r="HU101" s="254"/>
      <c r="HV101" s="203"/>
      <c r="HW101" s="189"/>
      <c r="HX101" s="1020"/>
      <c r="HY101" s="258"/>
      <c r="HZ101" s="268"/>
      <c r="IA101" s="203"/>
      <c r="IB101" s="255"/>
      <c r="IC101" s="254"/>
      <c r="ID101" s="203"/>
      <c r="IE101" s="255"/>
      <c r="IF101" s="189"/>
      <c r="IG101" s="203"/>
      <c r="IH101" s="255"/>
      <c r="II101" s="189"/>
      <c r="IJ101" s="203"/>
      <c r="IK101" s="189"/>
      <c r="IL101" s="1182"/>
      <c r="IM101" s="1403"/>
      <c r="IN101" s="254"/>
      <c r="IO101" s="254"/>
      <c r="IP101" s="254"/>
      <c r="IQ101" s="254"/>
      <c r="IR101" s="223"/>
    </row>
    <row r="102" spans="1:252" ht="13.8" thickBot="1">
      <c r="A102" t="str">
        <f t="shared" si="86"/>
        <v>2007Q1</v>
      </c>
      <c r="B102">
        <f t="shared" si="87"/>
        <v>2007</v>
      </c>
      <c r="C102" s="49">
        <f t="shared" si="88"/>
        <v>39114</v>
      </c>
      <c r="D102" s="115">
        <f t="shared" si="89"/>
        <v>2007</v>
      </c>
      <c r="E102" s="10">
        <f t="shared" si="112"/>
        <v>2</v>
      </c>
      <c r="F102" s="248" t="str">
        <f t="shared" si="113"/>
        <v/>
      </c>
      <c r="G102" s="245">
        <v>39114</v>
      </c>
      <c r="H102" s="251">
        <v>39141</v>
      </c>
      <c r="I102" s="959">
        <f t="shared" si="110"/>
        <v>7.1499999999999994E-2</v>
      </c>
      <c r="J102" s="37">
        <f t="shared" si="90"/>
        <v>0.60044666375679334</v>
      </c>
      <c r="K102" s="1036"/>
      <c r="L102" s="37"/>
      <c r="M102" s="1004">
        <v>0</v>
      </c>
      <c r="N102" s="38">
        <f t="shared" si="115"/>
        <v>0</v>
      </c>
      <c r="O102" s="40">
        <f t="shared" si="115"/>
        <v>0</v>
      </c>
      <c r="P102" s="159">
        <f t="shared" si="117"/>
        <v>0</v>
      </c>
      <c r="Q102" s="38">
        <f t="shared" si="118"/>
        <v>0</v>
      </c>
      <c r="R102" s="40">
        <f t="shared" si="118"/>
        <v>0</v>
      </c>
      <c r="S102" s="38">
        <f t="shared" si="118"/>
        <v>0</v>
      </c>
      <c r="T102" s="38">
        <f t="shared" si="118"/>
        <v>0</v>
      </c>
      <c r="U102" s="38">
        <f t="shared" si="118"/>
        <v>0</v>
      </c>
      <c r="V102" s="159">
        <f t="shared" si="118"/>
        <v>0</v>
      </c>
      <c r="W102" s="38">
        <f t="shared" si="118"/>
        <v>0</v>
      </c>
      <c r="X102" s="39">
        <f t="shared" si="118"/>
        <v>0</v>
      </c>
      <c r="Y102" s="46">
        <v>0</v>
      </c>
      <c r="Z102" s="46">
        <v>0</v>
      </c>
      <c r="AA102" s="47">
        <v>0</v>
      </c>
      <c r="AB102" s="46">
        <v>0</v>
      </c>
      <c r="AC102" s="46">
        <v>0</v>
      </c>
      <c r="AD102" s="47">
        <v>0</v>
      </c>
      <c r="AE102" s="46">
        <v>0</v>
      </c>
      <c r="AF102" s="46">
        <v>0</v>
      </c>
      <c r="AG102" s="47">
        <v>0</v>
      </c>
      <c r="AH102" s="46">
        <v>0</v>
      </c>
      <c r="AI102" s="46">
        <v>0</v>
      </c>
      <c r="AJ102" s="47">
        <v>0</v>
      </c>
      <c r="AK102" s="46">
        <v>0</v>
      </c>
      <c r="AL102" s="46">
        <v>0</v>
      </c>
      <c r="AM102" s="47">
        <v>0</v>
      </c>
      <c r="AN102" s="46">
        <v>0</v>
      </c>
      <c r="AO102" s="46">
        <v>0</v>
      </c>
      <c r="AP102" s="47">
        <v>0</v>
      </c>
      <c r="AQ102" s="46">
        <v>0</v>
      </c>
      <c r="AR102" s="46">
        <v>0</v>
      </c>
      <c r="AS102" s="47">
        <v>0</v>
      </c>
      <c r="AT102" s="46">
        <v>0</v>
      </c>
      <c r="AU102" s="46">
        <v>0</v>
      </c>
      <c r="AV102" s="46">
        <v>0</v>
      </c>
      <c r="AW102" s="1545">
        <v>0</v>
      </c>
      <c r="AX102" s="10">
        <f t="shared" si="114"/>
        <v>20</v>
      </c>
      <c r="AY102" s="42">
        <f>IF(AND($E102=MONTH(Summary!$E$24),$D102=YEAR(Summary!$E$24)),Summary!$E$25,1)*IF(G102="",0,INT((H102-MOD(H102,7)-G102)/7)+1-IF(BA102,IF(WEEKDAY(F102)=7,1,0),0))</f>
        <v>4</v>
      </c>
      <c r="AZ102" s="42">
        <f>IF(AND($E102=MONTH(Summary!$E$24),$D102=YEAR(Summary!$E$24)),Summary!$E$25,1)*IF(G102="",0,INT((H102-MOD(H102-1,7)-G102)/7)+1-IF(BA102,IF(WEEKDAY(F102)=1,1,0),0))</f>
        <v>4</v>
      </c>
      <c r="BA102" s="42">
        <v>0</v>
      </c>
      <c r="BB102" s="10">
        <f>IF(AND($E102=MONTH(Summary!$E$24),$D102=YEAR(Summary!$E$24)),Summary!$E$25,1)*IF(G102="",0,H102-G102+1)</f>
        <v>28</v>
      </c>
      <c r="BC102" s="914">
        <f>Summary!$E$19</f>
        <v>1.4999999999999999E-2</v>
      </c>
      <c r="BD102" s="113">
        <v>14184</v>
      </c>
      <c r="BE102" s="171">
        <v>2836.8</v>
      </c>
      <c r="BF102" s="171">
        <v>2836.8</v>
      </c>
      <c r="BG102" s="174"/>
      <c r="BH102" s="1198">
        <v>1</v>
      </c>
      <c r="BI102" s="1198">
        <v>1</v>
      </c>
      <c r="BJ102" s="1198">
        <v>1</v>
      </c>
      <c r="BK102" s="1198">
        <v>1</v>
      </c>
      <c r="BL102" s="95">
        <v>2836.8</v>
      </c>
      <c r="BM102" s="171">
        <v>567.36</v>
      </c>
      <c r="BN102" s="171">
        <v>567.36</v>
      </c>
      <c r="BO102" s="174"/>
      <c r="BP102" s="1198">
        <v>1</v>
      </c>
      <c r="BQ102" s="1199">
        <v>1</v>
      </c>
      <c r="BR102" s="1199">
        <v>1</v>
      </c>
      <c r="BS102" s="1200">
        <v>1</v>
      </c>
      <c r="BT102" s="94">
        <f t="shared" si="91"/>
        <v>19857.599999999999</v>
      </c>
      <c r="BU102" s="233">
        <f t="shared" si="92"/>
        <v>19857.599999999999</v>
      </c>
      <c r="BV102" s="92">
        <f t="shared" si="93"/>
        <v>3971.5200000000004</v>
      </c>
      <c r="BW102" s="233">
        <f t="shared" si="94"/>
        <v>3971.5200000000004</v>
      </c>
      <c r="BX102" s="88">
        <v>7.1321013004791238</v>
      </c>
      <c r="BY102" s="90">
        <v>0</v>
      </c>
      <c r="BZ102" s="88">
        <v>0</v>
      </c>
      <c r="CA102" s="88">
        <v>0</v>
      </c>
      <c r="CB102" s="88">
        <v>0</v>
      </c>
      <c r="CC102" s="88">
        <v>0</v>
      </c>
      <c r="CD102" s="88">
        <v>0</v>
      </c>
      <c r="CE102" s="100">
        <v>0</v>
      </c>
      <c r="CF102" s="88">
        <v>0</v>
      </c>
      <c r="CG102" s="88">
        <v>0</v>
      </c>
      <c r="CH102" s="88">
        <v>0</v>
      </c>
      <c r="CI102" s="88">
        <v>0</v>
      </c>
      <c r="CJ102" s="228">
        <v>0</v>
      </c>
      <c r="CK102" s="88">
        <v>0</v>
      </c>
      <c r="CL102" s="88">
        <v>0</v>
      </c>
      <c r="CM102" s="88">
        <v>0</v>
      </c>
      <c r="CN102" s="88">
        <v>0</v>
      </c>
      <c r="CO102" s="88">
        <v>0</v>
      </c>
      <c r="CP102" s="88">
        <v>0</v>
      </c>
      <c r="CQ102" s="229">
        <v>0</v>
      </c>
      <c r="CR102" s="91">
        <v>0</v>
      </c>
      <c r="CS102" s="91">
        <v>0</v>
      </c>
      <c r="CT102" s="91">
        <v>0</v>
      </c>
      <c r="CU102" s="91">
        <v>0</v>
      </c>
      <c r="CV102" s="91">
        <v>0</v>
      </c>
      <c r="CW102" s="91">
        <v>0</v>
      </c>
      <c r="CX102" s="225">
        <v>0</v>
      </c>
      <c r="CY102" s="1265">
        <v>7767.15744</v>
      </c>
      <c r="CZ102" s="90">
        <v>0</v>
      </c>
      <c r="DA102" s="88">
        <v>0</v>
      </c>
      <c r="DB102" s="88">
        <v>0</v>
      </c>
      <c r="DC102" s="88">
        <v>0</v>
      </c>
      <c r="DD102" s="88">
        <v>0</v>
      </c>
      <c r="DE102" s="152">
        <v>0</v>
      </c>
      <c r="DF102" s="230">
        <v>0</v>
      </c>
      <c r="DG102" s="38">
        <v>0</v>
      </c>
      <c r="DH102" s="1237">
        <v>0</v>
      </c>
      <c r="DI102" s="956">
        <v>0</v>
      </c>
      <c r="DJ102" s="956">
        <v>0</v>
      </c>
      <c r="DK102" s="956">
        <v>0</v>
      </c>
      <c r="DL102" s="152">
        <v>0</v>
      </c>
      <c r="DM102" s="160">
        <v>0</v>
      </c>
      <c r="DN102" s="160">
        <v>0</v>
      </c>
      <c r="DO102" s="160">
        <v>0</v>
      </c>
      <c r="DP102" s="160">
        <v>0</v>
      </c>
      <c r="DQ102" s="160">
        <v>0</v>
      </c>
      <c r="DR102" s="230">
        <v>0</v>
      </c>
      <c r="DS102" s="88">
        <v>0</v>
      </c>
      <c r="DT102" s="88">
        <v>0</v>
      </c>
      <c r="DU102" s="88">
        <v>0</v>
      </c>
      <c r="DV102" s="88">
        <v>0</v>
      </c>
      <c r="DW102" s="88">
        <v>0</v>
      </c>
      <c r="DX102" s="88">
        <v>0</v>
      </c>
      <c r="DY102" s="88">
        <v>0</v>
      </c>
      <c r="DZ102" s="88">
        <v>0</v>
      </c>
      <c r="EA102" s="88">
        <v>0</v>
      </c>
      <c r="EB102" s="152">
        <v>0</v>
      </c>
      <c r="EC102" s="52">
        <f t="shared" si="95"/>
        <v>0</v>
      </c>
      <c r="ED102" s="52">
        <f t="shared" si="95"/>
        <v>0</v>
      </c>
      <c r="EE102" s="52">
        <f t="shared" si="95"/>
        <v>0</v>
      </c>
      <c r="EF102" s="52">
        <f t="shared" si="71"/>
        <v>0</v>
      </c>
      <c r="EG102" s="52">
        <f t="shared" si="96"/>
        <v>0</v>
      </c>
      <c r="EH102" s="238">
        <v>0</v>
      </c>
      <c r="EI102" s="211">
        <v>0</v>
      </c>
      <c r="EJ102" s="211">
        <v>0</v>
      </c>
      <c r="EK102" s="211">
        <v>0</v>
      </c>
      <c r="EL102" s="217">
        <f>IF(C102&gt;=Summary!$E$26,MAX(0,SUM(EH102:EK102)),0)</f>
        <v>0</v>
      </c>
      <c r="EM102" s="52">
        <f>IF(C102&gt;=Summary!$E$26,DX102*BL102,0)</f>
        <v>0</v>
      </c>
      <c r="EN102" s="52">
        <f>IF(C102&gt;=Summary!$E$26,DY102*BM102,0)</f>
        <v>0</v>
      </c>
      <c r="EO102" s="52">
        <f>IF(C102&gt;=Summary!$E$26,DZ102*BN102,0)</f>
        <v>0</v>
      </c>
      <c r="EP102" s="52">
        <f>IF(C102&gt;=Summary!$E$26,EA102*BO102,0)</f>
        <v>0</v>
      </c>
      <c r="EQ102" s="52">
        <f>IF(C102&gt;=Summary!$E$26,DX102*BL102+DY102*BM102+DZ102*BN102+EA102*BO102,0)</f>
        <v>0</v>
      </c>
      <c r="ER102" s="826">
        <v>0</v>
      </c>
      <c r="ES102" s="278">
        <v>0</v>
      </c>
      <c r="ET102" s="278">
        <v>0</v>
      </c>
      <c r="EU102" s="278">
        <v>0</v>
      </c>
      <c r="EV102" s="212">
        <f>IF(C102&gt;=Summary!$E$26,MAX(0,SUM(ER102:EU102)),0)</f>
        <v>0</v>
      </c>
      <c r="EW102" s="52"/>
      <c r="EX102" s="1049">
        <f t="shared" si="97"/>
        <v>0</v>
      </c>
      <c r="EY102" s="1045" t="str">
        <f t="shared" si="98"/>
        <v/>
      </c>
      <c r="EZ102" s="1684" t="s">
        <v>525</v>
      </c>
      <c r="FA102" s="1046">
        <f t="shared" si="111"/>
        <v>45</v>
      </c>
      <c r="FB102" s="256">
        <f t="shared" si="99"/>
        <v>8865</v>
      </c>
      <c r="FC102" s="194">
        <f t="shared" si="100"/>
        <v>2659.5</v>
      </c>
      <c r="FD102" s="194">
        <f t="shared" si="101"/>
        <v>1773</v>
      </c>
      <c r="FE102" s="194">
        <f t="shared" si="102"/>
        <v>531.9</v>
      </c>
      <c r="FF102" s="194">
        <f t="shared" si="103"/>
        <v>1773</v>
      </c>
      <c r="FG102" s="194">
        <f t="shared" si="104"/>
        <v>531.9</v>
      </c>
      <c r="FH102" s="257">
        <f>IF(EZ102="No",IF((OR(MONTH(C102)=5,MONTH(C102)=6,MONTH(C102)=7,MONTH(C102)=8,MONTH(C102)=9)),Summary!$O$15*12*(AX102+AY102+AZ102+BA102)*(1-$BC102),Summary!$O$15*13*(AX102+AY102+AZ102+BA102)*(1-$BC102)+IF(Summary!$O$16="Yes",(CALC!FA102+Summary!$O$15)*6*(AX102+AY102+AZ102+BA102)*(1-$BC102),0)),0)</f>
        <v>0</v>
      </c>
      <c r="FI102" s="1412">
        <f>IF(MONTH(C102)=5,FI101*(IF(Summary!$E$70="no",(1+(Summary!$E$71*0.8)),1+HLOOKUP(YEAR(C102)-1,CCFMODEL!$I$127:$AF$128,2)*0.8)),+FI101)</f>
        <v>31.406776784422302</v>
      </c>
      <c r="FJ102" s="1411">
        <f>IF(MONTH(C102)=5,FJ101*(IF(Summary!$E$70="no",(1+(Summary!$E$71*0.8)),1+HLOOKUP(YEAR(CALC!C102)-1,CCFMODEL!$I$127:$AF$128,2)*0.8)),FJ101)</f>
        <v>27.450017504495079</v>
      </c>
      <c r="FK102" s="832">
        <f t="shared" si="72"/>
        <v>506726.35867290472</v>
      </c>
      <c r="FL102" s="1412">
        <f>IF(MONTH(C102)=5,FL101*(IF(Summary!$E$70="no",(1+(Summary!$E$71*0.8)),1+HLOOKUP(YEAR(CALC!C102)-1,CCFMODEL!$I$127:$AF$128,2)*0.8)),+FL101)</f>
        <v>66.051972622356445</v>
      </c>
      <c r="FM102" s="1411">
        <f>IF(MONTH(C102)=5,FM101*(IF(Summary!$E$70="no",(1+(Summary!$E$71*0.8)),1+HLOOKUP(YEAR(CALC!C102)-1,CCFMODEL!$I$127:$AF$128,2)*0.8)),+FM101)</f>
        <v>31.524537477277274</v>
      </c>
      <c r="FN102" s="832">
        <f t="shared" si="73"/>
        <v>516371.92387780175</v>
      </c>
      <c r="FO102" s="194">
        <f t="shared" si="105"/>
        <v>1023098.2825507065</v>
      </c>
      <c r="FP102" s="263">
        <f t="shared" si="69"/>
        <v>8865</v>
      </c>
      <c r="FQ102" s="194">
        <f t="shared" si="69"/>
        <v>2659.5</v>
      </c>
      <c r="FR102" s="194">
        <f t="shared" si="69"/>
        <v>1773</v>
      </c>
      <c r="FS102" s="194">
        <f t="shared" si="68"/>
        <v>531.9</v>
      </c>
      <c r="FT102" s="194">
        <f t="shared" si="68"/>
        <v>1773</v>
      </c>
      <c r="FU102" s="194">
        <f t="shared" si="68"/>
        <v>531.9</v>
      </c>
      <c r="FV102" s="257">
        <f t="shared" si="68"/>
        <v>0</v>
      </c>
      <c r="FW102" s="189">
        <f t="shared" si="74"/>
        <v>0</v>
      </c>
      <c r="FX102" s="189">
        <f t="shared" si="75"/>
        <v>0</v>
      </c>
      <c r="FY102" s="189">
        <f t="shared" si="76"/>
        <v>0</v>
      </c>
      <c r="FZ102" s="258">
        <f t="shared" si="77"/>
        <v>0</v>
      </c>
      <c r="GA102" s="1293">
        <f>(SUM(FP102:FV102)+SUM(GU102:HB102)/(1-Summary!$O$25))*CY102/1000</f>
        <v>214003.9839930048</v>
      </c>
      <c r="GB102" s="1369">
        <f>IF($C102&lt;Summary!$M$81,+Summary!$O$81,VLOOKUP(C102,GasTable,19))</f>
        <v>2.4</v>
      </c>
      <c r="GC102" s="1370">
        <f>IF(H102&lt;=Summary!$N$84,MIN(GA102,Summary!$O$75*(H102-G102+1)),0)</f>
        <v>140000</v>
      </c>
      <c r="GD102" s="1371">
        <f>IF(Summary!$O$75*(H102-G102+1)*0.8&gt;GC102,1,0)</f>
        <v>0</v>
      </c>
      <c r="GE102" s="1372">
        <v>0</v>
      </c>
      <c r="GF102" s="1370">
        <f t="shared" si="106"/>
        <v>74003.983993004804</v>
      </c>
      <c r="GG102" s="1371">
        <f>GF102*(IF(Summary!$O$74=1,VLOOKUP($C102,GasTable,16)+Summary!$O$92+Summary!$O$93,VLOOKUP($C102,GasTable,19)+Summary!$O$92+Summary!$O$93))</f>
        <v>225624.85660949702</v>
      </c>
      <c r="GH102" s="1373">
        <v>18121.599999999999</v>
      </c>
      <c r="GI102" s="1466">
        <v>0</v>
      </c>
      <c r="GJ102" s="1374">
        <f t="shared" si="107"/>
        <v>579746.45660949696</v>
      </c>
      <c r="GK102" s="189">
        <f t="shared" si="78"/>
        <v>27152.785799999998</v>
      </c>
      <c r="GL102" s="266">
        <v>0.762734860608</v>
      </c>
      <c r="GM102" s="255">
        <f t="shared" si="79"/>
        <v>13748.000000000002</v>
      </c>
      <c r="GN102" s="189">
        <f>IF(SUM(GU102:HB102)=0,0,IF(Summary!$O$16="Yes",SUM(GX102:HB102),IF(Summary!$O$17="Yes",SUM(GY102:HB102),SUM(GU102:HB102))))</f>
        <v>11018.485799999999</v>
      </c>
      <c r="GO102" s="203">
        <v>2.9265162829137266</v>
      </c>
      <c r="GP102" s="258">
        <f t="shared" si="108"/>
        <v>32245.778106753674</v>
      </c>
      <c r="GQ102" s="189"/>
      <c r="GR102" s="189"/>
      <c r="GS102" s="189"/>
      <c r="GT102" s="189"/>
      <c r="GU102" s="268">
        <v>5132.835</v>
      </c>
      <c r="GV102" s="189">
        <v>1026.5670000000002</v>
      </c>
      <c r="GW102" s="189">
        <v>1026.5670000000002</v>
      </c>
      <c r="GX102" s="189"/>
      <c r="GY102" s="254">
        <v>2737.5120000000002</v>
      </c>
      <c r="GZ102" s="189">
        <v>547.50239999999997</v>
      </c>
      <c r="HA102" s="189">
        <v>547.50239999999997</v>
      </c>
      <c r="HB102" s="255"/>
      <c r="HC102" s="189">
        <v>11018.485799999999</v>
      </c>
      <c r="HD102" s="189"/>
      <c r="HE102" s="189">
        <v>18923.051699999996</v>
      </c>
      <c r="HF102" s="189">
        <v>386987.40351018391</v>
      </c>
      <c r="HG102" s="189"/>
      <c r="HH102" s="203">
        <v>34.859435089775452</v>
      </c>
      <c r="HI102" s="189">
        <v>659646.89243661484</v>
      </c>
      <c r="HJ102" s="268">
        <f t="shared" si="80"/>
        <v>0</v>
      </c>
      <c r="HK102" s="189">
        <f t="shared" si="81"/>
        <v>0</v>
      </c>
      <c r="HL102" s="189">
        <f t="shared" si="82"/>
        <v>0</v>
      </c>
      <c r="HM102" s="255">
        <f t="shared" si="83"/>
        <v>0</v>
      </c>
      <c r="HN102" s="189">
        <f t="shared" si="84"/>
        <v>0</v>
      </c>
      <c r="HO102" s="203">
        <f t="shared" si="109"/>
        <v>0</v>
      </c>
      <c r="HP102" s="258">
        <f t="shared" si="85"/>
        <v>0</v>
      </c>
      <c r="HQ102" s="804"/>
      <c r="HR102" s="268"/>
      <c r="HS102" s="38"/>
      <c r="HT102" s="255"/>
      <c r="HU102" s="254"/>
      <c r="HV102" s="203"/>
      <c r="HW102" s="189"/>
      <c r="HX102" s="1020"/>
      <c r="HY102" s="258"/>
      <c r="HZ102" s="268"/>
      <c r="IA102" s="203"/>
      <c r="IB102" s="255"/>
      <c r="IC102" s="254"/>
      <c r="ID102" s="203"/>
      <c r="IE102" s="255"/>
      <c r="IF102" s="189"/>
      <c r="IG102" s="203"/>
      <c r="IH102" s="255"/>
      <c r="II102" s="189"/>
      <c r="IJ102" s="203"/>
      <c r="IK102" s="189"/>
      <c r="IL102" s="1182"/>
      <c r="IM102" s="1403"/>
      <c r="IN102" s="254"/>
      <c r="IO102" s="254"/>
      <c r="IP102" s="254"/>
      <c r="IQ102" s="254"/>
      <c r="IR102" s="223"/>
    </row>
    <row r="103" spans="1:252" ht="13.8" thickBot="1">
      <c r="A103" t="str">
        <f t="shared" si="86"/>
        <v>2007Q1</v>
      </c>
      <c r="B103">
        <f t="shared" si="87"/>
        <v>2007</v>
      </c>
      <c r="C103" s="49">
        <f t="shared" si="88"/>
        <v>39142</v>
      </c>
      <c r="D103" s="115">
        <f t="shared" si="89"/>
        <v>2007</v>
      </c>
      <c r="E103" s="10">
        <f t="shared" si="112"/>
        <v>3</v>
      </c>
      <c r="F103" s="248" t="str">
        <f t="shared" si="113"/>
        <v/>
      </c>
      <c r="G103" s="245">
        <v>39142</v>
      </c>
      <c r="H103" s="251">
        <v>39172</v>
      </c>
      <c r="I103" s="959">
        <f t="shared" si="110"/>
        <v>7.1499999999999994E-2</v>
      </c>
      <c r="J103" s="37">
        <f t="shared" si="90"/>
        <v>0.5968771582643333</v>
      </c>
      <c r="K103" s="1036"/>
      <c r="L103" s="37"/>
      <c r="M103" s="1004">
        <v>0</v>
      </c>
      <c r="N103" s="38">
        <f t="shared" si="115"/>
        <v>0</v>
      </c>
      <c r="O103" s="40">
        <f t="shared" si="115"/>
        <v>0</v>
      </c>
      <c r="P103" s="159">
        <f t="shared" si="117"/>
        <v>0</v>
      </c>
      <c r="Q103" s="38">
        <f t="shared" si="118"/>
        <v>0</v>
      </c>
      <c r="R103" s="40">
        <f t="shared" si="118"/>
        <v>0</v>
      </c>
      <c r="S103" s="38">
        <f t="shared" si="118"/>
        <v>0</v>
      </c>
      <c r="T103" s="38">
        <f t="shared" si="118"/>
        <v>0</v>
      </c>
      <c r="U103" s="38">
        <f t="shared" si="118"/>
        <v>0</v>
      </c>
      <c r="V103" s="159">
        <f t="shared" si="118"/>
        <v>0</v>
      </c>
      <c r="W103" s="38">
        <f t="shared" si="118"/>
        <v>0</v>
      </c>
      <c r="X103" s="39">
        <f t="shared" si="118"/>
        <v>0</v>
      </c>
      <c r="Y103" s="46">
        <v>0</v>
      </c>
      <c r="Z103" s="46">
        <v>0</v>
      </c>
      <c r="AA103" s="47">
        <v>0</v>
      </c>
      <c r="AB103" s="46">
        <v>0</v>
      </c>
      <c r="AC103" s="46">
        <v>0</v>
      </c>
      <c r="AD103" s="47">
        <v>0</v>
      </c>
      <c r="AE103" s="46">
        <v>0</v>
      </c>
      <c r="AF103" s="46">
        <v>0</v>
      </c>
      <c r="AG103" s="47">
        <v>0</v>
      </c>
      <c r="AH103" s="46">
        <v>0</v>
      </c>
      <c r="AI103" s="46">
        <v>0</v>
      </c>
      <c r="AJ103" s="47">
        <v>0</v>
      </c>
      <c r="AK103" s="46">
        <v>0</v>
      </c>
      <c r="AL103" s="46">
        <v>0</v>
      </c>
      <c r="AM103" s="47">
        <v>0</v>
      </c>
      <c r="AN103" s="46">
        <v>0</v>
      </c>
      <c r="AO103" s="46">
        <v>0</v>
      </c>
      <c r="AP103" s="47">
        <v>0</v>
      </c>
      <c r="AQ103" s="46">
        <v>0</v>
      </c>
      <c r="AR103" s="46">
        <v>0</v>
      </c>
      <c r="AS103" s="47">
        <v>0</v>
      </c>
      <c r="AT103" s="46">
        <v>0</v>
      </c>
      <c r="AU103" s="46">
        <v>0</v>
      </c>
      <c r="AV103" s="46">
        <v>0</v>
      </c>
      <c r="AW103" s="1545">
        <v>0</v>
      </c>
      <c r="AX103" s="10">
        <f t="shared" si="114"/>
        <v>22</v>
      </c>
      <c r="AY103" s="42">
        <f>IF(AND($E103=MONTH(Summary!$E$24),$D103=YEAR(Summary!$E$24)),Summary!$E$25,1)*IF(G103="",0,INT((H103-MOD(H103,7)-G103)/7)+1-IF(BA103,IF(WEEKDAY(F103)=7,1,0),0))</f>
        <v>5</v>
      </c>
      <c r="AZ103" s="42">
        <f>IF(AND($E103=MONTH(Summary!$E$24),$D103=YEAR(Summary!$E$24)),Summary!$E$25,1)*IF(G103="",0,INT((H103-MOD(H103-1,7)-G103)/7)+1-IF(BA103,IF(WEEKDAY(F103)=1,1,0),0))</f>
        <v>4</v>
      </c>
      <c r="BA103" s="42">
        <v>0</v>
      </c>
      <c r="BB103" s="10">
        <f>IF(AND($E103=MONTH(Summary!$E$24),$D103=YEAR(Summary!$E$24)),Summary!$E$25,1)*IF(G103="",0,H103-G103+1)</f>
        <v>31</v>
      </c>
      <c r="BC103" s="914">
        <f>Summary!$E$19</f>
        <v>1.4999999999999999E-2</v>
      </c>
      <c r="BD103" s="113">
        <v>15602.4</v>
      </c>
      <c r="BE103" s="171">
        <v>3546</v>
      </c>
      <c r="BF103" s="171">
        <v>2836.8</v>
      </c>
      <c r="BG103" s="174"/>
      <c r="BH103" s="1198">
        <v>1</v>
      </c>
      <c r="BI103" s="1198">
        <v>1</v>
      </c>
      <c r="BJ103" s="1198">
        <v>1</v>
      </c>
      <c r="BK103" s="1198">
        <v>1</v>
      </c>
      <c r="BL103" s="95">
        <v>3120.48</v>
      </c>
      <c r="BM103" s="171">
        <v>709.2</v>
      </c>
      <c r="BN103" s="171">
        <v>567.36</v>
      </c>
      <c r="BO103" s="174"/>
      <c r="BP103" s="1198">
        <v>1</v>
      </c>
      <c r="BQ103" s="1199">
        <v>1</v>
      </c>
      <c r="BR103" s="1199">
        <v>1</v>
      </c>
      <c r="BS103" s="1200">
        <v>1</v>
      </c>
      <c r="BT103" s="94">
        <f t="shared" si="91"/>
        <v>21985.200000000001</v>
      </c>
      <c r="BU103" s="233">
        <f t="shared" si="92"/>
        <v>21985.200000000001</v>
      </c>
      <c r="BV103" s="92">
        <f t="shared" si="93"/>
        <v>4397.04</v>
      </c>
      <c r="BW103" s="233">
        <f t="shared" si="94"/>
        <v>4397.04</v>
      </c>
      <c r="BX103" s="88">
        <v>7.2087611225188226</v>
      </c>
      <c r="BY103" s="90">
        <v>0</v>
      </c>
      <c r="BZ103" s="88">
        <v>0</v>
      </c>
      <c r="CA103" s="88">
        <v>0</v>
      </c>
      <c r="CB103" s="88">
        <v>0</v>
      </c>
      <c r="CC103" s="88">
        <v>0</v>
      </c>
      <c r="CD103" s="88">
        <v>0</v>
      </c>
      <c r="CE103" s="100">
        <v>0</v>
      </c>
      <c r="CF103" s="88">
        <v>0</v>
      </c>
      <c r="CG103" s="88">
        <v>0</v>
      </c>
      <c r="CH103" s="88">
        <v>0</v>
      </c>
      <c r="CI103" s="88">
        <v>0</v>
      </c>
      <c r="CJ103" s="228">
        <v>0</v>
      </c>
      <c r="CK103" s="88">
        <v>0</v>
      </c>
      <c r="CL103" s="88">
        <v>0</v>
      </c>
      <c r="CM103" s="88">
        <v>0</v>
      </c>
      <c r="CN103" s="88">
        <v>0</v>
      </c>
      <c r="CO103" s="88">
        <v>0</v>
      </c>
      <c r="CP103" s="88">
        <v>0</v>
      </c>
      <c r="CQ103" s="229">
        <v>0</v>
      </c>
      <c r="CR103" s="91">
        <v>0</v>
      </c>
      <c r="CS103" s="91">
        <v>0</v>
      </c>
      <c r="CT103" s="91">
        <v>0</v>
      </c>
      <c r="CU103" s="91">
        <v>0</v>
      </c>
      <c r="CV103" s="91">
        <v>0</v>
      </c>
      <c r="CW103" s="91">
        <v>0</v>
      </c>
      <c r="CX103" s="225">
        <v>0</v>
      </c>
      <c r="CY103" s="1265">
        <v>7768.4603200000001</v>
      </c>
      <c r="CZ103" s="90">
        <v>0</v>
      </c>
      <c r="DA103" s="88">
        <v>0</v>
      </c>
      <c r="DB103" s="88">
        <v>0</v>
      </c>
      <c r="DC103" s="88">
        <v>0</v>
      </c>
      <c r="DD103" s="88">
        <v>0</v>
      </c>
      <c r="DE103" s="152">
        <v>0</v>
      </c>
      <c r="DF103" s="230">
        <v>0</v>
      </c>
      <c r="DG103" s="38">
        <v>0</v>
      </c>
      <c r="DH103" s="1237">
        <v>0</v>
      </c>
      <c r="DI103" s="956">
        <v>0</v>
      </c>
      <c r="DJ103" s="956">
        <v>0</v>
      </c>
      <c r="DK103" s="956">
        <v>0</v>
      </c>
      <c r="DL103" s="152">
        <v>0</v>
      </c>
      <c r="DM103" s="160">
        <v>0</v>
      </c>
      <c r="DN103" s="160">
        <v>0</v>
      </c>
      <c r="DO103" s="160">
        <v>0</v>
      </c>
      <c r="DP103" s="160">
        <v>0</v>
      </c>
      <c r="DQ103" s="160">
        <v>0</v>
      </c>
      <c r="DR103" s="230">
        <v>0</v>
      </c>
      <c r="DS103" s="88">
        <v>0</v>
      </c>
      <c r="DT103" s="88">
        <v>0</v>
      </c>
      <c r="DU103" s="88">
        <v>0</v>
      </c>
      <c r="DV103" s="88">
        <v>0</v>
      </c>
      <c r="DW103" s="88">
        <v>0</v>
      </c>
      <c r="DX103" s="88">
        <v>0</v>
      </c>
      <c r="DY103" s="88">
        <v>0</v>
      </c>
      <c r="DZ103" s="88">
        <v>0</v>
      </c>
      <c r="EA103" s="88">
        <v>0</v>
      </c>
      <c r="EB103" s="152">
        <v>0</v>
      </c>
      <c r="EC103" s="52">
        <f t="shared" si="95"/>
        <v>0</v>
      </c>
      <c r="ED103" s="52">
        <f t="shared" si="95"/>
        <v>0</v>
      </c>
      <c r="EE103" s="52">
        <f t="shared" si="95"/>
        <v>0</v>
      </c>
      <c r="EF103" s="52">
        <f t="shared" si="71"/>
        <v>0</v>
      </c>
      <c r="EG103" s="52">
        <f t="shared" si="96"/>
        <v>0</v>
      </c>
      <c r="EH103" s="238">
        <v>0</v>
      </c>
      <c r="EI103" s="211">
        <v>0</v>
      </c>
      <c r="EJ103" s="211">
        <v>0</v>
      </c>
      <c r="EK103" s="211">
        <v>0</v>
      </c>
      <c r="EL103" s="217">
        <f>IF(C103&gt;=Summary!$E$26,MAX(0,SUM(EH103:EK103)),0)</f>
        <v>0</v>
      </c>
      <c r="EM103" s="52">
        <f>IF(C103&gt;=Summary!$E$26,DX103*BL103,0)</f>
        <v>0</v>
      </c>
      <c r="EN103" s="52">
        <f>IF(C103&gt;=Summary!$E$26,DY103*BM103,0)</f>
        <v>0</v>
      </c>
      <c r="EO103" s="52">
        <f>IF(C103&gt;=Summary!$E$26,DZ103*BN103,0)</f>
        <v>0</v>
      </c>
      <c r="EP103" s="52">
        <f>IF(C103&gt;=Summary!$E$26,EA103*BO103,0)</f>
        <v>0</v>
      </c>
      <c r="EQ103" s="52">
        <f>IF(C103&gt;=Summary!$E$26,DX103*BL103+DY103*BM103+DZ103*BN103+EA103*BO103,0)</f>
        <v>0</v>
      </c>
      <c r="ER103" s="826">
        <v>0</v>
      </c>
      <c r="ES103" s="278">
        <v>0</v>
      </c>
      <c r="ET103" s="278">
        <v>0</v>
      </c>
      <c r="EU103" s="278">
        <v>0</v>
      </c>
      <c r="EV103" s="212">
        <f>IF(C103&gt;=Summary!$E$26,MAX(0,SUM(ER103:EU103)),0)</f>
        <v>0</v>
      </c>
      <c r="EW103" s="52"/>
      <c r="EX103" s="1049">
        <f t="shared" si="97"/>
        <v>0</v>
      </c>
      <c r="EY103" s="1045" t="str">
        <f t="shared" si="98"/>
        <v/>
      </c>
      <c r="EZ103" s="1684" t="s">
        <v>525</v>
      </c>
      <c r="FA103" s="1046">
        <f t="shared" si="111"/>
        <v>45</v>
      </c>
      <c r="FB103" s="256">
        <f t="shared" si="99"/>
        <v>9751.5</v>
      </c>
      <c r="FC103" s="194">
        <f t="shared" si="100"/>
        <v>2925.45</v>
      </c>
      <c r="FD103" s="194">
        <f t="shared" si="101"/>
        <v>2216.25</v>
      </c>
      <c r="FE103" s="194">
        <f t="shared" si="102"/>
        <v>664.875</v>
      </c>
      <c r="FF103" s="194">
        <f t="shared" si="103"/>
        <v>1773</v>
      </c>
      <c r="FG103" s="194">
        <f t="shared" si="104"/>
        <v>531.9</v>
      </c>
      <c r="FH103" s="257">
        <f>IF(EZ103="No",IF((OR(MONTH(C103)=5,MONTH(C103)=6,MONTH(C103)=7,MONTH(C103)=8,MONTH(C103)=9)),Summary!$O$15*12*(AX103+AY103+AZ103+BA103)*(1-$BC103),Summary!$O$15*13*(AX103+AY103+AZ103+BA103)*(1-$BC103)+IF(Summary!$O$16="Yes",(CALC!FA103+Summary!$O$15)*6*(AX103+AY103+AZ103+BA103)*(1-$BC103),0)),0)</f>
        <v>0</v>
      </c>
      <c r="FI103" s="1412">
        <f>IF(MONTH(C103)=5,FI102*(IF(Summary!$E$70="no",(1+(Summary!$E$71*0.8)),1+HLOOKUP(YEAR(C103)-1,CCFMODEL!$I$127:$AF$128,2)*0.8)),+FI102)</f>
        <v>31.406776784422302</v>
      </c>
      <c r="FJ103" s="1411">
        <f>IF(MONTH(C103)=5,FJ102*(IF(Summary!$E$70="no",(1+(Summary!$E$71*0.8)),1+HLOOKUP(YEAR(CALC!C103)-1,CCFMODEL!$I$127:$AF$128,2)*0.8)),FJ102)</f>
        <v>27.450017504495079</v>
      </c>
      <c r="FK103" s="832">
        <f t="shared" si="72"/>
        <v>561018.46853071603</v>
      </c>
      <c r="FL103" s="1412">
        <f>IF(MONTH(C103)=5,FL102*(IF(Summary!$E$70="no",(1+(Summary!$E$71*0.8)),1+HLOOKUP(YEAR(CALC!C103)-1,CCFMODEL!$I$127:$AF$128,2)*0.8)),+FL102)</f>
        <v>66.051972622356445</v>
      </c>
      <c r="FM103" s="1411">
        <f>IF(MONTH(C103)=5,FM102*(IF(Summary!$E$70="no",(1+(Summary!$E$71*0.8)),1+HLOOKUP(YEAR(CALC!C103)-1,CCFMODEL!$I$127:$AF$128,2)*0.8)),+FM102)</f>
        <v>31.524537477277274</v>
      </c>
      <c r="FN103" s="832">
        <f t="shared" si="73"/>
        <v>571697.48715042346</v>
      </c>
      <c r="FO103" s="194">
        <f t="shared" si="105"/>
        <v>1132715.9556811396</v>
      </c>
      <c r="FP103" s="263">
        <f t="shared" si="69"/>
        <v>9751.5</v>
      </c>
      <c r="FQ103" s="194">
        <f t="shared" si="69"/>
        <v>2925.45</v>
      </c>
      <c r="FR103" s="194">
        <f t="shared" si="69"/>
        <v>2216.25</v>
      </c>
      <c r="FS103" s="194">
        <f t="shared" si="68"/>
        <v>664.875</v>
      </c>
      <c r="FT103" s="194">
        <f t="shared" si="68"/>
        <v>1773</v>
      </c>
      <c r="FU103" s="194">
        <f t="shared" si="68"/>
        <v>531.9</v>
      </c>
      <c r="FV103" s="257">
        <f t="shared" si="68"/>
        <v>0</v>
      </c>
      <c r="FW103" s="189">
        <f t="shared" si="74"/>
        <v>0</v>
      </c>
      <c r="FX103" s="189">
        <f t="shared" si="75"/>
        <v>0</v>
      </c>
      <c r="FY103" s="189">
        <f t="shared" si="76"/>
        <v>0</v>
      </c>
      <c r="FZ103" s="258">
        <f t="shared" si="77"/>
        <v>0</v>
      </c>
      <c r="GA103" s="1293">
        <f>(SUM(FP103:FV103)+SUM(GU103:HB103)/(1-Summary!$O$25))*CY103/1000</f>
        <v>236972.72593532884</v>
      </c>
      <c r="GB103" s="1369">
        <f>IF($C103&lt;Summary!$M$81,+Summary!$O$81,VLOOKUP(C103,GasTable,19))</f>
        <v>2.4</v>
      </c>
      <c r="GC103" s="1370">
        <f>IF(H103&lt;=Summary!$N$84,MIN(GA103,Summary!$O$75*(H103-G103+1)),0)</f>
        <v>155000</v>
      </c>
      <c r="GD103" s="1371">
        <f>IF(Summary!$O$75*(H103-G103+1)*0.8&gt;GC103,1,0)</f>
        <v>0</v>
      </c>
      <c r="GE103" s="1372">
        <v>0</v>
      </c>
      <c r="GF103" s="1370">
        <f t="shared" si="106"/>
        <v>81972.725935328839</v>
      </c>
      <c r="GG103" s="1371">
        <f>GF103*(IF(Summary!$O$74=1,VLOOKUP($C103,GasTable,16)+Summary!$O$92+Summary!$O$93,VLOOKUP($C103,GasTable,19)+Summary!$O$92+Summary!$O$93))</f>
        <v>236732.81716809992</v>
      </c>
      <c r="GH103" s="1373">
        <v>19269.599999999999</v>
      </c>
      <c r="GI103" s="1466">
        <v>0</v>
      </c>
      <c r="GJ103" s="1374">
        <f t="shared" si="107"/>
        <v>628002.4171680999</v>
      </c>
      <c r="GK103" s="189">
        <f t="shared" si="78"/>
        <v>30062.012850000006</v>
      </c>
      <c r="GL103" s="266">
        <v>0.76286280342400004</v>
      </c>
      <c r="GM103" s="255">
        <f t="shared" si="79"/>
        <v>15221.000000000002</v>
      </c>
      <c r="GN103" s="189">
        <f>IF(SUM(GU103:HB103)=0,0,IF(Summary!$O$16="Yes",SUM(GX103:HB103),IF(Summary!$O$17="Yes",SUM(GY103:HB103),SUM(GU103:HB103))))</f>
        <v>12199.037849999999</v>
      </c>
      <c r="GO103" s="203">
        <v>2.9265162829137266</v>
      </c>
      <c r="GP103" s="258">
        <f t="shared" si="108"/>
        <v>35700.682903905858</v>
      </c>
      <c r="GQ103" s="189"/>
      <c r="GR103" s="189"/>
      <c r="GS103" s="189"/>
      <c r="GT103" s="189"/>
      <c r="GU103" s="268">
        <v>5646.1184999999996</v>
      </c>
      <c r="GV103" s="189">
        <v>1283.20875</v>
      </c>
      <c r="GW103" s="189">
        <v>1026.5670000000002</v>
      </c>
      <c r="GX103" s="189"/>
      <c r="GY103" s="254">
        <v>3011.2631999999999</v>
      </c>
      <c r="GZ103" s="189">
        <v>684.37800000000004</v>
      </c>
      <c r="HA103" s="189">
        <v>547.50239999999997</v>
      </c>
      <c r="HB103" s="255"/>
      <c r="HC103" s="189">
        <v>12199.037849999999</v>
      </c>
      <c r="HD103" s="189"/>
      <c r="HE103" s="189">
        <v>20950.521524999996</v>
      </c>
      <c r="HF103" s="189">
        <v>408564.3636104961</v>
      </c>
      <c r="HG103" s="189"/>
      <c r="HH103" s="203">
        <v>32.941913936779535</v>
      </c>
      <c r="HI103" s="189">
        <v>690150.27700719703</v>
      </c>
      <c r="HJ103" s="268">
        <f t="shared" si="80"/>
        <v>0</v>
      </c>
      <c r="HK103" s="189">
        <f t="shared" si="81"/>
        <v>0</v>
      </c>
      <c r="HL103" s="189">
        <f t="shared" si="82"/>
        <v>0</v>
      </c>
      <c r="HM103" s="255">
        <f t="shared" si="83"/>
        <v>0</v>
      </c>
      <c r="HN103" s="189">
        <f t="shared" si="84"/>
        <v>0</v>
      </c>
      <c r="HO103" s="203">
        <f t="shared" si="109"/>
        <v>0</v>
      </c>
      <c r="HP103" s="258">
        <f t="shared" si="85"/>
        <v>0</v>
      </c>
      <c r="HQ103" s="804"/>
      <c r="HR103" s="268"/>
      <c r="HS103" s="38"/>
      <c r="HT103" s="255"/>
      <c r="HU103" s="254"/>
      <c r="HV103" s="203"/>
      <c r="HW103" s="189"/>
      <c r="HX103" s="1020"/>
      <c r="HY103" s="258"/>
      <c r="HZ103" s="268"/>
      <c r="IA103" s="203"/>
      <c r="IB103" s="255"/>
      <c r="IC103" s="254"/>
      <c r="ID103" s="203"/>
      <c r="IE103" s="255"/>
      <c r="IF103" s="189"/>
      <c r="IG103" s="203"/>
      <c r="IH103" s="255"/>
      <c r="II103" s="189"/>
      <c r="IJ103" s="203"/>
      <c r="IK103" s="189"/>
      <c r="IL103" s="1182"/>
      <c r="IM103" s="1403"/>
      <c r="IN103" s="254"/>
      <c r="IO103" s="254"/>
      <c r="IP103" s="254"/>
      <c r="IQ103" s="254"/>
      <c r="IR103" s="223"/>
    </row>
    <row r="104" spans="1:252" ht="13.8" thickBot="1">
      <c r="A104" t="str">
        <f t="shared" si="86"/>
        <v>2007Q2</v>
      </c>
      <c r="B104">
        <f t="shared" si="87"/>
        <v>2007</v>
      </c>
      <c r="C104" s="49">
        <f t="shared" si="88"/>
        <v>39173</v>
      </c>
      <c r="D104" s="115">
        <f t="shared" si="89"/>
        <v>2007</v>
      </c>
      <c r="E104" s="10">
        <f t="shared" si="112"/>
        <v>4</v>
      </c>
      <c r="F104" s="248" t="str">
        <f t="shared" si="113"/>
        <v/>
      </c>
      <c r="G104" s="245">
        <v>39173</v>
      </c>
      <c r="H104" s="251">
        <v>39202</v>
      </c>
      <c r="I104" s="959">
        <f t="shared" si="110"/>
        <v>7.1499999999999994E-2</v>
      </c>
      <c r="J104" s="37">
        <f t="shared" si="90"/>
        <v>0.59344300349776524</v>
      </c>
      <c r="K104" s="1036"/>
      <c r="L104" s="37"/>
      <c r="M104" s="1004">
        <v>0</v>
      </c>
      <c r="N104" s="38">
        <f t="shared" si="115"/>
        <v>0</v>
      </c>
      <c r="O104" s="40">
        <f t="shared" si="115"/>
        <v>0</v>
      </c>
      <c r="P104" s="159">
        <f t="shared" si="117"/>
        <v>0</v>
      </c>
      <c r="Q104" s="38">
        <f t="shared" si="118"/>
        <v>0</v>
      </c>
      <c r="R104" s="40">
        <f t="shared" si="118"/>
        <v>0</v>
      </c>
      <c r="S104" s="38">
        <f t="shared" si="118"/>
        <v>0</v>
      </c>
      <c r="T104" s="38">
        <f t="shared" si="118"/>
        <v>0</v>
      </c>
      <c r="U104" s="38">
        <f t="shared" si="118"/>
        <v>0</v>
      </c>
      <c r="V104" s="159">
        <f t="shared" si="118"/>
        <v>0</v>
      </c>
      <c r="W104" s="38">
        <f t="shared" si="118"/>
        <v>0</v>
      </c>
      <c r="X104" s="39">
        <f t="shared" si="118"/>
        <v>0</v>
      </c>
      <c r="Y104" s="46">
        <v>0</v>
      </c>
      <c r="Z104" s="46">
        <v>0</v>
      </c>
      <c r="AA104" s="47">
        <v>0</v>
      </c>
      <c r="AB104" s="46">
        <v>0</v>
      </c>
      <c r="AC104" s="46">
        <v>0</v>
      </c>
      <c r="AD104" s="47">
        <v>0</v>
      </c>
      <c r="AE104" s="46">
        <v>0</v>
      </c>
      <c r="AF104" s="46">
        <v>0</v>
      </c>
      <c r="AG104" s="47">
        <v>0</v>
      </c>
      <c r="AH104" s="46">
        <v>0</v>
      </c>
      <c r="AI104" s="46">
        <v>0</v>
      </c>
      <c r="AJ104" s="47">
        <v>0</v>
      </c>
      <c r="AK104" s="46">
        <v>0</v>
      </c>
      <c r="AL104" s="46">
        <v>0</v>
      </c>
      <c r="AM104" s="47">
        <v>0</v>
      </c>
      <c r="AN104" s="46">
        <v>0</v>
      </c>
      <c r="AO104" s="46">
        <v>0</v>
      </c>
      <c r="AP104" s="47">
        <v>0</v>
      </c>
      <c r="AQ104" s="46">
        <v>0</v>
      </c>
      <c r="AR104" s="46">
        <v>0</v>
      </c>
      <c r="AS104" s="47">
        <v>0</v>
      </c>
      <c r="AT104" s="46">
        <v>0</v>
      </c>
      <c r="AU104" s="46">
        <v>0</v>
      </c>
      <c r="AV104" s="46">
        <v>0</v>
      </c>
      <c r="AW104" s="1545">
        <v>0</v>
      </c>
      <c r="AX104" s="10">
        <f t="shared" si="114"/>
        <v>21</v>
      </c>
      <c r="AY104" s="42">
        <f>IF(AND($E104=MONTH(Summary!$E$24),$D104=YEAR(Summary!$E$24)),Summary!$E$25,1)*IF(G104="",0,INT((H104-MOD(H104,7)-G104)/7)+1-IF(BA104,IF(WEEKDAY(F104)=7,1,0),0))</f>
        <v>4</v>
      </c>
      <c r="AZ104" s="42">
        <f>IF(AND($E104=MONTH(Summary!$E$24),$D104=YEAR(Summary!$E$24)),Summary!$E$25,1)*IF(G104="",0,INT((H104-MOD(H104-1,7)-G104)/7)+1-IF(BA104,IF(WEEKDAY(F104)=1,1,0),0))</f>
        <v>5</v>
      </c>
      <c r="BA104" s="42">
        <v>0</v>
      </c>
      <c r="BB104" s="10">
        <f>IF(AND($E104=MONTH(Summary!$E$24),$D104=YEAR(Summary!$E$24)),Summary!$E$25,1)*IF(G104="",0,H104-G104+1)</f>
        <v>30</v>
      </c>
      <c r="BC104" s="914">
        <f>Summary!$E$19</f>
        <v>1.4999999999999999E-2</v>
      </c>
      <c r="BD104" s="113">
        <v>14893.2</v>
      </c>
      <c r="BE104" s="171">
        <v>2836.8</v>
      </c>
      <c r="BF104" s="171">
        <v>3546</v>
      </c>
      <c r="BG104" s="174"/>
      <c r="BH104" s="1198">
        <v>1</v>
      </c>
      <c r="BI104" s="1198">
        <v>1</v>
      </c>
      <c r="BJ104" s="1198">
        <v>1</v>
      </c>
      <c r="BK104" s="1198">
        <v>1</v>
      </c>
      <c r="BL104" s="95">
        <v>2978.64</v>
      </c>
      <c r="BM104" s="171">
        <v>567.36</v>
      </c>
      <c r="BN104" s="171">
        <v>709.2</v>
      </c>
      <c r="BO104" s="174"/>
      <c r="BP104" s="1198">
        <v>1</v>
      </c>
      <c r="BQ104" s="1199">
        <v>1</v>
      </c>
      <c r="BR104" s="1199">
        <v>1</v>
      </c>
      <c r="BS104" s="1200">
        <v>1</v>
      </c>
      <c r="BT104" s="94">
        <f t="shared" si="91"/>
        <v>21276</v>
      </c>
      <c r="BU104" s="233">
        <f t="shared" si="92"/>
        <v>21276</v>
      </c>
      <c r="BV104" s="92">
        <f t="shared" si="93"/>
        <v>4255.2</v>
      </c>
      <c r="BW104" s="233">
        <f t="shared" si="94"/>
        <v>4255.2</v>
      </c>
      <c r="BX104" s="88">
        <v>7.2936344969199176</v>
      </c>
      <c r="BY104" s="90">
        <v>0</v>
      </c>
      <c r="BZ104" s="88">
        <v>0</v>
      </c>
      <c r="CA104" s="88">
        <v>0</v>
      </c>
      <c r="CB104" s="88">
        <v>0</v>
      </c>
      <c r="CC104" s="88">
        <v>0</v>
      </c>
      <c r="CD104" s="88">
        <v>0</v>
      </c>
      <c r="CE104" s="100">
        <v>0</v>
      </c>
      <c r="CF104" s="88">
        <v>0</v>
      </c>
      <c r="CG104" s="88">
        <v>0</v>
      </c>
      <c r="CH104" s="88">
        <v>0</v>
      </c>
      <c r="CI104" s="88">
        <v>0</v>
      </c>
      <c r="CJ104" s="228">
        <v>0</v>
      </c>
      <c r="CK104" s="88">
        <v>0</v>
      </c>
      <c r="CL104" s="88">
        <v>0</v>
      </c>
      <c r="CM104" s="88">
        <v>0</v>
      </c>
      <c r="CN104" s="88">
        <v>0</v>
      </c>
      <c r="CO104" s="88">
        <v>0</v>
      </c>
      <c r="CP104" s="88">
        <v>0</v>
      </c>
      <c r="CQ104" s="229">
        <v>0</v>
      </c>
      <c r="CR104" s="91">
        <v>0</v>
      </c>
      <c r="CS104" s="91">
        <v>0</v>
      </c>
      <c r="CT104" s="91">
        <v>0</v>
      </c>
      <c r="CU104" s="91">
        <v>0</v>
      </c>
      <c r="CV104" s="91">
        <v>0</v>
      </c>
      <c r="CW104" s="91">
        <v>0</v>
      </c>
      <c r="CX104" s="225">
        <v>0</v>
      </c>
      <c r="CY104" s="1265">
        <v>7769.7632000000003</v>
      </c>
      <c r="CZ104" s="90">
        <v>0</v>
      </c>
      <c r="DA104" s="88">
        <v>0</v>
      </c>
      <c r="DB104" s="88">
        <v>0</v>
      </c>
      <c r="DC104" s="88">
        <v>0</v>
      </c>
      <c r="DD104" s="88">
        <v>0</v>
      </c>
      <c r="DE104" s="152">
        <v>0</v>
      </c>
      <c r="DF104" s="230">
        <v>0</v>
      </c>
      <c r="DG104" s="38">
        <v>0</v>
      </c>
      <c r="DH104" s="1237">
        <v>0</v>
      </c>
      <c r="DI104" s="956">
        <v>0</v>
      </c>
      <c r="DJ104" s="956">
        <v>0</v>
      </c>
      <c r="DK104" s="956">
        <v>0</v>
      </c>
      <c r="DL104" s="152">
        <v>0</v>
      </c>
      <c r="DM104" s="160">
        <v>0</v>
      </c>
      <c r="DN104" s="160">
        <v>0</v>
      </c>
      <c r="DO104" s="160">
        <v>0</v>
      </c>
      <c r="DP104" s="160">
        <v>0</v>
      </c>
      <c r="DQ104" s="160">
        <v>0</v>
      </c>
      <c r="DR104" s="230">
        <v>0</v>
      </c>
      <c r="DS104" s="88">
        <v>0</v>
      </c>
      <c r="DT104" s="88">
        <v>0</v>
      </c>
      <c r="DU104" s="88">
        <v>0</v>
      </c>
      <c r="DV104" s="88">
        <v>0</v>
      </c>
      <c r="DW104" s="88">
        <v>0</v>
      </c>
      <c r="DX104" s="88">
        <v>0</v>
      </c>
      <c r="DY104" s="88">
        <v>0</v>
      </c>
      <c r="DZ104" s="88">
        <v>0</v>
      </c>
      <c r="EA104" s="88">
        <v>0</v>
      </c>
      <c r="EB104" s="152">
        <v>0</v>
      </c>
      <c r="EC104" s="52">
        <f t="shared" si="95"/>
        <v>0</v>
      </c>
      <c r="ED104" s="52">
        <f t="shared" si="95"/>
        <v>0</v>
      </c>
      <c r="EE104" s="52">
        <f t="shared" si="95"/>
        <v>0</v>
      </c>
      <c r="EF104" s="52">
        <f t="shared" si="71"/>
        <v>0</v>
      </c>
      <c r="EG104" s="52">
        <f t="shared" si="96"/>
        <v>0</v>
      </c>
      <c r="EH104" s="238">
        <v>0</v>
      </c>
      <c r="EI104" s="211">
        <v>0</v>
      </c>
      <c r="EJ104" s="211">
        <v>0</v>
      </c>
      <c r="EK104" s="211">
        <v>0</v>
      </c>
      <c r="EL104" s="217">
        <f>IF(C104&gt;=Summary!$E$26,MAX(0,SUM(EH104:EK104)),0)</f>
        <v>0</v>
      </c>
      <c r="EM104" s="52">
        <f>IF(C104&gt;=Summary!$E$26,DX104*BL104,0)</f>
        <v>0</v>
      </c>
      <c r="EN104" s="52">
        <f>IF(C104&gt;=Summary!$E$26,DY104*BM104,0)</f>
        <v>0</v>
      </c>
      <c r="EO104" s="52">
        <f>IF(C104&gt;=Summary!$E$26,DZ104*BN104,0)</f>
        <v>0</v>
      </c>
      <c r="EP104" s="52">
        <f>IF(C104&gt;=Summary!$E$26,EA104*BO104,0)</f>
        <v>0</v>
      </c>
      <c r="EQ104" s="52">
        <f>IF(C104&gt;=Summary!$E$26,DX104*BL104+DY104*BM104+DZ104*BN104+EA104*BO104,0)</f>
        <v>0</v>
      </c>
      <c r="ER104" s="826">
        <v>0</v>
      </c>
      <c r="ES104" s="278">
        <v>0</v>
      </c>
      <c r="ET104" s="278">
        <v>0</v>
      </c>
      <c r="EU104" s="278">
        <v>0</v>
      </c>
      <c r="EV104" s="212">
        <f>IF(C104&gt;=Summary!$E$26,MAX(0,SUM(ER104:EU104)),0)</f>
        <v>0</v>
      </c>
      <c r="EW104" s="52"/>
      <c r="EX104" s="1049">
        <f t="shared" si="97"/>
        <v>0</v>
      </c>
      <c r="EY104" s="1045" t="str">
        <f t="shared" si="98"/>
        <v/>
      </c>
      <c r="EZ104" s="1684" t="s">
        <v>525</v>
      </c>
      <c r="FA104" s="1046">
        <f t="shared" si="111"/>
        <v>45</v>
      </c>
      <c r="FB104" s="256">
        <f t="shared" si="99"/>
        <v>9308.25</v>
      </c>
      <c r="FC104" s="194">
        <f t="shared" si="100"/>
        <v>2792.4749999999999</v>
      </c>
      <c r="FD104" s="194">
        <f t="shared" si="101"/>
        <v>1773</v>
      </c>
      <c r="FE104" s="194">
        <f t="shared" si="102"/>
        <v>531.9</v>
      </c>
      <c r="FF104" s="194">
        <f t="shared" si="103"/>
        <v>2216.25</v>
      </c>
      <c r="FG104" s="194">
        <f t="shared" si="104"/>
        <v>664.875</v>
      </c>
      <c r="FH104" s="257">
        <f>IF(EZ104="No",IF((OR(MONTH(C104)=5,MONTH(C104)=6,MONTH(C104)=7,MONTH(C104)=8,MONTH(C104)=9)),Summary!$O$15*12*(AX104+AY104+AZ104+BA104)*(1-$BC104),Summary!$O$15*13*(AX104+AY104+AZ104+BA104)*(1-$BC104)+IF(Summary!$O$16="Yes",(CALC!FA104+Summary!$O$15)*6*(AX104+AY104+AZ104+BA104)*(1-$BC104),0)),0)</f>
        <v>0</v>
      </c>
      <c r="FI104" s="1412">
        <f>IF(MONTH(C104)=5,FI103*(IF(Summary!$E$70="no",(1+(Summary!$E$71*0.8)),1+HLOOKUP(YEAR(C104)-1,CCFMODEL!$I$127:$AF$128,2)*0.8)),+FI103)</f>
        <v>31.406776784422302</v>
      </c>
      <c r="FJ104" s="1411">
        <f>IF(MONTH(C104)=5,FJ103*(IF(Summary!$E$70="no",(1+(Summary!$E$71*0.8)),1+HLOOKUP(YEAR(CALC!C104)-1,CCFMODEL!$I$127:$AF$128,2)*0.8)),FJ103)</f>
        <v>27.450017504495079</v>
      </c>
      <c r="FK104" s="832">
        <f t="shared" si="72"/>
        <v>542921.0985781122</v>
      </c>
      <c r="FL104" s="1412">
        <f>IF(MONTH(C104)=5,FL103*(IF(Summary!$E$70="no",(1+(Summary!$E$71*0.8)),1+HLOOKUP(YEAR(CALC!C104)-1,CCFMODEL!$I$127:$AF$128,2)*0.8)),+FL103)</f>
        <v>66.051972622356445</v>
      </c>
      <c r="FM104" s="1411">
        <f>IF(MONTH(C104)=5,FM103*(IF(Summary!$E$70="no",(1+(Summary!$E$71*0.8)),1+HLOOKUP(YEAR(CALC!C104)-1,CCFMODEL!$I$127:$AF$128,2)*0.8)),+FM103)</f>
        <v>31.524537477277274</v>
      </c>
      <c r="FN104" s="832">
        <f t="shared" si="73"/>
        <v>553255.63272621611</v>
      </c>
      <c r="FO104" s="194">
        <f t="shared" si="105"/>
        <v>1096176.7313043284</v>
      </c>
      <c r="FP104" s="263">
        <f t="shared" si="69"/>
        <v>9308.25</v>
      </c>
      <c r="FQ104" s="194">
        <f t="shared" si="69"/>
        <v>2792.4749999999999</v>
      </c>
      <c r="FR104" s="194">
        <f t="shared" si="69"/>
        <v>1773</v>
      </c>
      <c r="FS104" s="194">
        <f t="shared" si="68"/>
        <v>531.9</v>
      </c>
      <c r="FT104" s="194">
        <f t="shared" si="68"/>
        <v>2216.25</v>
      </c>
      <c r="FU104" s="194">
        <f t="shared" si="68"/>
        <v>664.875</v>
      </c>
      <c r="FV104" s="257">
        <f t="shared" si="68"/>
        <v>0</v>
      </c>
      <c r="FW104" s="189">
        <f t="shared" si="74"/>
        <v>0</v>
      </c>
      <c r="FX104" s="189">
        <f t="shared" si="75"/>
        <v>0</v>
      </c>
      <c r="FY104" s="189">
        <f t="shared" si="76"/>
        <v>0</v>
      </c>
      <c r="FZ104" s="258">
        <f t="shared" si="77"/>
        <v>0</v>
      </c>
      <c r="GA104" s="1293">
        <f>(SUM(FP104:FV104)+SUM(GU104:HB104)/(1-Summary!$O$25))*CY104/1000</f>
        <v>229366.90605744001</v>
      </c>
      <c r="GB104" s="1369">
        <f>IF($C104&lt;Summary!$M$81,+Summary!$O$81,VLOOKUP(C104,GasTable,19))</f>
        <v>2.4</v>
      </c>
      <c r="GC104" s="1370">
        <f>IF(H104&lt;=Summary!$N$84,MIN(GA104,Summary!$O$75*(H104-G104+1)),0)</f>
        <v>150000</v>
      </c>
      <c r="GD104" s="1371">
        <f>IF(Summary!$O$75*(H104-G104+1)*0.8&gt;GC104,1,0)</f>
        <v>0</v>
      </c>
      <c r="GE104" s="1372">
        <v>0</v>
      </c>
      <c r="GF104" s="1370">
        <f t="shared" si="106"/>
        <v>79366.906057440006</v>
      </c>
      <c r="GG104" s="1371">
        <f>GF104*(IF(Summary!$O$74=1,VLOOKUP($C104,GasTable,16)+Summary!$O$92+Summary!$O$93,VLOOKUP($C104,GasTable,19)+Summary!$O$92+Summary!$O$93))</f>
        <v>222455.01902885665</v>
      </c>
      <c r="GH104" s="1373">
        <v>17880</v>
      </c>
      <c r="GI104" s="1466">
        <v>0</v>
      </c>
      <c r="GJ104" s="1374">
        <f t="shared" si="107"/>
        <v>600335.01902885665</v>
      </c>
      <c r="GK104" s="189">
        <f t="shared" si="78"/>
        <v>29092.270500000002</v>
      </c>
      <c r="GL104" s="266">
        <v>0.76299074624000007</v>
      </c>
      <c r="GM104" s="255">
        <f t="shared" si="79"/>
        <v>14729.999999999998</v>
      </c>
      <c r="GN104" s="189">
        <f>IF(SUM(GU104:HB104)=0,0,IF(Summary!$O$16="Yes",SUM(GX104:HB104),IF(Summary!$O$17="Yes",SUM(GY104:HB104),SUM(GU104:HB104))))</f>
        <v>11805.520500000001</v>
      </c>
      <c r="GO104" s="203">
        <v>2.9265162829137266</v>
      </c>
      <c r="GP104" s="258">
        <f t="shared" si="108"/>
        <v>34549.047971521803</v>
      </c>
      <c r="GQ104" s="189"/>
      <c r="GR104" s="189"/>
      <c r="GS104" s="189"/>
      <c r="GT104" s="189"/>
      <c r="GU104" s="268">
        <v>5389.4767500000007</v>
      </c>
      <c r="GV104" s="189">
        <v>1026.5670000000002</v>
      </c>
      <c r="GW104" s="189">
        <v>1283.20875</v>
      </c>
      <c r="GX104" s="189"/>
      <c r="GY104" s="254">
        <v>2874.3875999999996</v>
      </c>
      <c r="GZ104" s="189">
        <v>547.50239999999997</v>
      </c>
      <c r="HA104" s="189">
        <v>684.37800000000004</v>
      </c>
      <c r="HB104" s="255"/>
      <c r="HC104" s="189">
        <v>11805.520500000001</v>
      </c>
      <c r="HD104" s="189"/>
      <c r="HE104" s="189">
        <v>20274.698250000001</v>
      </c>
      <c r="HF104" s="189">
        <v>377938.8870087199</v>
      </c>
      <c r="HG104" s="189"/>
      <c r="HH104" s="203">
        <v>31.435265801416261</v>
      </c>
      <c r="HI104" s="189">
        <v>637340.52853225917</v>
      </c>
      <c r="HJ104" s="268">
        <f t="shared" si="80"/>
        <v>0</v>
      </c>
      <c r="HK104" s="189">
        <f t="shared" si="81"/>
        <v>0</v>
      </c>
      <c r="HL104" s="189">
        <f t="shared" si="82"/>
        <v>0</v>
      </c>
      <c r="HM104" s="255">
        <f t="shared" si="83"/>
        <v>0</v>
      </c>
      <c r="HN104" s="189">
        <f t="shared" si="84"/>
        <v>0</v>
      </c>
      <c r="HO104" s="203">
        <f t="shared" si="109"/>
        <v>0</v>
      </c>
      <c r="HP104" s="258">
        <f t="shared" si="85"/>
        <v>0</v>
      </c>
      <c r="HQ104" s="804"/>
      <c r="HR104" s="268"/>
      <c r="HS104" s="38"/>
      <c r="HT104" s="255"/>
      <c r="HU104" s="254"/>
      <c r="HV104" s="203"/>
      <c r="HW104" s="189"/>
      <c r="HX104" s="1020"/>
      <c r="HY104" s="258"/>
      <c r="HZ104" s="268"/>
      <c r="IA104" s="203"/>
      <c r="IB104" s="255"/>
      <c r="IC104" s="254"/>
      <c r="ID104" s="203"/>
      <c r="IE104" s="255"/>
      <c r="IF104" s="189"/>
      <c r="IG104" s="203"/>
      <c r="IH104" s="255"/>
      <c r="II104" s="189"/>
      <c r="IJ104" s="203"/>
      <c r="IK104" s="189"/>
      <c r="IL104" s="1182"/>
      <c r="IM104" s="1403"/>
      <c r="IN104" s="254"/>
      <c r="IO104" s="254"/>
      <c r="IP104" s="254"/>
      <c r="IQ104" s="254"/>
      <c r="IR104" s="223"/>
    </row>
    <row r="105" spans="1:252" ht="13.8" thickBot="1">
      <c r="A105" t="str">
        <f t="shared" si="86"/>
        <v>2007Q2</v>
      </c>
      <c r="B105">
        <f t="shared" si="87"/>
        <v>2007</v>
      </c>
      <c r="C105" s="49">
        <f t="shared" si="88"/>
        <v>39203</v>
      </c>
      <c r="D105" s="115">
        <f t="shared" si="89"/>
        <v>2007</v>
      </c>
      <c r="E105" s="10">
        <f t="shared" si="112"/>
        <v>5</v>
      </c>
      <c r="F105" s="248">
        <f t="shared" si="113"/>
        <v>39230</v>
      </c>
      <c r="G105" s="245">
        <v>39203</v>
      </c>
      <c r="H105" s="251">
        <v>39233</v>
      </c>
      <c r="I105" s="959">
        <f t="shared" si="110"/>
        <v>7.1499999999999994E-2</v>
      </c>
      <c r="J105" s="37">
        <f t="shared" si="90"/>
        <v>0.58991513301682386</v>
      </c>
      <c r="K105" s="1036"/>
      <c r="L105" s="37"/>
      <c r="M105" s="1004">
        <v>0</v>
      </c>
      <c r="N105" s="38">
        <f t="shared" si="115"/>
        <v>0</v>
      </c>
      <c r="O105" s="40">
        <f t="shared" si="115"/>
        <v>0</v>
      </c>
      <c r="P105" s="159">
        <f t="shared" si="117"/>
        <v>0</v>
      </c>
      <c r="Q105" s="38">
        <f t="shared" si="118"/>
        <v>0</v>
      </c>
      <c r="R105" s="40">
        <f t="shared" si="118"/>
        <v>0</v>
      </c>
      <c r="S105" s="38">
        <f t="shared" si="118"/>
        <v>0</v>
      </c>
      <c r="T105" s="38">
        <f t="shared" si="118"/>
        <v>0</v>
      </c>
      <c r="U105" s="38">
        <f t="shared" si="118"/>
        <v>0</v>
      </c>
      <c r="V105" s="159">
        <f t="shared" si="118"/>
        <v>0</v>
      </c>
      <c r="W105" s="38">
        <f t="shared" si="118"/>
        <v>0</v>
      </c>
      <c r="X105" s="39">
        <f t="shared" si="118"/>
        <v>0</v>
      </c>
      <c r="Y105" s="46">
        <v>0</v>
      </c>
      <c r="Z105" s="46">
        <v>0</v>
      </c>
      <c r="AA105" s="47">
        <v>0</v>
      </c>
      <c r="AB105" s="46">
        <v>0</v>
      </c>
      <c r="AC105" s="46">
        <v>0</v>
      </c>
      <c r="AD105" s="47">
        <v>0</v>
      </c>
      <c r="AE105" s="46">
        <v>0</v>
      </c>
      <c r="AF105" s="46">
        <v>0</v>
      </c>
      <c r="AG105" s="47">
        <v>0</v>
      </c>
      <c r="AH105" s="46">
        <v>0</v>
      </c>
      <c r="AI105" s="46">
        <v>0</v>
      </c>
      <c r="AJ105" s="47">
        <v>0</v>
      </c>
      <c r="AK105" s="46">
        <v>0</v>
      </c>
      <c r="AL105" s="46">
        <v>0</v>
      </c>
      <c r="AM105" s="47">
        <v>0</v>
      </c>
      <c r="AN105" s="46">
        <v>0</v>
      </c>
      <c r="AO105" s="46">
        <v>0</v>
      </c>
      <c r="AP105" s="47">
        <v>0</v>
      </c>
      <c r="AQ105" s="46">
        <v>0</v>
      </c>
      <c r="AR105" s="46">
        <v>0</v>
      </c>
      <c r="AS105" s="47">
        <v>0</v>
      </c>
      <c r="AT105" s="46">
        <v>0</v>
      </c>
      <c r="AU105" s="46">
        <v>0</v>
      </c>
      <c r="AV105" s="46">
        <v>0</v>
      </c>
      <c r="AW105" s="1545">
        <v>0</v>
      </c>
      <c r="AX105" s="10">
        <f t="shared" si="114"/>
        <v>22</v>
      </c>
      <c r="AY105" s="42">
        <f>IF(AND($E105=MONTH(Summary!$E$24),$D105=YEAR(Summary!$E$24)),Summary!$E$25,1)*IF(G105="",0,INT((H105-MOD(H105,7)-G105)/7)+1-IF(BA105,IF(WEEKDAY(F105)=7,1,0),0))</f>
        <v>4</v>
      </c>
      <c r="AZ105" s="42">
        <f>IF(AND($E105=MONTH(Summary!$E$24),$D105=YEAR(Summary!$E$24)),Summary!$E$25,1)*IF(G105="",0,INT((H105-MOD(H105-1,7)-G105)/7)+1-IF(BA105,IF(WEEKDAY(F105)=1,1,0),0))</f>
        <v>4</v>
      </c>
      <c r="BA105" s="42">
        <v>1</v>
      </c>
      <c r="BB105" s="10">
        <f>IF(AND($E105=MONTH(Summary!$E$24),$D105=YEAR(Summary!$E$24)),Summary!$E$25,1)*IF(G105="",0,H105-G105+1)</f>
        <v>31</v>
      </c>
      <c r="BC105" s="914">
        <f>Summary!$E$19</f>
        <v>1.4999999999999999E-2</v>
      </c>
      <c r="BD105" s="113">
        <v>15602.4</v>
      </c>
      <c r="BE105" s="171">
        <v>2836.8</v>
      </c>
      <c r="BF105" s="171">
        <v>3546</v>
      </c>
      <c r="BG105" s="174"/>
      <c r="BH105" s="1198">
        <v>1</v>
      </c>
      <c r="BI105" s="1198">
        <v>1</v>
      </c>
      <c r="BJ105" s="1198">
        <v>1</v>
      </c>
      <c r="BK105" s="1198">
        <v>1</v>
      </c>
      <c r="BL105" s="95">
        <v>3120.48</v>
      </c>
      <c r="BM105" s="171">
        <v>567.36</v>
      </c>
      <c r="BN105" s="171">
        <v>709.2</v>
      </c>
      <c r="BO105" s="174"/>
      <c r="BP105" s="1198">
        <v>1</v>
      </c>
      <c r="BQ105" s="1199">
        <v>1</v>
      </c>
      <c r="BR105" s="1199">
        <v>1</v>
      </c>
      <c r="BS105" s="1200">
        <v>1</v>
      </c>
      <c r="BT105" s="94">
        <f t="shared" si="91"/>
        <v>21985.200000000001</v>
      </c>
      <c r="BU105" s="233">
        <f t="shared" si="92"/>
        <v>21985.200000000001</v>
      </c>
      <c r="BV105" s="92">
        <f t="shared" si="93"/>
        <v>4397.04</v>
      </c>
      <c r="BW105" s="233">
        <f t="shared" si="94"/>
        <v>4397.04</v>
      </c>
      <c r="BX105" s="88">
        <v>7.3757700205338805</v>
      </c>
      <c r="BY105" s="90">
        <v>0</v>
      </c>
      <c r="BZ105" s="88">
        <v>0</v>
      </c>
      <c r="CA105" s="88">
        <v>0</v>
      </c>
      <c r="CB105" s="88">
        <v>0</v>
      </c>
      <c r="CC105" s="88">
        <v>0</v>
      </c>
      <c r="CD105" s="88">
        <v>0</v>
      </c>
      <c r="CE105" s="100">
        <v>0</v>
      </c>
      <c r="CF105" s="88">
        <v>0</v>
      </c>
      <c r="CG105" s="88">
        <v>0</v>
      </c>
      <c r="CH105" s="88">
        <v>0</v>
      </c>
      <c r="CI105" s="88">
        <v>0</v>
      </c>
      <c r="CJ105" s="228">
        <v>0</v>
      </c>
      <c r="CK105" s="88">
        <v>0</v>
      </c>
      <c r="CL105" s="88">
        <v>0</v>
      </c>
      <c r="CM105" s="88">
        <v>0</v>
      </c>
      <c r="CN105" s="88">
        <v>0</v>
      </c>
      <c r="CO105" s="88">
        <v>0</v>
      </c>
      <c r="CP105" s="88">
        <v>0</v>
      </c>
      <c r="CQ105" s="229">
        <v>0</v>
      </c>
      <c r="CR105" s="91">
        <v>0</v>
      </c>
      <c r="CS105" s="91">
        <v>0</v>
      </c>
      <c r="CT105" s="91">
        <v>0</v>
      </c>
      <c r="CU105" s="91">
        <v>0</v>
      </c>
      <c r="CV105" s="91">
        <v>0</v>
      </c>
      <c r="CW105" s="91">
        <v>0</v>
      </c>
      <c r="CX105" s="225">
        <v>0</v>
      </c>
      <c r="CY105" s="1265">
        <v>7771.0660800000005</v>
      </c>
      <c r="CZ105" s="90">
        <v>0</v>
      </c>
      <c r="DA105" s="88">
        <v>0</v>
      </c>
      <c r="DB105" s="88">
        <v>0</v>
      </c>
      <c r="DC105" s="88">
        <v>0</v>
      </c>
      <c r="DD105" s="88">
        <v>0</v>
      </c>
      <c r="DE105" s="152">
        <v>0</v>
      </c>
      <c r="DF105" s="230">
        <v>0</v>
      </c>
      <c r="DG105" s="38">
        <v>0</v>
      </c>
      <c r="DH105" s="1237">
        <v>0</v>
      </c>
      <c r="DI105" s="956">
        <v>0</v>
      </c>
      <c r="DJ105" s="956">
        <v>0</v>
      </c>
      <c r="DK105" s="956">
        <v>0</v>
      </c>
      <c r="DL105" s="152">
        <v>0</v>
      </c>
      <c r="DM105" s="160">
        <v>0</v>
      </c>
      <c r="DN105" s="160">
        <v>0</v>
      </c>
      <c r="DO105" s="160">
        <v>0</v>
      </c>
      <c r="DP105" s="160">
        <v>0</v>
      </c>
      <c r="DQ105" s="160">
        <v>0</v>
      </c>
      <c r="DR105" s="230">
        <v>0</v>
      </c>
      <c r="DS105" s="88">
        <v>0</v>
      </c>
      <c r="DT105" s="88">
        <v>0</v>
      </c>
      <c r="DU105" s="88">
        <v>0</v>
      </c>
      <c r="DV105" s="88">
        <v>0</v>
      </c>
      <c r="DW105" s="88">
        <v>0</v>
      </c>
      <c r="DX105" s="88">
        <v>0</v>
      </c>
      <c r="DY105" s="88">
        <v>0</v>
      </c>
      <c r="DZ105" s="88">
        <v>0</v>
      </c>
      <c r="EA105" s="88">
        <v>0</v>
      </c>
      <c r="EB105" s="152">
        <v>0</v>
      </c>
      <c r="EC105" s="52">
        <f t="shared" si="95"/>
        <v>0</v>
      </c>
      <c r="ED105" s="52">
        <f t="shared" si="95"/>
        <v>0</v>
      </c>
      <c r="EE105" s="52">
        <f t="shared" si="95"/>
        <v>0</v>
      </c>
      <c r="EF105" s="52">
        <f t="shared" si="71"/>
        <v>0</v>
      </c>
      <c r="EG105" s="52">
        <f t="shared" si="96"/>
        <v>0</v>
      </c>
      <c r="EH105" s="238">
        <v>0</v>
      </c>
      <c r="EI105" s="211">
        <v>0</v>
      </c>
      <c r="EJ105" s="211">
        <v>0</v>
      </c>
      <c r="EK105" s="211">
        <v>0</v>
      </c>
      <c r="EL105" s="217">
        <f>IF(C105&gt;=Summary!$E$26,MAX(0,SUM(EH105:EK105)),0)</f>
        <v>0</v>
      </c>
      <c r="EM105" s="52">
        <f>IF(C105&gt;=Summary!$E$26,DX105*BL105,0)</f>
        <v>0</v>
      </c>
      <c r="EN105" s="52">
        <f>IF(C105&gt;=Summary!$E$26,DY105*BM105,0)</f>
        <v>0</v>
      </c>
      <c r="EO105" s="52">
        <f>IF(C105&gt;=Summary!$E$26,DZ105*BN105,0)</f>
        <v>0</v>
      </c>
      <c r="EP105" s="52">
        <f>IF(C105&gt;=Summary!$E$26,EA105*BO105,0)</f>
        <v>0</v>
      </c>
      <c r="EQ105" s="52">
        <f>IF(C105&gt;=Summary!$E$26,DX105*BL105+DY105*BM105+DZ105*BN105+EA105*BO105,0)</f>
        <v>0</v>
      </c>
      <c r="ER105" s="826">
        <v>0</v>
      </c>
      <c r="ES105" s="278">
        <v>0</v>
      </c>
      <c r="ET105" s="278">
        <v>0</v>
      </c>
      <c r="EU105" s="278">
        <v>0</v>
      </c>
      <c r="EV105" s="212">
        <f>IF(C105&gt;=Summary!$E$26,MAX(0,SUM(ER105:EU105)),0)</f>
        <v>0</v>
      </c>
      <c r="EW105" s="52"/>
      <c r="EX105" s="1049">
        <f t="shared" si="97"/>
        <v>0</v>
      </c>
      <c r="EY105" s="1045" t="str">
        <f t="shared" si="98"/>
        <v/>
      </c>
      <c r="EZ105" s="1684" t="s">
        <v>525</v>
      </c>
      <c r="FA105" s="1046">
        <f t="shared" si="111"/>
        <v>45</v>
      </c>
      <c r="FB105" s="256">
        <f t="shared" si="99"/>
        <v>11701.8</v>
      </c>
      <c r="FC105" s="194">
        <f t="shared" si="100"/>
        <v>0</v>
      </c>
      <c r="FD105" s="194">
        <f t="shared" si="101"/>
        <v>2127.6</v>
      </c>
      <c r="FE105" s="194">
        <f t="shared" si="102"/>
        <v>0</v>
      </c>
      <c r="FF105" s="194">
        <f t="shared" si="103"/>
        <v>2659.5</v>
      </c>
      <c r="FG105" s="194">
        <f t="shared" si="104"/>
        <v>0</v>
      </c>
      <c r="FH105" s="257">
        <f>IF(EZ105="No",IF((OR(MONTH(C105)=5,MONTH(C105)=6,MONTH(C105)=7,MONTH(C105)=8,MONTH(C105)=9)),Summary!$O$15*12*(AX105+AY105+AZ105+BA105)*(1-$BC105),Summary!$O$15*13*(AX105+AY105+AZ105+BA105)*(1-$BC105)+IF(Summary!$O$16="Yes",(CALC!FA105+Summary!$O$15)*6*(AX105+AY105+AZ105+BA105)*(1-$BC105),0)),0)</f>
        <v>0</v>
      </c>
      <c r="FI105" s="1412">
        <f>IF(MONTH(C105)=5,FI104*(IF(Summary!$E$70="no",(1+(Summary!$E$71*0.8)),1+HLOOKUP(YEAR(C105)-1,CCFMODEL!$I$127:$AF$128,2)*0.8)),+FI104)</f>
        <v>32.160539427248438</v>
      </c>
      <c r="FJ105" s="1411">
        <f>IF(MONTH(C105)=5,FJ104*(IF(Summary!$E$70="no",(1+(Summary!$E$71*0.8)),1+HLOOKUP(YEAR(CALC!C105)-1,CCFMODEL!$I$127:$AF$128,2)*0.8)),FJ104)</f>
        <v>28.108817924602963</v>
      </c>
      <c r="FK105" s="832">
        <f t="shared" si="72"/>
        <v>530291.91856195685</v>
      </c>
      <c r="FL105" s="1412">
        <f>IF(MONTH(C105)=5,FL104*(IF(Summary!$E$70="no",(1+(Summary!$E$71*0.8)),1+HLOOKUP(YEAR(CALC!C105)-1,CCFMODEL!$I$127:$AF$128,2)*0.8)),+FL104)</f>
        <v>67.637219965292999</v>
      </c>
      <c r="FM105" s="1411">
        <f>IF(MONTH(C105)=5,FM104*(IF(Summary!$E$70="no",(1+(Summary!$E$71*0.8)),1+HLOOKUP(YEAR(CALC!C105)-1,CCFMODEL!$I$127:$AF$128,2)*0.8)),+FM104)</f>
        <v>32.281126376731926</v>
      </c>
      <c r="FN105" s="832">
        <f t="shared" si="73"/>
        <v>1132247.0622190048</v>
      </c>
      <c r="FO105" s="194">
        <f t="shared" si="105"/>
        <v>1662538.9807809617</v>
      </c>
      <c r="FP105" s="263">
        <f t="shared" si="69"/>
        <v>11701.8</v>
      </c>
      <c r="FQ105" s="194">
        <f t="shared" si="69"/>
        <v>0</v>
      </c>
      <c r="FR105" s="194">
        <f t="shared" si="69"/>
        <v>2127.6</v>
      </c>
      <c r="FS105" s="194">
        <f t="shared" si="68"/>
        <v>0</v>
      </c>
      <c r="FT105" s="194">
        <f t="shared" si="68"/>
        <v>2659.5</v>
      </c>
      <c r="FU105" s="194">
        <f t="shared" si="68"/>
        <v>0</v>
      </c>
      <c r="FV105" s="257">
        <f t="shared" si="68"/>
        <v>0</v>
      </c>
      <c r="FW105" s="189">
        <f t="shared" si="74"/>
        <v>0</v>
      </c>
      <c r="FX105" s="189">
        <f t="shared" si="75"/>
        <v>0</v>
      </c>
      <c r="FY105" s="189">
        <f t="shared" si="76"/>
        <v>0</v>
      </c>
      <c r="FZ105" s="258">
        <f t="shared" si="77"/>
        <v>0</v>
      </c>
      <c r="GA105" s="1293">
        <f>(SUM(FP105:FV105)+SUM(GU105:HB105)/(1-Summary!$O$25))*CY105/1000</f>
        <v>205018.13037841921</v>
      </c>
      <c r="GB105" s="1369">
        <f>IF($C105&lt;Summary!$M$81,+Summary!$O$81,VLOOKUP(C105,GasTable,19))</f>
        <v>2.4</v>
      </c>
      <c r="GC105" s="1370">
        <f>IF(H105&lt;=Summary!$N$84,MIN(GA105,Summary!$O$75*(H105-G105+1)),0)</f>
        <v>155000</v>
      </c>
      <c r="GD105" s="1371">
        <f>IF(Summary!$O$75*(H105-G105+1)*0.8&gt;GC105,1,0)</f>
        <v>0</v>
      </c>
      <c r="GE105" s="1372">
        <v>0</v>
      </c>
      <c r="GF105" s="1370">
        <f t="shared" si="106"/>
        <v>50018.130378419213</v>
      </c>
      <c r="GG105" s="1371">
        <f>GF105*(IF(Summary!$O$74=1,VLOOKUP($C105,GasTable,16)+Summary!$O$92+Summary!$O$93,VLOOKUP($C105,GasTable,19)+Summary!$O$92+Summary!$O$93))</f>
        <v>139156.60500738202</v>
      </c>
      <c r="GH105" s="1373">
        <v>18407.8</v>
      </c>
      <c r="GI105" s="1466">
        <v>0</v>
      </c>
      <c r="GJ105" s="1374">
        <f t="shared" si="107"/>
        <v>529564.40500738204</v>
      </c>
      <c r="GK105" s="189">
        <f t="shared" si="78"/>
        <v>26035.973100000007</v>
      </c>
      <c r="GL105" s="266">
        <v>0.76311868905600011</v>
      </c>
      <c r="GM105" s="255">
        <f t="shared" si="79"/>
        <v>15221</v>
      </c>
      <c r="GN105" s="189">
        <f>IF(SUM(GU105:HB105)=0,0,IF(Summary!$O$16="Yes",SUM(GX105:HB105),IF(Summary!$O$17="Yes",SUM(GY105:HB105),SUM(GU105:HB105))))</f>
        <v>9547.0730999999996</v>
      </c>
      <c r="GO105" s="203">
        <v>2.9265162829137266</v>
      </c>
      <c r="GP105" s="258">
        <f t="shared" si="108"/>
        <v>27939.664881317629</v>
      </c>
      <c r="GQ105" s="189"/>
      <c r="GR105" s="189"/>
      <c r="GS105" s="189"/>
      <c r="GT105" s="189"/>
      <c r="GU105" s="268">
        <v>3764.0790000000002</v>
      </c>
      <c r="GV105" s="189">
        <v>684.37800000000027</v>
      </c>
      <c r="GW105" s="189">
        <v>855.47249999999997</v>
      </c>
      <c r="GX105" s="189"/>
      <c r="GY105" s="254">
        <v>3011.2631999999999</v>
      </c>
      <c r="GZ105" s="189">
        <v>547.50239999999997</v>
      </c>
      <c r="HA105" s="189">
        <v>684.37800000000004</v>
      </c>
      <c r="HB105" s="255"/>
      <c r="HC105" s="189">
        <v>9547.0730999999996</v>
      </c>
      <c r="HD105" s="189"/>
      <c r="HE105" s="189">
        <v>22276.5039</v>
      </c>
      <c r="HF105" s="189">
        <v>307022.56197742035</v>
      </c>
      <c r="HG105" s="189"/>
      <c r="HH105" s="203">
        <v>32.58313882766155</v>
      </c>
      <c r="HI105" s="189">
        <v>725838.41916864389</v>
      </c>
      <c r="HJ105" s="268">
        <f t="shared" si="80"/>
        <v>0</v>
      </c>
      <c r="HK105" s="189">
        <f t="shared" si="81"/>
        <v>0</v>
      </c>
      <c r="HL105" s="189">
        <f t="shared" si="82"/>
        <v>0</v>
      </c>
      <c r="HM105" s="255">
        <f t="shared" si="83"/>
        <v>0</v>
      </c>
      <c r="HN105" s="189">
        <f t="shared" si="84"/>
        <v>0</v>
      </c>
      <c r="HO105" s="203">
        <f t="shared" si="109"/>
        <v>0</v>
      </c>
      <c r="HP105" s="258">
        <f t="shared" si="85"/>
        <v>0</v>
      </c>
      <c r="HQ105" s="804"/>
      <c r="HR105" s="268"/>
      <c r="HS105" s="38"/>
      <c r="HT105" s="255"/>
      <c r="HU105" s="254"/>
      <c r="HV105" s="203"/>
      <c r="HW105" s="189"/>
      <c r="HX105" s="1020"/>
      <c r="HY105" s="258"/>
      <c r="HZ105" s="268"/>
      <c r="IA105" s="203"/>
      <c r="IB105" s="255"/>
      <c r="IC105" s="254"/>
      <c r="ID105" s="203"/>
      <c r="IE105" s="255"/>
      <c r="IF105" s="189"/>
      <c r="IG105" s="203"/>
      <c r="IH105" s="255"/>
      <c r="II105" s="189"/>
      <c r="IJ105" s="203"/>
      <c r="IK105" s="189"/>
      <c r="IL105" s="1182"/>
      <c r="IM105" s="1403"/>
      <c r="IN105" s="254"/>
      <c r="IO105" s="254"/>
      <c r="IP105" s="254"/>
      <c r="IQ105" s="254"/>
      <c r="IR105" s="223"/>
    </row>
    <row r="106" spans="1:252" ht="13.8" thickBot="1">
      <c r="A106" t="str">
        <f t="shared" si="86"/>
        <v>2007Q2</v>
      </c>
      <c r="B106">
        <f t="shared" si="87"/>
        <v>2007</v>
      </c>
      <c r="C106" s="49">
        <f t="shared" si="88"/>
        <v>39234</v>
      </c>
      <c r="D106" s="115">
        <f t="shared" si="89"/>
        <v>2007</v>
      </c>
      <c r="E106" s="10">
        <f t="shared" si="112"/>
        <v>6</v>
      </c>
      <c r="F106" s="248" t="str">
        <f t="shared" si="113"/>
        <v/>
      </c>
      <c r="G106" s="245">
        <v>39234</v>
      </c>
      <c r="H106" s="251">
        <v>39263</v>
      </c>
      <c r="I106" s="959">
        <f t="shared" si="110"/>
        <v>7.1499999999999994E-2</v>
      </c>
      <c r="J106" s="37">
        <f t="shared" si="90"/>
        <v>0.58652103451955295</v>
      </c>
      <c r="K106" s="1036"/>
      <c r="L106" s="37"/>
      <c r="M106" s="1004">
        <v>0</v>
      </c>
      <c r="N106" s="38">
        <f t="shared" si="115"/>
        <v>0</v>
      </c>
      <c r="O106" s="40">
        <f t="shared" si="115"/>
        <v>0</v>
      </c>
      <c r="P106" s="159">
        <f t="shared" si="117"/>
        <v>0</v>
      </c>
      <c r="Q106" s="38">
        <f t="shared" si="118"/>
        <v>0</v>
      </c>
      <c r="R106" s="40">
        <f t="shared" si="118"/>
        <v>0</v>
      </c>
      <c r="S106" s="38">
        <f t="shared" si="118"/>
        <v>0</v>
      </c>
      <c r="T106" s="38">
        <f t="shared" si="118"/>
        <v>0</v>
      </c>
      <c r="U106" s="38">
        <f t="shared" si="118"/>
        <v>0</v>
      </c>
      <c r="V106" s="159">
        <f t="shared" si="118"/>
        <v>0</v>
      </c>
      <c r="W106" s="38">
        <f t="shared" si="118"/>
        <v>0</v>
      </c>
      <c r="X106" s="39">
        <f t="shared" si="118"/>
        <v>0</v>
      </c>
      <c r="Y106" s="46">
        <v>0</v>
      </c>
      <c r="Z106" s="46">
        <v>0</v>
      </c>
      <c r="AA106" s="47">
        <v>0</v>
      </c>
      <c r="AB106" s="46">
        <v>0</v>
      </c>
      <c r="AC106" s="46">
        <v>0</v>
      </c>
      <c r="AD106" s="47">
        <v>0</v>
      </c>
      <c r="AE106" s="46">
        <v>0</v>
      </c>
      <c r="AF106" s="46">
        <v>0</v>
      </c>
      <c r="AG106" s="47">
        <v>0</v>
      </c>
      <c r="AH106" s="46">
        <v>0</v>
      </c>
      <c r="AI106" s="46">
        <v>0</v>
      </c>
      <c r="AJ106" s="47">
        <v>0</v>
      </c>
      <c r="AK106" s="46">
        <v>0</v>
      </c>
      <c r="AL106" s="46">
        <v>0</v>
      </c>
      <c r="AM106" s="47">
        <v>0</v>
      </c>
      <c r="AN106" s="46">
        <v>0</v>
      </c>
      <c r="AO106" s="46">
        <v>0</v>
      </c>
      <c r="AP106" s="47">
        <v>0</v>
      </c>
      <c r="AQ106" s="46">
        <v>0</v>
      </c>
      <c r="AR106" s="46">
        <v>0</v>
      </c>
      <c r="AS106" s="47">
        <v>0</v>
      </c>
      <c r="AT106" s="46">
        <v>0</v>
      </c>
      <c r="AU106" s="46">
        <v>0</v>
      </c>
      <c r="AV106" s="46">
        <v>0</v>
      </c>
      <c r="AW106" s="1545">
        <v>0</v>
      </c>
      <c r="AX106" s="10">
        <f t="shared" si="114"/>
        <v>21</v>
      </c>
      <c r="AY106" s="42">
        <f>IF(AND($E106=MONTH(Summary!$E$24),$D106=YEAR(Summary!$E$24)),Summary!$E$25,1)*IF(G106="",0,INT((H106-MOD(H106,7)-G106)/7)+1-IF(BA106,IF(WEEKDAY(F106)=7,1,0),0))</f>
        <v>5</v>
      </c>
      <c r="AZ106" s="42">
        <f>IF(AND($E106=MONTH(Summary!$E$24),$D106=YEAR(Summary!$E$24)),Summary!$E$25,1)*IF(G106="",0,INT((H106-MOD(H106-1,7)-G106)/7)+1-IF(BA106,IF(WEEKDAY(F106)=1,1,0),0))</f>
        <v>4</v>
      </c>
      <c r="BA106" s="42">
        <v>0</v>
      </c>
      <c r="BB106" s="10">
        <f>IF(AND($E106=MONTH(Summary!$E$24),$D106=YEAR(Summary!$E$24)),Summary!$E$25,1)*IF(G106="",0,H106-G106+1)</f>
        <v>30</v>
      </c>
      <c r="BC106" s="914">
        <f>Summary!$E$19</f>
        <v>1.4999999999999999E-2</v>
      </c>
      <c r="BD106" s="113">
        <v>14893.2</v>
      </c>
      <c r="BE106" s="171">
        <v>3546</v>
      </c>
      <c r="BF106" s="171">
        <v>2836.8</v>
      </c>
      <c r="BG106" s="174"/>
      <c r="BH106" s="1198">
        <v>1</v>
      </c>
      <c r="BI106" s="1198">
        <v>1</v>
      </c>
      <c r="BJ106" s="1198">
        <v>1</v>
      </c>
      <c r="BK106" s="1198">
        <v>1</v>
      </c>
      <c r="BL106" s="95">
        <v>2978.64</v>
      </c>
      <c r="BM106" s="171">
        <v>709.2</v>
      </c>
      <c r="BN106" s="171">
        <v>567.36</v>
      </c>
      <c r="BO106" s="174"/>
      <c r="BP106" s="1198">
        <v>1</v>
      </c>
      <c r="BQ106" s="1199">
        <v>1</v>
      </c>
      <c r="BR106" s="1199">
        <v>1</v>
      </c>
      <c r="BS106" s="1200">
        <v>1</v>
      </c>
      <c r="BT106" s="94">
        <f t="shared" si="91"/>
        <v>21276</v>
      </c>
      <c r="BU106" s="233">
        <f t="shared" si="92"/>
        <v>21276</v>
      </c>
      <c r="BV106" s="92">
        <f t="shared" si="93"/>
        <v>4255.2</v>
      </c>
      <c r="BW106" s="233">
        <f t="shared" si="94"/>
        <v>4255.2</v>
      </c>
      <c r="BX106" s="88">
        <v>7.4606433949349764</v>
      </c>
      <c r="BY106" s="90">
        <v>0</v>
      </c>
      <c r="BZ106" s="88">
        <v>0</v>
      </c>
      <c r="CA106" s="88">
        <v>0</v>
      </c>
      <c r="CB106" s="88">
        <v>0</v>
      </c>
      <c r="CC106" s="88">
        <v>0</v>
      </c>
      <c r="CD106" s="88">
        <v>0</v>
      </c>
      <c r="CE106" s="100">
        <v>0</v>
      </c>
      <c r="CF106" s="88">
        <v>0</v>
      </c>
      <c r="CG106" s="88">
        <v>0</v>
      </c>
      <c r="CH106" s="88">
        <v>0</v>
      </c>
      <c r="CI106" s="88">
        <v>0</v>
      </c>
      <c r="CJ106" s="228">
        <v>0</v>
      </c>
      <c r="CK106" s="88">
        <v>0</v>
      </c>
      <c r="CL106" s="88">
        <v>0</v>
      </c>
      <c r="CM106" s="88">
        <v>0</v>
      </c>
      <c r="CN106" s="88">
        <v>0</v>
      </c>
      <c r="CO106" s="88">
        <v>0</v>
      </c>
      <c r="CP106" s="88">
        <v>0</v>
      </c>
      <c r="CQ106" s="229">
        <v>0</v>
      </c>
      <c r="CR106" s="91">
        <v>0</v>
      </c>
      <c r="CS106" s="91">
        <v>0</v>
      </c>
      <c r="CT106" s="91">
        <v>0</v>
      </c>
      <c r="CU106" s="91">
        <v>0</v>
      </c>
      <c r="CV106" s="91">
        <v>0</v>
      </c>
      <c r="CW106" s="91">
        <v>0</v>
      </c>
      <c r="CX106" s="225">
        <v>0</v>
      </c>
      <c r="CY106" s="1265">
        <v>7772.3689600000007</v>
      </c>
      <c r="CZ106" s="90">
        <v>0</v>
      </c>
      <c r="DA106" s="88">
        <v>0</v>
      </c>
      <c r="DB106" s="88">
        <v>0</v>
      </c>
      <c r="DC106" s="88">
        <v>0</v>
      </c>
      <c r="DD106" s="88">
        <v>0</v>
      </c>
      <c r="DE106" s="152">
        <v>0</v>
      </c>
      <c r="DF106" s="230">
        <v>0</v>
      </c>
      <c r="DG106" s="38">
        <v>0</v>
      </c>
      <c r="DH106" s="1237">
        <v>0</v>
      </c>
      <c r="DI106" s="956">
        <v>0</v>
      </c>
      <c r="DJ106" s="956">
        <v>0</v>
      </c>
      <c r="DK106" s="956">
        <v>0</v>
      </c>
      <c r="DL106" s="152">
        <v>0</v>
      </c>
      <c r="DM106" s="160">
        <v>0</v>
      </c>
      <c r="DN106" s="160">
        <v>0</v>
      </c>
      <c r="DO106" s="160">
        <v>0</v>
      </c>
      <c r="DP106" s="160">
        <v>0</v>
      </c>
      <c r="DQ106" s="160">
        <v>0</v>
      </c>
      <c r="DR106" s="230">
        <v>0</v>
      </c>
      <c r="DS106" s="88">
        <v>0</v>
      </c>
      <c r="DT106" s="88">
        <v>0</v>
      </c>
      <c r="DU106" s="88">
        <v>0</v>
      </c>
      <c r="DV106" s="88">
        <v>0</v>
      </c>
      <c r="DW106" s="88">
        <v>0</v>
      </c>
      <c r="DX106" s="88">
        <v>0</v>
      </c>
      <c r="DY106" s="88">
        <v>0</v>
      </c>
      <c r="DZ106" s="88">
        <v>0</v>
      </c>
      <c r="EA106" s="88">
        <v>0</v>
      </c>
      <c r="EB106" s="152">
        <v>0</v>
      </c>
      <c r="EC106" s="52">
        <f t="shared" si="95"/>
        <v>0</v>
      </c>
      <c r="ED106" s="52">
        <f t="shared" si="95"/>
        <v>0</v>
      </c>
      <c r="EE106" s="52">
        <f t="shared" si="95"/>
        <v>0</v>
      </c>
      <c r="EF106" s="52">
        <f t="shared" si="71"/>
        <v>0</v>
      </c>
      <c r="EG106" s="52">
        <f t="shared" si="96"/>
        <v>0</v>
      </c>
      <c r="EH106" s="238">
        <v>0</v>
      </c>
      <c r="EI106" s="211">
        <v>0</v>
      </c>
      <c r="EJ106" s="211">
        <v>0</v>
      </c>
      <c r="EK106" s="211">
        <v>0</v>
      </c>
      <c r="EL106" s="217">
        <f>IF(C106&gt;=Summary!$E$26,MAX(0,SUM(EH106:EK106)),0)</f>
        <v>0</v>
      </c>
      <c r="EM106" s="52">
        <f>IF(C106&gt;=Summary!$E$26,DX106*BL106,0)</f>
        <v>0</v>
      </c>
      <c r="EN106" s="52">
        <f>IF(C106&gt;=Summary!$E$26,DY106*BM106,0)</f>
        <v>0</v>
      </c>
      <c r="EO106" s="52">
        <f>IF(C106&gt;=Summary!$E$26,DZ106*BN106,0)</f>
        <v>0</v>
      </c>
      <c r="EP106" s="52">
        <f>IF(C106&gt;=Summary!$E$26,EA106*BO106,0)</f>
        <v>0</v>
      </c>
      <c r="EQ106" s="52">
        <f>IF(C106&gt;=Summary!$E$26,DX106*BL106+DY106*BM106+DZ106*BN106+EA106*BO106,0)</f>
        <v>0</v>
      </c>
      <c r="ER106" s="826">
        <v>0</v>
      </c>
      <c r="ES106" s="278">
        <v>0</v>
      </c>
      <c r="ET106" s="278">
        <v>0</v>
      </c>
      <c r="EU106" s="278">
        <v>0</v>
      </c>
      <c r="EV106" s="212">
        <f>IF(C106&gt;=Summary!$E$26,MAX(0,SUM(ER106:EU106)),0)</f>
        <v>0</v>
      </c>
      <c r="EW106" s="52"/>
      <c r="EX106" s="1049">
        <f t="shared" si="97"/>
        <v>0</v>
      </c>
      <c r="EY106" s="1045" t="str">
        <f t="shared" si="98"/>
        <v/>
      </c>
      <c r="EZ106" s="1684" t="s">
        <v>525</v>
      </c>
      <c r="FA106" s="1046">
        <f t="shared" si="111"/>
        <v>45</v>
      </c>
      <c r="FB106" s="256">
        <f t="shared" si="99"/>
        <v>11169.9</v>
      </c>
      <c r="FC106" s="194">
        <f t="shared" si="100"/>
        <v>0</v>
      </c>
      <c r="FD106" s="194">
        <f t="shared" si="101"/>
        <v>2659.5</v>
      </c>
      <c r="FE106" s="194">
        <f t="shared" si="102"/>
        <v>0</v>
      </c>
      <c r="FF106" s="194">
        <f t="shared" si="103"/>
        <v>2127.6</v>
      </c>
      <c r="FG106" s="194">
        <f t="shared" si="104"/>
        <v>0</v>
      </c>
      <c r="FH106" s="257">
        <f>IF(EZ106="No",IF((OR(MONTH(C106)=5,MONTH(C106)=6,MONTH(C106)=7,MONTH(C106)=8,MONTH(C106)=9)),Summary!$O$15*12*(AX106+AY106+AZ106+BA106)*(1-$BC106),Summary!$O$15*13*(AX106+AY106+AZ106+BA106)*(1-$BC106)+IF(Summary!$O$16="Yes",(CALC!FA106+Summary!$O$15)*6*(AX106+AY106+AZ106+BA106)*(1-$BC106),0)),0)</f>
        <v>0</v>
      </c>
      <c r="FI106" s="1412">
        <f>IF(MONTH(C106)=5,FI105*(IF(Summary!$E$70="no",(1+(Summary!$E$71*0.8)),1+HLOOKUP(YEAR(C106)-1,CCFMODEL!$I$127:$AF$128,2)*0.8)),+FI105)</f>
        <v>32.160539427248438</v>
      </c>
      <c r="FJ106" s="1411">
        <f>IF(MONTH(C106)=5,FJ105*(IF(Summary!$E$70="no",(1+(Summary!$E$71*0.8)),1+HLOOKUP(YEAR(CALC!C106)-1,CCFMODEL!$I$127:$AF$128,2)*0.8)),FJ105)</f>
        <v>28.108817924602963</v>
      </c>
      <c r="FK106" s="832">
        <f t="shared" si="72"/>
        <v>513185.72764060332</v>
      </c>
      <c r="FL106" s="1412">
        <f>IF(MONTH(C106)=5,FL105*(IF(Summary!$E$70="no",(1+(Summary!$E$71*0.8)),1+HLOOKUP(YEAR(CALC!C106)-1,CCFMODEL!$I$127:$AF$128,2)*0.8)),+FL105)</f>
        <v>67.637219965292999</v>
      </c>
      <c r="FM106" s="1411">
        <f>IF(MONTH(C106)=5,FM105*(IF(Summary!$E$70="no",(1+(Summary!$E$71*0.8)),1+HLOOKUP(YEAR(CALC!C106)-1,CCFMODEL!$I$127:$AF$128,2)*0.8)),+FM105)</f>
        <v>32.281126376731926</v>
      </c>
      <c r="FN106" s="832">
        <f t="shared" si="73"/>
        <v>1095722.9634377465</v>
      </c>
      <c r="FO106" s="194">
        <f t="shared" si="105"/>
        <v>1608908.6910783499</v>
      </c>
      <c r="FP106" s="263">
        <f t="shared" si="69"/>
        <v>11169.9</v>
      </c>
      <c r="FQ106" s="194">
        <f t="shared" si="69"/>
        <v>0</v>
      </c>
      <c r="FR106" s="194">
        <f t="shared" si="69"/>
        <v>2659.5</v>
      </c>
      <c r="FS106" s="194">
        <f t="shared" si="68"/>
        <v>0</v>
      </c>
      <c r="FT106" s="194">
        <f t="shared" si="68"/>
        <v>2127.6</v>
      </c>
      <c r="FU106" s="194">
        <f t="shared" si="68"/>
        <v>0</v>
      </c>
      <c r="FV106" s="257">
        <f t="shared" si="68"/>
        <v>0</v>
      </c>
      <c r="FW106" s="189">
        <f t="shared" si="74"/>
        <v>0</v>
      </c>
      <c r="FX106" s="189">
        <f t="shared" si="75"/>
        <v>0</v>
      </c>
      <c r="FY106" s="189">
        <f t="shared" si="76"/>
        <v>0</v>
      </c>
      <c r="FZ106" s="258">
        <f t="shared" si="77"/>
        <v>0</v>
      </c>
      <c r="GA106" s="1293">
        <f>(SUM(FP106:FV106)+SUM(GU106:HB106)/(1-Summary!$O$25))*CY106/1000</f>
        <v>157096.675893312</v>
      </c>
      <c r="GB106" s="1369">
        <f>IF($C106&lt;Summary!$M$81,+Summary!$O$81,VLOOKUP(C106,GasTable,19))</f>
        <v>2.4</v>
      </c>
      <c r="GC106" s="1370">
        <f>IF(H106&lt;=Summary!$N$84,MIN(GA106,Summary!$O$75*(H106-G106+1)),0)</f>
        <v>150000</v>
      </c>
      <c r="GD106" s="1371">
        <f>IF(Summary!$O$75*(H106-G106+1)*0.8&gt;GC106,1,0)</f>
        <v>0</v>
      </c>
      <c r="GE106" s="1372">
        <v>0</v>
      </c>
      <c r="GF106" s="1370">
        <f t="shared" si="106"/>
        <v>7096.675893312</v>
      </c>
      <c r="GG106" s="1371">
        <f>GF106*(IF(Summary!$O$74=1,VLOOKUP($C106,GasTable,16)+Summary!$O$92+Summary!$O$93,VLOOKUP($C106,GasTable,19)+Summary!$O$92+Summary!$O$93))</f>
        <v>19977.855048923131</v>
      </c>
      <c r="GH106" s="1373">
        <v>18030</v>
      </c>
      <c r="GI106" s="1466">
        <v>0</v>
      </c>
      <c r="GJ106" s="1374">
        <f t="shared" si="107"/>
        <v>398007.85504892311</v>
      </c>
      <c r="GK106" s="189">
        <f t="shared" si="78"/>
        <v>20063.268</v>
      </c>
      <c r="GL106" s="266">
        <v>0.76324663187200015</v>
      </c>
      <c r="GM106" s="255">
        <f t="shared" si="79"/>
        <v>14730.000000000002</v>
      </c>
      <c r="GN106" s="189">
        <f>IF(SUM(GU106:HB106)=0,0,IF(Summary!$O$16="Yes",SUM(GX106:HB106),IF(Summary!$O$17="Yes",SUM(GY106:HB106),SUM(GU106:HB106))))</f>
        <v>4106.268</v>
      </c>
      <c r="GO106" s="203">
        <v>2.9265162829137266</v>
      </c>
      <c r="GP106" s="258">
        <f t="shared" si="108"/>
        <v>12017.060164007582</v>
      </c>
      <c r="GQ106" s="189"/>
      <c r="GR106" s="189"/>
      <c r="GS106" s="189"/>
      <c r="GT106" s="189"/>
      <c r="GU106" s="268">
        <v>0</v>
      </c>
      <c r="GV106" s="189">
        <v>0</v>
      </c>
      <c r="GW106" s="189">
        <v>0</v>
      </c>
      <c r="GX106" s="189"/>
      <c r="GY106" s="254">
        <v>2874.3875999999996</v>
      </c>
      <c r="GZ106" s="189">
        <v>684.37800000000004</v>
      </c>
      <c r="HA106" s="189">
        <v>547.50239999999997</v>
      </c>
      <c r="HB106" s="255"/>
      <c r="HC106" s="189">
        <v>4106.268</v>
      </c>
      <c r="HD106" s="189"/>
      <c r="HE106" s="189">
        <v>16425.072</v>
      </c>
      <c r="HF106" s="189">
        <v>131575.00648175448</v>
      </c>
      <c r="HG106" s="189"/>
      <c r="HH106" s="203">
        <v>32.042479078753381</v>
      </c>
      <c r="HI106" s="189">
        <v>526300.02592701791</v>
      </c>
      <c r="HJ106" s="268">
        <f t="shared" si="80"/>
        <v>0</v>
      </c>
      <c r="HK106" s="189">
        <f t="shared" si="81"/>
        <v>0</v>
      </c>
      <c r="HL106" s="189">
        <f t="shared" si="82"/>
        <v>0</v>
      </c>
      <c r="HM106" s="255">
        <f t="shared" si="83"/>
        <v>0</v>
      </c>
      <c r="HN106" s="189">
        <f t="shared" si="84"/>
        <v>0</v>
      </c>
      <c r="HO106" s="203">
        <f t="shared" si="109"/>
        <v>0</v>
      </c>
      <c r="HP106" s="258">
        <f t="shared" si="85"/>
        <v>0</v>
      </c>
      <c r="HQ106" s="804"/>
      <c r="HR106" s="268"/>
      <c r="HS106" s="38"/>
      <c r="HT106" s="255"/>
      <c r="HU106" s="254"/>
      <c r="HV106" s="203"/>
      <c r="HW106" s="189"/>
      <c r="HX106" s="1020"/>
      <c r="HY106" s="258"/>
      <c r="HZ106" s="268"/>
      <c r="IA106" s="203"/>
      <c r="IB106" s="255"/>
      <c r="IC106" s="254"/>
      <c r="ID106" s="203"/>
      <c r="IE106" s="255"/>
      <c r="IF106" s="189"/>
      <c r="IG106" s="203"/>
      <c r="IH106" s="255"/>
      <c r="II106" s="189"/>
      <c r="IJ106" s="203"/>
      <c r="IK106" s="189"/>
      <c r="IL106" s="1182"/>
      <c r="IM106" s="1403"/>
      <c r="IN106" s="254"/>
      <c r="IO106" s="254"/>
      <c r="IP106" s="254"/>
      <c r="IQ106" s="254"/>
      <c r="IR106" s="223"/>
    </row>
    <row r="107" spans="1:252" ht="13.8" thickBot="1">
      <c r="A107" t="str">
        <f t="shared" si="86"/>
        <v>2007Q3</v>
      </c>
      <c r="B107">
        <f t="shared" si="87"/>
        <v>2007</v>
      </c>
      <c r="C107" s="49">
        <f t="shared" si="88"/>
        <v>39264</v>
      </c>
      <c r="D107" s="115">
        <f t="shared" si="89"/>
        <v>2007</v>
      </c>
      <c r="E107" s="10">
        <f t="shared" si="112"/>
        <v>7</v>
      </c>
      <c r="F107" s="248">
        <f t="shared" si="113"/>
        <v>39267</v>
      </c>
      <c r="G107" s="245">
        <v>39264</v>
      </c>
      <c r="H107" s="251">
        <v>39294</v>
      </c>
      <c r="I107" s="959">
        <f t="shared" si="110"/>
        <v>7.1499999999999994E-2</v>
      </c>
      <c r="J107" s="37">
        <f t="shared" si="90"/>
        <v>0.58303431341586309</v>
      </c>
      <c r="K107" s="1036"/>
      <c r="L107" s="37"/>
      <c r="M107" s="1004">
        <v>0</v>
      </c>
      <c r="N107" s="38">
        <f t="shared" si="115"/>
        <v>0</v>
      </c>
      <c r="O107" s="40">
        <f t="shared" si="115"/>
        <v>0</v>
      </c>
      <c r="P107" s="159">
        <f t="shared" si="117"/>
        <v>0</v>
      </c>
      <c r="Q107" s="38">
        <f t="shared" si="118"/>
        <v>0</v>
      </c>
      <c r="R107" s="40">
        <f t="shared" si="118"/>
        <v>0</v>
      </c>
      <c r="S107" s="38">
        <f t="shared" si="118"/>
        <v>0</v>
      </c>
      <c r="T107" s="38">
        <f t="shared" si="118"/>
        <v>0</v>
      </c>
      <c r="U107" s="38">
        <f t="shared" si="118"/>
        <v>0</v>
      </c>
      <c r="V107" s="159">
        <f t="shared" si="118"/>
        <v>0</v>
      </c>
      <c r="W107" s="38">
        <f t="shared" si="118"/>
        <v>0</v>
      </c>
      <c r="X107" s="39">
        <f t="shared" si="118"/>
        <v>0</v>
      </c>
      <c r="Y107" s="46">
        <v>0</v>
      </c>
      <c r="Z107" s="46">
        <v>0</v>
      </c>
      <c r="AA107" s="47">
        <v>0</v>
      </c>
      <c r="AB107" s="46">
        <v>0</v>
      </c>
      <c r="AC107" s="46">
        <v>0</v>
      </c>
      <c r="AD107" s="47">
        <v>0</v>
      </c>
      <c r="AE107" s="46">
        <v>0</v>
      </c>
      <c r="AF107" s="46">
        <v>0</v>
      </c>
      <c r="AG107" s="47">
        <v>0</v>
      </c>
      <c r="AH107" s="46">
        <v>0</v>
      </c>
      <c r="AI107" s="46">
        <v>0</v>
      </c>
      <c r="AJ107" s="47">
        <v>0</v>
      </c>
      <c r="AK107" s="46">
        <v>0</v>
      </c>
      <c r="AL107" s="46">
        <v>0</v>
      </c>
      <c r="AM107" s="47">
        <v>0</v>
      </c>
      <c r="AN107" s="46">
        <v>0</v>
      </c>
      <c r="AO107" s="46">
        <v>0</v>
      </c>
      <c r="AP107" s="47">
        <v>0</v>
      </c>
      <c r="AQ107" s="46">
        <v>0</v>
      </c>
      <c r="AR107" s="46">
        <v>0</v>
      </c>
      <c r="AS107" s="47">
        <v>0</v>
      </c>
      <c r="AT107" s="46">
        <v>0</v>
      </c>
      <c r="AU107" s="46">
        <v>0</v>
      </c>
      <c r="AV107" s="46">
        <v>0</v>
      </c>
      <c r="AW107" s="1545">
        <v>0</v>
      </c>
      <c r="AX107" s="10">
        <f t="shared" si="114"/>
        <v>21</v>
      </c>
      <c r="AY107" s="42">
        <f>IF(AND($E107=MONTH(Summary!$E$24),$D107=YEAR(Summary!$E$24)),Summary!$E$25,1)*IF(G107="",0,INT((H107-MOD(H107,7)-G107)/7)+1-IF(BA107,IF(WEEKDAY(F107)=7,1,0),0))</f>
        <v>4</v>
      </c>
      <c r="AZ107" s="42">
        <f>IF(AND($E107=MONTH(Summary!$E$24),$D107=YEAR(Summary!$E$24)),Summary!$E$25,1)*IF(G107="",0,INT((H107-MOD(H107-1,7)-G107)/7)+1-IF(BA107,IF(WEEKDAY(F107)=1,1,0),0))</f>
        <v>5</v>
      </c>
      <c r="BA107" s="42">
        <v>1</v>
      </c>
      <c r="BB107" s="10">
        <f>IF(AND($E107=MONTH(Summary!$E$24),$D107=YEAR(Summary!$E$24)),Summary!$E$25,1)*IF(G107="",0,H107-G107+1)</f>
        <v>31</v>
      </c>
      <c r="BC107" s="914">
        <f>Summary!$E$19</f>
        <v>1.4999999999999999E-2</v>
      </c>
      <c r="BD107" s="113">
        <v>14893.2</v>
      </c>
      <c r="BE107" s="171">
        <v>2836.8</v>
      </c>
      <c r="BF107" s="171">
        <v>4255.2</v>
      </c>
      <c r="BG107" s="174"/>
      <c r="BH107" s="1198">
        <v>1</v>
      </c>
      <c r="BI107" s="1198">
        <v>1</v>
      </c>
      <c r="BJ107" s="1198">
        <v>1</v>
      </c>
      <c r="BK107" s="1198">
        <v>1</v>
      </c>
      <c r="BL107" s="95">
        <v>2978.64</v>
      </c>
      <c r="BM107" s="171">
        <v>567.36</v>
      </c>
      <c r="BN107" s="171">
        <v>851.04</v>
      </c>
      <c r="BO107" s="174"/>
      <c r="BP107" s="1198">
        <v>1</v>
      </c>
      <c r="BQ107" s="1199">
        <v>1</v>
      </c>
      <c r="BR107" s="1199">
        <v>1</v>
      </c>
      <c r="BS107" s="1200">
        <v>1</v>
      </c>
      <c r="BT107" s="94">
        <f t="shared" si="91"/>
        <v>21985.200000000001</v>
      </c>
      <c r="BU107" s="233">
        <f t="shared" si="92"/>
        <v>21985.200000000001</v>
      </c>
      <c r="BV107" s="92">
        <f t="shared" si="93"/>
        <v>4397.04</v>
      </c>
      <c r="BW107" s="233">
        <f t="shared" si="94"/>
        <v>4397.04</v>
      </c>
      <c r="BX107" s="88">
        <v>7.5427789185489393</v>
      </c>
      <c r="BY107" s="90">
        <v>0</v>
      </c>
      <c r="BZ107" s="88">
        <v>0</v>
      </c>
      <c r="CA107" s="88">
        <v>0</v>
      </c>
      <c r="CB107" s="88">
        <v>0</v>
      </c>
      <c r="CC107" s="88">
        <v>0</v>
      </c>
      <c r="CD107" s="88">
        <v>0</v>
      </c>
      <c r="CE107" s="100">
        <v>0</v>
      </c>
      <c r="CF107" s="88">
        <v>0</v>
      </c>
      <c r="CG107" s="88">
        <v>0</v>
      </c>
      <c r="CH107" s="88">
        <v>0</v>
      </c>
      <c r="CI107" s="88">
        <v>0</v>
      </c>
      <c r="CJ107" s="228">
        <v>0</v>
      </c>
      <c r="CK107" s="88">
        <v>0</v>
      </c>
      <c r="CL107" s="88">
        <v>0</v>
      </c>
      <c r="CM107" s="88">
        <v>0</v>
      </c>
      <c r="CN107" s="88">
        <v>0</v>
      </c>
      <c r="CO107" s="88">
        <v>0</v>
      </c>
      <c r="CP107" s="88">
        <v>0</v>
      </c>
      <c r="CQ107" s="229">
        <v>0</v>
      </c>
      <c r="CR107" s="91">
        <v>0</v>
      </c>
      <c r="CS107" s="91">
        <v>0</v>
      </c>
      <c r="CT107" s="91">
        <v>0</v>
      </c>
      <c r="CU107" s="91">
        <v>0</v>
      </c>
      <c r="CV107" s="91">
        <v>0</v>
      </c>
      <c r="CW107" s="91">
        <v>0</v>
      </c>
      <c r="CX107" s="225">
        <v>0</v>
      </c>
      <c r="CY107" s="1265">
        <v>7773.67184</v>
      </c>
      <c r="CZ107" s="90">
        <v>0</v>
      </c>
      <c r="DA107" s="88">
        <v>0</v>
      </c>
      <c r="DB107" s="88">
        <v>0</v>
      </c>
      <c r="DC107" s="88">
        <v>0</v>
      </c>
      <c r="DD107" s="88">
        <v>0</v>
      </c>
      <c r="DE107" s="152">
        <v>0</v>
      </c>
      <c r="DF107" s="230">
        <v>0</v>
      </c>
      <c r="DG107" s="38">
        <v>0</v>
      </c>
      <c r="DH107" s="1237">
        <v>0</v>
      </c>
      <c r="DI107" s="956">
        <v>0</v>
      </c>
      <c r="DJ107" s="956">
        <v>0</v>
      </c>
      <c r="DK107" s="956">
        <v>0</v>
      </c>
      <c r="DL107" s="152">
        <v>0</v>
      </c>
      <c r="DM107" s="160">
        <v>0</v>
      </c>
      <c r="DN107" s="160">
        <v>0</v>
      </c>
      <c r="DO107" s="160">
        <v>0</v>
      </c>
      <c r="DP107" s="160">
        <v>0</v>
      </c>
      <c r="DQ107" s="160">
        <v>0</v>
      </c>
      <c r="DR107" s="230">
        <v>0</v>
      </c>
      <c r="DS107" s="88">
        <v>0</v>
      </c>
      <c r="DT107" s="88">
        <v>0</v>
      </c>
      <c r="DU107" s="88">
        <v>0</v>
      </c>
      <c r="DV107" s="88">
        <v>0</v>
      </c>
      <c r="DW107" s="88">
        <v>0</v>
      </c>
      <c r="DX107" s="88">
        <v>0</v>
      </c>
      <c r="DY107" s="88">
        <v>0</v>
      </c>
      <c r="DZ107" s="88">
        <v>0</v>
      </c>
      <c r="EA107" s="88">
        <v>0</v>
      </c>
      <c r="EB107" s="152">
        <v>0</v>
      </c>
      <c r="EC107" s="52">
        <f t="shared" si="95"/>
        <v>0</v>
      </c>
      <c r="ED107" s="52">
        <f t="shared" si="95"/>
        <v>0</v>
      </c>
      <c r="EE107" s="52">
        <f t="shared" si="95"/>
        <v>0</v>
      </c>
      <c r="EF107" s="52">
        <f t="shared" si="71"/>
        <v>0</v>
      </c>
      <c r="EG107" s="52">
        <f t="shared" si="96"/>
        <v>0</v>
      </c>
      <c r="EH107" s="238">
        <v>0</v>
      </c>
      <c r="EI107" s="211">
        <v>0</v>
      </c>
      <c r="EJ107" s="211">
        <v>0</v>
      </c>
      <c r="EK107" s="211">
        <v>0</v>
      </c>
      <c r="EL107" s="217">
        <f>IF(C107&gt;=Summary!$E$26,MAX(0,SUM(EH107:EK107)),0)</f>
        <v>0</v>
      </c>
      <c r="EM107" s="52">
        <f>IF(C107&gt;=Summary!$E$26,DX107*BL107,0)</f>
        <v>0</v>
      </c>
      <c r="EN107" s="52">
        <f>IF(C107&gt;=Summary!$E$26,DY107*BM107,0)</f>
        <v>0</v>
      </c>
      <c r="EO107" s="52">
        <f>IF(C107&gt;=Summary!$E$26,DZ107*BN107,0)</f>
        <v>0</v>
      </c>
      <c r="EP107" s="52">
        <f>IF(C107&gt;=Summary!$E$26,EA107*BO107,0)</f>
        <v>0</v>
      </c>
      <c r="EQ107" s="52">
        <f>IF(C107&gt;=Summary!$E$26,DX107*BL107+DY107*BM107+DZ107*BN107+EA107*BO107,0)</f>
        <v>0</v>
      </c>
      <c r="ER107" s="826">
        <v>0</v>
      </c>
      <c r="ES107" s="278">
        <v>0</v>
      </c>
      <c r="ET107" s="278">
        <v>0</v>
      </c>
      <c r="EU107" s="278">
        <v>0</v>
      </c>
      <c r="EV107" s="212">
        <f>IF(C107&gt;=Summary!$E$26,MAX(0,SUM(ER107:EU107)),0)</f>
        <v>0</v>
      </c>
      <c r="EW107" s="52"/>
      <c r="EX107" s="1049">
        <f t="shared" si="97"/>
        <v>0</v>
      </c>
      <c r="EY107" s="1045" t="str">
        <f t="shared" si="98"/>
        <v/>
      </c>
      <c r="EZ107" s="1684" t="s">
        <v>525</v>
      </c>
      <c r="FA107" s="1046">
        <f t="shared" si="111"/>
        <v>45</v>
      </c>
      <c r="FB107" s="256">
        <f t="shared" si="99"/>
        <v>11169.9</v>
      </c>
      <c r="FC107" s="194">
        <f t="shared" si="100"/>
        <v>0</v>
      </c>
      <c r="FD107" s="194">
        <f t="shared" si="101"/>
        <v>2127.6</v>
      </c>
      <c r="FE107" s="194">
        <f t="shared" si="102"/>
        <v>0</v>
      </c>
      <c r="FF107" s="194">
        <f t="shared" si="103"/>
        <v>3191.4</v>
      </c>
      <c r="FG107" s="194">
        <f t="shared" si="104"/>
        <v>0</v>
      </c>
      <c r="FH107" s="257">
        <f>IF(EZ107="No",IF((OR(MONTH(C107)=5,MONTH(C107)=6,MONTH(C107)=7,MONTH(C107)=8,MONTH(C107)=9)),Summary!$O$15*12*(AX107+AY107+AZ107+BA107)*(1-$BC107),Summary!$O$15*13*(AX107+AY107+AZ107+BA107)*(1-$BC107)+IF(Summary!$O$16="Yes",(CALC!FA107+Summary!$O$15)*6*(AX107+AY107+AZ107+BA107)*(1-$BC107),0)),0)</f>
        <v>0</v>
      </c>
      <c r="FI107" s="1412">
        <f>IF(MONTH(C107)=5,FI106*(IF(Summary!$E$70="no",(1+(Summary!$E$71*0.8)),1+HLOOKUP(YEAR(C107)-1,CCFMODEL!$I$127:$AF$128,2)*0.8)),+FI106)</f>
        <v>32.160539427248438</v>
      </c>
      <c r="FJ107" s="1411">
        <f>IF(MONTH(C107)=5,FJ106*(IF(Summary!$E$70="no",(1+(Summary!$E$71*0.8)),1+HLOOKUP(YEAR(CALC!C107)-1,CCFMODEL!$I$127:$AF$128,2)*0.8)),FJ106)</f>
        <v>28.108817924602963</v>
      </c>
      <c r="FK107" s="832">
        <f t="shared" si="72"/>
        <v>530291.91856195685</v>
      </c>
      <c r="FL107" s="1412">
        <f>IF(MONTH(C107)=5,FL106*(IF(Summary!$E$70="no",(1+(Summary!$E$71*0.8)),1+HLOOKUP(YEAR(CALC!C107)-1,CCFMODEL!$I$127:$AF$128,2)*0.8)),+FL106)</f>
        <v>67.637219965292999</v>
      </c>
      <c r="FM107" s="1411">
        <f>IF(MONTH(C107)=5,FM106*(IF(Summary!$E$70="no",(1+(Summary!$E$71*0.8)),1+HLOOKUP(YEAR(CALC!C107)-1,CCFMODEL!$I$127:$AF$128,2)*0.8)),+FM106)</f>
        <v>32.281126376731926</v>
      </c>
      <c r="FN107" s="832">
        <f t="shared" si="73"/>
        <v>1132247.0622190048</v>
      </c>
      <c r="FO107" s="194">
        <f t="shared" si="105"/>
        <v>1662538.9807809617</v>
      </c>
      <c r="FP107" s="263">
        <f t="shared" si="69"/>
        <v>11169.9</v>
      </c>
      <c r="FQ107" s="194">
        <f t="shared" si="69"/>
        <v>0</v>
      </c>
      <c r="FR107" s="194">
        <f t="shared" si="69"/>
        <v>2127.6</v>
      </c>
      <c r="FS107" s="194">
        <f t="shared" si="68"/>
        <v>0</v>
      </c>
      <c r="FT107" s="194">
        <f t="shared" si="68"/>
        <v>3191.4</v>
      </c>
      <c r="FU107" s="194">
        <f t="shared" si="68"/>
        <v>0</v>
      </c>
      <c r="FV107" s="257">
        <f t="shared" si="68"/>
        <v>0</v>
      </c>
      <c r="FW107" s="189">
        <f t="shared" si="74"/>
        <v>0</v>
      </c>
      <c r="FX107" s="189">
        <f t="shared" si="75"/>
        <v>0</v>
      </c>
      <c r="FY107" s="189">
        <f t="shared" si="76"/>
        <v>0</v>
      </c>
      <c r="FZ107" s="258">
        <f t="shared" si="77"/>
        <v>0</v>
      </c>
      <c r="GA107" s="1293">
        <f>(SUM(FP107:FV107)+SUM(GU107:HB107)/(1-Summary!$O$25))*CY107/1000</f>
        <v>205086.87616412161</v>
      </c>
      <c r="GB107" s="1369">
        <f>IF($C107&lt;Summary!$M$81,+Summary!$O$81,VLOOKUP(C107,GasTable,19))</f>
        <v>2.4</v>
      </c>
      <c r="GC107" s="1370">
        <f>IF(H107&lt;=Summary!$N$84,MIN(GA107,Summary!$O$75*(H107-G107+1)),0)</f>
        <v>155000</v>
      </c>
      <c r="GD107" s="1371">
        <f>IF(Summary!$O$75*(H107-G107+1)*0.8&gt;GC107,1,0)</f>
        <v>0</v>
      </c>
      <c r="GE107" s="1372">
        <v>0</v>
      </c>
      <c r="GF107" s="1370">
        <f t="shared" si="106"/>
        <v>50086.876164121612</v>
      </c>
      <c r="GG107" s="1371">
        <f>GF107*(IF(Summary!$O$74=1,VLOOKUP($C107,GasTable,16)+Summary!$O$92+Summary!$O$93,VLOOKUP($C107,GasTable,19)+Summary!$O$92+Summary!$O$93))</f>
        <v>144777.09197577432</v>
      </c>
      <c r="GH107" s="1373">
        <v>18705.400000000001</v>
      </c>
      <c r="GI107" s="1466">
        <v>0</v>
      </c>
      <c r="GJ107" s="1374">
        <f t="shared" si="107"/>
        <v>535482.49197577429</v>
      </c>
      <c r="GK107" s="189">
        <f t="shared" si="78"/>
        <v>26035.973100000003</v>
      </c>
      <c r="GL107" s="266">
        <v>0.76337457468799996</v>
      </c>
      <c r="GM107" s="255">
        <f t="shared" si="79"/>
        <v>15221</v>
      </c>
      <c r="GN107" s="189">
        <f>IF(SUM(GU107:HB107)=0,0,IF(Summary!$O$16="Yes",SUM(GX107:HB107),IF(Summary!$O$17="Yes",SUM(GY107:HB107),SUM(GU107:HB107))))</f>
        <v>9547.0730999999996</v>
      </c>
      <c r="GO107" s="203">
        <v>2.9265162829137266</v>
      </c>
      <c r="GP107" s="258">
        <f t="shared" si="108"/>
        <v>27939.664881317629</v>
      </c>
      <c r="GQ107" s="189"/>
      <c r="GR107" s="189"/>
      <c r="GS107" s="189"/>
      <c r="GT107" s="189"/>
      <c r="GU107" s="268">
        <v>3592.9845000000009</v>
      </c>
      <c r="GV107" s="189">
        <v>684.37800000000027</v>
      </c>
      <c r="GW107" s="189">
        <v>1026.5669999999998</v>
      </c>
      <c r="GX107" s="189"/>
      <c r="GY107" s="254">
        <v>2874.3875999999996</v>
      </c>
      <c r="GZ107" s="189">
        <v>547.50239999999997</v>
      </c>
      <c r="HA107" s="189">
        <v>821.25359999999989</v>
      </c>
      <c r="HB107" s="255"/>
      <c r="HC107" s="189">
        <v>9547.0730999999996</v>
      </c>
      <c r="HD107" s="189"/>
      <c r="HE107" s="189">
        <v>22276.5039</v>
      </c>
      <c r="HF107" s="189">
        <v>406767.219138343</v>
      </c>
      <c r="HG107" s="189"/>
      <c r="HH107" s="203">
        <v>45.119199396533226</v>
      </c>
      <c r="HI107" s="189">
        <v>1005098.02132175</v>
      </c>
      <c r="HJ107" s="268">
        <f t="shared" si="80"/>
        <v>0</v>
      </c>
      <c r="HK107" s="189">
        <f t="shared" si="81"/>
        <v>0</v>
      </c>
      <c r="HL107" s="189">
        <f t="shared" si="82"/>
        <v>0</v>
      </c>
      <c r="HM107" s="255">
        <f t="shared" si="83"/>
        <v>0</v>
      </c>
      <c r="HN107" s="189">
        <f t="shared" si="84"/>
        <v>0</v>
      </c>
      <c r="HO107" s="203">
        <f t="shared" si="109"/>
        <v>0</v>
      </c>
      <c r="HP107" s="258">
        <f t="shared" si="85"/>
        <v>0</v>
      </c>
      <c r="HQ107" s="804"/>
      <c r="HR107" s="268"/>
      <c r="HS107" s="38"/>
      <c r="HT107" s="255"/>
      <c r="HU107" s="254"/>
      <c r="HV107" s="203"/>
      <c r="HW107" s="189"/>
      <c r="HX107" s="1020"/>
      <c r="HY107" s="258"/>
      <c r="HZ107" s="268"/>
      <c r="IA107" s="203"/>
      <c r="IB107" s="255"/>
      <c r="IC107" s="254"/>
      <c r="ID107" s="203"/>
      <c r="IE107" s="255"/>
      <c r="IF107" s="189"/>
      <c r="IG107" s="203"/>
      <c r="IH107" s="255"/>
      <c r="II107" s="189"/>
      <c r="IJ107" s="203"/>
      <c r="IK107" s="189"/>
      <c r="IL107" s="1182"/>
      <c r="IM107" s="1403"/>
      <c r="IN107" s="254"/>
      <c r="IO107" s="254"/>
      <c r="IP107" s="254"/>
      <c r="IQ107" s="254"/>
      <c r="IR107" s="223"/>
    </row>
    <row r="108" spans="1:252" ht="13.8" thickBot="1">
      <c r="A108" t="str">
        <f t="shared" si="86"/>
        <v>2007Q3</v>
      </c>
      <c r="B108">
        <f t="shared" si="87"/>
        <v>2007</v>
      </c>
      <c r="C108" s="49">
        <f t="shared" si="88"/>
        <v>39295</v>
      </c>
      <c r="D108" s="115">
        <f t="shared" si="89"/>
        <v>2007</v>
      </c>
      <c r="E108" s="10">
        <f t="shared" si="112"/>
        <v>8</v>
      </c>
      <c r="F108" s="248" t="str">
        <f t="shared" si="113"/>
        <v/>
      </c>
      <c r="G108" s="245">
        <v>39295</v>
      </c>
      <c r="H108" s="251">
        <v>39325</v>
      </c>
      <c r="I108" s="959">
        <f t="shared" si="110"/>
        <v>7.1499999999999994E-2</v>
      </c>
      <c r="J108" s="37">
        <f t="shared" si="90"/>
        <v>0.57956831999854663</v>
      </c>
      <c r="K108" s="1036"/>
      <c r="L108" s="37"/>
      <c r="M108" s="1004">
        <v>0</v>
      </c>
      <c r="N108" s="38">
        <f t="shared" si="115"/>
        <v>0</v>
      </c>
      <c r="O108" s="40">
        <f t="shared" si="115"/>
        <v>0</v>
      </c>
      <c r="P108" s="159">
        <f t="shared" si="117"/>
        <v>0</v>
      </c>
      <c r="Q108" s="38">
        <f t="shared" si="118"/>
        <v>0</v>
      </c>
      <c r="R108" s="40">
        <f t="shared" si="118"/>
        <v>0</v>
      </c>
      <c r="S108" s="38">
        <f t="shared" si="118"/>
        <v>0</v>
      </c>
      <c r="T108" s="38">
        <f t="shared" si="118"/>
        <v>0</v>
      </c>
      <c r="U108" s="38">
        <f t="shared" si="118"/>
        <v>0</v>
      </c>
      <c r="V108" s="159">
        <f t="shared" si="118"/>
        <v>0</v>
      </c>
      <c r="W108" s="38">
        <f t="shared" si="118"/>
        <v>0</v>
      </c>
      <c r="X108" s="39">
        <f t="shared" si="118"/>
        <v>0</v>
      </c>
      <c r="Y108" s="46">
        <v>0</v>
      </c>
      <c r="Z108" s="46">
        <v>0</v>
      </c>
      <c r="AA108" s="47">
        <v>0</v>
      </c>
      <c r="AB108" s="46">
        <v>0</v>
      </c>
      <c r="AC108" s="46">
        <v>0</v>
      </c>
      <c r="AD108" s="47">
        <v>0</v>
      </c>
      <c r="AE108" s="46">
        <v>0</v>
      </c>
      <c r="AF108" s="46">
        <v>0</v>
      </c>
      <c r="AG108" s="47">
        <v>0</v>
      </c>
      <c r="AH108" s="46">
        <v>0</v>
      </c>
      <c r="AI108" s="46">
        <v>0</v>
      </c>
      <c r="AJ108" s="47">
        <v>0</v>
      </c>
      <c r="AK108" s="46">
        <v>0</v>
      </c>
      <c r="AL108" s="46">
        <v>0</v>
      </c>
      <c r="AM108" s="47">
        <v>0</v>
      </c>
      <c r="AN108" s="46">
        <v>0</v>
      </c>
      <c r="AO108" s="46">
        <v>0</v>
      </c>
      <c r="AP108" s="47">
        <v>0</v>
      </c>
      <c r="AQ108" s="46">
        <v>0</v>
      </c>
      <c r="AR108" s="46">
        <v>0</v>
      </c>
      <c r="AS108" s="47">
        <v>0</v>
      </c>
      <c r="AT108" s="46">
        <v>0</v>
      </c>
      <c r="AU108" s="46">
        <v>0</v>
      </c>
      <c r="AV108" s="46">
        <v>0</v>
      </c>
      <c r="AW108" s="1545">
        <v>0</v>
      </c>
      <c r="AX108" s="10">
        <f t="shared" si="114"/>
        <v>23</v>
      </c>
      <c r="AY108" s="42">
        <f>IF(AND($E108=MONTH(Summary!$E$24),$D108=YEAR(Summary!$E$24)),Summary!$E$25,1)*IF(G108="",0,INT((H108-MOD(H108,7)-G108)/7)+1-IF(BA108,IF(WEEKDAY(F108)=7,1,0),0))</f>
        <v>4</v>
      </c>
      <c r="AZ108" s="42">
        <f>IF(AND($E108=MONTH(Summary!$E$24),$D108=YEAR(Summary!$E$24)),Summary!$E$25,1)*IF(G108="",0,INT((H108-MOD(H108-1,7)-G108)/7)+1-IF(BA108,IF(WEEKDAY(F108)=1,1,0),0))</f>
        <v>4</v>
      </c>
      <c r="BA108" s="42">
        <v>0</v>
      </c>
      <c r="BB108" s="10">
        <f>IF(AND($E108=MONTH(Summary!$E$24),$D108=YEAR(Summary!$E$24)),Summary!$E$25,1)*IF(G108="",0,H108-G108+1)</f>
        <v>31</v>
      </c>
      <c r="BC108" s="914">
        <f>Summary!$E$19</f>
        <v>1.4999999999999999E-2</v>
      </c>
      <c r="BD108" s="113">
        <v>16311.6</v>
      </c>
      <c r="BE108" s="171">
        <v>2836.8</v>
      </c>
      <c r="BF108" s="171">
        <v>2836.8</v>
      </c>
      <c r="BG108" s="174"/>
      <c r="BH108" s="1198">
        <v>1</v>
      </c>
      <c r="BI108" s="1198">
        <v>1</v>
      </c>
      <c r="BJ108" s="1198">
        <v>1</v>
      </c>
      <c r="BK108" s="1198">
        <v>1</v>
      </c>
      <c r="BL108" s="95">
        <v>3262.32</v>
      </c>
      <c r="BM108" s="171">
        <v>567.36</v>
      </c>
      <c r="BN108" s="171">
        <v>567.36</v>
      </c>
      <c r="BO108" s="174"/>
      <c r="BP108" s="1198">
        <v>1</v>
      </c>
      <c r="BQ108" s="1199">
        <v>1</v>
      </c>
      <c r="BR108" s="1199">
        <v>1</v>
      </c>
      <c r="BS108" s="1200">
        <v>1</v>
      </c>
      <c r="BT108" s="94">
        <f t="shared" si="91"/>
        <v>21985.200000000001</v>
      </c>
      <c r="BU108" s="233">
        <f t="shared" si="92"/>
        <v>21985.200000000001</v>
      </c>
      <c r="BV108" s="92">
        <f t="shared" si="93"/>
        <v>4397.04</v>
      </c>
      <c r="BW108" s="233">
        <f t="shared" si="94"/>
        <v>4397.04</v>
      </c>
      <c r="BX108" s="88">
        <v>7.6276522929500343</v>
      </c>
      <c r="BY108" s="90">
        <v>0</v>
      </c>
      <c r="BZ108" s="88">
        <v>0</v>
      </c>
      <c r="CA108" s="88">
        <v>0</v>
      </c>
      <c r="CB108" s="88">
        <v>0</v>
      </c>
      <c r="CC108" s="88">
        <v>0</v>
      </c>
      <c r="CD108" s="88">
        <v>0</v>
      </c>
      <c r="CE108" s="100">
        <v>0</v>
      </c>
      <c r="CF108" s="88">
        <v>0</v>
      </c>
      <c r="CG108" s="88">
        <v>0</v>
      </c>
      <c r="CH108" s="88">
        <v>0</v>
      </c>
      <c r="CI108" s="88">
        <v>0</v>
      </c>
      <c r="CJ108" s="228">
        <v>0</v>
      </c>
      <c r="CK108" s="88">
        <v>0</v>
      </c>
      <c r="CL108" s="88">
        <v>0</v>
      </c>
      <c r="CM108" s="88">
        <v>0</v>
      </c>
      <c r="CN108" s="88">
        <v>0</v>
      </c>
      <c r="CO108" s="88">
        <v>0</v>
      </c>
      <c r="CP108" s="88">
        <v>0</v>
      </c>
      <c r="CQ108" s="229">
        <v>0</v>
      </c>
      <c r="CR108" s="91">
        <v>0</v>
      </c>
      <c r="CS108" s="91">
        <v>0</v>
      </c>
      <c r="CT108" s="91">
        <v>0</v>
      </c>
      <c r="CU108" s="91">
        <v>0</v>
      </c>
      <c r="CV108" s="91">
        <v>0</v>
      </c>
      <c r="CW108" s="91">
        <v>0</v>
      </c>
      <c r="CX108" s="225">
        <v>0</v>
      </c>
      <c r="CY108" s="1265">
        <v>7774.9747200000002</v>
      </c>
      <c r="CZ108" s="90">
        <v>0</v>
      </c>
      <c r="DA108" s="88">
        <v>0</v>
      </c>
      <c r="DB108" s="88">
        <v>0</v>
      </c>
      <c r="DC108" s="88">
        <v>0</v>
      </c>
      <c r="DD108" s="88">
        <v>0</v>
      </c>
      <c r="DE108" s="152">
        <v>0</v>
      </c>
      <c r="DF108" s="230">
        <v>0</v>
      </c>
      <c r="DG108" s="38">
        <v>0</v>
      </c>
      <c r="DH108" s="1237">
        <v>0</v>
      </c>
      <c r="DI108" s="956">
        <v>0</v>
      </c>
      <c r="DJ108" s="956">
        <v>0</v>
      </c>
      <c r="DK108" s="956">
        <v>0</v>
      </c>
      <c r="DL108" s="152">
        <v>0</v>
      </c>
      <c r="DM108" s="160">
        <v>0</v>
      </c>
      <c r="DN108" s="160">
        <v>0</v>
      </c>
      <c r="DO108" s="160">
        <v>0</v>
      </c>
      <c r="DP108" s="160">
        <v>0</v>
      </c>
      <c r="DQ108" s="160">
        <v>0</v>
      </c>
      <c r="DR108" s="230">
        <v>0</v>
      </c>
      <c r="DS108" s="88">
        <v>0</v>
      </c>
      <c r="DT108" s="88">
        <v>0</v>
      </c>
      <c r="DU108" s="88">
        <v>0</v>
      </c>
      <c r="DV108" s="88">
        <v>0</v>
      </c>
      <c r="DW108" s="88">
        <v>0</v>
      </c>
      <c r="DX108" s="88">
        <v>0</v>
      </c>
      <c r="DY108" s="88">
        <v>0</v>
      </c>
      <c r="DZ108" s="88">
        <v>0</v>
      </c>
      <c r="EA108" s="88">
        <v>0</v>
      </c>
      <c r="EB108" s="152">
        <v>0</v>
      </c>
      <c r="EC108" s="52">
        <f t="shared" si="95"/>
        <v>0</v>
      </c>
      <c r="ED108" s="52">
        <f t="shared" si="95"/>
        <v>0</v>
      </c>
      <c r="EE108" s="52">
        <f t="shared" si="95"/>
        <v>0</v>
      </c>
      <c r="EF108" s="52">
        <f t="shared" si="71"/>
        <v>0</v>
      </c>
      <c r="EG108" s="52">
        <f t="shared" si="96"/>
        <v>0</v>
      </c>
      <c r="EH108" s="238">
        <v>0</v>
      </c>
      <c r="EI108" s="211">
        <v>0</v>
      </c>
      <c r="EJ108" s="211">
        <v>0</v>
      </c>
      <c r="EK108" s="211">
        <v>0</v>
      </c>
      <c r="EL108" s="217">
        <f>IF(C108&gt;=Summary!$E$26,MAX(0,SUM(EH108:EK108)),0)</f>
        <v>0</v>
      </c>
      <c r="EM108" s="52">
        <f>IF(C108&gt;=Summary!$E$26,DX108*BL108,0)</f>
        <v>0</v>
      </c>
      <c r="EN108" s="52">
        <f>IF(C108&gt;=Summary!$E$26,DY108*BM108,0)</f>
        <v>0</v>
      </c>
      <c r="EO108" s="52">
        <f>IF(C108&gt;=Summary!$E$26,DZ108*BN108,0)</f>
        <v>0</v>
      </c>
      <c r="EP108" s="52">
        <f>IF(C108&gt;=Summary!$E$26,EA108*BO108,0)</f>
        <v>0</v>
      </c>
      <c r="EQ108" s="52">
        <f>IF(C108&gt;=Summary!$E$26,DX108*BL108+DY108*BM108+DZ108*BN108+EA108*BO108,0)</f>
        <v>0</v>
      </c>
      <c r="ER108" s="826">
        <v>0</v>
      </c>
      <c r="ES108" s="278">
        <v>0</v>
      </c>
      <c r="ET108" s="278">
        <v>0</v>
      </c>
      <c r="EU108" s="278">
        <v>0</v>
      </c>
      <c r="EV108" s="212">
        <f>IF(C108&gt;=Summary!$E$26,MAX(0,SUM(ER108:EU108)),0)</f>
        <v>0</v>
      </c>
      <c r="EW108" s="52"/>
      <c r="EX108" s="1049">
        <f t="shared" si="97"/>
        <v>0</v>
      </c>
      <c r="EY108" s="1045" t="str">
        <f t="shared" si="98"/>
        <v/>
      </c>
      <c r="EZ108" s="1684" t="s">
        <v>525</v>
      </c>
      <c r="FA108" s="1046">
        <f t="shared" si="111"/>
        <v>45</v>
      </c>
      <c r="FB108" s="256">
        <f t="shared" si="99"/>
        <v>12233.7</v>
      </c>
      <c r="FC108" s="194">
        <f t="shared" si="100"/>
        <v>0</v>
      </c>
      <c r="FD108" s="194">
        <f t="shared" si="101"/>
        <v>2127.6</v>
      </c>
      <c r="FE108" s="194">
        <f t="shared" si="102"/>
        <v>0</v>
      </c>
      <c r="FF108" s="194">
        <f t="shared" si="103"/>
        <v>2127.6</v>
      </c>
      <c r="FG108" s="194">
        <f t="shared" si="104"/>
        <v>0</v>
      </c>
      <c r="FH108" s="257">
        <f>IF(EZ108="No",IF((OR(MONTH(C108)=5,MONTH(C108)=6,MONTH(C108)=7,MONTH(C108)=8,MONTH(C108)=9)),Summary!$O$15*12*(AX108+AY108+AZ108+BA108)*(1-$BC108),Summary!$O$15*13*(AX108+AY108+AZ108+BA108)*(1-$BC108)+IF(Summary!$O$16="Yes",(CALC!FA108+Summary!$O$15)*6*(AX108+AY108+AZ108+BA108)*(1-$BC108),0)),0)</f>
        <v>0</v>
      </c>
      <c r="FI108" s="1412">
        <f>IF(MONTH(C108)=5,FI107*(IF(Summary!$E$70="no",(1+(Summary!$E$71*0.8)),1+HLOOKUP(YEAR(C108)-1,CCFMODEL!$I$127:$AF$128,2)*0.8)),+FI107)</f>
        <v>32.160539427248438</v>
      </c>
      <c r="FJ108" s="1411">
        <f>IF(MONTH(C108)=5,FJ107*(IF(Summary!$E$70="no",(1+(Summary!$E$71*0.8)),1+HLOOKUP(YEAR(CALC!C108)-1,CCFMODEL!$I$127:$AF$128,2)*0.8)),FJ107)</f>
        <v>28.108817924602963</v>
      </c>
      <c r="FK108" s="832">
        <f t="shared" si="72"/>
        <v>530291.91856195685</v>
      </c>
      <c r="FL108" s="1412">
        <f>IF(MONTH(C108)=5,FL107*(IF(Summary!$E$70="no",(1+(Summary!$E$71*0.8)),1+HLOOKUP(YEAR(CALC!C108)-1,CCFMODEL!$I$127:$AF$128,2)*0.8)),+FL107)</f>
        <v>67.637219965292999</v>
      </c>
      <c r="FM108" s="1411">
        <f>IF(MONTH(C108)=5,FM107*(IF(Summary!$E$70="no",(1+(Summary!$E$71*0.8)),1+HLOOKUP(YEAR(CALC!C108)-1,CCFMODEL!$I$127:$AF$128,2)*0.8)),+FM107)</f>
        <v>32.281126376731926</v>
      </c>
      <c r="FN108" s="832">
        <f t="shared" si="73"/>
        <v>1132247.0622190048</v>
      </c>
      <c r="FO108" s="194">
        <f t="shared" si="105"/>
        <v>1662538.9807809617</v>
      </c>
      <c r="FP108" s="263">
        <f t="shared" si="69"/>
        <v>12233.7</v>
      </c>
      <c r="FQ108" s="194">
        <f t="shared" si="69"/>
        <v>0</v>
      </c>
      <c r="FR108" s="194">
        <f t="shared" si="69"/>
        <v>2127.6</v>
      </c>
      <c r="FS108" s="194">
        <f t="shared" si="68"/>
        <v>0</v>
      </c>
      <c r="FT108" s="194">
        <f t="shared" si="68"/>
        <v>2127.6</v>
      </c>
      <c r="FU108" s="194">
        <f t="shared" si="68"/>
        <v>0</v>
      </c>
      <c r="FV108" s="257">
        <f t="shared" si="68"/>
        <v>0</v>
      </c>
      <c r="FW108" s="189">
        <f t="shared" si="74"/>
        <v>0</v>
      </c>
      <c r="FX108" s="189">
        <f t="shared" si="75"/>
        <v>0</v>
      </c>
      <c r="FY108" s="189">
        <f t="shared" si="76"/>
        <v>0</v>
      </c>
      <c r="FZ108" s="258">
        <f t="shared" si="77"/>
        <v>0</v>
      </c>
      <c r="GA108" s="1293">
        <f>(SUM(FP108:FV108)+SUM(GU108:HB108)/(1-Summary!$O$25))*CY108/1000</f>
        <v>205121.24905697283</v>
      </c>
      <c r="GB108" s="1369">
        <f>IF($C108&lt;Summary!$M$81,+Summary!$O$81,VLOOKUP(C108,GasTable,19))</f>
        <v>2.4</v>
      </c>
      <c r="GC108" s="1370">
        <f>IF(H108&lt;=Summary!$N$84,MIN(GA108,Summary!$O$75*(H108-G108+1)),0)</f>
        <v>155000</v>
      </c>
      <c r="GD108" s="1371">
        <f>IF(Summary!$O$75*(H108-G108+1)*0.8&gt;GC108,1,0)</f>
        <v>0</v>
      </c>
      <c r="GE108" s="1372">
        <v>0</v>
      </c>
      <c r="GF108" s="1370">
        <f t="shared" si="106"/>
        <v>50121.249056972825</v>
      </c>
      <c r="GG108" s="1371">
        <f>GF108*(IF(Summary!$O$74=1,VLOOKUP($C108,GasTable,16)+Summary!$O$92+Summary!$O$93,VLOOKUP($C108,GasTable,19)+Summary!$O$92+Summary!$O$93))</f>
        <v>150244.9744463028</v>
      </c>
      <c r="GH108" s="1373">
        <v>18835.599999999999</v>
      </c>
      <c r="GI108" s="1466">
        <v>0</v>
      </c>
      <c r="GJ108" s="1374">
        <f t="shared" si="107"/>
        <v>541080.57444630284</v>
      </c>
      <c r="GK108" s="189">
        <f t="shared" si="78"/>
        <v>26035.973100000007</v>
      </c>
      <c r="GL108" s="266">
        <v>0.763502517504</v>
      </c>
      <c r="GM108" s="255">
        <f t="shared" si="79"/>
        <v>15221</v>
      </c>
      <c r="GN108" s="189">
        <f>IF(SUM(GU108:HB108)=0,0,IF(Summary!$O$16="Yes",SUM(GX108:HB108),IF(Summary!$O$17="Yes",SUM(GY108:HB108),SUM(GU108:HB108))))</f>
        <v>9547.0730999999996</v>
      </c>
      <c r="GO108" s="203">
        <v>2.9265162829137266</v>
      </c>
      <c r="GP108" s="258">
        <f t="shared" si="108"/>
        <v>27939.664881317629</v>
      </c>
      <c r="GQ108" s="189"/>
      <c r="GR108" s="189"/>
      <c r="GS108" s="189"/>
      <c r="GT108" s="189"/>
      <c r="GU108" s="268">
        <v>3935.1734999999994</v>
      </c>
      <c r="GV108" s="189">
        <v>684.37800000000027</v>
      </c>
      <c r="GW108" s="189">
        <v>684.37800000000027</v>
      </c>
      <c r="GX108" s="189"/>
      <c r="GY108" s="254">
        <v>3148.1388000000002</v>
      </c>
      <c r="GZ108" s="189">
        <v>547.50239999999997</v>
      </c>
      <c r="HA108" s="189">
        <v>547.50239999999997</v>
      </c>
      <c r="HB108" s="255"/>
      <c r="HC108" s="189">
        <v>9547.0730999999996</v>
      </c>
      <c r="HD108" s="189"/>
      <c r="HE108" s="189">
        <v>22276.5039</v>
      </c>
      <c r="HF108" s="189">
        <v>579061.87406410533</v>
      </c>
      <c r="HG108" s="189"/>
      <c r="HH108" s="203">
        <v>63.862112468936878</v>
      </c>
      <c r="HI108" s="189">
        <v>1422624.597476511</v>
      </c>
      <c r="HJ108" s="268">
        <f t="shared" si="80"/>
        <v>0</v>
      </c>
      <c r="HK108" s="189">
        <f t="shared" si="81"/>
        <v>0</v>
      </c>
      <c r="HL108" s="189">
        <f t="shared" si="82"/>
        <v>0</v>
      </c>
      <c r="HM108" s="255">
        <f t="shared" si="83"/>
        <v>0</v>
      </c>
      <c r="HN108" s="189">
        <f t="shared" si="84"/>
        <v>0</v>
      </c>
      <c r="HO108" s="203">
        <f t="shared" si="109"/>
        <v>0</v>
      </c>
      <c r="HP108" s="258">
        <f t="shared" si="85"/>
        <v>0</v>
      </c>
      <c r="HQ108" s="804"/>
      <c r="HR108" s="268"/>
      <c r="HS108" s="38"/>
      <c r="HT108" s="255"/>
      <c r="HU108" s="254"/>
      <c r="HV108" s="203"/>
      <c r="HW108" s="189"/>
      <c r="HX108" s="1020"/>
      <c r="HY108" s="258"/>
      <c r="HZ108" s="268"/>
      <c r="IA108" s="203"/>
      <c r="IB108" s="255"/>
      <c r="IC108" s="254"/>
      <c r="ID108" s="203"/>
      <c r="IE108" s="255"/>
      <c r="IF108" s="189"/>
      <c r="IG108" s="203"/>
      <c r="IH108" s="255"/>
      <c r="II108" s="189"/>
      <c r="IJ108" s="203"/>
      <c r="IK108" s="189"/>
      <c r="IL108" s="1182"/>
      <c r="IM108" s="1403"/>
      <c r="IN108" s="254"/>
      <c r="IO108" s="254"/>
      <c r="IP108" s="254"/>
      <c r="IQ108" s="254"/>
      <c r="IR108" s="223"/>
    </row>
    <row r="109" spans="1:252" ht="13.8" thickBot="1">
      <c r="A109" t="str">
        <f t="shared" si="86"/>
        <v>2007Q3</v>
      </c>
      <c r="B109">
        <f t="shared" si="87"/>
        <v>2007</v>
      </c>
      <c r="C109" s="49">
        <f t="shared" si="88"/>
        <v>39326</v>
      </c>
      <c r="D109" s="115">
        <f t="shared" si="89"/>
        <v>2007</v>
      </c>
      <c r="E109" s="10">
        <f t="shared" si="112"/>
        <v>9</v>
      </c>
      <c r="F109" s="248">
        <f t="shared" si="113"/>
        <v>39328</v>
      </c>
      <c r="G109" s="245">
        <v>39326</v>
      </c>
      <c r="H109" s="251">
        <v>39355</v>
      </c>
      <c r="I109" s="959">
        <f t="shared" si="110"/>
        <v>7.1499999999999994E-2</v>
      </c>
      <c r="J109" s="37">
        <f t="shared" si="90"/>
        <v>0.57623375227197704</v>
      </c>
      <c r="K109" s="1036"/>
      <c r="L109" s="37"/>
      <c r="M109" s="1004">
        <v>0</v>
      </c>
      <c r="N109" s="38">
        <f t="shared" ref="N109:O128" si="119">M109</f>
        <v>0</v>
      </c>
      <c r="O109" s="40">
        <f t="shared" si="119"/>
        <v>0</v>
      </c>
      <c r="P109" s="159">
        <f t="shared" si="117"/>
        <v>0</v>
      </c>
      <c r="Q109" s="38">
        <f t="shared" ref="Q109:X118" si="120">P109</f>
        <v>0</v>
      </c>
      <c r="R109" s="40">
        <f t="shared" si="120"/>
        <v>0</v>
      </c>
      <c r="S109" s="38">
        <f t="shared" si="120"/>
        <v>0</v>
      </c>
      <c r="T109" s="38">
        <f t="shared" si="120"/>
        <v>0</v>
      </c>
      <c r="U109" s="38">
        <f t="shared" si="120"/>
        <v>0</v>
      </c>
      <c r="V109" s="159">
        <f t="shared" si="120"/>
        <v>0</v>
      </c>
      <c r="W109" s="38">
        <f t="shared" si="120"/>
        <v>0</v>
      </c>
      <c r="X109" s="39">
        <f t="shared" si="120"/>
        <v>0</v>
      </c>
      <c r="Y109" s="46">
        <v>0</v>
      </c>
      <c r="Z109" s="46">
        <v>0</v>
      </c>
      <c r="AA109" s="47">
        <v>0</v>
      </c>
      <c r="AB109" s="46">
        <v>0</v>
      </c>
      <c r="AC109" s="46">
        <v>0</v>
      </c>
      <c r="AD109" s="47">
        <v>0</v>
      </c>
      <c r="AE109" s="46">
        <v>0</v>
      </c>
      <c r="AF109" s="46">
        <v>0</v>
      </c>
      <c r="AG109" s="47">
        <v>0</v>
      </c>
      <c r="AH109" s="46">
        <v>0</v>
      </c>
      <c r="AI109" s="46">
        <v>0</v>
      </c>
      <c r="AJ109" s="47">
        <v>0</v>
      </c>
      <c r="AK109" s="46">
        <v>0</v>
      </c>
      <c r="AL109" s="46">
        <v>0</v>
      </c>
      <c r="AM109" s="47">
        <v>0</v>
      </c>
      <c r="AN109" s="46">
        <v>0</v>
      </c>
      <c r="AO109" s="46">
        <v>0</v>
      </c>
      <c r="AP109" s="47">
        <v>0</v>
      </c>
      <c r="AQ109" s="46">
        <v>0</v>
      </c>
      <c r="AR109" s="46">
        <v>0</v>
      </c>
      <c r="AS109" s="47">
        <v>0</v>
      </c>
      <c r="AT109" s="46">
        <v>0</v>
      </c>
      <c r="AU109" s="46">
        <v>0</v>
      </c>
      <c r="AV109" s="46">
        <v>0</v>
      </c>
      <c r="AW109" s="1545">
        <v>0</v>
      </c>
      <c r="AX109" s="10">
        <f t="shared" si="114"/>
        <v>19</v>
      </c>
      <c r="AY109" s="42">
        <f>IF(AND($E109=MONTH(Summary!$E$24),$D109=YEAR(Summary!$E$24)),Summary!$E$25,1)*IF(G109="",0,INT((H109-MOD(H109,7)-G109)/7)+1-IF(BA109,IF(WEEKDAY(F109)=7,1,0),0))</f>
        <v>5</v>
      </c>
      <c r="AZ109" s="42">
        <f>IF(AND($E109=MONTH(Summary!$E$24),$D109=YEAR(Summary!$E$24)),Summary!$E$25,1)*IF(G109="",0,INT((H109-MOD(H109-1,7)-G109)/7)+1-IF(BA109,IF(WEEKDAY(F109)=1,1,0),0))</f>
        <v>5</v>
      </c>
      <c r="BA109" s="42">
        <v>1</v>
      </c>
      <c r="BB109" s="10">
        <f>IF(AND($E109=MONTH(Summary!$E$24),$D109=YEAR(Summary!$E$24)),Summary!$E$25,1)*IF(G109="",0,H109-G109+1)</f>
        <v>30</v>
      </c>
      <c r="BC109" s="914">
        <f>Summary!$E$19</f>
        <v>1.4999999999999999E-2</v>
      </c>
      <c r="BD109" s="113">
        <v>13474.8</v>
      </c>
      <c r="BE109" s="171">
        <v>3546</v>
      </c>
      <c r="BF109" s="171">
        <v>4255.2</v>
      </c>
      <c r="BG109" s="174"/>
      <c r="BH109" s="1198">
        <v>1</v>
      </c>
      <c r="BI109" s="1198">
        <v>1</v>
      </c>
      <c r="BJ109" s="1198">
        <v>1</v>
      </c>
      <c r="BK109" s="1198">
        <v>1</v>
      </c>
      <c r="BL109" s="95">
        <v>2694.96</v>
      </c>
      <c r="BM109" s="171">
        <v>709.2</v>
      </c>
      <c r="BN109" s="171">
        <v>851.04</v>
      </c>
      <c r="BO109" s="174"/>
      <c r="BP109" s="1198">
        <v>1</v>
      </c>
      <c r="BQ109" s="1199">
        <v>1</v>
      </c>
      <c r="BR109" s="1199">
        <v>1</v>
      </c>
      <c r="BS109" s="1200">
        <v>1</v>
      </c>
      <c r="BT109" s="94">
        <f t="shared" si="91"/>
        <v>21276</v>
      </c>
      <c r="BU109" s="233">
        <f t="shared" si="92"/>
        <v>21276</v>
      </c>
      <c r="BV109" s="92">
        <f t="shared" si="93"/>
        <v>4255.2</v>
      </c>
      <c r="BW109" s="233">
        <f t="shared" si="94"/>
        <v>4255.2</v>
      </c>
      <c r="BX109" s="88">
        <v>7.7125256673511293</v>
      </c>
      <c r="BY109" s="90">
        <v>0</v>
      </c>
      <c r="BZ109" s="88">
        <v>0</v>
      </c>
      <c r="CA109" s="88">
        <v>0</v>
      </c>
      <c r="CB109" s="88">
        <v>0</v>
      </c>
      <c r="CC109" s="88">
        <v>0</v>
      </c>
      <c r="CD109" s="88">
        <v>0</v>
      </c>
      <c r="CE109" s="100">
        <v>0</v>
      </c>
      <c r="CF109" s="88">
        <v>0</v>
      </c>
      <c r="CG109" s="88">
        <v>0</v>
      </c>
      <c r="CH109" s="88">
        <v>0</v>
      </c>
      <c r="CI109" s="88">
        <v>0</v>
      </c>
      <c r="CJ109" s="228">
        <v>0</v>
      </c>
      <c r="CK109" s="88">
        <v>0</v>
      </c>
      <c r="CL109" s="88">
        <v>0</v>
      </c>
      <c r="CM109" s="88">
        <v>0</v>
      </c>
      <c r="CN109" s="88">
        <v>0</v>
      </c>
      <c r="CO109" s="88">
        <v>0</v>
      </c>
      <c r="CP109" s="88">
        <v>0</v>
      </c>
      <c r="CQ109" s="229">
        <v>0</v>
      </c>
      <c r="CR109" s="91">
        <v>0</v>
      </c>
      <c r="CS109" s="91">
        <v>0</v>
      </c>
      <c r="CT109" s="91">
        <v>0</v>
      </c>
      <c r="CU109" s="91">
        <v>0</v>
      </c>
      <c r="CV109" s="91">
        <v>0</v>
      </c>
      <c r="CW109" s="91">
        <v>0</v>
      </c>
      <c r="CX109" s="225">
        <v>0</v>
      </c>
      <c r="CY109" s="1265">
        <v>7776.2776000000003</v>
      </c>
      <c r="CZ109" s="90">
        <v>0</v>
      </c>
      <c r="DA109" s="88">
        <v>0</v>
      </c>
      <c r="DB109" s="88">
        <v>0</v>
      </c>
      <c r="DC109" s="88">
        <v>0</v>
      </c>
      <c r="DD109" s="88">
        <v>0</v>
      </c>
      <c r="DE109" s="152">
        <v>0</v>
      </c>
      <c r="DF109" s="230">
        <v>0</v>
      </c>
      <c r="DG109" s="38">
        <v>0</v>
      </c>
      <c r="DH109" s="1237">
        <v>0</v>
      </c>
      <c r="DI109" s="956">
        <v>0</v>
      </c>
      <c r="DJ109" s="956">
        <v>0</v>
      </c>
      <c r="DK109" s="956">
        <v>0</v>
      </c>
      <c r="DL109" s="152">
        <v>0</v>
      </c>
      <c r="DM109" s="160">
        <v>0</v>
      </c>
      <c r="DN109" s="160">
        <v>0</v>
      </c>
      <c r="DO109" s="160">
        <v>0</v>
      </c>
      <c r="DP109" s="160">
        <v>0</v>
      </c>
      <c r="DQ109" s="160">
        <v>0</v>
      </c>
      <c r="DR109" s="230">
        <v>0</v>
      </c>
      <c r="DS109" s="88">
        <v>0</v>
      </c>
      <c r="DT109" s="88">
        <v>0</v>
      </c>
      <c r="DU109" s="88">
        <v>0</v>
      </c>
      <c r="DV109" s="88">
        <v>0</v>
      </c>
      <c r="DW109" s="88">
        <v>0</v>
      </c>
      <c r="DX109" s="88">
        <v>0</v>
      </c>
      <c r="DY109" s="88">
        <v>0</v>
      </c>
      <c r="DZ109" s="88">
        <v>0</v>
      </c>
      <c r="EA109" s="88">
        <v>0</v>
      </c>
      <c r="EB109" s="152">
        <v>0</v>
      </c>
      <c r="EC109" s="52">
        <f t="shared" si="95"/>
        <v>0</v>
      </c>
      <c r="ED109" s="52">
        <f t="shared" si="95"/>
        <v>0</v>
      </c>
      <c r="EE109" s="52">
        <f t="shared" si="95"/>
        <v>0</v>
      </c>
      <c r="EF109" s="52">
        <f t="shared" si="71"/>
        <v>0</v>
      </c>
      <c r="EG109" s="52">
        <f t="shared" si="96"/>
        <v>0</v>
      </c>
      <c r="EH109" s="238">
        <v>0</v>
      </c>
      <c r="EI109" s="211">
        <v>0</v>
      </c>
      <c r="EJ109" s="211">
        <v>0</v>
      </c>
      <c r="EK109" s="211">
        <v>0</v>
      </c>
      <c r="EL109" s="217">
        <f>IF(C109&gt;=Summary!$E$26,MAX(0,SUM(EH109:EK109)),0)</f>
        <v>0</v>
      </c>
      <c r="EM109" s="52">
        <f>IF(C109&gt;=Summary!$E$26,DX109*BL109,0)</f>
        <v>0</v>
      </c>
      <c r="EN109" s="52">
        <f>IF(C109&gt;=Summary!$E$26,DY109*BM109,0)</f>
        <v>0</v>
      </c>
      <c r="EO109" s="52">
        <f>IF(C109&gt;=Summary!$E$26,DZ109*BN109,0)</f>
        <v>0</v>
      </c>
      <c r="EP109" s="52">
        <f>IF(C109&gt;=Summary!$E$26,EA109*BO109,0)</f>
        <v>0</v>
      </c>
      <c r="EQ109" s="52">
        <f>IF(C109&gt;=Summary!$E$26,DX109*BL109+DY109*BM109+DZ109*BN109+EA109*BO109,0)</f>
        <v>0</v>
      </c>
      <c r="ER109" s="826">
        <v>0</v>
      </c>
      <c r="ES109" s="278">
        <v>0</v>
      </c>
      <c r="ET109" s="278">
        <v>0</v>
      </c>
      <c r="EU109" s="278">
        <v>0</v>
      </c>
      <c r="EV109" s="212">
        <f>IF(C109&gt;=Summary!$E$26,MAX(0,SUM(ER109:EU109)),0)</f>
        <v>0</v>
      </c>
      <c r="EW109" s="52"/>
      <c r="EX109" s="1049">
        <f t="shared" si="97"/>
        <v>0</v>
      </c>
      <c r="EY109" s="1045" t="str">
        <f t="shared" si="98"/>
        <v/>
      </c>
      <c r="EZ109" s="1684" t="s">
        <v>525</v>
      </c>
      <c r="FA109" s="1046">
        <f t="shared" si="111"/>
        <v>45</v>
      </c>
      <c r="FB109" s="256">
        <f t="shared" si="99"/>
        <v>10106.1</v>
      </c>
      <c r="FC109" s="194">
        <f t="shared" si="100"/>
        <v>0</v>
      </c>
      <c r="FD109" s="194">
        <f t="shared" si="101"/>
        <v>2659.5</v>
      </c>
      <c r="FE109" s="194">
        <f t="shared" si="102"/>
        <v>0</v>
      </c>
      <c r="FF109" s="194">
        <f t="shared" si="103"/>
        <v>3191.4</v>
      </c>
      <c r="FG109" s="194">
        <f t="shared" si="104"/>
        <v>0</v>
      </c>
      <c r="FH109" s="257">
        <f>IF(EZ109="No",IF((OR(MONTH(C109)=5,MONTH(C109)=6,MONTH(C109)=7,MONTH(C109)=8,MONTH(C109)=9)),Summary!$O$15*12*(AX109+AY109+AZ109+BA109)*(1-$BC109),Summary!$O$15*13*(AX109+AY109+AZ109+BA109)*(1-$BC109)+IF(Summary!$O$16="Yes",(CALC!FA109+Summary!$O$15)*6*(AX109+AY109+AZ109+BA109)*(1-$BC109),0)),0)</f>
        <v>0</v>
      </c>
      <c r="FI109" s="1412">
        <f>IF(MONTH(C109)=5,FI108*(IF(Summary!$E$70="no",(1+(Summary!$E$71*0.8)),1+HLOOKUP(YEAR(C109)-1,CCFMODEL!$I$127:$AF$128,2)*0.8)),+FI108)</f>
        <v>32.160539427248438</v>
      </c>
      <c r="FJ109" s="1411">
        <f>IF(MONTH(C109)=5,FJ108*(IF(Summary!$E$70="no",(1+(Summary!$E$71*0.8)),1+HLOOKUP(YEAR(CALC!C109)-1,CCFMODEL!$I$127:$AF$128,2)*0.8)),FJ108)</f>
        <v>28.108817924602963</v>
      </c>
      <c r="FK109" s="832">
        <f t="shared" si="72"/>
        <v>513185.72764060332</v>
      </c>
      <c r="FL109" s="1412">
        <f>IF(MONTH(C109)=5,FL108*(IF(Summary!$E$70="no",(1+(Summary!$E$71*0.8)),1+HLOOKUP(YEAR(CALC!C109)-1,CCFMODEL!$I$127:$AF$128,2)*0.8)),+FL108)</f>
        <v>67.637219965292999</v>
      </c>
      <c r="FM109" s="1411">
        <f>IF(MONTH(C109)=5,FM108*(IF(Summary!$E$70="no",(1+(Summary!$E$71*0.8)),1+HLOOKUP(YEAR(CALC!C109)-1,CCFMODEL!$I$127:$AF$128,2)*0.8)),+FM108)</f>
        <v>32.281126376731926</v>
      </c>
      <c r="FN109" s="832">
        <f t="shared" si="73"/>
        <v>1095722.9634377465</v>
      </c>
      <c r="FO109" s="194">
        <f t="shared" si="105"/>
        <v>1608908.6910783499</v>
      </c>
      <c r="FP109" s="263">
        <f t="shared" si="69"/>
        <v>10106.1</v>
      </c>
      <c r="FQ109" s="194">
        <f t="shared" si="69"/>
        <v>0</v>
      </c>
      <c r="FR109" s="194">
        <f t="shared" si="69"/>
        <v>2659.5</v>
      </c>
      <c r="FS109" s="194">
        <f t="shared" si="68"/>
        <v>0</v>
      </c>
      <c r="FT109" s="194">
        <f t="shared" si="68"/>
        <v>3191.4</v>
      </c>
      <c r="FU109" s="194">
        <f t="shared" si="68"/>
        <v>0</v>
      </c>
      <c r="FV109" s="257">
        <f t="shared" si="68"/>
        <v>0</v>
      </c>
      <c r="FW109" s="189">
        <f t="shared" si="74"/>
        <v>0</v>
      </c>
      <c r="FX109" s="189">
        <f t="shared" si="75"/>
        <v>0</v>
      </c>
      <c r="FY109" s="189">
        <f t="shared" si="76"/>
        <v>0</v>
      </c>
      <c r="FZ109" s="258">
        <f t="shared" si="77"/>
        <v>0</v>
      </c>
      <c r="GA109" s="1293">
        <f>(SUM(FP109:FV109)+SUM(GU109:HB109)/(1-Summary!$O$25))*CY109/1000</f>
        <v>198537.69866112</v>
      </c>
      <c r="GB109" s="1369">
        <f>IF($C109&lt;Summary!$M$81,+Summary!$O$81,VLOOKUP(C109,GasTable,19))</f>
        <v>2.4</v>
      </c>
      <c r="GC109" s="1370">
        <f>IF(H109&lt;=Summary!$N$84,MIN(GA109,Summary!$O$75*(H109-G109+1)),0)</f>
        <v>150000</v>
      </c>
      <c r="GD109" s="1371">
        <f>IF(Summary!$O$75*(H109-G109+1)*0.8&gt;GC109,1,0)</f>
        <v>0</v>
      </c>
      <c r="GE109" s="1372">
        <v>0</v>
      </c>
      <c r="GF109" s="1370">
        <f t="shared" si="106"/>
        <v>48537.698661119997</v>
      </c>
      <c r="GG109" s="1371">
        <f>GF109*(IF(Summary!$O$74=1,VLOOKUP($C109,GasTable,16)+Summary!$O$92+Summary!$O$93,VLOOKUP($C109,GasTable,19)+Summary!$O$92+Summary!$O$93))</f>
        <v>151687.8900547408</v>
      </c>
      <c r="GH109" s="1373">
        <v>18384</v>
      </c>
      <c r="GI109" s="1466">
        <v>0</v>
      </c>
      <c r="GJ109" s="1374">
        <f t="shared" si="107"/>
        <v>530071.89005474083</v>
      </c>
      <c r="GK109" s="189">
        <f t="shared" si="78"/>
        <v>25196.102999999999</v>
      </c>
      <c r="GL109" s="266">
        <v>0.76363046032000004</v>
      </c>
      <c r="GM109" s="255">
        <f t="shared" si="79"/>
        <v>14730</v>
      </c>
      <c r="GN109" s="189">
        <f>IF(SUM(GU109:HB109)=0,0,IF(Summary!$O$16="Yes",SUM(GX109:HB109),IF(Summary!$O$17="Yes",SUM(GY109:HB109),SUM(GU109:HB109))))</f>
        <v>9239.1029999999992</v>
      </c>
      <c r="GO109" s="203">
        <v>2.9265162829137266</v>
      </c>
      <c r="GP109" s="258">
        <f t="shared" si="108"/>
        <v>27038.385369017058</v>
      </c>
      <c r="GQ109" s="189"/>
      <c r="GR109" s="189"/>
      <c r="GS109" s="189"/>
      <c r="GT109" s="189"/>
      <c r="GU109" s="268">
        <v>3250.7954999999988</v>
      </c>
      <c r="GV109" s="189">
        <v>855.47249999999997</v>
      </c>
      <c r="GW109" s="189">
        <v>1026.5669999999998</v>
      </c>
      <c r="GX109" s="189"/>
      <c r="GY109" s="254">
        <v>2600.6363999999999</v>
      </c>
      <c r="GZ109" s="189">
        <v>684.37800000000004</v>
      </c>
      <c r="HA109" s="189">
        <v>821.25359999999989</v>
      </c>
      <c r="HB109" s="255"/>
      <c r="HC109" s="189">
        <v>9239.1029999999992</v>
      </c>
      <c r="HD109" s="189"/>
      <c r="HE109" s="189">
        <v>21557.906999999999</v>
      </c>
      <c r="HF109" s="189">
        <v>454502.61468368658</v>
      </c>
      <c r="HG109" s="189"/>
      <c r="HH109" s="203">
        <v>51.059853647294645</v>
      </c>
      <c r="HI109" s="189">
        <v>1100743.5763619887</v>
      </c>
      <c r="HJ109" s="268">
        <f t="shared" si="80"/>
        <v>0</v>
      </c>
      <c r="HK109" s="189">
        <f t="shared" si="81"/>
        <v>0</v>
      </c>
      <c r="HL109" s="189">
        <f t="shared" si="82"/>
        <v>0</v>
      </c>
      <c r="HM109" s="255">
        <f t="shared" si="83"/>
        <v>0</v>
      </c>
      <c r="HN109" s="189">
        <f t="shared" si="84"/>
        <v>0</v>
      </c>
      <c r="HO109" s="203">
        <f t="shared" si="109"/>
        <v>0</v>
      </c>
      <c r="HP109" s="258">
        <f t="shared" si="85"/>
        <v>0</v>
      </c>
      <c r="HQ109" s="804"/>
      <c r="HR109" s="268"/>
      <c r="HS109" s="38"/>
      <c r="HT109" s="255"/>
      <c r="HU109" s="254"/>
      <c r="HV109" s="203"/>
      <c r="HW109" s="189"/>
      <c r="HX109" s="1020"/>
      <c r="HY109" s="258"/>
      <c r="HZ109" s="268"/>
      <c r="IA109" s="203"/>
      <c r="IB109" s="255"/>
      <c r="IC109" s="254"/>
      <c r="ID109" s="203"/>
      <c r="IE109" s="255"/>
      <c r="IF109" s="189"/>
      <c r="IG109" s="203"/>
      <c r="IH109" s="255"/>
      <c r="II109" s="189"/>
      <c r="IJ109" s="203"/>
      <c r="IK109" s="189"/>
      <c r="IL109" s="1182"/>
      <c r="IM109" s="1403"/>
      <c r="IN109" s="254"/>
      <c r="IO109" s="254"/>
      <c r="IP109" s="254"/>
      <c r="IQ109" s="254"/>
      <c r="IR109" s="223"/>
    </row>
    <row r="110" spans="1:252" ht="13.8" thickBot="1">
      <c r="A110" t="str">
        <f t="shared" si="86"/>
        <v>2007Q4</v>
      </c>
      <c r="B110">
        <f t="shared" si="87"/>
        <v>2007</v>
      </c>
      <c r="C110" s="49">
        <f t="shared" si="88"/>
        <v>39356</v>
      </c>
      <c r="D110" s="115">
        <f t="shared" si="89"/>
        <v>2007</v>
      </c>
      <c r="E110" s="10">
        <f t="shared" si="112"/>
        <v>10</v>
      </c>
      <c r="F110" s="248" t="str">
        <f t="shared" si="113"/>
        <v/>
      </c>
      <c r="G110" s="245">
        <v>39356</v>
      </c>
      <c r="H110" s="251">
        <v>39386</v>
      </c>
      <c r="I110" s="959">
        <f t="shared" si="110"/>
        <v>7.1499999999999994E-2</v>
      </c>
      <c r="J110" s="37">
        <f t="shared" si="90"/>
        <v>0.57280818649265108</v>
      </c>
      <c r="K110" s="1036"/>
      <c r="L110" s="37"/>
      <c r="M110" s="1004">
        <v>0</v>
      </c>
      <c r="N110" s="38">
        <f t="shared" si="119"/>
        <v>0</v>
      </c>
      <c r="O110" s="40">
        <f t="shared" si="119"/>
        <v>0</v>
      </c>
      <c r="P110" s="159">
        <f t="shared" si="117"/>
        <v>0</v>
      </c>
      <c r="Q110" s="38">
        <f t="shared" si="120"/>
        <v>0</v>
      </c>
      <c r="R110" s="40">
        <f t="shared" si="120"/>
        <v>0</v>
      </c>
      <c r="S110" s="38">
        <f t="shared" si="120"/>
        <v>0</v>
      </c>
      <c r="T110" s="38">
        <f t="shared" si="120"/>
        <v>0</v>
      </c>
      <c r="U110" s="38">
        <f t="shared" si="120"/>
        <v>0</v>
      </c>
      <c r="V110" s="159">
        <f t="shared" si="120"/>
        <v>0</v>
      </c>
      <c r="W110" s="38">
        <f t="shared" si="120"/>
        <v>0</v>
      </c>
      <c r="X110" s="39">
        <f t="shared" si="120"/>
        <v>0</v>
      </c>
      <c r="Y110" s="46">
        <v>0</v>
      </c>
      <c r="Z110" s="46">
        <v>0</v>
      </c>
      <c r="AA110" s="47">
        <v>0</v>
      </c>
      <c r="AB110" s="46">
        <v>0</v>
      </c>
      <c r="AC110" s="46">
        <v>0</v>
      </c>
      <c r="AD110" s="47">
        <v>0</v>
      </c>
      <c r="AE110" s="46">
        <v>0</v>
      </c>
      <c r="AF110" s="46">
        <v>0</v>
      </c>
      <c r="AG110" s="47">
        <v>0</v>
      </c>
      <c r="AH110" s="46">
        <v>0</v>
      </c>
      <c r="AI110" s="46">
        <v>0</v>
      </c>
      <c r="AJ110" s="47">
        <v>0</v>
      </c>
      <c r="AK110" s="46">
        <v>0</v>
      </c>
      <c r="AL110" s="46">
        <v>0</v>
      </c>
      <c r="AM110" s="47">
        <v>0</v>
      </c>
      <c r="AN110" s="46">
        <v>0</v>
      </c>
      <c r="AO110" s="46">
        <v>0</v>
      </c>
      <c r="AP110" s="47">
        <v>0</v>
      </c>
      <c r="AQ110" s="46">
        <v>0</v>
      </c>
      <c r="AR110" s="46">
        <v>0</v>
      </c>
      <c r="AS110" s="47">
        <v>0</v>
      </c>
      <c r="AT110" s="46">
        <v>0</v>
      </c>
      <c r="AU110" s="46">
        <v>0</v>
      </c>
      <c r="AV110" s="46">
        <v>0</v>
      </c>
      <c r="AW110" s="1545">
        <v>0</v>
      </c>
      <c r="AX110" s="10">
        <f t="shared" si="114"/>
        <v>23</v>
      </c>
      <c r="AY110" s="42">
        <f>IF(AND($E110=MONTH(Summary!$E$24),$D110=YEAR(Summary!$E$24)),Summary!$E$25,1)*IF(G110="",0,INT((H110-MOD(H110,7)-G110)/7)+1-IF(BA110,IF(WEEKDAY(F110)=7,1,0),0))</f>
        <v>4</v>
      </c>
      <c r="AZ110" s="42">
        <f>IF(AND($E110=MONTH(Summary!$E$24),$D110=YEAR(Summary!$E$24)),Summary!$E$25,1)*IF(G110="",0,INT((H110-MOD(H110-1,7)-G110)/7)+1-IF(BA110,IF(WEEKDAY(F110)=1,1,0),0))</f>
        <v>4</v>
      </c>
      <c r="BA110" s="42">
        <v>0</v>
      </c>
      <c r="BB110" s="10">
        <f>IF(AND($E110=MONTH(Summary!$E$24),$D110=YEAR(Summary!$E$24)),Summary!$E$25,1)*IF(G110="",0,H110-G110+1)</f>
        <v>31</v>
      </c>
      <c r="BC110" s="914">
        <f>Summary!$E$19</f>
        <v>1.4999999999999999E-2</v>
      </c>
      <c r="BD110" s="113">
        <v>16311.6</v>
      </c>
      <c r="BE110" s="171">
        <v>2836.8</v>
      </c>
      <c r="BF110" s="171">
        <v>2836.8</v>
      </c>
      <c r="BG110" s="174"/>
      <c r="BH110" s="1198">
        <v>1</v>
      </c>
      <c r="BI110" s="1198">
        <v>1</v>
      </c>
      <c r="BJ110" s="1198">
        <v>1</v>
      </c>
      <c r="BK110" s="1198">
        <v>1</v>
      </c>
      <c r="BL110" s="95">
        <v>3262.32</v>
      </c>
      <c r="BM110" s="171">
        <v>567.36</v>
      </c>
      <c r="BN110" s="171">
        <v>567.36</v>
      </c>
      <c r="BO110" s="174"/>
      <c r="BP110" s="1198">
        <v>1</v>
      </c>
      <c r="BQ110" s="1199">
        <v>1</v>
      </c>
      <c r="BR110" s="1199">
        <v>1</v>
      </c>
      <c r="BS110" s="1200">
        <v>1</v>
      </c>
      <c r="BT110" s="94">
        <f t="shared" si="91"/>
        <v>21985.200000000001</v>
      </c>
      <c r="BU110" s="233">
        <f t="shared" si="92"/>
        <v>21985.200000000001</v>
      </c>
      <c r="BV110" s="92">
        <f t="shared" si="93"/>
        <v>4397.04</v>
      </c>
      <c r="BW110" s="233">
        <f t="shared" si="94"/>
        <v>4397.04</v>
      </c>
      <c r="BX110" s="88">
        <v>7.7946611909650922</v>
      </c>
      <c r="BY110" s="90">
        <v>0</v>
      </c>
      <c r="BZ110" s="88">
        <v>0</v>
      </c>
      <c r="CA110" s="88">
        <v>0</v>
      </c>
      <c r="CB110" s="88">
        <v>0</v>
      </c>
      <c r="CC110" s="88">
        <v>0</v>
      </c>
      <c r="CD110" s="88">
        <v>0</v>
      </c>
      <c r="CE110" s="100">
        <v>0</v>
      </c>
      <c r="CF110" s="88">
        <v>0</v>
      </c>
      <c r="CG110" s="88">
        <v>0</v>
      </c>
      <c r="CH110" s="88">
        <v>0</v>
      </c>
      <c r="CI110" s="88">
        <v>0</v>
      </c>
      <c r="CJ110" s="228">
        <v>0</v>
      </c>
      <c r="CK110" s="88">
        <v>0</v>
      </c>
      <c r="CL110" s="88">
        <v>0</v>
      </c>
      <c r="CM110" s="88">
        <v>0</v>
      </c>
      <c r="CN110" s="88">
        <v>0</v>
      </c>
      <c r="CO110" s="88">
        <v>0</v>
      </c>
      <c r="CP110" s="88">
        <v>0</v>
      </c>
      <c r="CQ110" s="229">
        <v>0</v>
      </c>
      <c r="CR110" s="91">
        <v>0</v>
      </c>
      <c r="CS110" s="91">
        <v>0</v>
      </c>
      <c r="CT110" s="91">
        <v>0</v>
      </c>
      <c r="CU110" s="91">
        <v>0</v>
      </c>
      <c r="CV110" s="91">
        <v>0</v>
      </c>
      <c r="CW110" s="91">
        <v>0</v>
      </c>
      <c r="CX110" s="225">
        <v>0</v>
      </c>
      <c r="CY110" s="1265">
        <v>7777.5804800000005</v>
      </c>
      <c r="CZ110" s="90">
        <v>0</v>
      </c>
      <c r="DA110" s="88">
        <v>0</v>
      </c>
      <c r="DB110" s="88">
        <v>0</v>
      </c>
      <c r="DC110" s="88">
        <v>0</v>
      </c>
      <c r="DD110" s="88">
        <v>0</v>
      </c>
      <c r="DE110" s="152">
        <v>0</v>
      </c>
      <c r="DF110" s="230">
        <v>0</v>
      </c>
      <c r="DG110" s="38">
        <v>0</v>
      </c>
      <c r="DH110" s="1237">
        <v>0</v>
      </c>
      <c r="DI110" s="956">
        <v>0</v>
      </c>
      <c r="DJ110" s="956">
        <v>0</v>
      </c>
      <c r="DK110" s="956">
        <v>0</v>
      </c>
      <c r="DL110" s="152">
        <v>0</v>
      </c>
      <c r="DM110" s="160">
        <v>0</v>
      </c>
      <c r="DN110" s="160">
        <v>0</v>
      </c>
      <c r="DO110" s="160">
        <v>0</v>
      </c>
      <c r="DP110" s="160">
        <v>0</v>
      </c>
      <c r="DQ110" s="160">
        <v>0</v>
      </c>
      <c r="DR110" s="230">
        <v>0</v>
      </c>
      <c r="DS110" s="88">
        <v>0</v>
      </c>
      <c r="DT110" s="88">
        <v>0</v>
      </c>
      <c r="DU110" s="88">
        <v>0</v>
      </c>
      <c r="DV110" s="88">
        <v>0</v>
      </c>
      <c r="DW110" s="88">
        <v>0</v>
      </c>
      <c r="DX110" s="88">
        <v>0</v>
      </c>
      <c r="DY110" s="88">
        <v>0</v>
      </c>
      <c r="DZ110" s="88">
        <v>0</v>
      </c>
      <c r="EA110" s="88">
        <v>0</v>
      </c>
      <c r="EB110" s="152">
        <v>0</v>
      </c>
      <c r="EC110" s="52">
        <f t="shared" si="95"/>
        <v>0</v>
      </c>
      <c r="ED110" s="52">
        <f t="shared" si="95"/>
        <v>0</v>
      </c>
      <c r="EE110" s="52">
        <f t="shared" si="95"/>
        <v>0</v>
      </c>
      <c r="EF110" s="52">
        <f t="shared" si="71"/>
        <v>0</v>
      </c>
      <c r="EG110" s="52">
        <f t="shared" si="96"/>
        <v>0</v>
      </c>
      <c r="EH110" s="238">
        <v>0</v>
      </c>
      <c r="EI110" s="211">
        <v>0</v>
      </c>
      <c r="EJ110" s="211">
        <v>0</v>
      </c>
      <c r="EK110" s="211">
        <v>0</v>
      </c>
      <c r="EL110" s="217">
        <f>IF(C110&gt;=Summary!$E$26,MAX(0,SUM(EH110:EK110)),0)</f>
        <v>0</v>
      </c>
      <c r="EM110" s="52">
        <f>IF(C110&gt;=Summary!$E$26,DX110*BL110,0)</f>
        <v>0</v>
      </c>
      <c r="EN110" s="52">
        <f>IF(C110&gt;=Summary!$E$26,DY110*BM110,0)</f>
        <v>0</v>
      </c>
      <c r="EO110" s="52">
        <f>IF(C110&gt;=Summary!$E$26,DZ110*BN110,0)</f>
        <v>0</v>
      </c>
      <c r="EP110" s="52">
        <f>IF(C110&gt;=Summary!$E$26,EA110*BO110,0)</f>
        <v>0</v>
      </c>
      <c r="EQ110" s="52">
        <f>IF(C110&gt;=Summary!$E$26,DX110*BL110+DY110*BM110+DZ110*BN110+EA110*BO110,0)</f>
        <v>0</v>
      </c>
      <c r="ER110" s="826">
        <v>0</v>
      </c>
      <c r="ES110" s="278">
        <v>0</v>
      </c>
      <c r="ET110" s="278">
        <v>0</v>
      </c>
      <c r="EU110" s="278">
        <v>0</v>
      </c>
      <c r="EV110" s="212">
        <f>IF(C110&gt;=Summary!$E$26,MAX(0,SUM(ER110:EU110)),0)</f>
        <v>0</v>
      </c>
      <c r="EW110" s="52"/>
      <c r="EX110" s="1049">
        <f t="shared" si="97"/>
        <v>0</v>
      </c>
      <c r="EY110" s="1045" t="str">
        <f t="shared" si="98"/>
        <v/>
      </c>
      <c r="EZ110" s="1684" t="s">
        <v>525</v>
      </c>
      <c r="FA110" s="1046">
        <f t="shared" si="111"/>
        <v>45</v>
      </c>
      <c r="FB110" s="256">
        <f t="shared" si="99"/>
        <v>10194.75</v>
      </c>
      <c r="FC110" s="194">
        <f t="shared" si="100"/>
        <v>3058.4250000000002</v>
      </c>
      <c r="FD110" s="194">
        <f t="shared" si="101"/>
        <v>1773</v>
      </c>
      <c r="FE110" s="194">
        <f t="shared" si="102"/>
        <v>531.9</v>
      </c>
      <c r="FF110" s="194">
        <f t="shared" si="103"/>
        <v>1773</v>
      </c>
      <c r="FG110" s="194">
        <f t="shared" si="104"/>
        <v>531.9</v>
      </c>
      <c r="FH110" s="257">
        <f>IF(EZ110="No",IF((OR(MONTH(C110)=5,MONTH(C110)=6,MONTH(C110)=7,MONTH(C110)=8,MONTH(C110)=9)),Summary!$O$15*12*(AX110+AY110+AZ110+BA110)*(1-$BC110),Summary!$O$15*13*(AX110+AY110+AZ110+BA110)*(1-$BC110)+IF(Summary!$O$16="Yes",(CALC!FA110+Summary!$O$15)*6*(AX110+AY110+AZ110+BA110)*(1-$BC110),0)),0)</f>
        <v>0</v>
      </c>
      <c r="FI110" s="1412">
        <f>IF(MONTH(C110)=5,FI109*(IF(Summary!$E$70="no",(1+(Summary!$E$71*0.8)),1+HLOOKUP(YEAR(C110)-1,CCFMODEL!$I$127:$AF$128,2)*0.8)),+FI109)</f>
        <v>32.160539427248438</v>
      </c>
      <c r="FJ110" s="1411">
        <f>IF(MONTH(C110)=5,FJ109*(IF(Summary!$E$70="no",(1+(Summary!$E$71*0.8)),1+HLOOKUP(YEAR(CALC!C110)-1,CCFMODEL!$I$127:$AF$128,2)*0.8)),FJ109)</f>
        <v>28.108817924602963</v>
      </c>
      <c r="FK110" s="832">
        <f t="shared" si="72"/>
        <v>574482.91177545313</v>
      </c>
      <c r="FL110" s="1412">
        <f>IF(MONTH(C110)=5,FL109*(IF(Summary!$E$70="no",(1+(Summary!$E$71*0.8)),1+HLOOKUP(YEAR(CALC!C110)-1,CCFMODEL!$I$127:$AF$128,2)*0.8)),+FL109)</f>
        <v>67.637219965292999</v>
      </c>
      <c r="FM110" s="1411">
        <f>IF(MONTH(C110)=5,FM109*(IF(Summary!$E$70="no",(1+(Summary!$E$71*0.8)),1+HLOOKUP(YEAR(CALC!C110)-1,CCFMODEL!$I$127:$AF$128,2)*0.8)),+FM109)</f>
        <v>32.281126376731926</v>
      </c>
      <c r="FN110" s="832">
        <f t="shared" si="73"/>
        <v>585418.22684203344</v>
      </c>
      <c r="FO110" s="194">
        <f t="shared" si="105"/>
        <v>1159901.1386174867</v>
      </c>
      <c r="FP110" s="263">
        <f t="shared" si="69"/>
        <v>10194.75</v>
      </c>
      <c r="FQ110" s="194">
        <f t="shared" si="69"/>
        <v>3058.4250000000002</v>
      </c>
      <c r="FR110" s="194">
        <f t="shared" si="69"/>
        <v>1773</v>
      </c>
      <c r="FS110" s="194">
        <f t="shared" si="68"/>
        <v>531.9</v>
      </c>
      <c r="FT110" s="194">
        <f t="shared" si="68"/>
        <v>1773</v>
      </c>
      <c r="FU110" s="194">
        <f t="shared" si="68"/>
        <v>531.9</v>
      </c>
      <c r="FV110" s="257">
        <f t="shared" si="68"/>
        <v>0</v>
      </c>
      <c r="FW110" s="189">
        <f t="shared" si="74"/>
        <v>0</v>
      </c>
      <c r="FX110" s="189">
        <f t="shared" si="75"/>
        <v>0</v>
      </c>
      <c r="FY110" s="189">
        <f t="shared" si="76"/>
        <v>0</v>
      </c>
      <c r="FZ110" s="258">
        <f t="shared" si="77"/>
        <v>0</v>
      </c>
      <c r="GA110" s="1293">
        <f>(SUM(FP110:FV110)+SUM(GU110:HB110)/(1-Summary!$O$25))*CY110/1000</f>
        <v>237250.93153684319</v>
      </c>
      <c r="GB110" s="1369">
        <f>IF($C110&lt;Summary!$M$81,+Summary!$O$81,VLOOKUP(C110,GasTable,19))</f>
        <v>2.4</v>
      </c>
      <c r="GC110" s="1370">
        <f>IF(H110&lt;=Summary!$N$84,MIN(GA110,Summary!$O$75*(H110-G110+1)),0)</f>
        <v>155000</v>
      </c>
      <c r="GD110" s="1371">
        <f>IF(Summary!$O$75*(H110-G110+1)*0.8&gt;GC110,1,0)</f>
        <v>0</v>
      </c>
      <c r="GE110" s="1372">
        <v>0</v>
      </c>
      <c r="GF110" s="1370">
        <f t="shared" si="106"/>
        <v>82250.931536843185</v>
      </c>
      <c r="GG110" s="1371">
        <f>GF110*(IF(Summary!$O$74=1,VLOOKUP($C110,GasTable,16)+Summary!$O$92+Summary!$O$93,VLOOKUP($C110,GasTable,19)+Summary!$O$92+Summary!$O$93))</f>
        <v>268279.59301249281</v>
      </c>
      <c r="GH110" s="1373">
        <v>19065</v>
      </c>
      <c r="GI110" s="1466">
        <v>0</v>
      </c>
      <c r="GJ110" s="1374">
        <f t="shared" si="107"/>
        <v>659344.59301249287</v>
      </c>
      <c r="GK110" s="189">
        <f t="shared" si="78"/>
        <v>30062.012849999999</v>
      </c>
      <c r="GL110" s="266">
        <v>0.76375840313600007</v>
      </c>
      <c r="GM110" s="255">
        <f t="shared" si="79"/>
        <v>15221</v>
      </c>
      <c r="GN110" s="189">
        <f>IF(SUM(GU110:HB110)=0,0,IF(Summary!$O$16="Yes",SUM(GX110:HB110),IF(Summary!$O$17="Yes",SUM(GY110:HB110),SUM(GU110:HB110))))</f>
        <v>12199.037849999999</v>
      </c>
      <c r="GO110" s="203">
        <v>2.9265162829137266</v>
      </c>
      <c r="GP110" s="258">
        <f t="shared" si="108"/>
        <v>35700.682903905858</v>
      </c>
      <c r="GQ110" s="189"/>
      <c r="GR110" s="189"/>
      <c r="GS110" s="189"/>
      <c r="GT110" s="189"/>
      <c r="GU110" s="268">
        <v>5902.7602500000003</v>
      </c>
      <c r="GV110" s="189">
        <v>1026.5670000000002</v>
      </c>
      <c r="GW110" s="189">
        <v>1026.5670000000002</v>
      </c>
      <c r="GX110" s="189"/>
      <c r="GY110" s="254">
        <v>3148.1388000000002</v>
      </c>
      <c r="GZ110" s="189">
        <v>547.50239999999997</v>
      </c>
      <c r="HA110" s="189">
        <v>547.50239999999997</v>
      </c>
      <c r="HB110" s="255"/>
      <c r="HC110" s="189">
        <v>12199.037849999999</v>
      </c>
      <c r="HD110" s="189"/>
      <c r="HE110" s="189">
        <v>20950.521524999996</v>
      </c>
      <c r="HF110" s="189">
        <v>542015.09959768876</v>
      </c>
      <c r="HG110" s="189"/>
      <c r="HH110" s="203">
        <v>43.728230729952955</v>
      </c>
      <c r="HI110" s="189">
        <v>916129.23915804562</v>
      </c>
      <c r="HJ110" s="268">
        <f t="shared" si="80"/>
        <v>0</v>
      </c>
      <c r="HK110" s="189">
        <f t="shared" si="81"/>
        <v>0</v>
      </c>
      <c r="HL110" s="189">
        <f t="shared" si="82"/>
        <v>0</v>
      </c>
      <c r="HM110" s="255">
        <f t="shared" si="83"/>
        <v>0</v>
      </c>
      <c r="HN110" s="189">
        <f t="shared" si="84"/>
        <v>0</v>
      </c>
      <c r="HO110" s="203">
        <f t="shared" si="109"/>
        <v>0</v>
      </c>
      <c r="HP110" s="258">
        <f t="shared" si="85"/>
        <v>0</v>
      </c>
      <c r="HQ110" s="804"/>
      <c r="HR110" s="268"/>
      <c r="HS110" s="38"/>
      <c r="HT110" s="255"/>
      <c r="HU110" s="254"/>
      <c r="HV110" s="203"/>
      <c r="HW110" s="189"/>
      <c r="HX110" s="1020"/>
      <c r="HY110" s="258"/>
      <c r="HZ110" s="268"/>
      <c r="IA110" s="203"/>
      <c r="IB110" s="255"/>
      <c r="IC110" s="254"/>
      <c r="ID110" s="203"/>
      <c r="IE110" s="255"/>
      <c r="IF110" s="189"/>
      <c r="IG110" s="203"/>
      <c r="IH110" s="255"/>
      <c r="II110" s="189"/>
      <c r="IJ110" s="203"/>
      <c r="IK110" s="189"/>
      <c r="IL110" s="1182"/>
      <c r="IM110" s="1403"/>
      <c r="IN110" s="254"/>
      <c r="IO110" s="254"/>
      <c r="IP110" s="254"/>
      <c r="IQ110" s="254"/>
      <c r="IR110" s="223"/>
    </row>
    <row r="111" spans="1:252" ht="13.8" thickBot="1">
      <c r="A111" t="str">
        <f t="shared" si="86"/>
        <v>2007Q4</v>
      </c>
      <c r="B111">
        <f t="shared" si="87"/>
        <v>2007</v>
      </c>
      <c r="C111" s="49">
        <f t="shared" si="88"/>
        <v>39387</v>
      </c>
      <c r="D111" s="115">
        <f t="shared" si="89"/>
        <v>2007</v>
      </c>
      <c r="E111" s="10">
        <f t="shared" si="112"/>
        <v>11</v>
      </c>
      <c r="F111" s="248">
        <f t="shared" si="113"/>
        <v>39408</v>
      </c>
      <c r="G111" s="245">
        <v>39387</v>
      </c>
      <c r="H111" s="251">
        <v>39416</v>
      </c>
      <c r="I111" s="959">
        <f t="shared" si="110"/>
        <v>7.1499999999999994E-2</v>
      </c>
      <c r="J111" s="37">
        <f t="shared" si="90"/>
        <v>0.56951251344378928</v>
      </c>
      <c r="K111" s="1036"/>
      <c r="L111" s="37"/>
      <c r="M111" s="1004">
        <v>0</v>
      </c>
      <c r="N111" s="38">
        <f t="shared" si="119"/>
        <v>0</v>
      </c>
      <c r="O111" s="40">
        <f t="shared" si="119"/>
        <v>0</v>
      </c>
      <c r="P111" s="159">
        <f t="shared" si="117"/>
        <v>0</v>
      </c>
      <c r="Q111" s="38">
        <f t="shared" si="120"/>
        <v>0</v>
      </c>
      <c r="R111" s="40">
        <f t="shared" si="120"/>
        <v>0</v>
      </c>
      <c r="S111" s="38">
        <f t="shared" si="120"/>
        <v>0</v>
      </c>
      <c r="T111" s="38">
        <f t="shared" si="120"/>
        <v>0</v>
      </c>
      <c r="U111" s="38">
        <f t="shared" si="120"/>
        <v>0</v>
      </c>
      <c r="V111" s="159">
        <f t="shared" si="120"/>
        <v>0</v>
      </c>
      <c r="W111" s="38">
        <f t="shared" si="120"/>
        <v>0</v>
      </c>
      <c r="X111" s="39">
        <f t="shared" si="120"/>
        <v>0</v>
      </c>
      <c r="Y111" s="46">
        <v>0</v>
      </c>
      <c r="Z111" s="46">
        <v>0</v>
      </c>
      <c r="AA111" s="47">
        <v>0</v>
      </c>
      <c r="AB111" s="46">
        <v>0</v>
      </c>
      <c r="AC111" s="46">
        <v>0</v>
      </c>
      <c r="AD111" s="47">
        <v>0</v>
      </c>
      <c r="AE111" s="46">
        <v>0</v>
      </c>
      <c r="AF111" s="46">
        <v>0</v>
      </c>
      <c r="AG111" s="47">
        <v>0</v>
      </c>
      <c r="AH111" s="46">
        <v>0</v>
      </c>
      <c r="AI111" s="46">
        <v>0</v>
      </c>
      <c r="AJ111" s="47">
        <v>0</v>
      </c>
      <c r="AK111" s="46">
        <v>0</v>
      </c>
      <c r="AL111" s="46">
        <v>0</v>
      </c>
      <c r="AM111" s="47">
        <v>0</v>
      </c>
      <c r="AN111" s="46">
        <v>0</v>
      </c>
      <c r="AO111" s="46">
        <v>0</v>
      </c>
      <c r="AP111" s="47">
        <v>0</v>
      </c>
      <c r="AQ111" s="46">
        <v>0</v>
      </c>
      <c r="AR111" s="46">
        <v>0</v>
      </c>
      <c r="AS111" s="47">
        <v>0</v>
      </c>
      <c r="AT111" s="46">
        <v>0</v>
      </c>
      <c r="AU111" s="46">
        <v>0</v>
      </c>
      <c r="AV111" s="46">
        <v>0</v>
      </c>
      <c r="AW111" s="1545">
        <v>0</v>
      </c>
      <c r="AX111" s="10">
        <f t="shared" si="114"/>
        <v>21</v>
      </c>
      <c r="AY111" s="42">
        <f>IF(AND($E111=MONTH(Summary!$E$24),$D111=YEAR(Summary!$E$24)),Summary!$E$25,1)*IF(G111="",0,INT((H111-MOD(H111,7)-G111)/7)+1-IF(BA111,IF(WEEKDAY(F111)=7,1,0),0))</f>
        <v>4</v>
      </c>
      <c r="AZ111" s="42">
        <f>IF(AND($E111=MONTH(Summary!$E$24),$D111=YEAR(Summary!$E$24)),Summary!$E$25,1)*IF(G111="",0,INT((H111-MOD(H111-1,7)-G111)/7)+1-IF(BA111,IF(WEEKDAY(F111)=1,1,0),0))</f>
        <v>4</v>
      </c>
      <c r="BA111" s="42">
        <v>1</v>
      </c>
      <c r="BB111" s="10">
        <f>IF(AND($E111=MONTH(Summary!$E$24),$D111=YEAR(Summary!$E$24)),Summary!$E$25,1)*IF(G111="",0,H111-G111+1)</f>
        <v>30</v>
      </c>
      <c r="BC111" s="914">
        <f>Summary!$E$19</f>
        <v>1.4999999999999999E-2</v>
      </c>
      <c r="BD111" s="113">
        <v>14893.2</v>
      </c>
      <c r="BE111" s="171">
        <v>2836.8</v>
      </c>
      <c r="BF111" s="171">
        <v>3546</v>
      </c>
      <c r="BG111" s="174"/>
      <c r="BH111" s="1198">
        <v>1</v>
      </c>
      <c r="BI111" s="1198">
        <v>1</v>
      </c>
      <c r="BJ111" s="1198">
        <v>1</v>
      </c>
      <c r="BK111" s="1198">
        <v>1</v>
      </c>
      <c r="BL111" s="95">
        <v>2978.64</v>
      </c>
      <c r="BM111" s="171">
        <v>567.36</v>
      </c>
      <c r="BN111" s="171">
        <v>709.2</v>
      </c>
      <c r="BO111" s="174"/>
      <c r="BP111" s="1198">
        <v>1</v>
      </c>
      <c r="BQ111" s="1199">
        <v>1</v>
      </c>
      <c r="BR111" s="1199">
        <v>1</v>
      </c>
      <c r="BS111" s="1200">
        <v>1</v>
      </c>
      <c r="BT111" s="94">
        <f t="shared" si="91"/>
        <v>21276</v>
      </c>
      <c r="BU111" s="233">
        <f t="shared" si="92"/>
        <v>21276</v>
      </c>
      <c r="BV111" s="92">
        <f t="shared" si="93"/>
        <v>4255.2</v>
      </c>
      <c r="BW111" s="233">
        <f t="shared" si="94"/>
        <v>4255.2</v>
      </c>
      <c r="BX111" s="88">
        <v>7.8795345653661872</v>
      </c>
      <c r="BY111" s="90">
        <v>0</v>
      </c>
      <c r="BZ111" s="88">
        <v>0</v>
      </c>
      <c r="CA111" s="88">
        <v>0</v>
      </c>
      <c r="CB111" s="88">
        <v>0</v>
      </c>
      <c r="CC111" s="88">
        <v>0</v>
      </c>
      <c r="CD111" s="88">
        <v>0</v>
      </c>
      <c r="CE111" s="100">
        <v>0</v>
      </c>
      <c r="CF111" s="88">
        <v>0</v>
      </c>
      <c r="CG111" s="88">
        <v>0</v>
      </c>
      <c r="CH111" s="88">
        <v>0</v>
      </c>
      <c r="CI111" s="88">
        <v>0</v>
      </c>
      <c r="CJ111" s="228">
        <v>0</v>
      </c>
      <c r="CK111" s="88">
        <v>0</v>
      </c>
      <c r="CL111" s="88">
        <v>0</v>
      </c>
      <c r="CM111" s="88">
        <v>0</v>
      </c>
      <c r="CN111" s="88">
        <v>0</v>
      </c>
      <c r="CO111" s="88">
        <v>0</v>
      </c>
      <c r="CP111" s="88">
        <v>0</v>
      </c>
      <c r="CQ111" s="229">
        <v>0</v>
      </c>
      <c r="CR111" s="91">
        <v>0</v>
      </c>
      <c r="CS111" s="91">
        <v>0</v>
      </c>
      <c r="CT111" s="91">
        <v>0</v>
      </c>
      <c r="CU111" s="91">
        <v>0</v>
      </c>
      <c r="CV111" s="91">
        <v>0</v>
      </c>
      <c r="CW111" s="91">
        <v>0</v>
      </c>
      <c r="CX111" s="225">
        <v>0</v>
      </c>
      <c r="CY111" s="1265">
        <v>7778.8833600000007</v>
      </c>
      <c r="CZ111" s="90">
        <v>0</v>
      </c>
      <c r="DA111" s="88">
        <v>0</v>
      </c>
      <c r="DB111" s="88">
        <v>0</v>
      </c>
      <c r="DC111" s="88">
        <v>0</v>
      </c>
      <c r="DD111" s="88">
        <v>0</v>
      </c>
      <c r="DE111" s="152">
        <v>0</v>
      </c>
      <c r="DF111" s="230">
        <v>0</v>
      </c>
      <c r="DG111" s="38">
        <v>0</v>
      </c>
      <c r="DH111" s="1237">
        <v>0</v>
      </c>
      <c r="DI111" s="956">
        <v>0</v>
      </c>
      <c r="DJ111" s="956">
        <v>0</v>
      </c>
      <c r="DK111" s="956">
        <v>0</v>
      </c>
      <c r="DL111" s="152">
        <v>0</v>
      </c>
      <c r="DM111" s="160">
        <v>0</v>
      </c>
      <c r="DN111" s="160">
        <v>0</v>
      </c>
      <c r="DO111" s="160">
        <v>0</v>
      </c>
      <c r="DP111" s="160">
        <v>0</v>
      </c>
      <c r="DQ111" s="160">
        <v>0</v>
      </c>
      <c r="DR111" s="230">
        <v>0</v>
      </c>
      <c r="DS111" s="88">
        <v>0</v>
      </c>
      <c r="DT111" s="88">
        <v>0</v>
      </c>
      <c r="DU111" s="88">
        <v>0</v>
      </c>
      <c r="DV111" s="88">
        <v>0</v>
      </c>
      <c r="DW111" s="88">
        <v>0</v>
      </c>
      <c r="DX111" s="88">
        <v>0</v>
      </c>
      <c r="DY111" s="88">
        <v>0</v>
      </c>
      <c r="DZ111" s="88">
        <v>0</v>
      </c>
      <c r="EA111" s="88">
        <v>0</v>
      </c>
      <c r="EB111" s="152">
        <v>0</v>
      </c>
      <c r="EC111" s="52">
        <f t="shared" si="95"/>
        <v>0</v>
      </c>
      <c r="ED111" s="52">
        <f t="shared" si="95"/>
        <v>0</v>
      </c>
      <c r="EE111" s="52">
        <f t="shared" si="95"/>
        <v>0</v>
      </c>
      <c r="EF111" s="52">
        <f t="shared" si="71"/>
        <v>0</v>
      </c>
      <c r="EG111" s="52">
        <f t="shared" si="96"/>
        <v>0</v>
      </c>
      <c r="EH111" s="238">
        <v>0</v>
      </c>
      <c r="EI111" s="211">
        <v>0</v>
      </c>
      <c r="EJ111" s="211">
        <v>0</v>
      </c>
      <c r="EK111" s="211">
        <v>0</v>
      </c>
      <c r="EL111" s="217">
        <f>IF(C111&gt;=Summary!$E$26,MAX(0,SUM(EH111:EK111)),0)</f>
        <v>0</v>
      </c>
      <c r="EM111" s="52">
        <f>IF(C111&gt;=Summary!$E$26,DX111*BL111,0)</f>
        <v>0</v>
      </c>
      <c r="EN111" s="52">
        <f>IF(C111&gt;=Summary!$E$26,DY111*BM111,0)</f>
        <v>0</v>
      </c>
      <c r="EO111" s="52">
        <f>IF(C111&gt;=Summary!$E$26,DZ111*BN111,0)</f>
        <v>0</v>
      </c>
      <c r="EP111" s="52">
        <f>IF(C111&gt;=Summary!$E$26,EA111*BO111,0)</f>
        <v>0</v>
      </c>
      <c r="EQ111" s="52">
        <f>IF(C111&gt;=Summary!$E$26,DX111*BL111+DY111*BM111+DZ111*BN111+EA111*BO111,0)</f>
        <v>0</v>
      </c>
      <c r="ER111" s="826">
        <v>0</v>
      </c>
      <c r="ES111" s="278">
        <v>0</v>
      </c>
      <c r="ET111" s="278">
        <v>0</v>
      </c>
      <c r="EU111" s="278">
        <v>0</v>
      </c>
      <c r="EV111" s="212">
        <f>IF(C111&gt;=Summary!$E$26,MAX(0,SUM(ER111:EU111)),0)</f>
        <v>0</v>
      </c>
      <c r="EW111" s="52"/>
      <c r="EX111" s="1049">
        <f t="shared" si="97"/>
        <v>0</v>
      </c>
      <c r="EY111" s="1045" t="str">
        <f t="shared" si="98"/>
        <v/>
      </c>
      <c r="EZ111" s="1684" t="s">
        <v>525</v>
      </c>
      <c r="FA111" s="1046">
        <f t="shared" si="111"/>
        <v>45</v>
      </c>
      <c r="FB111" s="256">
        <f t="shared" si="99"/>
        <v>9308.25</v>
      </c>
      <c r="FC111" s="194">
        <f t="shared" si="100"/>
        <v>2792.4749999999999</v>
      </c>
      <c r="FD111" s="194">
        <f t="shared" si="101"/>
        <v>1773</v>
      </c>
      <c r="FE111" s="194">
        <f t="shared" si="102"/>
        <v>531.9</v>
      </c>
      <c r="FF111" s="194">
        <f t="shared" si="103"/>
        <v>2216.25</v>
      </c>
      <c r="FG111" s="194">
        <f t="shared" si="104"/>
        <v>664.875</v>
      </c>
      <c r="FH111" s="257">
        <f>IF(EZ111="No",IF((OR(MONTH(C111)=5,MONTH(C111)=6,MONTH(C111)=7,MONTH(C111)=8,MONTH(C111)=9)),Summary!$O$15*12*(AX111+AY111+AZ111+BA111)*(1-$BC111),Summary!$O$15*13*(AX111+AY111+AZ111+BA111)*(1-$BC111)+IF(Summary!$O$16="Yes",(CALC!FA111+Summary!$O$15)*6*(AX111+AY111+AZ111+BA111)*(1-$BC111),0)),0)</f>
        <v>0</v>
      </c>
      <c r="FI111" s="1412">
        <f>IF(MONTH(C111)=5,FI110*(IF(Summary!$E$70="no",(1+(Summary!$E$71*0.8)),1+HLOOKUP(YEAR(C111)-1,CCFMODEL!$I$127:$AF$128,2)*0.8)),+FI110)</f>
        <v>32.160539427248438</v>
      </c>
      <c r="FJ111" s="1411">
        <f>IF(MONTH(C111)=5,FJ110*(IF(Summary!$E$70="no",(1+(Summary!$E$71*0.8)),1+HLOOKUP(YEAR(CALC!C111)-1,CCFMODEL!$I$127:$AF$128,2)*0.8)),FJ110)</f>
        <v>28.108817924602963</v>
      </c>
      <c r="FK111" s="832">
        <f t="shared" si="72"/>
        <v>555951.20494398696</v>
      </c>
      <c r="FL111" s="1412">
        <f>IF(MONTH(C111)=5,FL110*(IF(Summary!$E$70="no",(1+(Summary!$E$71*0.8)),1+HLOOKUP(YEAR(CALC!C111)-1,CCFMODEL!$I$127:$AF$128,2)*0.8)),+FL110)</f>
        <v>67.637219965292999</v>
      </c>
      <c r="FM111" s="1411">
        <f>IF(MONTH(C111)=5,FM110*(IF(Summary!$E$70="no",(1+(Summary!$E$71*0.8)),1+HLOOKUP(YEAR(CALC!C111)-1,CCFMODEL!$I$127:$AF$128,2)*0.8)),+FM110)</f>
        <v>32.281126376731926</v>
      </c>
      <c r="FN111" s="832">
        <f t="shared" si="73"/>
        <v>566533.76791164535</v>
      </c>
      <c r="FO111" s="194">
        <f t="shared" si="105"/>
        <v>1122484.9728556322</v>
      </c>
      <c r="FP111" s="263">
        <f t="shared" si="69"/>
        <v>9308.25</v>
      </c>
      <c r="FQ111" s="194">
        <f t="shared" si="69"/>
        <v>2792.4749999999999</v>
      </c>
      <c r="FR111" s="194">
        <f t="shared" si="69"/>
        <v>1773</v>
      </c>
      <c r="FS111" s="194">
        <f t="shared" si="68"/>
        <v>531.9</v>
      </c>
      <c r="FT111" s="194">
        <f t="shared" si="68"/>
        <v>2216.25</v>
      </c>
      <c r="FU111" s="194">
        <f t="shared" si="68"/>
        <v>664.875</v>
      </c>
      <c r="FV111" s="257">
        <f t="shared" si="68"/>
        <v>0</v>
      </c>
      <c r="FW111" s="189">
        <f t="shared" si="74"/>
        <v>0</v>
      </c>
      <c r="FX111" s="189">
        <f t="shared" si="75"/>
        <v>0</v>
      </c>
      <c r="FY111" s="189">
        <f t="shared" si="76"/>
        <v>0</v>
      </c>
      <c r="FZ111" s="258">
        <f t="shared" si="77"/>
        <v>0</v>
      </c>
      <c r="GA111" s="1293">
        <f>(SUM(FP111:FV111)+SUM(GU111:HB111)/(1-Summary!$O$25))*CY111/1000</f>
        <v>229636.13728471202</v>
      </c>
      <c r="GB111" s="1369">
        <f>IF($C111&lt;Summary!$M$81,+Summary!$O$81,VLOOKUP(C111,GasTable,19))</f>
        <v>2.4</v>
      </c>
      <c r="GC111" s="1370">
        <f>IF(H111&lt;=Summary!$N$84,MIN(GA111,Summary!$O$75*(H111-G111+1)),0)</f>
        <v>150000</v>
      </c>
      <c r="GD111" s="1371">
        <f>IF(Summary!$O$75*(H111-G111+1)*0.8&gt;GC111,1,0)</f>
        <v>0</v>
      </c>
      <c r="GE111" s="1372">
        <v>0</v>
      </c>
      <c r="GF111" s="1370">
        <f t="shared" si="106"/>
        <v>79636.137284712022</v>
      </c>
      <c r="GG111" s="1371">
        <f>GF111*(IF(Summary!$O$74=1,VLOOKUP($C111,GasTable,16)+Summary!$O$92+Summary!$O$93,VLOOKUP($C111,GasTable,19)+Summary!$O$92+Summary!$O$93))</f>
        <v>270475.18981121958</v>
      </c>
      <c r="GH111" s="1373">
        <v>18894</v>
      </c>
      <c r="GI111" s="1466">
        <v>0</v>
      </c>
      <c r="GJ111" s="1374">
        <f t="shared" si="107"/>
        <v>649369.18981121958</v>
      </c>
      <c r="GK111" s="189">
        <f t="shared" si="78"/>
        <v>29092.270500000002</v>
      </c>
      <c r="GL111" s="266">
        <v>0.763886345952</v>
      </c>
      <c r="GM111" s="255">
        <f t="shared" si="79"/>
        <v>14729.999999999998</v>
      </c>
      <c r="GN111" s="189">
        <f>IF(SUM(GU111:HB111)=0,0,IF(Summary!$O$16="Yes",SUM(GX111:HB111),IF(Summary!$O$17="Yes",SUM(GY111:HB111),SUM(GU111:HB111))))</f>
        <v>11805.520500000001</v>
      </c>
      <c r="GO111" s="203">
        <v>2.9265162829137266</v>
      </c>
      <c r="GP111" s="258">
        <f t="shared" si="108"/>
        <v>34549.047971521803</v>
      </c>
      <c r="GQ111" s="189"/>
      <c r="GR111" s="189"/>
      <c r="GS111" s="189"/>
      <c r="GT111" s="189"/>
      <c r="GU111" s="268">
        <v>5389.4767500000007</v>
      </c>
      <c r="GV111" s="189">
        <v>1026.5670000000002</v>
      </c>
      <c r="GW111" s="189">
        <v>1283.20875</v>
      </c>
      <c r="GX111" s="189"/>
      <c r="GY111" s="254">
        <v>2874.3875999999996</v>
      </c>
      <c r="GZ111" s="189">
        <v>547.50239999999997</v>
      </c>
      <c r="HA111" s="189">
        <v>684.37800000000004</v>
      </c>
      <c r="HB111" s="255"/>
      <c r="HC111" s="189">
        <v>11805.520500000001</v>
      </c>
      <c r="HD111" s="189"/>
      <c r="HE111" s="189">
        <v>20274.698250000001</v>
      </c>
      <c r="HF111" s="189">
        <v>546144.17171080096</v>
      </c>
      <c r="HG111" s="189"/>
      <c r="HH111" s="203">
        <v>45.989430181731223</v>
      </c>
      <c r="HI111" s="189">
        <v>932421.8196240433</v>
      </c>
      <c r="HJ111" s="268">
        <f t="shared" si="80"/>
        <v>0</v>
      </c>
      <c r="HK111" s="189">
        <f t="shared" si="81"/>
        <v>0</v>
      </c>
      <c r="HL111" s="189">
        <f t="shared" si="82"/>
        <v>0</v>
      </c>
      <c r="HM111" s="255">
        <f t="shared" si="83"/>
        <v>0</v>
      </c>
      <c r="HN111" s="189">
        <f t="shared" si="84"/>
        <v>0</v>
      </c>
      <c r="HO111" s="203">
        <f t="shared" si="109"/>
        <v>0</v>
      </c>
      <c r="HP111" s="258">
        <f t="shared" si="85"/>
        <v>0</v>
      </c>
      <c r="HQ111" s="203"/>
      <c r="HR111" s="268"/>
      <c r="HS111" s="38"/>
      <c r="HT111" s="255"/>
      <c r="HU111" s="254"/>
      <c r="HV111" s="203"/>
      <c r="HW111" s="189"/>
      <c r="HX111" s="1020"/>
      <c r="HY111" s="258"/>
      <c r="HZ111" s="268"/>
      <c r="IA111" s="203"/>
      <c r="IB111" s="255"/>
      <c r="IC111" s="254"/>
      <c r="ID111" s="203"/>
      <c r="IE111" s="255"/>
      <c r="IF111" s="189"/>
      <c r="IG111" s="203"/>
      <c r="IH111" s="255"/>
      <c r="II111" s="189"/>
      <c r="IJ111" s="203"/>
      <c r="IK111" s="189"/>
      <c r="IL111" s="1182"/>
      <c r="IM111" s="1403"/>
      <c r="IN111" s="254"/>
      <c r="IO111" s="254"/>
      <c r="IP111" s="254"/>
      <c r="IQ111" s="254"/>
      <c r="IR111" s="223"/>
    </row>
    <row r="112" spans="1:252" ht="13.8" thickBot="1">
      <c r="A112" t="str">
        <f t="shared" si="86"/>
        <v>2007Q4</v>
      </c>
      <c r="B112">
        <f t="shared" si="87"/>
        <v>2007</v>
      </c>
      <c r="C112" s="49">
        <f t="shared" si="88"/>
        <v>39417</v>
      </c>
      <c r="D112" s="115">
        <f t="shared" si="89"/>
        <v>2007</v>
      </c>
      <c r="E112" s="10">
        <f t="shared" si="112"/>
        <v>12</v>
      </c>
      <c r="F112" s="248">
        <f t="shared" si="113"/>
        <v>39441</v>
      </c>
      <c r="G112" s="245">
        <v>39417</v>
      </c>
      <c r="H112" s="251">
        <v>39447</v>
      </c>
      <c r="I112" s="959">
        <f t="shared" si="110"/>
        <v>7.1499999999999994E-2</v>
      </c>
      <c r="J112" s="37">
        <f t="shared" si="90"/>
        <v>0.56612690375109265</v>
      </c>
      <c r="K112" s="1036"/>
      <c r="L112" s="37"/>
      <c r="M112" s="1004">
        <v>0</v>
      </c>
      <c r="N112" s="38">
        <f t="shared" si="119"/>
        <v>0</v>
      </c>
      <c r="O112" s="40">
        <f t="shared" si="119"/>
        <v>0</v>
      </c>
      <c r="P112" s="159">
        <f t="shared" si="117"/>
        <v>0</v>
      </c>
      <c r="Q112" s="38">
        <f t="shared" si="120"/>
        <v>0</v>
      </c>
      <c r="R112" s="40">
        <f t="shared" si="120"/>
        <v>0</v>
      </c>
      <c r="S112" s="38">
        <f t="shared" si="120"/>
        <v>0</v>
      </c>
      <c r="T112" s="38">
        <f t="shared" si="120"/>
        <v>0</v>
      </c>
      <c r="U112" s="38">
        <f t="shared" si="120"/>
        <v>0</v>
      </c>
      <c r="V112" s="159">
        <f t="shared" si="120"/>
        <v>0</v>
      </c>
      <c r="W112" s="38">
        <f t="shared" si="120"/>
        <v>0</v>
      </c>
      <c r="X112" s="39">
        <f t="shared" si="120"/>
        <v>0</v>
      </c>
      <c r="Y112" s="46">
        <v>0</v>
      </c>
      <c r="Z112" s="46">
        <v>0</v>
      </c>
      <c r="AA112" s="47">
        <v>0</v>
      </c>
      <c r="AB112" s="46">
        <v>0</v>
      </c>
      <c r="AC112" s="46">
        <v>0</v>
      </c>
      <c r="AD112" s="47">
        <v>0</v>
      </c>
      <c r="AE112" s="46">
        <v>0</v>
      </c>
      <c r="AF112" s="46">
        <v>0</v>
      </c>
      <c r="AG112" s="47">
        <v>0</v>
      </c>
      <c r="AH112" s="46">
        <v>0</v>
      </c>
      <c r="AI112" s="46">
        <v>0</v>
      </c>
      <c r="AJ112" s="47">
        <v>0</v>
      </c>
      <c r="AK112" s="46">
        <v>0</v>
      </c>
      <c r="AL112" s="46">
        <v>0</v>
      </c>
      <c r="AM112" s="47">
        <v>0</v>
      </c>
      <c r="AN112" s="46">
        <v>0</v>
      </c>
      <c r="AO112" s="46">
        <v>0</v>
      </c>
      <c r="AP112" s="47">
        <v>0</v>
      </c>
      <c r="AQ112" s="46">
        <v>0</v>
      </c>
      <c r="AR112" s="46">
        <v>0</v>
      </c>
      <c r="AS112" s="47">
        <v>0</v>
      </c>
      <c r="AT112" s="46">
        <v>0</v>
      </c>
      <c r="AU112" s="46">
        <v>0</v>
      </c>
      <c r="AV112" s="46">
        <v>0</v>
      </c>
      <c r="AW112" s="1545">
        <v>0</v>
      </c>
      <c r="AX112" s="10">
        <f t="shared" si="114"/>
        <v>20</v>
      </c>
      <c r="AY112" s="42">
        <f>IF(AND($E112=MONTH(Summary!$E$24),$D112=YEAR(Summary!$E$24)),Summary!$E$25,1)*IF(G112="",0,INT((H112-MOD(H112,7)-G112)/7)+1-IF(BA112,IF(WEEKDAY(F112)=7,1,0),0))</f>
        <v>5</v>
      </c>
      <c r="AZ112" s="42">
        <f>IF(AND($E112=MONTH(Summary!$E$24),$D112=YEAR(Summary!$E$24)),Summary!$E$25,1)*IF(G112="",0,INT((H112-MOD(H112-1,7)-G112)/7)+1-IF(BA112,IF(WEEKDAY(F112)=1,1,0),0))</f>
        <v>5</v>
      </c>
      <c r="BA112" s="42">
        <v>1</v>
      </c>
      <c r="BB112" s="10">
        <f>IF(AND($E112=MONTH(Summary!$E$24),$D112=YEAR(Summary!$E$24)),Summary!$E$25,1)*IF(G112="",0,H112-G112+1)</f>
        <v>31</v>
      </c>
      <c r="BC112" s="914">
        <f>Summary!$E$19</f>
        <v>1.4999999999999999E-2</v>
      </c>
      <c r="BD112" s="113">
        <v>14184</v>
      </c>
      <c r="BE112" s="171">
        <v>3546</v>
      </c>
      <c r="BF112" s="171">
        <v>4255.2</v>
      </c>
      <c r="BG112" s="174"/>
      <c r="BH112" s="1198">
        <v>1</v>
      </c>
      <c r="BI112" s="1198">
        <v>1</v>
      </c>
      <c r="BJ112" s="1198">
        <v>1</v>
      </c>
      <c r="BK112" s="1198">
        <v>1</v>
      </c>
      <c r="BL112" s="95">
        <v>2836.8</v>
      </c>
      <c r="BM112" s="171">
        <v>709.2</v>
      </c>
      <c r="BN112" s="171">
        <v>851.04</v>
      </c>
      <c r="BO112" s="174"/>
      <c r="BP112" s="1198">
        <v>1</v>
      </c>
      <c r="BQ112" s="1199">
        <v>1</v>
      </c>
      <c r="BR112" s="1199">
        <v>1</v>
      </c>
      <c r="BS112" s="1200">
        <v>1</v>
      </c>
      <c r="BT112" s="94">
        <f t="shared" si="91"/>
        <v>21985.200000000001</v>
      </c>
      <c r="BU112" s="233">
        <f t="shared" si="92"/>
        <v>21985.200000000001</v>
      </c>
      <c r="BV112" s="92">
        <f t="shared" si="93"/>
        <v>4397.04</v>
      </c>
      <c r="BW112" s="233">
        <f t="shared" si="94"/>
        <v>4397.04</v>
      </c>
      <c r="BX112" s="88">
        <v>7.9616700889801502</v>
      </c>
      <c r="BY112" s="90">
        <v>0</v>
      </c>
      <c r="BZ112" s="88">
        <v>0</v>
      </c>
      <c r="CA112" s="88">
        <v>0</v>
      </c>
      <c r="CB112" s="88">
        <v>0</v>
      </c>
      <c r="CC112" s="88">
        <v>0</v>
      </c>
      <c r="CD112" s="88">
        <v>0</v>
      </c>
      <c r="CE112" s="100">
        <v>0</v>
      </c>
      <c r="CF112" s="88">
        <v>0</v>
      </c>
      <c r="CG112" s="88">
        <v>0</v>
      </c>
      <c r="CH112" s="88">
        <v>0</v>
      </c>
      <c r="CI112" s="88">
        <v>0</v>
      </c>
      <c r="CJ112" s="228">
        <v>0</v>
      </c>
      <c r="CK112" s="88">
        <v>0</v>
      </c>
      <c r="CL112" s="88">
        <v>0</v>
      </c>
      <c r="CM112" s="88">
        <v>0</v>
      </c>
      <c r="CN112" s="88">
        <v>0</v>
      </c>
      <c r="CO112" s="88">
        <v>0</v>
      </c>
      <c r="CP112" s="88">
        <v>0</v>
      </c>
      <c r="CQ112" s="229">
        <v>0</v>
      </c>
      <c r="CR112" s="91">
        <v>0</v>
      </c>
      <c r="CS112" s="91">
        <v>0</v>
      </c>
      <c r="CT112" s="91">
        <v>0</v>
      </c>
      <c r="CU112" s="91">
        <v>0</v>
      </c>
      <c r="CV112" s="91">
        <v>0</v>
      </c>
      <c r="CW112" s="91">
        <v>0</v>
      </c>
      <c r="CX112" s="225">
        <v>0</v>
      </c>
      <c r="CY112" s="1265">
        <v>7664</v>
      </c>
      <c r="CZ112" s="90">
        <v>0</v>
      </c>
      <c r="DA112" s="88">
        <v>0</v>
      </c>
      <c r="DB112" s="88">
        <v>0</v>
      </c>
      <c r="DC112" s="88">
        <v>0</v>
      </c>
      <c r="DD112" s="88">
        <v>0</v>
      </c>
      <c r="DE112" s="152">
        <v>0</v>
      </c>
      <c r="DF112" s="230">
        <v>0</v>
      </c>
      <c r="DG112" s="38">
        <v>0</v>
      </c>
      <c r="DH112" s="1237">
        <v>0</v>
      </c>
      <c r="DI112" s="956">
        <v>0</v>
      </c>
      <c r="DJ112" s="956">
        <v>0</v>
      </c>
      <c r="DK112" s="956">
        <v>0</v>
      </c>
      <c r="DL112" s="152">
        <v>0</v>
      </c>
      <c r="DM112" s="160">
        <v>0</v>
      </c>
      <c r="DN112" s="160">
        <v>0</v>
      </c>
      <c r="DO112" s="160">
        <v>0</v>
      </c>
      <c r="DP112" s="160">
        <v>0</v>
      </c>
      <c r="DQ112" s="160">
        <v>0</v>
      </c>
      <c r="DR112" s="230">
        <v>0</v>
      </c>
      <c r="DS112" s="88">
        <v>0</v>
      </c>
      <c r="DT112" s="88">
        <v>0</v>
      </c>
      <c r="DU112" s="88">
        <v>0</v>
      </c>
      <c r="DV112" s="88">
        <v>0</v>
      </c>
      <c r="DW112" s="88">
        <v>0</v>
      </c>
      <c r="DX112" s="88">
        <v>0</v>
      </c>
      <c r="DY112" s="88">
        <v>0</v>
      </c>
      <c r="DZ112" s="88">
        <v>0</v>
      </c>
      <c r="EA112" s="88">
        <v>0</v>
      </c>
      <c r="EB112" s="152">
        <v>0</v>
      </c>
      <c r="EC112" s="52">
        <f t="shared" si="95"/>
        <v>0</v>
      </c>
      <c r="ED112" s="52">
        <f t="shared" si="95"/>
        <v>0</v>
      </c>
      <c r="EE112" s="52">
        <f t="shared" si="95"/>
        <v>0</v>
      </c>
      <c r="EF112" s="52">
        <f t="shared" si="71"/>
        <v>0</v>
      </c>
      <c r="EG112" s="52">
        <f t="shared" si="96"/>
        <v>0</v>
      </c>
      <c r="EH112" s="238">
        <v>0</v>
      </c>
      <c r="EI112" s="211">
        <v>0</v>
      </c>
      <c r="EJ112" s="211">
        <v>0</v>
      </c>
      <c r="EK112" s="211">
        <v>0</v>
      </c>
      <c r="EL112" s="217">
        <f>IF(C112&gt;=Summary!$E$26,MAX(0,SUM(EH112:EK112)),0)</f>
        <v>0</v>
      </c>
      <c r="EM112" s="52">
        <f>IF(C112&gt;=Summary!$E$26,DX112*BL112,0)</f>
        <v>0</v>
      </c>
      <c r="EN112" s="52">
        <f>IF(C112&gt;=Summary!$E$26,DY112*BM112,0)</f>
        <v>0</v>
      </c>
      <c r="EO112" s="52">
        <f>IF(C112&gt;=Summary!$E$26,DZ112*BN112,0)</f>
        <v>0</v>
      </c>
      <c r="EP112" s="52">
        <f>IF(C112&gt;=Summary!$E$26,EA112*BO112,0)</f>
        <v>0</v>
      </c>
      <c r="EQ112" s="52">
        <f>IF(C112&gt;=Summary!$E$26,DX112*BL112+DY112*BM112+DZ112*BN112+EA112*BO112,0)</f>
        <v>0</v>
      </c>
      <c r="ER112" s="826">
        <v>0</v>
      </c>
      <c r="ES112" s="278">
        <v>0</v>
      </c>
      <c r="ET112" s="278">
        <v>0</v>
      </c>
      <c r="EU112" s="278">
        <v>0</v>
      </c>
      <c r="EV112" s="212">
        <f>IF(C112&gt;=Summary!$E$26,MAX(0,SUM(ER112:EU112)),0)</f>
        <v>0</v>
      </c>
      <c r="EW112" s="52"/>
      <c r="EX112" s="1049">
        <f t="shared" si="97"/>
        <v>0</v>
      </c>
      <c r="EY112" s="1045" t="str">
        <f t="shared" si="98"/>
        <v/>
      </c>
      <c r="EZ112" s="1684" t="s">
        <v>525</v>
      </c>
      <c r="FA112" s="1046">
        <f t="shared" si="111"/>
        <v>45</v>
      </c>
      <c r="FB112" s="256">
        <f t="shared" si="99"/>
        <v>8865</v>
      </c>
      <c r="FC112" s="194">
        <f t="shared" si="100"/>
        <v>2659.5</v>
      </c>
      <c r="FD112" s="194">
        <f t="shared" si="101"/>
        <v>2216.25</v>
      </c>
      <c r="FE112" s="194">
        <f t="shared" si="102"/>
        <v>664.875</v>
      </c>
      <c r="FF112" s="194">
        <f t="shared" si="103"/>
        <v>2659.5</v>
      </c>
      <c r="FG112" s="194">
        <f t="shared" si="104"/>
        <v>797.85</v>
      </c>
      <c r="FH112" s="257">
        <f>IF(EZ112="No",IF((OR(MONTH(C112)=5,MONTH(C112)=6,MONTH(C112)=7,MONTH(C112)=8,MONTH(C112)=9)),Summary!$O$15*12*(AX112+AY112+AZ112+BA112)*(1-$BC112),Summary!$O$15*13*(AX112+AY112+AZ112+BA112)*(1-$BC112)+IF(Summary!$O$16="Yes",(CALC!FA112+Summary!$O$15)*6*(AX112+AY112+AZ112+BA112)*(1-$BC112),0)),0)</f>
        <v>0</v>
      </c>
      <c r="FI112" s="1412">
        <f>IF(MONTH(C112)=5,FI111*(IF(Summary!$E$70="no",(1+(Summary!$E$71*0.8)),1+HLOOKUP(YEAR(C112)-1,CCFMODEL!$I$127:$AF$128,2)*0.8)),+FI111)</f>
        <v>32.160539427248438</v>
      </c>
      <c r="FJ112" s="1411">
        <f>IF(MONTH(C112)=5,FJ111*(IF(Summary!$E$70="no",(1+(Summary!$E$71*0.8)),1+HLOOKUP(YEAR(CALC!C112)-1,CCFMODEL!$I$127:$AF$128,2)*0.8)),FJ111)</f>
        <v>28.108817924602963</v>
      </c>
      <c r="FK112" s="832">
        <f t="shared" si="72"/>
        <v>574482.91177545313</v>
      </c>
      <c r="FL112" s="1412">
        <f>IF(MONTH(C112)=5,FL111*(IF(Summary!$E$70="no",(1+(Summary!$E$71*0.8)),1+HLOOKUP(YEAR(CALC!C112)-1,CCFMODEL!$I$127:$AF$128,2)*0.8)),+FL111)</f>
        <v>67.637219965292999</v>
      </c>
      <c r="FM112" s="1411">
        <f>IF(MONTH(C112)=5,FM111*(IF(Summary!$E$70="no",(1+(Summary!$E$71*0.8)),1+HLOOKUP(YEAR(CALC!C112)-1,CCFMODEL!$I$127:$AF$128,2)*0.8)),+FM111)</f>
        <v>32.281126376731926</v>
      </c>
      <c r="FN112" s="832">
        <f t="shared" si="73"/>
        <v>585418.22684203344</v>
      </c>
      <c r="FO112" s="194">
        <f t="shared" si="105"/>
        <v>1159901.1386174867</v>
      </c>
      <c r="FP112" s="263">
        <f t="shared" si="69"/>
        <v>8865</v>
      </c>
      <c r="FQ112" s="194">
        <f t="shared" si="69"/>
        <v>2659.5</v>
      </c>
      <c r="FR112" s="194">
        <f t="shared" si="69"/>
        <v>2216.25</v>
      </c>
      <c r="FS112" s="194">
        <f t="shared" si="68"/>
        <v>664.875</v>
      </c>
      <c r="FT112" s="194">
        <f t="shared" si="68"/>
        <v>2659.5</v>
      </c>
      <c r="FU112" s="194">
        <f t="shared" si="68"/>
        <v>797.85</v>
      </c>
      <c r="FV112" s="257">
        <f t="shared" si="68"/>
        <v>0</v>
      </c>
      <c r="FW112" s="189">
        <f t="shared" si="74"/>
        <v>0</v>
      </c>
      <c r="FX112" s="189">
        <f t="shared" si="75"/>
        <v>0</v>
      </c>
      <c r="FY112" s="189">
        <f t="shared" si="76"/>
        <v>0</v>
      </c>
      <c r="FZ112" s="258">
        <f t="shared" si="77"/>
        <v>0</v>
      </c>
      <c r="GA112" s="1293">
        <f>(SUM(FP112:FV112)+SUM(GU112:HB112)/(1-Summary!$O$25))*CY112/1000</f>
        <v>233786.21975999998</v>
      </c>
      <c r="GB112" s="1369">
        <f>IF($C112&lt;Summary!$M$81,+Summary!$O$81,VLOOKUP(C112,GasTable,19))</f>
        <v>2.4</v>
      </c>
      <c r="GC112" s="1370">
        <f>IF(H112&lt;=Summary!$N$84,MIN(GA112,Summary!$O$75*(H112-G112+1)),0)</f>
        <v>155000</v>
      </c>
      <c r="GD112" s="1371">
        <f>IF(Summary!$O$75*(H112-G112+1)*0.8&gt;GC112,1,0)</f>
        <v>0</v>
      </c>
      <c r="GE112" s="1372">
        <v>0</v>
      </c>
      <c r="GF112" s="1370">
        <f t="shared" si="106"/>
        <v>78786.219759999978</v>
      </c>
      <c r="GG112" s="1371">
        <f>GF112*(IF(Summary!$O$74=1,VLOOKUP($C112,GasTable,16)+Summary!$O$92+Summary!$O$93,VLOOKUP($C112,GasTable,19)+Summary!$O$92+Summary!$O$93))</f>
        <v>278795.84966461005</v>
      </c>
      <c r="GH112" s="1373">
        <v>20013.599999999999</v>
      </c>
      <c r="GI112" s="1466">
        <v>0</v>
      </c>
      <c r="GJ112" s="1374">
        <f t="shared" si="107"/>
        <v>670809.44966461009</v>
      </c>
      <c r="GK112" s="189">
        <f t="shared" si="78"/>
        <v>30062.012849999999</v>
      </c>
      <c r="GL112" s="266">
        <v>0.75260480000000007</v>
      </c>
      <c r="GM112" s="255">
        <f t="shared" si="79"/>
        <v>15221.000000000002</v>
      </c>
      <c r="GN112" s="189">
        <f>IF(SUM(GU112:HB112)=0,0,IF(Summary!$O$16="Yes",SUM(GX112:HB112),IF(Summary!$O$17="Yes",SUM(GY112:HB112),SUM(GU112:HB112))))</f>
        <v>12199.037850000001</v>
      </c>
      <c r="GO112" s="203">
        <v>2.9265162829137266</v>
      </c>
      <c r="GP112" s="258">
        <f t="shared" si="108"/>
        <v>35700.682903905858</v>
      </c>
      <c r="GQ112" s="189"/>
      <c r="GR112" s="189"/>
      <c r="GS112" s="189"/>
      <c r="GT112" s="189"/>
      <c r="GU112" s="268">
        <v>5132.835</v>
      </c>
      <c r="GV112" s="189">
        <v>1283.20875</v>
      </c>
      <c r="GW112" s="189">
        <v>1539.8504999999998</v>
      </c>
      <c r="GX112" s="189"/>
      <c r="GY112" s="254">
        <v>2737.5120000000002</v>
      </c>
      <c r="GZ112" s="189">
        <v>684.37800000000004</v>
      </c>
      <c r="HA112" s="189">
        <v>821.25359999999989</v>
      </c>
      <c r="HB112" s="255"/>
      <c r="HC112" s="189">
        <v>12199.037850000001</v>
      </c>
      <c r="HD112" s="189"/>
      <c r="HE112" s="189">
        <v>20950.521525</v>
      </c>
      <c r="HF112" s="189">
        <v>568954.98398853675</v>
      </c>
      <c r="HG112" s="189"/>
      <c r="HH112" s="203">
        <v>46.338380291719325</v>
      </c>
      <c r="HI112" s="189">
        <v>970813.23373530153</v>
      </c>
      <c r="HJ112" s="268">
        <f t="shared" si="80"/>
        <v>0</v>
      </c>
      <c r="HK112" s="189">
        <f t="shared" si="81"/>
        <v>0</v>
      </c>
      <c r="HL112" s="189">
        <f t="shared" si="82"/>
        <v>0</v>
      </c>
      <c r="HM112" s="255">
        <f t="shared" si="83"/>
        <v>0</v>
      </c>
      <c r="HN112" s="189">
        <f t="shared" si="84"/>
        <v>0</v>
      </c>
      <c r="HO112" s="203">
        <f t="shared" si="109"/>
        <v>0</v>
      </c>
      <c r="HP112" s="258">
        <f t="shared" si="85"/>
        <v>0</v>
      </c>
      <c r="HQ112" s="203"/>
      <c r="HR112" s="268"/>
      <c r="HS112" s="38"/>
      <c r="HT112" s="255"/>
      <c r="HU112" s="254"/>
      <c r="HV112" s="203"/>
      <c r="HW112" s="189"/>
      <c r="HX112" s="1020"/>
      <c r="HY112" s="258"/>
      <c r="HZ112" s="268"/>
      <c r="IA112" s="203"/>
      <c r="IB112" s="255"/>
      <c r="IC112" s="254"/>
      <c r="ID112" s="203"/>
      <c r="IE112" s="255"/>
      <c r="IF112" s="189"/>
      <c r="IG112" s="203"/>
      <c r="IH112" s="255"/>
      <c r="II112" s="189"/>
      <c r="IJ112" s="203"/>
      <c r="IK112" s="189"/>
      <c r="IL112" s="1182"/>
      <c r="IM112" s="1403"/>
      <c r="IN112" s="254"/>
      <c r="IO112" s="254"/>
      <c r="IP112" s="254"/>
      <c r="IQ112" s="254"/>
      <c r="IR112" s="223"/>
    </row>
    <row r="113" spans="1:252" ht="13.8" thickBot="1">
      <c r="A113" t="str">
        <f t="shared" si="86"/>
        <v>2008Q1</v>
      </c>
      <c r="B113">
        <f t="shared" si="87"/>
        <v>2008</v>
      </c>
      <c r="C113" s="49">
        <f t="shared" si="88"/>
        <v>39448</v>
      </c>
      <c r="D113" s="115">
        <f t="shared" si="89"/>
        <v>2008</v>
      </c>
      <c r="E113" s="10">
        <f t="shared" si="112"/>
        <v>1</v>
      </c>
      <c r="F113" s="248">
        <f t="shared" si="113"/>
        <v>39448</v>
      </c>
      <c r="G113" s="245">
        <v>39448</v>
      </c>
      <c r="H113" s="251">
        <v>39478</v>
      </c>
      <c r="I113" s="959">
        <f t="shared" si="110"/>
        <v>7.1499999999999994E-2</v>
      </c>
      <c r="J113" s="37">
        <f t="shared" si="90"/>
        <v>0.5627614206626772</v>
      </c>
      <c r="K113" s="1036"/>
      <c r="L113" s="37"/>
      <c r="M113" s="1004">
        <v>0</v>
      </c>
      <c r="N113" s="38">
        <f t="shared" si="119"/>
        <v>0</v>
      </c>
      <c r="O113" s="40">
        <f t="shared" si="119"/>
        <v>0</v>
      </c>
      <c r="P113" s="159">
        <f t="shared" si="117"/>
        <v>0</v>
      </c>
      <c r="Q113" s="38">
        <f t="shared" si="120"/>
        <v>0</v>
      </c>
      <c r="R113" s="40">
        <f t="shared" si="120"/>
        <v>0</v>
      </c>
      <c r="S113" s="38">
        <f t="shared" si="120"/>
        <v>0</v>
      </c>
      <c r="T113" s="38">
        <f t="shared" si="120"/>
        <v>0</v>
      </c>
      <c r="U113" s="38">
        <f t="shared" si="120"/>
        <v>0</v>
      </c>
      <c r="V113" s="159">
        <f t="shared" si="120"/>
        <v>0</v>
      </c>
      <c r="W113" s="38">
        <f t="shared" si="120"/>
        <v>0</v>
      </c>
      <c r="X113" s="39">
        <f t="shared" si="120"/>
        <v>0</v>
      </c>
      <c r="Y113" s="46">
        <v>0</v>
      </c>
      <c r="Z113" s="46">
        <v>0</v>
      </c>
      <c r="AA113" s="47">
        <v>0</v>
      </c>
      <c r="AB113" s="46">
        <v>0</v>
      </c>
      <c r="AC113" s="46">
        <v>0</v>
      </c>
      <c r="AD113" s="47">
        <v>0</v>
      </c>
      <c r="AE113" s="46">
        <v>0</v>
      </c>
      <c r="AF113" s="46">
        <v>0</v>
      </c>
      <c r="AG113" s="47">
        <v>0</v>
      </c>
      <c r="AH113" s="46">
        <v>0</v>
      </c>
      <c r="AI113" s="46">
        <v>0</v>
      </c>
      <c r="AJ113" s="47">
        <v>0</v>
      </c>
      <c r="AK113" s="46">
        <v>0</v>
      </c>
      <c r="AL113" s="46">
        <v>0</v>
      </c>
      <c r="AM113" s="47">
        <v>0</v>
      </c>
      <c r="AN113" s="46">
        <v>0</v>
      </c>
      <c r="AO113" s="46">
        <v>0</v>
      </c>
      <c r="AP113" s="47">
        <v>0</v>
      </c>
      <c r="AQ113" s="46">
        <v>0</v>
      </c>
      <c r="AR113" s="46">
        <v>0</v>
      </c>
      <c r="AS113" s="47">
        <v>0</v>
      </c>
      <c r="AT113" s="46">
        <v>0</v>
      </c>
      <c r="AU113" s="46">
        <v>0</v>
      </c>
      <c r="AV113" s="46">
        <v>0</v>
      </c>
      <c r="AW113" s="1545">
        <v>0</v>
      </c>
      <c r="AX113" s="10">
        <f t="shared" si="114"/>
        <v>22</v>
      </c>
      <c r="AY113" s="42">
        <f>IF(AND($E113=MONTH(Summary!$E$24),$D113=YEAR(Summary!$E$24)),Summary!$E$25,1)*IF(G113="",0,INT((H113-MOD(H113,7)-G113)/7)+1-IF(BA113,IF(WEEKDAY(F113)=7,1,0),0))</f>
        <v>4</v>
      </c>
      <c r="AZ113" s="42">
        <f>IF(AND($E113=MONTH(Summary!$E$24),$D113=YEAR(Summary!$E$24)),Summary!$E$25,1)*IF(G113="",0,INT((H113-MOD(H113-1,7)-G113)/7)+1-IF(BA113,IF(WEEKDAY(F113)=1,1,0),0))</f>
        <v>4</v>
      </c>
      <c r="BA113" s="42">
        <v>1</v>
      </c>
      <c r="BB113" s="10">
        <f>IF(AND($E113=MONTH(Summary!$E$24),$D113=YEAR(Summary!$E$24)),Summary!$E$25,1)*IF(G113="",0,H113-G113+1)</f>
        <v>31</v>
      </c>
      <c r="BC113" s="914">
        <f>Summary!$E$19</f>
        <v>1.4999999999999999E-2</v>
      </c>
      <c r="BD113" s="113">
        <v>15602.4</v>
      </c>
      <c r="BE113" s="171">
        <v>2836.8</v>
      </c>
      <c r="BF113" s="171">
        <v>3546</v>
      </c>
      <c r="BG113" s="174"/>
      <c r="BH113" s="1198">
        <v>1</v>
      </c>
      <c r="BI113" s="1198">
        <v>1</v>
      </c>
      <c r="BJ113" s="1198">
        <v>1</v>
      </c>
      <c r="BK113" s="1198">
        <v>1</v>
      </c>
      <c r="BL113" s="95">
        <v>3120.48</v>
      </c>
      <c r="BM113" s="171">
        <v>567.36</v>
      </c>
      <c r="BN113" s="171">
        <v>709.2</v>
      </c>
      <c r="BO113" s="174"/>
      <c r="BP113" s="1198">
        <v>1</v>
      </c>
      <c r="BQ113" s="1199">
        <v>1</v>
      </c>
      <c r="BR113" s="1199">
        <v>1</v>
      </c>
      <c r="BS113" s="1200">
        <v>1</v>
      </c>
      <c r="BT113" s="94">
        <f t="shared" si="91"/>
        <v>21985.200000000001</v>
      </c>
      <c r="BU113" s="233">
        <f t="shared" si="92"/>
        <v>21985.200000000001</v>
      </c>
      <c r="BV113" s="92">
        <f t="shared" si="93"/>
        <v>4397.04</v>
      </c>
      <c r="BW113" s="233">
        <f t="shared" si="94"/>
        <v>4397.04</v>
      </c>
      <c r="BX113" s="88">
        <v>8.046543463381246</v>
      </c>
      <c r="BY113" s="90">
        <v>0</v>
      </c>
      <c r="BZ113" s="88">
        <v>0</v>
      </c>
      <c r="CA113" s="88">
        <v>0</v>
      </c>
      <c r="CB113" s="88">
        <v>0</v>
      </c>
      <c r="CC113" s="88">
        <v>0</v>
      </c>
      <c r="CD113" s="88">
        <v>0</v>
      </c>
      <c r="CE113" s="100">
        <v>0</v>
      </c>
      <c r="CF113" s="88">
        <v>0</v>
      </c>
      <c r="CG113" s="88">
        <v>0</v>
      </c>
      <c r="CH113" s="88">
        <v>0</v>
      </c>
      <c r="CI113" s="88">
        <v>0</v>
      </c>
      <c r="CJ113" s="228">
        <v>0</v>
      </c>
      <c r="CK113" s="88">
        <v>0</v>
      </c>
      <c r="CL113" s="88">
        <v>0</v>
      </c>
      <c r="CM113" s="88">
        <v>0</v>
      </c>
      <c r="CN113" s="88">
        <v>0</v>
      </c>
      <c r="CO113" s="88">
        <v>0</v>
      </c>
      <c r="CP113" s="88">
        <v>0</v>
      </c>
      <c r="CQ113" s="229">
        <v>0</v>
      </c>
      <c r="CR113" s="91">
        <v>0</v>
      </c>
      <c r="CS113" s="91">
        <v>0</v>
      </c>
      <c r="CT113" s="91">
        <v>0</v>
      </c>
      <c r="CU113" s="91">
        <v>0</v>
      </c>
      <c r="CV113" s="91">
        <v>0</v>
      </c>
      <c r="CW113" s="91">
        <v>0</v>
      </c>
      <c r="CX113" s="225">
        <v>0</v>
      </c>
      <c r="CY113" s="1265">
        <v>7666.0309600000001</v>
      </c>
      <c r="CZ113" s="90">
        <v>0</v>
      </c>
      <c r="DA113" s="88">
        <v>0</v>
      </c>
      <c r="DB113" s="88">
        <v>0</v>
      </c>
      <c r="DC113" s="88">
        <v>0</v>
      </c>
      <c r="DD113" s="88">
        <v>0</v>
      </c>
      <c r="DE113" s="152">
        <v>0</v>
      </c>
      <c r="DF113" s="230">
        <v>0</v>
      </c>
      <c r="DG113" s="38">
        <v>0</v>
      </c>
      <c r="DH113" s="1237">
        <v>0</v>
      </c>
      <c r="DI113" s="956">
        <v>0</v>
      </c>
      <c r="DJ113" s="956">
        <v>0</v>
      </c>
      <c r="DK113" s="956">
        <v>0</v>
      </c>
      <c r="DL113" s="152">
        <v>0</v>
      </c>
      <c r="DM113" s="160">
        <v>0</v>
      </c>
      <c r="DN113" s="160">
        <v>0</v>
      </c>
      <c r="DO113" s="160">
        <v>0</v>
      </c>
      <c r="DP113" s="160">
        <v>0</v>
      </c>
      <c r="DQ113" s="160">
        <v>0</v>
      </c>
      <c r="DR113" s="230">
        <v>0</v>
      </c>
      <c r="DS113" s="88">
        <v>0</v>
      </c>
      <c r="DT113" s="88">
        <v>0</v>
      </c>
      <c r="DU113" s="88">
        <v>0</v>
      </c>
      <c r="DV113" s="88">
        <v>0</v>
      </c>
      <c r="DW113" s="88">
        <v>0</v>
      </c>
      <c r="DX113" s="88">
        <v>0</v>
      </c>
      <c r="DY113" s="88">
        <v>0</v>
      </c>
      <c r="DZ113" s="88">
        <v>0</v>
      </c>
      <c r="EA113" s="88">
        <v>0</v>
      </c>
      <c r="EB113" s="152">
        <v>0</v>
      </c>
      <c r="EC113" s="52">
        <f t="shared" si="95"/>
        <v>0</v>
      </c>
      <c r="ED113" s="52">
        <f t="shared" si="95"/>
        <v>0</v>
      </c>
      <c r="EE113" s="52">
        <f t="shared" si="95"/>
        <v>0</v>
      </c>
      <c r="EF113" s="52">
        <f t="shared" si="71"/>
        <v>0</v>
      </c>
      <c r="EG113" s="52">
        <f t="shared" si="96"/>
        <v>0</v>
      </c>
      <c r="EH113" s="238">
        <v>0</v>
      </c>
      <c r="EI113" s="211">
        <v>0</v>
      </c>
      <c r="EJ113" s="211">
        <v>0</v>
      </c>
      <c r="EK113" s="211">
        <v>0</v>
      </c>
      <c r="EL113" s="217">
        <f>IF(C113&gt;=Summary!$E$26,MAX(0,SUM(EH113:EK113)),0)</f>
        <v>0</v>
      </c>
      <c r="EM113" s="52">
        <f>IF(C113&gt;=Summary!$E$26,DX113*BL113,0)</f>
        <v>0</v>
      </c>
      <c r="EN113" s="52">
        <f>IF(C113&gt;=Summary!$E$26,DY113*BM113,0)</f>
        <v>0</v>
      </c>
      <c r="EO113" s="52">
        <f>IF(C113&gt;=Summary!$E$26,DZ113*BN113,0)</f>
        <v>0</v>
      </c>
      <c r="EP113" s="52">
        <f>IF(C113&gt;=Summary!$E$26,EA113*BO113,0)</f>
        <v>0</v>
      </c>
      <c r="EQ113" s="52">
        <f>IF(C113&gt;=Summary!$E$26,DX113*BL113+DY113*BM113+DZ113*BN113+EA113*BO113,0)</f>
        <v>0</v>
      </c>
      <c r="ER113" s="826">
        <v>0</v>
      </c>
      <c r="ES113" s="278">
        <v>0</v>
      </c>
      <c r="ET113" s="278">
        <v>0</v>
      </c>
      <c r="EU113" s="278">
        <v>0</v>
      </c>
      <c r="EV113" s="212">
        <f>IF(C113&gt;=Summary!$E$26,MAX(0,SUM(ER113:EU113)),0)</f>
        <v>0</v>
      </c>
      <c r="EW113" s="52"/>
      <c r="EX113" s="1049">
        <f t="shared" si="97"/>
        <v>0</v>
      </c>
      <c r="EY113" s="1045" t="str">
        <f t="shared" si="98"/>
        <v/>
      </c>
      <c r="EZ113" s="1684" t="s">
        <v>525</v>
      </c>
      <c r="FA113" s="1046">
        <f t="shared" si="111"/>
        <v>45</v>
      </c>
      <c r="FB113" s="256">
        <f t="shared" si="99"/>
        <v>9751.5</v>
      </c>
      <c r="FC113" s="194">
        <f t="shared" si="100"/>
        <v>2925.45</v>
      </c>
      <c r="FD113" s="194">
        <f t="shared" si="101"/>
        <v>1773</v>
      </c>
      <c r="FE113" s="194">
        <f t="shared" si="102"/>
        <v>531.9</v>
      </c>
      <c r="FF113" s="194">
        <f t="shared" si="103"/>
        <v>2216.25</v>
      </c>
      <c r="FG113" s="194">
        <f t="shared" si="104"/>
        <v>664.875</v>
      </c>
      <c r="FH113" s="257">
        <f>IF(EZ113="No",IF((OR(MONTH(C113)=5,MONTH(C113)=6,MONTH(C113)=7,MONTH(C113)=8,MONTH(C113)=9)),Summary!$O$15*12*(AX113+AY113+AZ113+BA113)*(1-$BC113),Summary!$O$15*13*(AX113+AY113+AZ113+BA113)*(1-$BC113)+IF(Summary!$O$16="Yes",(CALC!FA113+Summary!$O$15)*6*(AX113+AY113+AZ113+BA113)*(1-$BC113),0)),0)</f>
        <v>0</v>
      </c>
      <c r="FI113" s="1412">
        <f>IF(MONTH(C113)=5,FI112*(IF(Summary!$E$70="no",(1+(Summary!$E$71*0.8)),1+HLOOKUP(YEAR(C113)-1,CCFMODEL!$I$127:$AF$128,2)*0.8)),+FI112)</f>
        <v>32.160539427248438</v>
      </c>
      <c r="FJ113" s="1411">
        <f>IF(MONTH(C113)=5,FJ112*(IF(Summary!$E$70="no",(1+(Summary!$E$71*0.8)),1+HLOOKUP(YEAR(CALC!C113)-1,CCFMODEL!$I$127:$AF$128,2)*0.8)),FJ112)</f>
        <v>28.108817924602963</v>
      </c>
      <c r="FK113" s="832">
        <f t="shared" si="72"/>
        <v>574482.91177545313</v>
      </c>
      <c r="FL113" s="1412">
        <f>IF(MONTH(C113)=5,FL112*(IF(Summary!$E$70="no",(1+(Summary!$E$71*0.8)),1+HLOOKUP(YEAR(CALC!C113)-1,CCFMODEL!$I$127:$AF$128,2)*0.8)),+FL112)</f>
        <v>67.637219965292999</v>
      </c>
      <c r="FM113" s="1411">
        <f>IF(MONTH(C113)=5,FM112*(IF(Summary!$E$70="no",(1+(Summary!$E$71*0.8)),1+HLOOKUP(YEAR(CALC!C113)-1,CCFMODEL!$I$127:$AF$128,2)*0.8)),+FM112)</f>
        <v>32.281126376731926</v>
      </c>
      <c r="FN113" s="832">
        <f t="shared" si="73"/>
        <v>585418.22684203344</v>
      </c>
      <c r="FO113" s="194">
        <f t="shared" si="105"/>
        <v>1159901.1386174867</v>
      </c>
      <c r="FP113" s="263">
        <f t="shared" si="69"/>
        <v>9751.5</v>
      </c>
      <c r="FQ113" s="194">
        <f t="shared" si="69"/>
        <v>2925.45</v>
      </c>
      <c r="FR113" s="194">
        <f t="shared" si="69"/>
        <v>1773</v>
      </c>
      <c r="FS113" s="194">
        <f t="shared" si="68"/>
        <v>531.9</v>
      </c>
      <c r="FT113" s="194">
        <f t="shared" si="68"/>
        <v>2216.25</v>
      </c>
      <c r="FU113" s="194">
        <f t="shared" si="68"/>
        <v>664.875</v>
      </c>
      <c r="FV113" s="257">
        <f t="shared" si="68"/>
        <v>0</v>
      </c>
      <c r="FW113" s="189">
        <f t="shared" si="74"/>
        <v>0</v>
      </c>
      <c r="FX113" s="189">
        <f t="shared" si="75"/>
        <v>0</v>
      </c>
      <c r="FY113" s="189">
        <f t="shared" si="76"/>
        <v>0</v>
      </c>
      <c r="FZ113" s="258">
        <f t="shared" si="77"/>
        <v>0</v>
      </c>
      <c r="GA113" s="1293">
        <f>(SUM(FP113:FV113)+SUM(GU113:HB113)/(1-Summary!$O$25))*CY113/1000</f>
        <v>233848.17310823637</v>
      </c>
      <c r="GB113" s="1369">
        <f>IF($C113&lt;Summary!$M$81,+Summary!$O$81,VLOOKUP(C113,GasTable,19))</f>
        <v>2.4</v>
      </c>
      <c r="GC113" s="1370">
        <f>IF(H113&lt;=Summary!$N$84,MIN(GA113,Summary!$O$75*(H113-G113+1)),0)</f>
        <v>155000</v>
      </c>
      <c r="GD113" s="1371">
        <f>IF(Summary!$O$75*(H113-G113+1)*0.8&gt;GC113,1,0)</f>
        <v>0</v>
      </c>
      <c r="GE113" s="1372">
        <v>0</v>
      </c>
      <c r="GF113" s="1370">
        <f t="shared" si="106"/>
        <v>78848.173108236369</v>
      </c>
      <c r="GG113" s="1371">
        <f>GF113*(IF(Summary!$O$74=1,VLOOKUP($C113,GasTable,16)+Summary!$O$92+Summary!$O$93,VLOOKUP($C113,GasTable,19)+Summary!$O$92+Summary!$O$93))</f>
        <v>267574.1388796664</v>
      </c>
      <c r="GH113" s="1373">
        <v>20999.4</v>
      </c>
      <c r="GI113" s="1466">
        <v>0</v>
      </c>
      <c r="GJ113" s="1374">
        <f t="shared" si="107"/>
        <v>660573.53887966636</v>
      </c>
      <c r="GK113" s="189">
        <f t="shared" si="78"/>
        <v>30062.012850000003</v>
      </c>
      <c r="GL113" s="266">
        <v>0.7528042402720001</v>
      </c>
      <c r="GM113" s="255">
        <f t="shared" si="79"/>
        <v>15221.000000000002</v>
      </c>
      <c r="GN113" s="189">
        <f>IF(SUM(GU113:HB113)=0,0,IF(Summary!$O$16="Yes",SUM(GX113:HB113),IF(Summary!$O$17="Yes",SUM(GY113:HB113),SUM(GU113:HB113))))</f>
        <v>12199.037849999999</v>
      </c>
      <c r="GO113" s="203">
        <v>3.0143117714011383</v>
      </c>
      <c r="GP113" s="258">
        <f t="shared" si="108"/>
        <v>36771.703391023031</v>
      </c>
      <c r="GQ113" s="189"/>
      <c r="GR113" s="189"/>
      <c r="GS113" s="189"/>
      <c r="GT113" s="189"/>
      <c r="GU113" s="268">
        <v>5646.1184999999996</v>
      </c>
      <c r="GV113" s="189">
        <v>1026.5670000000002</v>
      </c>
      <c r="GW113" s="189">
        <v>1283.20875</v>
      </c>
      <c r="GX113" s="189"/>
      <c r="GY113" s="254">
        <v>3011.2631999999999</v>
      </c>
      <c r="GZ113" s="189">
        <v>547.50239999999997</v>
      </c>
      <c r="HA113" s="189">
        <v>684.37800000000004</v>
      </c>
      <c r="HB113" s="255"/>
      <c r="HC113" s="189">
        <v>12199.037849999999</v>
      </c>
      <c r="HD113" s="189"/>
      <c r="HE113" s="189">
        <v>20950.521524999996</v>
      </c>
      <c r="HF113" s="189">
        <v>523131.83995772956</v>
      </c>
      <c r="HG113" s="189"/>
      <c r="HH113" s="203">
        <v>42.554658587083566</v>
      </c>
      <c r="HI113" s="189">
        <v>891542.29071772017</v>
      </c>
      <c r="HJ113" s="268">
        <f t="shared" si="80"/>
        <v>0</v>
      </c>
      <c r="HK113" s="189">
        <f t="shared" si="81"/>
        <v>0</v>
      </c>
      <c r="HL113" s="189">
        <f t="shared" si="82"/>
        <v>0</v>
      </c>
      <c r="HM113" s="255">
        <f t="shared" si="83"/>
        <v>0</v>
      </c>
      <c r="HN113" s="189">
        <f t="shared" si="84"/>
        <v>0</v>
      </c>
      <c r="HO113" s="203">
        <f t="shared" si="109"/>
        <v>0</v>
      </c>
      <c r="HP113" s="258">
        <f t="shared" si="85"/>
        <v>0</v>
      </c>
      <c r="HQ113" s="203"/>
      <c r="HR113" s="268"/>
      <c r="HS113" s="38"/>
      <c r="HT113" s="255"/>
      <c r="HU113" s="254"/>
      <c r="HV113" s="203"/>
      <c r="HW113" s="189"/>
      <c r="HX113" s="1020"/>
      <c r="HY113" s="258"/>
      <c r="HZ113" s="268"/>
      <c r="IA113" s="203"/>
      <c r="IB113" s="255"/>
      <c r="IC113" s="254"/>
      <c r="ID113" s="203"/>
      <c r="IE113" s="255"/>
      <c r="IF113" s="189"/>
      <c r="IG113" s="203"/>
      <c r="IH113" s="255"/>
      <c r="II113" s="189"/>
      <c r="IJ113" s="203"/>
      <c r="IK113" s="189"/>
      <c r="IL113" s="1182"/>
      <c r="IM113" s="1403"/>
      <c r="IN113" s="254"/>
      <c r="IO113" s="254"/>
      <c r="IP113" s="254"/>
      <c r="IQ113" s="254"/>
      <c r="IR113" s="223"/>
    </row>
    <row r="114" spans="1:252" ht="13.8" thickBot="1">
      <c r="A114" t="str">
        <f t="shared" si="86"/>
        <v>2008Q1</v>
      </c>
      <c r="B114">
        <f t="shared" si="87"/>
        <v>2008</v>
      </c>
      <c r="C114" s="49">
        <f t="shared" si="88"/>
        <v>39479</v>
      </c>
      <c r="D114" s="115">
        <f t="shared" si="89"/>
        <v>2008</v>
      </c>
      <c r="E114" s="10">
        <f t="shared" si="112"/>
        <v>2</v>
      </c>
      <c r="F114" s="248" t="str">
        <f t="shared" si="113"/>
        <v/>
      </c>
      <c r="G114" s="245">
        <v>39479</v>
      </c>
      <c r="H114" s="251">
        <v>39507</v>
      </c>
      <c r="I114" s="959">
        <f t="shared" si="110"/>
        <v>7.1499999999999994E-2</v>
      </c>
      <c r="J114" s="37">
        <f t="shared" si="90"/>
        <v>0.55963118027202674</v>
      </c>
      <c r="K114" s="1036"/>
      <c r="L114" s="37"/>
      <c r="M114" s="1004">
        <v>0</v>
      </c>
      <c r="N114" s="38">
        <f t="shared" si="119"/>
        <v>0</v>
      </c>
      <c r="O114" s="40">
        <f t="shared" si="119"/>
        <v>0</v>
      </c>
      <c r="P114" s="159">
        <f t="shared" si="117"/>
        <v>0</v>
      </c>
      <c r="Q114" s="38">
        <f t="shared" si="120"/>
        <v>0</v>
      </c>
      <c r="R114" s="40">
        <f t="shared" si="120"/>
        <v>0</v>
      </c>
      <c r="S114" s="38">
        <f t="shared" si="120"/>
        <v>0</v>
      </c>
      <c r="T114" s="38">
        <f t="shared" si="120"/>
        <v>0</v>
      </c>
      <c r="U114" s="38">
        <f t="shared" si="120"/>
        <v>0</v>
      </c>
      <c r="V114" s="159">
        <f t="shared" si="120"/>
        <v>0</v>
      </c>
      <c r="W114" s="38">
        <f t="shared" si="120"/>
        <v>0</v>
      </c>
      <c r="X114" s="39">
        <f t="shared" si="120"/>
        <v>0</v>
      </c>
      <c r="Y114" s="46">
        <v>0</v>
      </c>
      <c r="Z114" s="46">
        <v>0</v>
      </c>
      <c r="AA114" s="47">
        <v>0</v>
      </c>
      <c r="AB114" s="46">
        <v>0</v>
      </c>
      <c r="AC114" s="46">
        <v>0</v>
      </c>
      <c r="AD114" s="47">
        <v>0</v>
      </c>
      <c r="AE114" s="46">
        <v>0</v>
      </c>
      <c r="AF114" s="46">
        <v>0</v>
      </c>
      <c r="AG114" s="47">
        <v>0</v>
      </c>
      <c r="AH114" s="46">
        <v>0</v>
      </c>
      <c r="AI114" s="46">
        <v>0</v>
      </c>
      <c r="AJ114" s="47">
        <v>0</v>
      </c>
      <c r="AK114" s="46">
        <v>0</v>
      </c>
      <c r="AL114" s="46">
        <v>0</v>
      </c>
      <c r="AM114" s="47">
        <v>0</v>
      </c>
      <c r="AN114" s="46">
        <v>0</v>
      </c>
      <c r="AO114" s="46">
        <v>0</v>
      </c>
      <c r="AP114" s="47">
        <v>0</v>
      </c>
      <c r="AQ114" s="46">
        <v>0</v>
      </c>
      <c r="AR114" s="46">
        <v>0</v>
      </c>
      <c r="AS114" s="47">
        <v>0</v>
      </c>
      <c r="AT114" s="46">
        <v>0</v>
      </c>
      <c r="AU114" s="46">
        <v>0</v>
      </c>
      <c r="AV114" s="46">
        <v>0</v>
      </c>
      <c r="AW114" s="1545">
        <v>0</v>
      </c>
      <c r="AX114" s="10">
        <f t="shared" si="114"/>
        <v>21</v>
      </c>
      <c r="AY114" s="42">
        <f>IF(AND($E114=MONTH(Summary!$E$24),$D114=YEAR(Summary!$E$24)),Summary!$E$25,1)*IF(G114="",0,INT((H114-MOD(H114,7)-G114)/7)+1-IF(BA114,IF(WEEKDAY(F114)=7,1,0),0))</f>
        <v>4</v>
      </c>
      <c r="AZ114" s="42">
        <f>IF(AND($E114=MONTH(Summary!$E$24),$D114=YEAR(Summary!$E$24)),Summary!$E$25,1)*IF(G114="",0,INT((H114-MOD(H114-1,7)-G114)/7)+1-IF(BA114,IF(WEEKDAY(F114)=1,1,0),0))</f>
        <v>4</v>
      </c>
      <c r="BA114" s="42">
        <v>0</v>
      </c>
      <c r="BB114" s="10">
        <f>IF(AND($E114=MONTH(Summary!$E$24),$D114=YEAR(Summary!$E$24)),Summary!$E$25,1)*IF(G114="",0,H114-G114+1)</f>
        <v>29</v>
      </c>
      <c r="BC114" s="914">
        <f>Summary!$E$19</f>
        <v>1.4999999999999999E-2</v>
      </c>
      <c r="BD114" s="113">
        <v>14893.2</v>
      </c>
      <c r="BE114" s="171">
        <v>2836.8</v>
      </c>
      <c r="BF114" s="171">
        <v>2836.8</v>
      </c>
      <c r="BG114" s="174"/>
      <c r="BH114" s="1198">
        <v>1</v>
      </c>
      <c r="BI114" s="1198">
        <v>1</v>
      </c>
      <c r="BJ114" s="1198">
        <v>1</v>
      </c>
      <c r="BK114" s="1198">
        <v>1</v>
      </c>
      <c r="BL114" s="95">
        <v>2978.64</v>
      </c>
      <c r="BM114" s="171">
        <v>567.36</v>
      </c>
      <c r="BN114" s="171">
        <v>567.36</v>
      </c>
      <c r="BO114" s="174"/>
      <c r="BP114" s="1198">
        <v>1</v>
      </c>
      <c r="BQ114" s="1199">
        <v>1</v>
      </c>
      <c r="BR114" s="1199">
        <v>1</v>
      </c>
      <c r="BS114" s="1200">
        <v>1</v>
      </c>
      <c r="BT114" s="94">
        <f t="shared" si="91"/>
        <v>20566.8</v>
      </c>
      <c r="BU114" s="233">
        <f t="shared" si="92"/>
        <v>20566.8</v>
      </c>
      <c r="BV114" s="92">
        <f t="shared" si="93"/>
        <v>4113.3599999999997</v>
      </c>
      <c r="BW114" s="233">
        <f t="shared" si="94"/>
        <v>4113.3599999999997</v>
      </c>
      <c r="BX114" s="88">
        <v>8.131416837782341</v>
      </c>
      <c r="BY114" s="90">
        <v>0</v>
      </c>
      <c r="BZ114" s="88">
        <v>0</v>
      </c>
      <c r="CA114" s="88">
        <v>0</v>
      </c>
      <c r="CB114" s="88">
        <v>0</v>
      </c>
      <c r="CC114" s="88">
        <v>0</v>
      </c>
      <c r="CD114" s="88">
        <v>0</v>
      </c>
      <c r="CE114" s="100">
        <v>0</v>
      </c>
      <c r="CF114" s="88">
        <v>0</v>
      </c>
      <c r="CG114" s="88">
        <v>0</v>
      </c>
      <c r="CH114" s="88">
        <v>0</v>
      </c>
      <c r="CI114" s="88">
        <v>0</v>
      </c>
      <c r="CJ114" s="228">
        <v>0</v>
      </c>
      <c r="CK114" s="88">
        <v>0</v>
      </c>
      <c r="CL114" s="88">
        <v>0</v>
      </c>
      <c r="CM114" s="88">
        <v>0</v>
      </c>
      <c r="CN114" s="88">
        <v>0</v>
      </c>
      <c r="CO114" s="88">
        <v>0</v>
      </c>
      <c r="CP114" s="88">
        <v>0</v>
      </c>
      <c r="CQ114" s="229">
        <v>0</v>
      </c>
      <c r="CR114" s="91">
        <v>0</v>
      </c>
      <c r="CS114" s="91">
        <v>0</v>
      </c>
      <c r="CT114" s="91">
        <v>0</v>
      </c>
      <c r="CU114" s="91">
        <v>0</v>
      </c>
      <c r="CV114" s="91">
        <v>0</v>
      </c>
      <c r="CW114" s="91">
        <v>0</v>
      </c>
      <c r="CX114" s="225">
        <v>0</v>
      </c>
      <c r="CY114" s="1265">
        <v>7668.0619199999992</v>
      </c>
      <c r="CZ114" s="90">
        <v>0</v>
      </c>
      <c r="DA114" s="88">
        <v>0</v>
      </c>
      <c r="DB114" s="88">
        <v>0</v>
      </c>
      <c r="DC114" s="88">
        <v>0</v>
      </c>
      <c r="DD114" s="88">
        <v>0</v>
      </c>
      <c r="DE114" s="152">
        <v>0</v>
      </c>
      <c r="DF114" s="230">
        <v>0</v>
      </c>
      <c r="DG114" s="38">
        <v>0</v>
      </c>
      <c r="DH114" s="1237">
        <v>0</v>
      </c>
      <c r="DI114" s="956">
        <v>0</v>
      </c>
      <c r="DJ114" s="956">
        <v>0</v>
      </c>
      <c r="DK114" s="956">
        <v>0</v>
      </c>
      <c r="DL114" s="152">
        <v>0</v>
      </c>
      <c r="DM114" s="160">
        <v>0</v>
      </c>
      <c r="DN114" s="160">
        <v>0</v>
      </c>
      <c r="DO114" s="160">
        <v>0</v>
      </c>
      <c r="DP114" s="160">
        <v>0</v>
      </c>
      <c r="DQ114" s="160">
        <v>0</v>
      </c>
      <c r="DR114" s="230">
        <v>0</v>
      </c>
      <c r="DS114" s="88">
        <v>0</v>
      </c>
      <c r="DT114" s="88">
        <v>0</v>
      </c>
      <c r="DU114" s="88">
        <v>0</v>
      </c>
      <c r="DV114" s="88">
        <v>0</v>
      </c>
      <c r="DW114" s="88">
        <v>0</v>
      </c>
      <c r="DX114" s="88">
        <v>0</v>
      </c>
      <c r="DY114" s="88">
        <v>0</v>
      </c>
      <c r="DZ114" s="88">
        <v>0</v>
      </c>
      <c r="EA114" s="88">
        <v>0</v>
      </c>
      <c r="EB114" s="152">
        <v>0</v>
      </c>
      <c r="EC114" s="52">
        <f t="shared" si="95"/>
        <v>0</v>
      </c>
      <c r="ED114" s="52">
        <f t="shared" si="95"/>
        <v>0</v>
      </c>
      <c r="EE114" s="52">
        <f t="shared" si="95"/>
        <v>0</v>
      </c>
      <c r="EF114" s="52">
        <f t="shared" si="71"/>
        <v>0</v>
      </c>
      <c r="EG114" s="52">
        <f t="shared" si="96"/>
        <v>0</v>
      </c>
      <c r="EH114" s="238">
        <v>0</v>
      </c>
      <c r="EI114" s="211">
        <v>0</v>
      </c>
      <c r="EJ114" s="211">
        <v>0</v>
      </c>
      <c r="EK114" s="211">
        <v>0</v>
      </c>
      <c r="EL114" s="217">
        <f>IF(C114&gt;=Summary!$E$26,MAX(0,SUM(EH114:EK114)),0)</f>
        <v>0</v>
      </c>
      <c r="EM114" s="52">
        <f>IF(C114&gt;=Summary!$E$26,DX114*BL114,0)</f>
        <v>0</v>
      </c>
      <c r="EN114" s="52">
        <f>IF(C114&gt;=Summary!$E$26,DY114*BM114,0)</f>
        <v>0</v>
      </c>
      <c r="EO114" s="52">
        <f>IF(C114&gt;=Summary!$E$26,DZ114*BN114,0)</f>
        <v>0</v>
      </c>
      <c r="EP114" s="52">
        <f>IF(C114&gt;=Summary!$E$26,EA114*BO114,0)</f>
        <v>0</v>
      </c>
      <c r="EQ114" s="52">
        <f>IF(C114&gt;=Summary!$E$26,DX114*BL114+DY114*BM114+DZ114*BN114+EA114*BO114,0)</f>
        <v>0</v>
      </c>
      <c r="ER114" s="826">
        <v>0</v>
      </c>
      <c r="ES114" s="278">
        <v>0</v>
      </c>
      <c r="ET114" s="278">
        <v>0</v>
      </c>
      <c r="EU114" s="278">
        <v>0</v>
      </c>
      <c r="EV114" s="212">
        <f>IF(C114&gt;=Summary!$E$26,MAX(0,SUM(ER114:EU114)),0)</f>
        <v>0</v>
      </c>
      <c r="EW114" s="52"/>
      <c r="EX114" s="1049">
        <f t="shared" si="97"/>
        <v>0</v>
      </c>
      <c r="EY114" s="1045" t="str">
        <f t="shared" si="98"/>
        <v/>
      </c>
      <c r="EZ114" s="1684" t="s">
        <v>525</v>
      </c>
      <c r="FA114" s="1046">
        <f t="shared" si="111"/>
        <v>45</v>
      </c>
      <c r="FB114" s="256">
        <f t="shared" si="99"/>
        <v>9308.25</v>
      </c>
      <c r="FC114" s="194">
        <f t="shared" si="100"/>
        <v>2792.4749999999999</v>
      </c>
      <c r="FD114" s="194">
        <f t="shared" si="101"/>
        <v>1773</v>
      </c>
      <c r="FE114" s="194">
        <f t="shared" si="102"/>
        <v>531.9</v>
      </c>
      <c r="FF114" s="194">
        <f t="shared" si="103"/>
        <v>1773</v>
      </c>
      <c r="FG114" s="194">
        <f t="shared" si="104"/>
        <v>531.9</v>
      </c>
      <c r="FH114" s="257">
        <f>IF(EZ114="No",IF((OR(MONTH(C114)=5,MONTH(C114)=6,MONTH(C114)=7,MONTH(C114)=8,MONTH(C114)=9)),Summary!$O$15*12*(AX114+AY114+AZ114+BA114)*(1-$BC114),Summary!$O$15*13*(AX114+AY114+AZ114+BA114)*(1-$BC114)+IF(Summary!$O$16="Yes",(CALC!FA114+Summary!$O$15)*6*(AX114+AY114+AZ114+BA114)*(1-$BC114),0)),0)</f>
        <v>0</v>
      </c>
      <c r="FI114" s="1412">
        <f>IF(MONTH(C114)=5,FI113*(IF(Summary!$E$70="no",(1+(Summary!$E$71*0.8)),1+HLOOKUP(YEAR(C114)-1,CCFMODEL!$I$127:$AF$128,2)*0.8)),+FI113)</f>
        <v>32.160539427248438</v>
      </c>
      <c r="FJ114" s="1411">
        <f>IF(MONTH(C114)=5,FJ113*(IF(Summary!$E$70="no",(1+(Summary!$E$71*0.8)),1+HLOOKUP(YEAR(CALC!C114)-1,CCFMODEL!$I$127:$AF$128,2)*0.8)),FJ113)</f>
        <v>28.108817924602963</v>
      </c>
      <c r="FK114" s="832">
        <f t="shared" si="72"/>
        <v>537419.49811252079</v>
      </c>
      <c r="FL114" s="1412">
        <f>IF(MONTH(C114)=5,FL113*(IF(Summary!$E$70="no",(1+(Summary!$E$71*0.8)),1+HLOOKUP(YEAR(CALC!C114)-1,CCFMODEL!$I$127:$AF$128,2)*0.8)),+FL113)</f>
        <v>67.637219965292999</v>
      </c>
      <c r="FM114" s="1411">
        <f>IF(MONTH(C114)=5,FM113*(IF(Summary!$E$70="no",(1+(Summary!$E$71*0.8)),1+HLOOKUP(YEAR(CALC!C114)-1,CCFMODEL!$I$127:$AF$128,2)*0.8)),+FM113)</f>
        <v>32.281126376731926</v>
      </c>
      <c r="FN114" s="832">
        <f t="shared" si="73"/>
        <v>547649.30898125714</v>
      </c>
      <c r="FO114" s="194">
        <f t="shared" si="105"/>
        <v>1085068.8070937779</v>
      </c>
      <c r="FP114" s="263">
        <f t="shared" si="69"/>
        <v>9308.25</v>
      </c>
      <c r="FQ114" s="194">
        <f t="shared" si="69"/>
        <v>2792.4749999999999</v>
      </c>
      <c r="FR114" s="194">
        <f t="shared" si="69"/>
        <v>1773</v>
      </c>
      <c r="FS114" s="194">
        <f t="shared" si="68"/>
        <v>531.9</v>
      </c>
      <c r="FT114" s="194">
        <f t="shared" si="68"/>
        <v>1773</v>
      </c>
      <c r="FU114" s="194">
        <f t="shared" si="68"/>
        <v>531.9</v>
      </c>
      <c r="FV114" s="257">
        <f t="shared" si="68"/>
        <v>0</v>
      </c>
      <c r="FW114" s="189">
        <f t="shared" si="74"/>
        <v>0</v>
      </c>
      <c r="FX114" s="189">
        <f t="shared" si="75"/>
        <v>0</v>
      </c>
      <c r="FY114" s="189">
        <f t="shared" si="76"/>
        <v>0</v>
      </c>
      <c r="FZ114" s="258">
        <f t="shared" si="77"/>
        <v>0</v>
      </c>
      <c r="GA114" s="1293">
        <f>(SUM(FP114:FV114)+SUM(GU114:HB114)/(1-Summary!$O$25))*CY114/1000</f>
        <v>218819.15055605519</v>
      </c>
      <c r="GB114" s="1369">
        <f>IF($C114&lt;Summary!$M$81,+Summary!$O$81,VLOOKUP(C114,GasTable,19))</f>
        <v>2.4</v>
      </c>
      <c r="GC114" s="1370">
        <f>IF(H114&lt;=Summary!$N$84,MIN(GA114,Summary!$O$75*(H114-G114+1)),0)</f>
        <v>145000</v>
      </c>
      <c r="GD114" s="1371">
        <f>IF(Summary!$O$75*(H114-G114+1)*0.8&gt;GC114,1,0)</f>
        <v>0</v>
      </c>
      <c r="GE114" s="1372">
        <v>0</v>
      </c>
      <c r="GF114" s="1370">
        <f t="shared" si="106"/>
        <v>73819.150556055189</v>
      </c>
      <c r="GG114" s="1371">
        <f>GF114*(IF(Summary!$O$74=1,VLOOKUP($C114,GasTable,16)+Summary!$O$92+Summary!$O$93,VLOOKUP($C114,GasTable,19)+Summary!$O$92+Summary!$O$93))</f>
        <v>231667.24298729381</v>
      </c>
      <c r="GH114" s="1373">
        <v>19006.599999999999</v>
      </c>
      <c r="GI114" s="1466">
        <v>0</v>
      </c>
      <c r="GJ114" s="1374">
        <f t="shared" si="107"/>
        <v>598673.84298729373</v>
      </c>
      <c r="GK114" s="189">
        <f t="shared" si="78"/>
        <v>28122.528150000002</v>
      </c>
      <c r="GL114" s="266">
        <v>0.75300368054399991</v>
      </c>
      <c r="GM114" s="255">
        <f t="shared" si="79"/>
        <v>14238.999999999998</v>
      </c>
      <c r="GN114" s="189">
        <f>IF(SUM(GU114:HB114)=0,0,IF(Summary!$O$16="Yes",SUM(GX114:HB114),IF(Summary!$O$17="Yes",SUM(GY114:HB114),SUM(GU114:HB114))))</f>
        <v>11412.003149999999</v>
      </c>
      <c r="GO114" s="203">
        <v>3.0143117714011383</v>
      </c>
      <c r="GP114" s="258">
        <f t="shared" si="108"/>
        <v>34399.335430311869</v>
      </c>
      <c r="GQ114" s="189"/>
      <c r="GR114" s="189"/>
      <c r="GS114" s="189"/>
      <c r="GT114" s="189"/>
      <c r="GU114" s="268">
        <v>5389.4767500000007</v>
      </c>
      <c r="GV114" s="189">
        <v>1026.5670000000002</v>
      </c>
      <c r="GW114" s="189">
        <v>1026.5670000000002</v>
      </c>
      <c r="GX114" s="189"/>
      <c r="GY114" s="254">
        <v>2874.3875999999996</v>
      </c>
      <c r="GZ114" s="189">
        <v>547.50239999999997</v>
      </c>
      <c r="HA114" s="189">
        <v>547.50239999999997</v>
      </c>
      <c r="HB114" s="255"/>
      <c r="HC114" s="189">
        <v>11412.003149999999</v>
      </c>
      <c r="HD114" s="189"/>
      <c r="HE114" s="189">
        <v>19598.874974999999</v>
      </c>
      <c r="HF114" s="189">
        <v>395517.13249355002</v>
      </c>
      <c r="HG114" s="189"/>
      <c r="HH114" s="203">
        <v>34.39924018338818</v>
      </c>
      <c r="HI114" s="189">
        <v>674186.40758922091</v>
      </c>
      <c r="HJ114" s="268">
        <f t="shared" si="80"/>
        <v>0</v>
      </c>
      <c r="HK114" s="189">
        <f t="shared" si="81"/>
        <v>0</v>
      </c>
      <c r="HL114" s="189">
        <f t="shared" si="82"/>
        <v>0</v>
      </c>
      <c r="HM114" s="255">
        <f t="shared" si="83"/>
        <v>0</v>
      </c>
      <c r="HN114" s="189">
        <f t="shared" si="84"/>
        <v>0</v>
      </c>
      <c r="HO114" s="203">
        <f t="shared" si="109"/>
        <v>0</v>
      </c>
      <c r="HP114" s="258">
        <f t="shared" si="85"/>
        <v>0</v>
      </c>
      <c r="HQ114" s="203"/>
      <c r="HR114" s="268"/>
      <c r="HS114" s="38"/>
      <c r="HT114" s="255"/>
      <c r="HU114" s="254"/>
      <c r="HV114" s="203"/>
      <c r="HW114" s="189"/>
      <c r="HX114" s="1020"/>
      <c r="HY114" s="258"/>
      <c r="HZ114" s="268"/>
      <c r="IA114" s="203"/>
      <c r="IB114" s="255"/>
      <c r="IC114" s="254"/>
      <c r="ID114" s="203"/>
      <c r="IE114" s="255"/>
      <c r="IF114" s="189"/>
      <c r="IG114" s="203"/>
      <c r="IH114" s="255"/>
      <c r="II114" s="189"/>
      <c r="IJ114" s="203"/>
      <c r="IK114" s="189"/>
      <c r="IL114" s="1182"/>
      <c r="IM114" s="1403"/>
      <c r="IN114" s="254"/>
      <c r="IO114" s="254"/>
      <c r="IP114" s="254"/>
      <c r="IQ114" s="254"/>
      <c r="IR114" s="223"/>
    </row>
    <row r="115" spans="1:252" ht="13.8" thickBot="1">
      <c r="A115" t="str">
        <f t="shared" si="86"/>
        <v>2008Q1</v>
      </c>
      <c r="B115">
        <f t="shared" si="87"/>
        <v>2008</v>
      </c>
      <c r="C115" s="49">
        <f t="shared" si="88"/>
        <v>39508</v>
      </c>
      <c r="D115" s="115">
        <f t="shared" si="89"/>
        <v>2008</v>
      </c>
      <c r="E115" s="10">
        <f t="shared" si="112"/>
        <v>3</v>
      </c>
      <c r="F115" s="248" t="str">
        <f t="shared" si="113"/>
        <v/>
      </c>
      <c r="G115" s="245">
        <v>39508</v>
      </c>
      <c r="H115" s="251">
        <v>39538</v>
      </c>
      <c r="I115" s="959">
        <f t="shared" si="110"/>
        <v>7.1499999999999994E-2</v>
      </c>
      <c r="J115" s="37">
        <f t="shared" si="90"/>
        <v>0.55630431263779834</v>
      </c>
      <c r="K115" s="1036"/>
      <c r="L115" s="37"/>
      <c r="M115" s="1004">
        <v>0</v>
      </c>
      <c r="N115" s="38">
        <f t="shared" si="119"/>
        <v>0</v>
      </c>
      <c r="O115" s="40">
        <f t="shared" si="119"/>
        <v>0</v>
      </c>
      <c r="P115" s="159">
        <f t="shared" si="117"/>
        <v>0</v>
      </c>
      <c r="Q115" s="38">
        <f t="shared" si="120"/>
        <v>0</v>
      </c>
      <c r="R115" s="40">
        <f t="shared" si="120"/>
        <v>0</v>
      </c>
      <c r="S115" s="38">
        <f t="shared" si="120"/>
        <v>0</v>
      </c>
      <c r="T115" s="38">
        <f t="shared" si="120"/>
        <v>0</v>
      </c>
      <c r="U115" s="38">
        <f t="shared" si="120"/>
        <v>0</v>
      </c>
      <c r="V115" s="159">
        <f t="shared" si="120"/>
        <v>0</v>
      </c>
      <c r="W115" s="38">
        <f t="shared" si="120"/>
        <v>0</v>
      </c>
      <c r="X115" s="39">
        <f t="shared" si="120"/>
        <v>0</v>
      </c>
      <c r="Y115" s="46">
        <v>0</v>
      </c>
      <c r="Z115" s="46">
        <v>0</v>
      </c>
      <c r="AA115" s="47">
        <v>0</v>
      </c>
      <c r="AB115" s="46">
        <v>0</v>
      </c>
      <c r="AC115" s="46">
        <v>0</v>
      </c>
      <c r="AD115" s="47">
        <v>0</v>
      </c>
      <c r="AE115" s="46">
        <v>0</v>
      </c>
      <c r="AF115" s="46">
        <v>0</v>
      </c>
      <c r="AG115" s="47">
        <v>0</v>
      </c>
      <c r="AH115" s="46">
        <v>0</v>
      </c>
      <c r="AI115" s="46">
        <v>0</v>
      </c>
      <c r="AJ115" s="47">
        <v>0</v>
      </c>
      <c r="AK115" s="46">
        <v>0</v>
      </c>
      <c r="AL115" s="46">
        <v>0</v>
      </c>
      <c r="AM115" s="47">
        <v>0</v>
      </c>
      <c r="AN115" s="46">
        <v>0</v>
      </c>
      <c r="AO115" s="46">
        <v>0</v>
      </c>
      <c r="AP115" s="47">
        <v>0</v>
      </c>
      <c r="AQ115" s="46">
        <v>0</v>
      </c>
      <c r="AR115" s="46">
        <v>0</v>
      </c>
      <c r="AS115" s="47">
        <v>0</v>
      </c>
      <c r="AT115" s="46">
        <v>0</v>
      </c>
      <c r="AU115" s="46">
        <v>0</v>
      </c>
      <c r="AV115" s="46">
        <v>0</v>
      </c>
      <c r="AW115" s="1545">
        <v>0</v>
      </c>
      <c r="AX115" s="10">
        <f t="shared" si="114"/>
        <v>21</v>
      </c>
      <c r="AY115" s="42">
        <f>IF(AND($E115=MONTH(Summary!$E$24),$D115=YEAR(Summary!$E$24)),Summary!$E$25,1)*IF(G115="",0,INT((H115-MOD(H115,7)-G115)/7)+1-IF(BA115,IF(WEEKDAY(F115)=7,1,0),0))</f>
        <v>5</v>
      </c>
      <c r="AZ115" s="42">
        <f>IF(AND($E115=MONTH(Summary!$E$24),$D115=YEAR(Summary!$E$24)),Summary!$E$25,1)*IF(G115="",0,INT((H115-MOD(H115-1,7)-G115)/7)+1-IF(BA115,IF(WEEKDAY(F115)=1,1,0),0))</f>
        <v>5</v>
      </c>
      <c r="BA115" s="42">
        <v>0</v>
      </c>
      <c r="BB115" s="10">
        <f>IF(AND($E115=MONTH(Summary!$E$24),$D115=YEAR(Summary!$E$24)),Summary!$E$25,1)*IF(G115="",0,H115-G115+1)</f>
        <v>31</v>
      </c>
      <c r="BC115" s="914">
        <f>Summary!$E$19</f>
        <v>1.4999999999999999E-2</v>
      </c>
      <c r="BD115" s="113">
        <v>14893.2</v>
      </c>
      <c r="BE115" s="171">
        <v>3546</v>
      </c>
      <c r="BF115" s="171">
        <v>3546</v>
      </c>
      <c r="BG115" s="174"/>
      <c r="BH115" s="1198">
        <v>1</v>
      </c>
      <c r="BI115" s="1198">
        <v>1</v>
      </c>
      <c r="BJ115" s="1198">
        <v>1</v>
      </c>
      <c r="BK115" s="1198">
        <v>1</v>
      </c>
      <c r="BL115" s="95">
        <v>2978.64</v>
      </c>
      <c r="BM115" s="171">
        <v>709.2</v>
      </c>
      <c r="BN115" s="171">
        <v>709.2</v>
      </c>
      <c r="BO115" s="174"/>
      <c r="BP115" s="1198">
        <v>1</v>
      </c>
      <c r="BQ115" s="1199">
        <v>1</v>
      </c>
      <c r="BR115" s="1199">
        <v>1</v>
      </c>
      <c r="BS115" s="1200">
        <v>1</v>
      </c>
      <c r="BT115" s="94">
        <f t="shared" si="91"/>
        <v>21985.200000000001</v>
      </c>
      <c r="BU115" s="233">
        <f t="shared" si="92"/>
        <v>21985.200000000001</v>
      </c>
      <c r="BV115" s="92">
        <f t="shared" si="93"/>
        <v>4397.04</v>
      </c>
      <c r="BW115" s="233">
        <f t="shared" si="94"/>
        <v>4397.04</v>
      </c>
      <c r="BX115" s="88">
        <v>8.2108145106091719</v>
      </c>
      <c r="BY115" s="90">
        <v>0</v>
      </c>
      <c r="BZ115" s="88">
        <v>0</v>
      </c>
      <c r="CA115" s="88">
        <v>0</v>
      </c>
      <c r="CB115" s="88">
        <v>0</v>
      </c>
      <c r="CC115" s="88">
        <v>0</v>
      </c>
      <c r="CD115" s="88">
        <v>0</v>
      </c>
      <c r="CE115" s="100">
        <v>0</v>
      </c>
      <c r="CF115" s="88">
        <v>0</v>
      </c>
      <c r="CG115" s="88">
        <v>0</v>
      </c>
      <c r="CH115" s="88">
        <v>0</v>
      </c>
      <c r="CI115" s="88">
        <v>0</v>
      </c>
      <c r="CJ115" s="228">
        <v>0</v>
      </c>
      <c r="CK115" s="88">
        <v>0</v>
      </c>
      <c r="CL115" s="88">
        <v>0</v>
      </c>
      <c r="CM115" s="88">
        <v>0</v>
      </c>
      <c r="CN115" s="88">
        <v>0</v>
      </c>
      <c r="CO115" s="88">
        <v>0</v>
      </c>
      <c r="CP115" s="88">
        <v>0</v>
      </c>
      <c r="CQ115" s="229">
        <v>0</v>
      </c>
      <c r="CR115" s="91">
        <v>0</v>
      </c>
      <c r="CS115" s="91">
        <v>0</v>
      </c>
      <c r="CT115" s="91">
        <v>0</v>
      </c>
      <c r="CU115" s="91">
        <v>0</v>
      </c>
      <c r="CV115" s="91">
        <v>0</v>
      </c>
      <c r="CW115" s="91">
        <v>0</v>
      </c>
      <c r="CX115" s="225">
        <v>0</v>
      </c>
      <c r="CY115" s="1265">
        <v>7670.0928800000011</v>
      </c>
      <c r="CZ115" s="90">
        <v>0</v>
      </c>
      <c r="DA115" s="88">
        <v>0</v>
      </c>
      <c r="DB115" s="88">
        <v>0</v>
      </c>
      <c r="DC115" s="88">
        <v>0</v>
      </c>
      <c r="DD115" s="88">
        <v>0</v>
      </c>
      <c r="DE115" s="152">
        <v>0</v>
      </c>
      <c r="DF115" s="230">
        <v>0</v>
      </c>
      <c r="DG115" s="38">
        <v>0</v>
      </c>
      <c r="DH115" s="1237">
        <v>0</v>
      </c>
      <c r="DI115" s="956">
        <v>0</v>
      </c>
      <c r="DJ115" s="956">
        <v>0</v>
      </c>
      <c r="DK115" s="956">
        <v>0</v>
      </c>
      <c r="DL115" s="152">
        <v>0</v>
      </c>
      <c r="DM115" s="160">
        <v>0</v>
      </c>
      <c r="DN115" s="160">
        <v>0</v>
      </c>
      <c r="DO115" s="160">
        <v>0</v>
      </c>
      <c r="DP115" s="160">
        <v>0</v>
      </c>
      <c r="DQ115" s="160">
        <v>0</v>
      </c>
      <c r="DR115" s="230">
        <v>0</v>
      </c>
      <c r="DS115" s="88">
        <v>0</v>
      </c>
      <c r="DT115" s="88">
        <v>0</v>
      </c>
      <c r="DU115" s="88">
        <v>0</v>
      </c>
      <c r="DV115" s="88">
        <v>0</v>
      </c>
      <c r="DW115" s="88">
        <v>0</v>
      </c>
      <c r="DX115" s="88">
        <v>0</v>
      </c>
      <c r="DY115" s="88">
        <v>0</v>
      </c>
      <c r="DZ115" s="88">
        <v>0</v>
      </c>
      <c r="EA115" s="88">
        <v>0</v>
      </c>
      <c r="EB115" s="152">
        <v>0</v>
      </c>
      <c r="EC115" s="52">
        <f t="shared" si="95"/>
        <v>0</v>
      </c>
      <c r="ED115" s="52">
        <f t="shared" si="95"/>
        <v>0</v>
      </c>
      <c r="EE115" s="52">
        <f t="shared" si="95"/>
        <v>0</v>
      </c>
      <c r="EF115" s="52">
        <f t="shared" si="71"/>
        <v>0</v>
      </c>
      <c r="EG115" s="52">
        <f t="shared" si="96"/>
        <v>0</v>
      </c>
      <c r="EH115" s="238">
        <v>0</v>
      </c>
      <c r="EI115" s="211">
        <v>0</v>
      </c>
      <c r="EJ115" s="211">
        <v>0</v>
      </c>
      <c r="EK115" s="211">
        <v>0</v>
      </c>
      <c r="EL115" s="217">
        <f>IF(C115&gt;=Summary!$E$26,MAX(0,SUM(EH115:EK115)),0)</f>
        <v>0</v>
      </c>
      <c r="EM115" s="52">
        <f>IF(C115&gt;=Summary!$E$26,DX115*BL115,0)</f>
        <v>0</v>
      </c>
      <c r="EN115" s="52">
        <f>IF(C115&gt;=Summary!$E$26,DY115*BM115,0)</f>
        <v>0</v>
      </c>
      <c r="EO115" s="52">
        <f>IF(C115&gt;=Summary!$E$26,DZ115*BN115,0)</f>
        <v>0</v>
      </c>
      <c r="EP115" s="52">
        <f>IF(C115&gt;=Summary!$E$26,EA115*BO115,0)</f>
        <v>0</v>
      </c>
      <c r="EQ115" s="52">
        <f>IF(C115&gt;=Summary!$E$26,DX115*BL115+DY115*BM115+DZ115*BN115+EA115*BO115,0)</f>
        <v>0</v>
      </c>
      <c r="ER115" s="826">
        <v>0</v>
      </c>
      <c r="ES115" s="278">
        <v>0</v>
      </c>
      <c r="ET115" s="278">
        <v>0</v>
      </c>
      <c r="EU115" s="278">
        <v>0</v>
      </c>
      <c r="EV115" s="212">
        <f>IF(C115&gt;=Summary!$E$26,MAX(0,SUM(ER115:EU115)),0)</f>
        <v>0</v>
      </c>
      <c r="EW115" s="52"/>
      <c r="EX115" s="1049">
        <f t="shared" si="97"/>
        <v>0</v>
      </c>
      <c r="EY115" s="1045" t="str">
        <f t="shared" si="98"/>
        <v/>
      </c>
      <c r="EZ115" s="1684" t="s">
        <v>525</v>
      </c>
      <c r="FA115" s="1046">
        <f t="shared" si="111"/>
        <v>45</v>
      </c>
      <c r="FB115" s="256">
        <f t="shared" si="99"/>
        <v>9308.25</v>
      </c>
      <c r="FC115" s="194">
        <f t="shared" si="100"/>
        <v>2792.4749999999999</v>
      </c>
      <c r="FD115" s="194">
        <f t="shared" si="101"/>
        <v>2216.25</v>
      </c>
      <c r="FE115" s="194">
        <f t="shared" si="102"/>
        <v>664.875</v>
      </c>
      <c r="FF115" s="194">
        <f t="shared" si="103"/>
        <v>2216.25</v>
      </c>
      <c r="FG115" s="194">
        <f t="shared" si="104"/>
        <v>664.875</v>
      </c>
      <c r="FH115" s="257">
        <f>IF(EZ115="No",IF((OR(MONTH(C115)=5,MONTH(C115)=6,MONTH(C115)=7,MONTH(C115)=8,MONTH(C115)=9)),Summary!$O$15*12*(AX115+AY115+AZ115+BA115)*(1-$BC115),Summary!$O$15*13*(AX115+AY115+AZ115+BA115)*(1-$BC115)+IF(Summary!$O$16="Yes",(CALC!FA115+Summary!$O$15)*6*(AX115+AY115+AZ115+BA115)*(1-$BC115),0)),0)</f>
        <v>0</v>
      </c>
      <c r="FI115" s="1412">
        <f>IF(MONTH(C115)=5,FI114*(IF(Summary!$E$70="no",(1+(Summary!$E$71*0.8)),1+HLOOKUP(YEAR(C115)-1,CCFMODEL!$I$127:$AF$128,2)*0.8)),+FI114)</f>
        <v>32.160539427248438</v>
      </c>
      <c r="FJ115" s="1411">
        <f>IF(MONTH(C115)=5,FJ114*(IF(Summary!$E$70="no",(1+(Summary!$E$71*0.8)),1+HLOOKUP(YEAR(CALC!C115)-1,CCFMODEL!$I$127:$AF$128,2)*0.8)),FJ114)</f>
        <v>28.108817924602963</v>
      </c>
      <c r="FK115" s="832">
        <f t="shared" si="72"/>
        <v>574482.91177545313</v>
      </c>
      <c r="FL115" s="1412">
        <f>IF(MONTH(C115)=5,FL114*(IF(Summary!$E$70="no",(1+(Summary!$E$71*0.8)),1+HLOOKUP(YEAR(CALC!C115)-1,CCFMODEL!$I$127:$AF$128,2)*0.8)),+FL114)</f>
        <v>67.637219965292999</v>
      </c>
      <c r="FM115" s="1411">
        <f>IF(MONTH(C115)=5,FM114*(IF(Summary!$E$70="no",(1+(Summary!$E$71*0.8)),1+HLOOKUP(YEAR(CALC!C115)-1,CCFMODEL!$I$127:$AF$128,2)*0.8)),+FM114)</f>
        <v>32.281126376731926</v>
      </c>
      <c r="FN115" s="832">
        <f t="shared" si="73"/>
        <v>585418.22684203344</v>
      </c>
      <c r="FO115" s="194">
        <f t="shared" si="105"/>
        <v>1159901.1386174867</v>
      </c>
      <c r="FP115" s="263">
        <f t="shared" si="69"/>
        <v>9308.25</v>
      </c>
      <c r="FQ115" s="194">
        <f t="shared" si="69"/>
        <v>2792.4749999999999</v>
      </c>
      <c r="FR115" s="194">
        <f t="shared" si="69"/>
        <v>2216.25</v>
      </c>
      <c r="FS115" s="194">
        <f t="shared" si="68"/>
        <v>664.875</v>
      </c>
      <c r="FT115" s="194">
        <f t="shared" si="68"/>
        <v>2216.25</v>
      </c>
      <c r="FU115" s="194">
        <f t="shared" si="68"/>
        <v>664.875</v>
      </c>
      <c r="FV115" s="257">
        <f t="shared" si="68"/>
        <v>0</v>
      </c>
      <c r="FW115" s="189">
        <f t="shared" si="74"/>
        <v>0</v>
      </c>
      <c r="FX115" s="189">
        <f t="shared" si="75"/>
        <v>0</v>
      </c>
      <c r="FY115" s="189">
        <f t="shared" si="76"/>
        <v>0</v>
      </c>
      <c r="FZ115" s="258">
        <f t="shared" si="77"/>
        <v>0</v>
      </c>
      <c r="GA115" s="1293">
        <f>(SUM(FP115:FV115)+SUM(GU115:HB115)/(1-Summary!$O$25))*CY115/1000</f>
        <v>233972.07980470924</v>
      </c>
      <c r="GB115" s="1369">
        <f>IF($C115&lt;Summary!$M$81,+Summary!$O$81,VLOOKUP(C115,GasTable,19))</f>
        <v>2.4</v>
      </c>
      <c r="GC115" s="1370">
        <f>IF(H115&lt;=Summary!$N$84,MIN(GA115,Summary!$O$75*(H115-G115+1)),0)</f>
        <v>155000</v>
      </c>
      <c r="GD115" s="1371">
        <f>IF(Summary!$O$75*(H115-G115+1)*0.8&gt;GC115,1,0)</f>
        <v>0</v>
      </c>
      <c r="GE115" s="1372">
        <v>0</v>
      </c>
      <c r="GF115" s="1370">
        <f t="shared" si="106"/>
        <v>78972.079804709239</v>
      </c>
      <c r="GG115" s="1371">
        <f>GF115*(IF(Summary!$O$74=1,VLOOKUP($C115,GasTable,16)+Summary!$O$92+Summary!$O$93,VLOOKUP($C115,GasTable,19)+Summary!$O$92+Summary!$O$93))</f>
        <v>234767.26932837974</v>
      </c>
      <c r="GH115" s="1373">
        <v>19542.400000000001</v>
      </c>
      <c r="GI115" s="1466">
        <v>0</v>
      </c>
      <c r="GJ115" s="1374">
        <f t="shared" si="107"/>
        <v>626309.66932837979</v>
      </c>
      <c r="GK115" s="189">
        <f t="shared" si="78"/>
        <v>30062.012850000003</v>
      </c>
      <c r="GL115" s="266">
        <v>0.75320312081600005</v>
      </c>
      <c r="GM115" s="255">
        <f t="shared" si="79"/>
        <v>15220.999999999998</v>
      </c>
      <c r="GN115" s="189">
        <f>IF(SUM(GU115:HB115)=0,0,IF(Summary!$O$16="Yes",SUM(GX115:HB115),IF(Summary!$O$17="Yes",SUM(GY115:HB115),SUM(GU115:HB115))))</f>
        <v>12199.037850000001</v>
      </c>
      <c r="GO115" s="203">
        <v>3.0143117714011383</v>
      </c>
      <c r="GP115" s="258">
        <f t="shared" si="108"/>
        <v>36771.703391023038</v>
      </c>
      <c r="GQ115" s="189"/>
      <c r="GR115" s="189"/>
      <c r="GS115" s="189"/>
      <c r="GT115" s="189"/>
      <c r="GU115" s="268">
        <v>5389.4767500000007</v>
      </c>
      <c r="GV115" s="189">
        <v>1283.20875</v>
      </c>
      <c r="GW115" s="189">
        <v>1283.20875</v>
      </c>
      <c r="GX115" s="189"/>
      <c r="GY115" s="254">
        <v>2874.3875999999996</v>
      </c>
      <c r="GZ115" s="189">
        <v>684.37800000000004</v>
      </c>
      <c r="HA115" s="189">
        <v>684.37800000000004</v>
      </c>
      <c r="HB115" s="255"/>
      <c r="HC115" s="189">
        <v>12199.037850000001</v>
      </c>
      <c r="HD115" s="189"/>
      <c r="HE115" s="189">
        <v>20950.521525</v>
      </c>
      <c r="HF115" s="189">
        <v>419793.40006151627</v>
      </c>
      <c r="HG115" s="189"/>
      <c r="HH115" s="203">
        <v>33.847293811552731</v>
      </c>
      <c r="HI115" s="189">
        <v>709118.45756193483</v>
      </c>
      <c r="HJ115" s="268">
        <f t="shared" si="80"/>
        <v>0</v>
      </c>
      <c r="HK115" s="189">
        <f t="shared" si="81"/>
        <v>0</v>
      </c>
      <c r="HL115" s="189">
        <f t="shared" si="82"/>
        <v>0</v>
      </c>
      <c r="HM115" s="255">
        <f t="shared" si="83"/>
        <v>0</v>
      </c>
      <c r="HN115" s="189">
        <f t="shared" si="84"/>
        <v>0</v>
      </c>
      <c r="HO115" s="203">
        <f t="shared" si="109"/>
        <v>0</v>
      </c>
      <c r="HP115" s="258">
        <f t="shared" si="85"/>
        <v>0</v>
      </c>
      <c r="HQ115" s="203"/>
      <c r="HR115" s="268"/>
      <c r="HS115" s="38"/>
      <c r="HT115" s="255"/>
      <c r="HU115" s="254"/>
      <c r="HV115" s="203"/>
      <c r="HW115" s="189"/>
      <c r="HX115" s="1020"/>
      <c r="HY115" s="258"/>
      <c r="HZ115" s="268"/>
      <c r="IA115" s="203"/>
      <c r="IB115" s="255"/>
      <c r="IC115" s="254"/>
      <c r="ID115" s="203"/>
      <c r="IE115" s="255"/>
      <c r="IF115" s="189"/>
      <c r="IG115" s="203"/>
      <c r="IH115" s="255"/>
      <c r="II115" s="189"/>
      <c r="IJ115" s="203"/>
      <c r="IK115" s="189"/>
      <c r="IL115" s="1182"/>
      <c r="IM115" s="1403"/>
      <c r="IN115" s="254"/>
      <c r="IO115" s="254"/>
      <c r="IP115" s="254"/>
      <c r="IQ115" s="254"/>
      <c r="IR115" s="223"/>
    </row>
    <row r="116" spans="1:252" ht="13.8" thickBot="1">
      <c r="A116" t="str">
        <f t="shared" si="86"/>
        <v>2008Q2</v>
      </c>
      <c r="B116">
        <f t="shared" si="87"/>
        <v>2008</v>
      </c>
      <c r="C116" s="49">
        <f t="shared" si="88"/>
        <v>39539</v>
      </c>
      <c r="D116" s="115">
        <f t="shared" si="89"/>
        <v>2008</v>
      </c>
      <c r="E116" s="10">
        <f t="shared" si="112"/>
        <v>4</v>
      </c>
      <c r="F116" s="248" t="str">
        <f t="shared" si="113"/>
        <v/>
      </c>
      <c r="G116" s="245">
        <v>39539</v>
      </c>
      <c r="H116" s="251">
        <v>39568</v>
      </c>
      <c r="I116" s="959">
        <f t="shared" si="110"/>
        <v>7.1499999999999994E-2</v>
      </c>
      <c r="J116" s="37">
        <f t="shared" si="90"/>
        <v>0.55310359523647779</v>
      </c>
      <c r="K116" s="1036"/>
      <c r="L116" s="37"/>
      <c r="M116" s="1004">
        <v>0</v>
      </c>
      <c r="N116" s="38">
        <f t="shared" si="119"/>
        <v>0</v>
      </c>
      <c r="O116" s="40">
        <f t="shared" si="119"/>
        <v>0</v>
      </c>
      <c r="P116" s="159">
        <f t="shared" si="117"/>
        <v>0</v>
      </c>
      <c r="Q116" s="38">
        <f t="shared" si="120"/>
        <v>0</v>
      </c>
      <c r="R116" s="40">
        <f t="shared" si="120"/>
        <v>0</v>
      </c>
      <c r="S116" s="38">
        <f t="shared" si="120"/>
        <v>0</v>
      </c>
      <c r="T116" s="38">
        <f t="shared" si="120"/>
        <v>0</v>
      </c>
      <c r="U116" s="38">
        <f t="shared" si="120"/>
        <v>0</v>
      </c>
      <c r="V116" s="159">
        <f t="shared" si="120"/>
        <v>0</v>
      </c>
      <c r="W116" s="38">
        <f t="shared" si="120"/>
        <v>0</v>
      </c>
      <c r="X116" s="39">
        <f t="shared" si="120"/>
        <v>0</v>
      </c>
      <c r="Y116" s="46">
        <v>0</v>
      </c>
      <c r="Z116" s="46">
        <v>0</v>
      </c>
      <c r="AA116" s="47">
        <v>0</v>
      </c>
      <c r="AB116" s="46">
        <v>0</v>
      </c>
      <c r="AC116" s="46">
        <v>0</v>
      </c>
      <c r="AD116" s="47">
        <v>0</v>
      </c>
      <c r="AE116" s="46">
        <v>0</v>
      </c>
      <c r="AF116" s="46">
        <v>0</v>
      </c>
      <c r="AG116" s="47">
        <v>0</v>
      </c>
      <c r="AH116" s="46">
        <v>0</v>
      </c>
      <c r="AI116" s="46">
        <v>0</v>
      </c>
      <c r="AJ116" s="47">
        <v>0</v>
      </c>
      <c r="AK116" s="46">
        <v>0</v>
      </c>
      <c r="AL116" s="46">
        <v>0</v>
      </c>
      <c r="AM116" s="47">
        <v>0</v>
      </c>
      <c r="AN116" s="46">
        <v>0</v>
      </c>
      <c r="AO116" s="46">
        <v>0</v>
      </c>
      <c r="AP116" s="47">
        <v>0</v>
      </c>
      <c r="AQ116" s="46">
        <v>0</v>
      </c>
      <c r="AR116" s="46">
        <v>0</v>
      </c>
      <c r="AS116" s="47">
        <v>0</v>
      </c>
      <c r="AT116" s="46">
        <v>0</v>
      </c>
      <c r="AU116" s="46">
        <v>0</v>
      </c>
      <c r="AV116" s="46">
        <v>0</v>
      </c>
      <c r="AW116" s="1545">
        <v>0</v>
      </c>
      <c r="AX116" s="10">
        <f t="shared" si="114"/>
        <v>22</v>
      </c>
      <c r="AY116" s="42">
        <f>IF(AND($E116=MONTH(Summary!$E$24),$D116=YEAR(Summary!$E$24)),Summary!$E$25,1)*IF(G116="",0,INT((H116-MOD(H116,7)-G116)/7)+1-IF(BA116,IF(WEEKDAY(F116)=7,1,0),0))</f>
        <v>4</v>
      </c>
      <c r="AZ116" s="42">
        <f>IF(AND($E116=MONTH(Summary!$E$24),$D116=YEAR(Summary!$E$24)),Summary!$E$25,1)*IF(G116="",0,INT((H116-MOD(H116-1,7)-G116)/7)+1-IF(BA116,IF(WEEKDAY(F116)=1,1,0),0))</f>
        <v>4</v>
      </c>
      <c r="BA116" s="42">
        <v>0</v>
      </c>
      <c r="BB116" s="10">
        <f>IF(AND($E116=MONTH(Summary!$E$24),$D116=YEAR(Summary!$E$24)),Summary!$E$25,1)*IF(G116="",0,H116-G116+1)</f>
        <v>30</v>
      </c>
      <c r="BC116" s="914">
        <f>Summary!$E$19</f>
        <v>1.4999999999999999E-2</v>
      </c>
      <c r="BD116" s="113">
        <v>15602.4</v>
      </c>
      <c r="BE116" s="171">
        <v>2836.8</v>
      </c>
      <c r="BF116" s="171">
        <v>2836.8</v>
      </c>
      <c r="BG116" s="174"/>
      <c r="BH116" s="1198">
        <v>1</v>
      </c>
      <c r="BI116" s="1198">
        <v>1</v>
      </c>
      <c r="BJ116" s="1198">
        <v>1</v>
      </c>
      <c r="BK116" s="1198">
        <v>1</v>
      </c>
      <c r="BL116" s="95">
        <v>3120.48</v>
      </c>
      <c r="BM116" s="171">
        <v>567.36</v>
      </c>
      <c r="BN116" s="171">
        <v>567.36</v>
      </c>
      <c r="BO116" s="174"/>
      <c r="BP116" s="1198">
        <v>1</v>
      </c>
      <c r="BQ116" s="1199">
        <v>1</v>
      </c>
      <c r="BR116" s="1199">
        <v>1</v>
      </c>
      <c r="BS116" s="1200">
        <v>1</v>
      </c>
      <c r="BT116" s="94">
        <f t="shared" si="91"/>
        <v>21276</v>
      </c>
      <c r="BU116" s="233">
        <f t="shared" si="92"/>
        <v>21276</v>
      </c>
      <c r="BV116" s="92">
        <f t="shared" si="93"/>
        <v>4255.2</v>
      </c>
      <c r="BW116" s="233">
        <f t="shared" si="94"/>
        <v>4255.2</v>
      </c>
      <c r="BX116" s="88">
        <v>8.2956878850102669</v>
      </c>
      <c r="BY116" s="90">
        <v>0</v>
      </c>
      <c r="BZ116" s="88">
        <v>0</v>
      </c>
      <c r="CA116" s="88">
        <v>0</v>
      </c>
      <c r="CB116" s="88">
        <v>0</v>
      </c>
      <c r="CC116" s="88">
        <v>0</v>
      </c>
      <c r="CD116" s="88">
        <v>0</v>
      </c>
      <c r="CE116" s="100">
        <v>0</v>
      </c>
      <c r="CF116" s="88">
        <v>0</v>
      </c>
      <c r="CG116" s="88">
        <v>0</v>
      </c>
      <c r="CH116" s="88">
        <v>0</v>
      </c>
      <c r="CI116" s="88">
        <v>0</v>
      </c>
      <c r="CJ116" s="228">
        <v>0</v>
      </c>
      <c r="CK116" s="88">
        <v>0</v>
      </c>
      <c r="CL116" s="88">
        <v>0</v>
      </c>
      <c r="CM116" s="88">
        <v>0</v>
      </c>
      <c r="CN116" s="88">
        <v>0</v>
      </c>
      <c r="CO116" s="88">
        <v>0</v>
      </c>
      <c r="CP116" s="88">
        <v>0</v>
      </c>
      <c r="CQ116" s="229">
        <v>0</v>
      </c>
      <c r="CR116" s="91">
        <v>0</v>
      </c>
      <c r="CS116" s="91">
        <v>0</v>
      </c>
      <c r="CT116" s="91">
        <v>0</v>
      </c>
      <c r="CU116" s="91">
        <v>0</v>
      </c>
      <c r="CV116" s="91">
        <v>0</v>
      </c>
      <c r="CW116" s="91">
        <v>0</v>
      </c>
      <c r="CX116" s="225">
        <v>0</v>
      </c>
      <c r="CY116" s="1265">
        <v>7672.1238400000002</v>
      </c>
      <c r="CZ116" s="90">
        <v>0</v>
      </c>
      <c r="DA116" s="88">
        <v>0</v>
      </c>
      <c r="DB116" s="88">
        <v>0</v>
      </c>
      <c r="DC116" s="88">
        <v>0</v>
      </c>
      <c r="DD116" s="88">
        <v>0</v>
      </c>
      <c r="DE116" s="152">
        <v>0</v>
      </c>
      <c r="DF116" s="230">
        <v>0</v>
      </c>
      <c r="DG116" s="38">
        <v>0</v>
      </c>
      <c r="DH116" s="1237">
        <v>0</v>
      </c>
      <c r="DI116" s="956">
        <v>0</v>
      </c>
      <c r="DJ116" s="956">
        <v>0</v>
      </c>
      <c r="DK116" s="956">
        <v>0</v>
      </c>
      <c r="DL116" s="152">
        <v>0</v>
      </c>
      <c r="DM116" s="160">
        <v>0</v>
      </c>
      <c r="DN116" s="160">
        <v>0</v>
      </c>
      <c r="DO116" s="160">
        <v>0</v>
      </c>
      <c r="DP116" s="160">
        <v>0</v>
      </c>
      <c r="DQ116" s="160">
        <v>0</v>
      </c>
      <c r="DR116" s="230">
        <v>0</v>
      </c>
      <c r="DS116" s="88">
        <v>0</v>
      </c>
      <c r="DT116" s="88">
        <v>0</v>
      </c>
      <c r="DU116" s="88">
        <v>0</v>
      </c>
      <c r="DV116" s="88">
        <v>0</v>
      </c>
      <c r="DW116" s="88">
        <v>0</v>
      </c>
      <c r="DX116" s="88">
        <v>0</v>
      </c>
      <c r="DY116" s="88">
        <v>0</v>
      </c>
      <c r="DZ116" s="88">
        <v>0</v>
      </c>
      <c r="EA116" s="88">
        <v>0</v>
      </c>
      <c r="EB116" s="152">
        <v>0</v>
      </c>
      <c r="EC116" s="52">
        <f t="shared" si="95"/>
        <v>0</v>
      </c>
      <c r="ED116" s="52">
        <f t="shared" si="95"/>
        <v>0</v>
      </c>
      <c r="EE116" s="52">
        <f t="shared" si="95"/>
        <v>0</v>
      </c>
      <c r="EF116" s="52">
        <f t="shared" si="71"/>
        <v>0</v>
      </c>
      <c r="EG116" s="52">
        <f t="shared" si="96"/>
        <v>0</v>
      </c>
      <c r="EH116" s="238">
        <v>0</v>
      </c>
      <c r="EI116" s="211">
        <v>0</v>
      </c>
      <c r="EJ116" s="211">
        <v>0</v>
      </c>
      <c r="EK116" s="211">
        <v>0</v>
      </c>
      <c r="EL116" s="217">
        <f>IF(C116&gt;=Summary!$E$26,MAX(0,SUM(EH116:EK116)),0)</f>
        <v>0</v>
      </c>
      <c r="EM116" s="52">
        <f>IF(C116&gt;=Summary!$E$26,DX116*BL116,0)</f>
        <v>0</v>
      </c>
      <c r="EN116" s="52">
        <f>IF(C116&gt;=Summary!$E$26,DY116*BM116,0)</f>
        <v>0</v>
      </c>
      <c r="EO116" s="52">
        <f>IF(C116&gt;=Summary!$E$26,DZ116*BN116,0)</f>
        <v>0</v>
      </c>
      <c r="EP116" s="52">
        <f>IF(C116&gt;=Summary!$E$26,EA116*BO116,0)</f>
        <v>0</v>
      </c>
      <c r="EQ116" s="52">
        <f>IF(C116&gt;=Summary!$E$26,DX116*BL116+DY116*BM116+DZ116*BN116+EA116*BO116,0)</f>
        <v>0</v>
      </c>
      <c r="ER116" s="826">
        <v>0</v>
      </c>
      <c r="ES116" s="278">
        <v>0</v>
      </c>
      <c r="ET116" s="278">
        <v>0</v>
      </c>
      <c r="EU116" s="278">
        <v>0</v>
      </c>
      <c r="EV116" s="212">
        <f>IF(C116&gt;=Summary!$E$26,MAX(0,SUM(ER116:EU116)),0)</f>
        <v>0</v>
      </c>
      <c r="EW116" s="52"/>
      <c r="EX116" s="1049">
        <f t="shared" si="97"/>
        <v>0</v>
      </c>
      <c r="EY116" s="1045" t="str">
        <f t="shared" si="98"/>
        <v/>
      </c>
      <c r="EZ116" s="1684" t="s">
        <v>525</v>
      </c>
      <c r="FA116" s="1046">
        <f t="shared" si="111"/>
        <v>45</v>
      </c>
      <c r="FB116" s="256">
        <f t="shared" si="99"/>
        <v>9751.5</v>
      </c>
      <c r="FC116" s="194">
        <f t="shared" si="100"/>
        <v>2925.45</v>
      </c>
      <c r="FD116" s="194">
        <f t="shared" si="101"/>
        <v>1773</v>
      </c>
      <c r="FE116" s="194">
        <f t="shared" si="102"/>
        <v>531.9</v>
      </c>
      <c r="FF116" s="194">
        <f t="shared" si="103"/>
        <v>1773</v>
      </c>
      <c r="FG116" s="194">
        <f t="shared" si="104"/>
        <v>531.9</v>
      </c>
      <c r="FH116" s="257">
        <f>IF(EZ116="No",IF((OR(MONTH(C116)=5,MONTH(C116)=6,MONTH(C116)=7,MONTH(C116)=8,MONTH(C116)=9)),Summary!$O$15*12*(AX116+AY116+AZ116+BA116)*(1-$BC116),Summary!$O$15*13*(AX116+AY116+AZ116+BA116)*(1-$BC116)+IF(Summary!$O$16="Yes",(CALC!FA116+Summary!$O$15)*6*(AX116+AY116+AZ116+BA116)*(1-$BC116),0)),0)</f>
        <v>0</v>
      </c>
      <c r="FI116" s="1412">
        <f>IF(MONTH(C116)=5,FI115*(IF(Summary!$E$70="no",(1+(Summary!$E$71*0.8)),1+HLOOKUP(YEAR(C116)-1,CCFMODEL!$I$127:$AF$128,2)*0.8)),+FI115)</f>
        <v>32.160539427248438</v>
      </c>
      <c r="FJ116" s="1411">
        <f>IF(MONTH(C116)=5,FJ115*(IF(Summary!$E$70="no",(1+(Summary!$E$71*0.8)),1+HLOOKUP(YEAR(CALC!C116)-1,CCFMODEL!$I$127:$AF$128,2)*0.8)),FJ115)</f>
        <v>28.108817924602963</v>
      </c>
      <c r="FK116" s="832">
        <f t="shared" si="72"/>
        <v>555951.20494398696</v>
      </c>
      <c r="FL116" s="1412">
        <f>IF(MONTH(C116)=5,FL115*(IF(Summary!$E$70="no",(1+(Summary!$E$71*0.8)),1+HLOOKUP(YEAR(CALC!C116)-1,CCFMODEL!$I$127:$AF$128,2)*0.8)),+FL115)</f>
        <v>67.637219965292999</v>
      </c>
      <c r="FM116" s="1411">
        <f>IF(MONTH(C116)=5,FM115*(IF(Summary!$E$70="no",(1+(Summary!$E$71*0.8)),1+HLOOKUP(YEAR(CALC!C116)-1,CCFMODEL!$I$127:$AF$128,2)*0.8)),+FM115)</f>
        <v>32.281126376731926</v>
      </c>
      <c r="FN116" s="832">
        <f t="shared" si="73"/>
        <v>566533.76791164535</v>
      </c>
      <c r="FO116" s="194">
        <f t="shared" si="105"/>
        <v>1122484.9728556322</v>
      </c>
      <c r="FP116" s="263">
        <f t="shared" si="69"/>
        <v>9751.5</v>
      </c>
      <c r="FQ116" s="194">
        <f t="shared" si="69"/>
        <v>2925.45</v>
      </c>
      <c r="FR116" s="194">
        <f t="shared" si="69"/>
        <v>1773</v>
      </c>
      <c r="FS116" s="194">
        <f t="shared" si="68"/>
        <v>531.9</v>
      </c>
      <c r="FT116" s="194">
        <f t="shared" si="68"/>
        <v>1773</v>
      </c>
      <c r="FU116" s="194">
        <f t="shared" si="68"/>
        <v>531.9</v>
      </c>
      <c r="FV116" s="257">
        <f t="shared" si="68"/>
        <v>0</v>
      </c>
      <c r="FW116" s="189">
        <f t="shared" si="74"/>
        <v>0</v>
      </c>
      <c r="FX116" s="189">
        <f t="shared" si="75"/>
        <v>0</v>
      </c>
      <c r="FY116" s="189">
        <f t="shared" si="76"/>
        <v>0</v>
      </c>
      <c r="FZ116" s="258">
        <f t="shared" si="77"/>
        <v>0</v>
      </c>
      <c r="GA116" s="1293">
        <f>(SUM(FP116:FV116)+SUM(GU116:HB116)/(1-Summary!$O$25))*CY116/1000</f>
        <v>226484.548212528</v>
      </c>
      <c r="GB116" s="1369">
        <f>IF($C116&lt;Summary!$M$81,+Summary!$O$81,VLOOKUP(C116,GasTable,19))</f>
        <v>2.4</v>
      </c>
      <c r="GC116" s="1370">
        <f>IF(H116&lt;=Summary!$N$84,MIN(GA116,Summary!$O$75*(H116-G116+1)),0)</f>
        <v>150000</v>
      </c>
      <c r="GD116" s="1371">
        <f>IF(Summary!$O$75*(H116-G116+1)*0.8&gt;GC116,1,0)</f>
        <v>0</v>
      </c>
      <c r="GE116" s="1372">
        <v>0</v>
      </c>
      <c r="GF116" s="1370">
        <f t="shared" si="106"/>
        <v>76484.548212527996</v>
      </c>
      <c r="GG116" s="1371">
        <f>GF116*(IF(Summary!$O$74=1,VLOOKUP($C116,GasTable,16)+Summary!$O$92+Summary!$O$93,VLOOKUP($C116,GasTable,19)+Summary!$O$92+Summary!$O$93))</f>
        <v>220670.5796278058</v>
      </c>
      <c r="GH116" s="1373">
        <v>18162</v>
      </c>
      <c r="GI116" s="1466">
        <v>0</v>
      </c>
      <c r="GJ116" s="1374">
        <f t="shared" si="107"/>
        <v>598832.57962780586</v>
      </c>
      <c r="GK116" s="189">
        <f t="shared" si="78"/>
        <v>29092.270500000002</v>
      </c>
      <c r="GL116" s="266">
        <v>0.75340256108800019</v>
      </c>
      <c r="GM116" s="255">
        <f t="shared" si="79"/>
        <v>14730.000000000002</v>
      </c>
      <c r="GN116" s="189">
        <f>IF(SUM(GU116:HB116)=0,0,IF(Summary!$O$16="Yes",SUM(GX116:HB116),IF(Summary!$O$17="Yes",SUM(GY116:HB116),SUM(GU116:HB116))))</f>
        <v>11805.520499999999</v>
      </c>
      <c r="GO116" s="203">
        <v>3.0143117714011383</v>
      </c>
      <c r="GP116" s="258">
        <f t="shared" si="108"/>
        <v>35585.519410667446</v>
      </c>
      <c r="GQ116" s="189"/>
      <c r="GR116" s="189"/>
      <c r="GS116" s="189"/>
      <c r="GT116" s="189"/>
      <c r="GU116" s="268">
        <v>5646.1184999999996</v>
      </c>
      <c r="GV116" s="189">
        <v>1026.5670000000002</v>
      </c>
      <c r="GW116" s="189">
        <v>1026.5670000000002</v>
      </c>
      <c r="GX116" s="189"/>
      <c r="GY116" s="254">
        <v>3011.2631999999999</v>
      </c>
      <c r="GZ116" s="189">
        <v>547.50239999999997</v>
      </c>
      <c r="HA116" s="189">
        <v>547.50239999999997</v>
      </c>
      <c r="HB116" s="255"/>
      <c r="HC116" s="189">
        <v>11805.520499999999</v>
      </c>
      <c r="HD116" s="189"/>
      <c r="HE116" s="189">
        <v>20274.698249999998</v>
      </c>
      <c r="HF116" s="189">
        <v>388579.93488096556</v>
      </c>
      <c r="HG116" s="189"/>
      <c r="HH116" s="203">
        <v>32.320340557594832</v>
      </c>
      <c r="HI116" s="189">
        <v>655285.15214247187</v>
      </c>
      <c r="HJ116" s="268">
        <f t="shared" si="80"/>
        <v>0</v>
      </c>
      <c r="HK116" s="189">
        <f t="shared" si="81"/>
        <v>0</v>
      </c>
      <c r="HL116" s="189">
        <f t="shared" si="82"/>
        <v>0</v>
      </c>
      <c r="HM116" s="255">
        <f t="shared" si="83"/>
        <v>0</v>
      </c>
      <c r="HN116" s="189">
        <f t="shared" si="84"/>
        <v>0</v>
      </c>
      <c r="HO116" s="203">
        <f t="shared" si="109"/>
        <v>0</v>
      </c>
      <c r="HP116" s="258">
        <f t="shared" si="85"/>
        <v>0</v>
      </c>
      <c r="HQ116" s="203"/>
      <c r="HR116" s="268"/>
      <c r="HS116" s="38"/>
      <c r="HT116" s="255"/>
      <c r="HU116" s="254"/>
      <c r="HV116" s="203"/>
      <c r="HW116" s="189"/>
      <c r="HX116" s="1020"/>
      <c r="HY116" s="258"/>
      <c r="HZ116" s="268"/>
      <c r="IA116" s="203"/>
      <c r="IB116" s="255"/>
      <c r="IC116" s="254"/>
      <c r="ID116" s="203"/>
      <c r="IE116" s="255"/>
      <c r="IF116" s="189"/>
      <c r="IG116" s="203"/>
      <c r="IH116" s="255"/>
      <c r="II116" s="189"/>
      <c r="IJ116" s="203"/>
      <c r="IK116" s="189"/>
      <c r="IL116" s="1182"/>
      <c r="IM116" s="1403"/>
      <c r="IN116" s="254"/>
      <c r="IO116" s="254"/>
      <c r="IP116" s="254"/>
      <c r="IQ116" s="254"/>
      <c r="IR116" s="223"/>
    </row>
    <row r="117" spans="1:252" ht="13.8" thickBot="1">
      <c r="A117" t="str">
        <f t="shared" si="86"/>
        <v>2008Q2</v>
      </c>
      <c r="B117">
        <f t="shared" si="87"/>
        <v>2008</v>
      </c>
      <c r="C117" s="49">
        <f t="shared" si="88"/>
        <v>39569</v>
      </c>
      <c r="D117" s="115">
        <f t="shared" si="89"/>
        <v>2008</v>
      </c>
      <c r="E117" s="10">
        <f t="shared" si="112"/>
        <v>5</v>
      </c>
      <c r="F117" s="248">
        <f t="shared" si="113"/>
        <v>39594</v>
      </c>
      <c r="G117" s="245">
        <v>39569</v>
      </c>
      <c r="H117" s="251">
        <v>39599</v>
      </c>
      <c r="I117" s="959">
        <f t="shared" si="110"/>
        <v>7.1499999999999994E-2</v>
      </c>
      <c r="J117" s="37">
        <f t="shared" si="90"/>
        <v>0.54981553246543402</v>
      </c>
      <c r="K117" s="1036"/>
      <c r="L117" s="37"/>
      <c r="M117" s="1004">
        <v>0</v>
      </c>
      <c r="N117" s="38">
        <f t="shared" si="119"/>
        <v>0</v>
      </c>
      <c r="O117" s="40">
        <f t="shared" si="119"/>
        <v>0</v>
      </c>
      <c r="P117" s="159">
        <f t="shared" si="117"/>
        <v>0</v>
      </c>
      <c r="Q117" s="38">
        <f t="shared" si="120"/>
        <v>0</v>
      </c>
      <c r="R117" s="40">
        <f t="shared" si="120"/>
        <v>0</v>
      </c>
      <c r="S117" s="38">
        <f t="shared" si="120"/>
        <v>0</v>
      </c>
      <c r="T117" s="38">
        <f t="shared" si="120"/>
        <v>0</v>
      </c>
      <c r="U117" s="38">
        <f t="shared" si="120"/>
        <v>0</v>
      </c>
      <c r="V117" s="159">
        <f t="shared" si="120"/>
        <v>0</v>
      </c>
      <c r="W117" s="38">
        <f t="shared" si="120"/>
        <v>0</v>
      </c>
      <c r="X117" s="39">
        <f t="shared" si="120"/>
        <v>0</v>
      </c>
      <c r="Y117" s="46">
        <v>0</v>
      </c>
      <c r="Z117" s="46">
        <v>0</v>
      </c>
      <c r="AA117" s="47">
        <v>0</v>
      </c>
      <c r="AB117" s="46">
        <v>0</v>
      </c>
      <c r="AC117" s="46">
        <v>0</v>
      </c>
      <c r="AD117" s="47">
        <v>0</v>
      </c>
      <c r="AE117" s="46">
        <v>0</v>
      </c>
      <c r="AF117" s="46">
        <v>0</v>
      </c>
      <c r="AG117" s="47">
        <v>0</v>
      </c>
      <c r="AH117" s="46">
        <v>0</v>
      </c>
      <c r="AI117" s="46">
        <v>0</v>
      </c>
      <c r="AJ117" s="47">
        <v>0</v>
      </c>
      <c r="AK117" s="46">
        <v>0</v>
      </c>
      <c r="AL117" s="46">
        <v>0</v>
      </c>
      <c r="AM117" s="47">
        <v>0</v>
      </c>
      <c r="AN117" s="46">
        <v>0</v>
      </c>
      <c r="AO117" s="46">
        <v>0</v>
      </c>
      <c r="AP117" s="47">
        <v>0</v>
      </c>
      <c r="AQ117" s="46">
        <v>0</v>
      </c>
      <c r="AR117" s="46">
        <v>0</v>
      </c>
      <c r="AS117" s="47">
        <v>0</v>
      </c>
      <c r="AT117" s="46">
        <v>0</v>
      </c>
      <c r="AU117" s="46">
        <v>0</v>
      </c>
      <c r="AV117" s="46">
        <v>0</v>
      </c>
      <c r="AW117" s="1545">
        <v>0</v>
      </c>
      <c r="AX117" s="10">
        <f t="shared" si="114"/>
        <v>21</v>
      </c>
      <c r="AY117" s="42">
        <f>IF(AND($E117=MONTH(Summary!$E$24),$D117=YEAR(Summary!$E$24)),Summary!$E$25,1)*IF(G117="",0,INT((H117-MOD(H117,7)-G117)/7)+1-IF(BA117,IF(WEEKDAY(F117)=7,1,0),0))</f>
        <v>5</v>
      </c>
      <c r="AZ117" s="42">
        <f>IF(AND($E117=MONTH(Summary!$E$24),$D117=YEAR(Summary!$E$24)),Summary!$E$25,1)*IF(G117="",0,INT((H117-MOD(H117-1,7)-G117)/7)+1-IF(BA117,IF(WEEKDAY(F117)=1,1,0),0))</f>
        <v>4</v>
      </c>
      <c r="BA117" s="42">
        <v>1</v>
      </c>
      <c r="BB117" s="10">
        <f>IF(AND($E117=MONTH(Summary!$E$24),$D117=YEAR(Summary!$E$24)),Summary!$E$25,1)*IF(G117="",0,H117-G117+1)</f>
        <v>31</v>
      </c>
      <c r="BC117" s="914">
        <f>Summary!$E$19</f>
        <v>1.4999999999999999E-2</v>
      </c>
      <c r="BD117" s="113">
        <v>14893.2</v>
      </c>
      <c r="BE117" s="171">
        <v>3546</v>
      </c>
      <c r="BF117" s="171">
        <v>3546</v>
      </c>
      <c r="BG117" s="174"/>
      <c r="BH117" s="1198">
        <v>1</v>
      </c>
      <c r="BI117" s="1198">
        <v>1</v>
      </c>
      <c r="BJ117" s="1198">
        <v>1</v>
      </c>
      <c r="BK117" s="1198">
        <v>1</v>
      </c>
      <c r="BL117" s="95">
        <v>2978.64</v>
      </c>
      <c r="BM117" s="171">
        <v>709.2</v>
      </c>
      <c r="BN117" s="171">
        <v>709.2</v>
      </c>
      <c r="BO117" s="174"/>
      <c r="BP117" s="1198">
        <v>1</v>
      </c>
      <c r="BQ117" s="1199">
        <v>1</v>
      </c>
      <c r="BR117" s="1199">
        <v>1</v>
      </c>
      <c r="BS117" s="1200">
        <v>1</v>
      </c>
      <c r="BT117" s="94">
        <f t="shared" si="91"/>
        <v>21985.200000000001</v>
      </c>
      <c r="BU117" s="233">
        <f t="shared" si="92"/>
        <v>21985.200000000001</v>
      </c>
      <c r="BV117" s="92">
        <f t="shared" si="93"/>
        <v>4397.04</v>
      </c>
      <c r="BW117" s="233">
        <f t="shared" si="94"/>
        <v>4397.04</v>
      </c>
      <c r="BX117" s="88">
        <v>8.3778234086242307</v>
      </c>
      <c r="BY117" s="90">
        <v>0</v>
      </c>
      <c r="BZ117" s="88">
        <v>0</v>
      </c>
      <c r="CA117" s="88">
        <v>0</v>
      </c>
      <c r="CB117" s="88">
        <v>0</v>
      </c>
      <c r="CC117" s="88">
        <v>0</v>
      </c>
      <c r="CD117" s="88">
        <v>0</v>
      </c>
      <c r="CE117" s="100">
        <v>0</v>
      </c>
      <c r="CF117" s="88">
        <v>0</v>
      </c>
      <c r="CG117" s="88">
        <v>0</v>
      </c>
      <c r="CH117" s="88">
        <v>0</v>
      </c>
      <c r="CI117" s="88">
        <v>0</v>
      </c>
      <c r="CJ117" s="228">
        <v>0</v>
      </c>
      <c r="CK117" s="88">
        <v>0</v>
      </c>
      <c r="CL117" s="88">
        <v>0</v>
      </c>
      <c r="CM117" s="88">
        <v>0</v>
      </c>
      <c r="CN117" s="88">
        <v>0</v>
      </c>
      <c r="CO117" s="88">
        <v>0</v>
      </c>
      <c r="CP117" s="88">
        <v>0</v>
      </c>
      <c r="CQ117" s="229">
        <v>0</v>
      </c>
      <c r="CR117" s="91">
        <v>0</v>
      </c>
      <c r="CS117" s="91">
        <v>0</v>
      </c>
      <c r="CT117" s="91">
        <v>0</v>
      </c>
      <c r="CU117" s="91">
        <v>0</v>
      </c>
      <c r="CV117" s="91">
        <v>0</v>
      </c>
      <c r="CW117" s="91">
        <v>0</v>
      </c>
      <c r="CX117" s="225">
        <v>0</v>
      </c>
      <c r="CY117" s="1265">
        <v>7674.1548000000003</v>
      </c>
      <c r="CZ117" s="90">
        <v>0</v>
      </c>
      <c r="DA117" s="88">
        <v>0</v>
      </c>
      <c r="DB117" s="88">
        <v>0</v>
      </c>
      <c r="DC117" s="88">
        <v>0</v>
      </c>
      <c r="DD117" s="88">
        <v>0</v>
      </c>
      <c r="DE117" s="152">
        <v>0</v>
      </c>
      <c r="DF117" s="230">
        <v>0</v>
      </c>
      <c r="DG117" s="38">
        <v>0</v>
      </c>
      <c r="DH117" s="1237">
        <v>0</v>
      </c>
      <c r="DI117" s="956">
        <v>0</v>
      </c>
      <c r="DJ117" s="956">
        <v>0</v>
      </c>
      <c r="DK117" s="956">
        <v>0</v>
      </c>
      <c r="DL117" s="152">
        <v>0</v>
      </c>
      <c r="DM117" s="160">
        <v>0</v>
      </c>
      <c r="DN117" s="160">
        <v>0</v>
      </c>
      <c r="DO117" s="160">
        <v>0</v>
      </c>
      <c r="DP117" s="160">
        <v>0</v>
      </c>
      <c r="DQ117" s="160">
        <v>0</v>
      </c>
      <c r="DR117" s="230">
        <v>0</v>
      </c>
      <c r="DS117" s="88">
        <v>0</v>
      </c>
      <c r="DT117" s="88">
        <v>0</v>
      </c>
      <c r="DU117" s="88">
        <v>0</v>
      </c>
      <c r="DV117" s="88">
        <v>0</v>
      </c>
      <c r="DW117" s="88">
        <v>0</v>
      </c>
      <c r="DX117" s="88">
        <v>0</v>
      </c>
      <c r="DY117" s="88">
        <v>0</v>
      </c>
      <c r="DZ117" s="88">
        <v>0</v>
      </c>
      <c r="EA117" s="88">
        <v>0</v>
      </c>
      <c r="EB117" s="152">
        <v>0</v>
      </c>
      <c r="EC117" s="52">
        <f t="shared" si="95"/>
        <v>0</v>
      </c>
      <c r="ED117" s="52">
        <f t="shared" si="95"/>
        <v>0</v>
      </c>
      <c r="EE117" s="52">
        <f t="shared" si="95"/>
        <v>0</v>
      </c>
      <c r="EF117" s="52">
        <f t="shared" si="71"/>
        <v>0</v>
      </c>
      <c r="EG117" s="52">
        <f t="shared" si="96"/>
        <v>0</v>
      </c>
      <c r="EH117" s="238">
        <v>0</v>
      </c>
      <c r="EI117" s="211">
        <v>0</v>
      </c>
      <c r="EJ117" s="211">
        <v>0</v>
      </c>
      <c r="EK117" s="211">
        <v>0</v>
      </c>
      <c r="EL117" s="217">
        <f>IF(C117&gt;=Summary!$E$26,MAX(0,SUM(EH117:EK117)),0)</f>
        <v>0</v>
      </c>
      <c r="EM117" s="52">
        <f>IF(C117&gt;=Summary!$E$26,DX117*BL117,0)</f>
        <v>0</v>
      </c>
      <c r="EN117" s="52">
        <f>IF(C117&gt;=Summary!$E$26,DY117*BM117,0)</f>
        <v>0</v>
      </c>
      <c r="EO117" s="52">
        <f>IF(C117&gt;=Summary!$E$26,DZ117*BN117,0)</f>
        <v>0</v>
      </c>
      <c r="EP117" s="52">
        <f>IF(C117&gt;=Summary!$E$26,EA117*BO117,0)</f>
        <v>0</v>
      </c>
      <c r="EQ117" s="52">
        <f>IF(C117&gt;=Summary!$E$26,DX117*BL117+DY117*BM117+DZ117*BN117+EA117*BO117,0)</f>
        <v>0</v>
      </c>
      <c r="ER117" s="826">
        <v>0</v>
      </c>
      <c r="ES117" s="278">
        <v>0</v>
      </c>
      <c r="ET117" s="278">
        <v>0</v>
      </c>
      <c r="EU117" s="278">
        <v>0</v>
      </c>
      <c r="EV117" s="212">
        <f>IF(C117&gt;=Summary!$E$26,MAX(0,SUM(ER117:EU117)),0)</f>
        <v>0</v>
      </c>
      <c r="EW117" s="52"/>
      <c r="EX117" s="1049">
        <f t="shared" si="97"/>
        <v>0</v>
      </c>
      <c r="EY117" s="1045" t="str">
        <f t="shared" si="98"/>
        <v/>
      </c>
      <c r="EZ117" s="1684" t="s">
        <v>525</v>
      </c>
      <c r="FA117" s="1046">
        <f t="shared" si="111"/>
        <v>45</v>
      </c>
      <c r="FB117" s="256">
        <f t="shared" si="99"/>
        <v>11169.9</v>
      </c>
      <c r="FC117" s="194">
        <f t="shared" si="100"/>
        <v>0</v>
      </c>
      <c r="FD117" s="194">
        <f t="shared" si="101"/>
        <v>2659.5</v>
      </c>
      <c r="FE117" s="194">
        <f t="shared" si="102"/>
        <v>0</v>
      </c>
      <c r="FF117" s="194">
        <f t="shared" si="103"/>
        <v>2659.5</v>
      </c>
      <c r="FG117" s="194">
        <f t="shared" si="104"/>
        <v>0</v>
      </c>
      <c r="FH117" s="257">
        <f>IF(EZ117="No",IF((OR(MONTH(C117)=5,MONTH(C117)=6,MONTH(C117)=7,MONTH(C117)=8,MONTH(C117)=9)),Summary!$O$15*12*(AX117+AY117+AZ117+BA117)*(1-$BC117),Summary!$O$15*13*(AX117+AY117+AZ117+BA117)*(1-$BC117)+IF(Summary!$O$16="Yes",(CALC!FA117+Summary!$O$15)*6*(AX117+AY117+AZ117+BA117)*(1-$BC117),0)),0)</f>
        <v>0</v>
      </c>
      <c r="FI117" s="1412">
        <f>IF(MONTH(C117)=5,FI116*(IF(Summary!$E$70="no",(1+(Summary!$E$71*0.8)),1+HLOOKUP(YEAR(C117)-1,CCFMODEL!$I$127:$AF$128,2)*0.8)),+FI116)</f>
        <v>32.932392373502402</v>
      </c>
      <c r="FJ117" s="1411">
        <f>IF(MONTH(C117)=5,FJ116*(IF(Summary!$E$70="no",(1+(Summary!$E$71*0.8)),1+HLOOKUP(YEAR(CALC!C117)-1,CCFMODEL!$I$127:$AF$128,2)*0.8)),FJ116)</f>
        <v>28.783429554793436</v>
      </c>
      <c r="FK117" s="832">
        <f t="shared" si="72"/>
        <v>543018.92460744386</v>
      </c>
      <c r="FL117" s="1412">
        <f>IF(MONTH(C117)=5,FL116*(IF(Summary!$E$70="no",(1+(Summary!$E$71*0.8)),1+HLOOKUP(YEAR(CALC!C117)-1,CCFMODEL!$I$127:$AF$128,2)*0.8)),+FL116)</f>
        <v>69.260513244460029</v>
      </c>
      <c r="FM117" s="1411">
        <f>IF(MONTH(C117)=5,FM116*(IF(Summary!$E$70="no",(1+(Summary!$E$71*0.8)),1+HLOOKUP(YEAR(CALC!C117)-1,CCFMODEL!$I$127:$AF$128,2)*0.8)),+FM116)</f>
        <v>33.05587340977349</v>
      </c>
      <c r="FN117" s="832">
        <f t="shared" si="73"/>
        <v>1159420.991712261</v>
      </c>
      <c r="FO117" s="194">
        <f t="shared" si="105"/>
        <v>1702439.9163197048</v>
      </c>
      <c r="FP117" s="263">
        <f t="shared" si="69"/>
        <v>11169.9</v>
      </c>
      <c r="FQ117" s="194">
        <f t="shared" si="69"/>
        <v>0</v>
      </c>
      <c r="FR117" s="194">
        <f t="shared" si="69"/>
        <v>2659.5</v>
      </c>
      <c r="FS117" s="194">
        <f t="shared" si="68"/>
        <v>0</v>
      </c>
      <c r="FT117" s="194">
        <f t="shared" si="68"/>
        <v>2659.5</v>
      </c>
      <c r="FU117" s="194">
        <f t="shared" si="68"/>
        <v>0</v>
      </c>
      <c r="FV117" s="257">
        <f t="shared" si="68"/>
        <v>0</v>
      </c>
      <c r="FW117" s="189">
        <f t="shared" si="74"/>
        <v>0</v>
      </c>
      <c r="FX117" s="189">
        <f t="shared" si="75"/>
        <v>0</v>
      </c>
      <c r="FY117" s="189">
        <f t="shared" si="76"/>
        <v>0</v>
      </c>
      <c r="FZ117" s="258">
        <f t="shared" si="77"/>
        <v>0</v>
      </c>
      <c r="GA117" s="1293">
        <f>(SUM(FP117:FV117)+SUM(GU117:HB117)/(1-Summary!$O$25))*CY117/1000</f>
        <v>202461.39373075205</v>
      </c>
      <c r="GB117" s="1369">
        <f>IF($C117&lt;Summary!$M$81,+Summary!$O$81,VLOOKUP(C117,GasTable,19))</f>
        <v>2.4</v>
      </c>
      <c r="GC117" s="1370">
        <f>IF(H117&lt;=Summary!$N$84,MIN(GA117,Summary!$O$75*(H117-G117+1)),0)</f>
        <v>155000</v>
      </c>
      <c r="GD117" s="1371">
        <f>IF(Summary!$O$75*(H117-G117+1)*0.8&gt;GC117,1,0)</f>
        <v>0</v>
      </c>
      <c r="GE117" s="1372">
        <v>0</v>
      </c>
      <c r="GF117" s="1370">
        <f t="shared" si="106"/>
        <v>47461.393730752054</v>
      </c>
      <c r="GG117" s="1371">
        <f>GF117*(IF(Summary!$O$74=1,VLOOKUP($C117,GasTable,16)+Summary!$O$92+Summary!$O$93,VLOOKUP($C117,GasTable,19)+Summary!$O$92+Summary!$O$93))</f>
        <v>135919.91061933644</v>
      </c>
      <c r="GH117" s="1373">
        <v>18705.400000000001</v>
      </c>
      <c r="GI117" s="1466">
        <v>0</v>
      </c>
      <c r="GJ117" s="1374">
        <f t="shared" si="107"/>
        <v>526625.31061933644</v>
      </c>
      <c r="GK117" s="189">
        <f t="shared" si="78"/>
        <v>26035.973100000003</v>
      </c>
      <c r="GL117" s="266">
        <v>0.75360200136</v>
      </c>
      <c r="GM117" s="255">
        <f t="shared" si="79"/>
        <v>15221</v>
      </c>
      <c r="GN117" s="189">
        <f>IF(SUM(GU117:HB117)=0,0,IF(Summary!$O$16="Yes",SUM(GX117:HB117),IF(Summary!$O$17="Yes",SUM(GY117:HB117),SUM(GU117:HB117))))</f>
        <v>9547.0731000000014</v>
      </c>
      <c r="GO117" s="203">
        <v>3.0143117714011383</v>
      </c>
      <c r="GP117" s="258">
        <f t="shared" si="108"/>
        <v>28777.854827757161</v>
      </c>
      <c r="GQ117" s="189"/>
      <c r="GR117" s="189"/>
      <c r="GS117" s="189"/>
      <c r="GT117" s="189"/>
      <c r="GU117" s="268">
        <v>3592.9845000000009</v>
      </c>
      <c r="GV117" s="189">
        <v>855.47249999999997</v>
      </c>
      <c r="GW117" s="189">
        <v>855.47249999999997</v>
      </c>
      <c r="GX117" s="189"/>
      <c r="GY117" s="254">
        <v>2874.3875999999996</v>
      </c>
      <c r="GZ117" s="189">
        <v>684.37800000000004</v>
      </c>
      <c r="HA117" s="189">
        <v>684.37800000000004</v>
      </c>
      <c r="HB117" s="255"/>
      <c r="HC117" s="189">
        <v>9547.0731000000014</v>
      </c>
      <c r="HD117" s="189"/>
      <c r="HE117" s="189">
        <v>22276.503900000003</v>
      </c>
      <c r="HF117" s="189">
        <v>320079.40792781522</v>
      </c>
      <c r="HG117" s="189"/>
      <c r="HH117" s="203">
        <v>33.968812315346121</v>
      </c>
      <c r="HI117" s="189">
        <v>756706.38002117595</v>
      </c>
      <c r="HJ117" s="268">
        <f t="shared" si="80"/>
        <v>0</v>
      </c>
      <c r="HK117" s="189">
        <f t="shared" si="81"/>
        <v>0</v>
      </c>
      <c r="HL117" s="189">
        <f t="shared" si="82"/>
        <v>0</v>
      </c>
      <c r="HM117" s="255">
        <f t="shared" si="83"/>
        <v>0</v>
      </c>
      <c r="HN117" s="189">
        <f t="shared" si="84"/>
        <v>0</v>
      </c>
      <c r="HO117" s="203">
        <f t="shared" si="109"/>
        <v>0</v>
      </c>
      <c r="HP117" s="258">
        <f t="shared" si="85"/>
        <v>0</v>
      </c>
      <c r="HQ117" s="203"/>
      <c r="HR117" s="268"/>
      <c r="HS117" s="38"/>
      <c r="HT117" s="255"/>
      <c r="HU117" s="254"/>
      <c r="HV117" s="203"/>
      <c r="HW117" s="189"/>
      <c r="HX117" s="1020"/>
      <c r="HY117" s="258"/>
      <c r="HZ117" s="268"/>
      <c r="IA117" s="203"/>
      <c r="IB117" s="255"/>
      <c r="IC117" s="254"/>
      <c r="ID117" s="203"/>
      <c r="IE117" s="255"/>
      <c r="IF117" s="189"/>
      <c r="IG117" s="203"/>
      <c r="IH117" s="255"/>
      <c r="II117" s="189"/>
      <c r="IJ117" s="203"/>
      <c r="IK117" s="189"/>
      <c r="IL117" s="1182"/>
      <c r="IM117" s="1403"/>
      <c r="IN117" s="254"/>
      <c r="IO117" s="254"/>
      <c r="IP117" s="254"/>
      <c r="IQ117" s="254"/>
      <c r="IR117" s="223"/>
    </row>
    <row r="118" spans="1:252" ht="13.8" thickBot="1">
      <c r="A118" t="str">
        <f t="shared" si="86"/>
        <v>2008Q2</v>
      </c>
      <c r="B118">
        <f t="shared" si="87"/>
        <v>2008</v>
      </c>
      <c r="C118" s="49">
        <f t="shared" si="88"/>
        <v>39600</v>
      </c>
      <c r="D118" s="115">
        <f t="shared" si="89"/>
        <v>2008</v>
      </c>
      <c r="E118" s="10">
        <f t="shared" si="112"/>
        <v>6</v>
      </c>
      <c r="F118" s="248" t="str">
        <f t="shared" si="113"/>
        <v/>
      </c>
      <c r="G118" s="245">
        <v>39600</v>
      </c>
      <c r="H118" s="251">
        <v>39629</v>
      </c>
      <c r="I118" s="959">
        <f t="shared" si="110"/>
        <v>7.1499999999999994E-2</v>
      </c>
      <c r="J118" s="37">
        <f t="shared" si="90"/>
        <v>0.54665214850039867</v>
      </c>
      <c r="K118" s="1036"/>
      <c r="L118" s="37"/>
      <c r="M118" s="1004">
        <v>0</v>
      </c>
      <c r="N118" s="38">
        <f t="shared" si="119"/>
        <v>0</v>
      </c>
      <c r="O118" s="40">
        <f t="shared" si="119"/>
        <v>0</v>
      </c>
      <c r="P118" s="159">
        <f t="shared" si="117"/>
        <v>0</v>
      </c>
      <c r="Q118" s="38">
        <f t="shared" si="120"/>
        <v>0</v>
      </c>
      <c r="R118" s="40">
        <f t="shared" si="120"/>
        <v>0</v>
      </c>
      <c r="S118" s="38">
        <f t="shared" si="120"/>
        <v>0</v>
      </c>
      <c r="T118" s="38">
        <f t="shared" si="120"/>
        <v>0</v>
      </c>
      <c r="U118" s="38">
        <f t="shared" si="120"/>
        <v>0</v>
      </c>
      <c r="V118" s="159">
        <f t="shared" si="120"/>
        <v>0</v>
      </c>
      <c r="W118" s="38">
        <f t="shared" si="120"/>
        <v>0</v>
      </c>
      <c r="X118" s="39">
        <f t="shared" si="120"/>
        <v>0</v>
      </c>
      <c r="Y118" s="46">
        <v>0</v>
      </c>
      <c r="Z118" s="46">
        <v>0</v>
      </c>
      <c r="AA118" s="47">
        <v>0</v>
      </c>
      <c r="AB118" s="46">
        <v>0</v>
      </c>
      <c r="AC118" s="46">
        <v>0</v>
      </c>
      <c r="AD118" s="47">
        <v>0</v>
      </c>
      <c r="AE118" s="46">
        <v>0</v>
      </c>
      <c r="AF118" s="46">
        <v>0</v>
      </c>
      <c r="AG118" s="47">
        <v>0</v>
      </c>
      <c r="AH118" s="46">
        <v>0</v>
      </c>
      <c r="AI118" s="46">
        <v>0</v>
      </c>
      <c r="AJ118" s="47">
        <v>0</v>
      </c>
      <c r="AK118" s="46">
        <v>0</v>
      </c>
      <c r="AL118" s="46">
        <v>0</v>
      </c>
      <c r="AM118" s="47">
        <v>0</v>
      </c>
      <c r="AN118" s="46">
        <v>0</v>
      </c>
      <c r="AO118" s="46">
        <v>0</v>
      </c>
      <c r="AP118" s="47">
        <v>0</v>
      </c>
      <c r="AQ118" s="46">
        <v>0</v>
      </c>
      <c r="AR118" s="46">
        <v>0</v>
      </c>
      <c r="AS118" s="47">
        <v>0</v>
      </c>
      <c r="AT118" s="46">
        <v>0</v>
      </c>
      <c r="AU118" s="46">
        <v>0</v>
      </c>
      <c r="AV118" s="46">
        <v>0</v>
      </c>
      <c r="AW118" s="1545">
        <v>0</v>
      </c>
      <c r="AX118" s="10">
        <f t="shared" si="114"/>
        <v>21</v>
      </c>
      <c r="AY118" s="42">
        <f>IF(AND($E118=MONTH(Summary!$E$24),$D118=YEAR(Summary!$E$24)),Summary!$E$25,1)*IF(G118="",0,INT((H118-MOD(H118,7)-G118)/7)+1-IF(BA118,IF(WEEKDAY(F118)=7,1,0),0))</f>
        <v>4</v>
      </c>
      <c r="AZ118" s="42">
        <f>IF(AND($E118=MONTH(Summary!$E$24),$D118=YEAR(Summary!$E$24)),Summary!$E$25,1)*IF(G118="",0,INT((H118-MOD(H118-1,7)-G118)/7)+1-IF(BA118,IF(WEEKDAY(F118)=1,1,0),0))</f>
        <v>5</v>
      </c>
      <c r="BA118" s="42">
        <v>0</v>
      </c>
      <c r="BB118" s="10">
        <f>IF(AND($E118=MONTH(Summary!$E$24),$D118=YEAR(Summary!$E$24)),Summary!$E$25,1)*IF(G118="",0,H118-G118+1)</f>
        <v>30</v>
      </c>
      <c r="BC118" s="914">
        <f>Summary!$E$19</f>
        <v>1.4999999999999999E-2</v>
      </c>
      <c r="BD118" s="113">
        <v>14893.2</v>
      </c>
      <c r="BE118" s="171">
        <v>2836.8</v>
      </c>
      <c r="BF118" s="171">
        <v>3546</v>
      </c>
      <c r="BG118" s="174"/>
      <c r="BH118" s="1198">
        <v>1</v>
      </c>
      <c r="BI118" s="1198">
        <v>1</v>
      </c>
      <c r="BJ118" s="1198">
        <v>1</v>
      </c>
      <c r="BK118" s="1198">
        <v>1</v>
      </c>
      <c r="BL118" s="95">
        <v>2978.64</v>
      </c>
      <c r="BM118" s="171">
        <v>567.36</v>
      </c>
      <c r="BN118" s="171">
        <v>709.2</v>
      </c>
      <c r="BO118" s="174"/>
      <c r="BP118" s="1198">
        <v>1</v>
      </c>
      <c r="BQ118" s="1199">
        <v>1</v>
      </c>
      <c r="BR118" s="1199">
        <v>1</v>
      </c>
      <c r="BS118" s="1200">
        <v>1</v>
      </c>
      <c r="BT118" s="94">
        <f t="shared" si="91"/>
        <v>21276</v>
      </c>
      <c r="BU118" s="233">
        <f t="shared" si="92"/>
        <v>21276</v>
      </c>
      <c r="BV118" s="92">
        <f t="shared" si="93"/>
        <v>4255.2</v>
      </c>
      <c r="BW118" s="233">
        <f t="shared" si="94"/>
        <v>4255.2</v>
      </c>
      <c r="BX118" s="88">
        <v>8.4626967830253257</v>
      </c>
      <c r="BY118" s="90">
        <v>0</v>
      </c>
      <c r="BZ118" s="88">
        <v>0</v>
      </c>
      <c r="CA118" s="88">
        <v>0</v>
      </c>
      <c r="CB118" s="88">
        <v>0</v>
      </c>
      <c r="CC118" s="88">
        <v>0</v>
      </c>
      <c r="CD118" s="88">
        <v>0</v>
      </c>
      <c r="CE118" s="100">
        <v>0</v>
      </c>
      <c r="CF118" s="88">
        <v>0</v>
      </c>
      <c r="CG118" s="88">
        <v>0</v>
      </c>
      <c r="CH118" s="88">
        <v>0</v>
      </c>
      <c r="CI118" s="88">
        <v>0</v>
      </c>
      <c r="CJ118" s="228">
        <v>0</v>
      </c>
      <c r="CK118" s="88">
        <v>0</v>
      </c>
      <c r="CL118" s="88">
        <v>0</v>
      </c>
      <c r="CM118" s="88">
        <v>0</v>
      </c>
      <c r="CN118" s="88">
        <v>0</v>
      </c>
      <c r="CO118" s="88">
        <v>0</v>
      </c>
      <c r="CP118" s="88">
        <v>0</v>
      </c>
      <c r="CQ118" s="229">
        <v>0</v>
      </c>
      <c r="CR118" s="91">
        <v>0</v>
      </c>
      <c r="CS118" s="91">
        <v>0</v>
      </c>
      <c r="CT118" s="91">
        <v>0</v>
      </c>
      <c r="CU118" s="91">
        <v>0</v>
      </c>
      <c r="CV118" s="91">
        <v>0</v>
      </c>
      <c r="CW118" s="91">
        <v>0</v>
      </c>
      <c r="CX118" s="225">
        <v>0</v>
      </c>
      <c r="CY118" s="1265">
        <v>7676.1857600000003</v>
      </c>
      <c r="CZ118" s="90">
        <v>0</v>
      </c>
      <c r="DA118" s="88">
        <v>0</v>
      </c>
      <c r="DB118" s="88">
        <v>0</v>
      </c>
      <c r="DC118" s="88">
        <v>0</v>
      </c>
      <c r="DD118" s="88">
        <v>0</v>
      </c>
      <c r="DE118" s="152">
        <v>0</v>
      </c>
      <c r="DF118" s="230">
        <v>0</v>
      </c>
      <c r="DG118" s="38">
        <v>0</v>
      </c>
      <c r="DH118" s="1237">
        <v>0</v>
      </c>
      <c r="DI118" s="956">
        <v>0</v>
      </c>
      <c r="DJ118" s="956">
        <v>0</v>
      </c>
      <c r="DK118" s="956">
        <v>0</v>
      </c>
      <c r="DL118" s="152">
        <v>0</v>
      </c>
      <c r="DM118" s="160">
        <v>0</v>
      </c>
      <c r="DN118" s="160">
        <v>0</v>
      </c>
      <c r="DO118" s="160">
        <v>0</v>
      </c>
      <c r="DP118" s="160">
        <v>0</v>
      </c>
      <c r="DQ118" s="160">
        <v>0</v>
      </c>
      <c r="DR118" s="230">
        <v>0</v>
      </c>
      <c r="DS118" s="88">
        <v>0</v>
      </c>
      <c r="DT118" s="88">
        <v>0</v>
      </c>
      <c r="DU118" s="88">
        <v>0</v>
      </c>
      <c r="DV118" s="88">
        <v>0</v>
      </c>
      <c r="DW118" s="88">
        <v>0</v>
      </c>
      <c r="DX118" s="88">
        <v>0</v>
      </c>
      <c r="DY118" s="88">
        <v>0</v>
      </c>
      <c r="DZ118" s="88">
        <v>0</v>
      </c>
      <c r="EA118" s="88">
        <v>0</v>
      </c>
      <c r="EB118" s="152">
        <v>0</v>
      </c>
      <c r="EC118" s="52">
        <f t="shared" si="95"/>
        <v>0</v>
      </c>
      <c r="ED118" s="52">
        <f t="shared" si="95"/>
        <v>0</v>
      </c>
      <c r="EE118" s="52">
        <f t="shared" si="95"/>
        <v>0</v>
      </c>
      <c r="EF118" s="52">
        <f t="shared" si="71"/>
        <v>0</v>
      </c>
      <c r="EG118" s="52">
        <f t="shared" si="96"/>
        <v>0</v>
      </c>
      <c r="EH118" s="238">
        <v>0</v>
      </c>
      <c r="EI118" s="211">
        <v>0</v>
      </c>
      <c r="EJ118" s="211">
        <v>0</v>
      </c>
      <c r="EK118" s="211">
        <v>0</v>
      </c>
      <c r="EL118" s="217">
        <f>IF(C118&gt;=Summary!$E$26,MAX(0,SUM(EH118:EK118)),0)</f>
        <v>0</v>
      </c>
      <c r="EM118" s="52">
        <f>IF(C118&gt;=Summary!$E$26,DX118*BL118,0)</f>
        <v>0</v>
      </c>
      <c r="EN118" s="52">
        <f>IF(C118&gt;=Summary!$E$26,DY118*BM118,0)</f>
        <v>0</v>
      </c>
      <c r="EO118" s="52">
        <f>IF(C118&gt;=Summary!$E$26,DZ118*BN118,0)</f>
        <v>0</v>
      </c>
      <c r="EP118" s="52">
        <f>IF(C118&gt;=Summary!$E$26,EA118*BO118,0)</f>
        <v>0</v>
      </c>
      <c r="EQ118" s="52">
        <f>IF(C118&gt;=Summary!$E$26,DX118*BL118+DY118*BM118+DZ118*BN118+EA118*BO118,0)</f>
        <v>0</v>
      </c>
      <c r="ER118" s="826">
        <v>0</v>
      </c>
      <c r="ES118" s="278">
        <v>0</v>
      </c>
      <c r="ET118" s="278">
        <v>0</v>
      </c>
      <c r="EU118" s="278">
        <v>0</v>
      </c>
      <c r="EV118" s="212">
        <f>IF(C118&gt;=Summary!$E$26,MAX(0,SUM(ER118:EU118)),0)</f>
        <v>0</v>
      </c>
      <c r="EW118" s="52"/>
      <c r="EX118" s="1049">
        <f t="shared" si="97"/>
        <v>0</v>
      </c>
      <c r="EY118" s="1045" t="str">
        <f t="shared" si="98"/>
        <v/>
      </c>
      <c r="EZ118" s="1684" t="s">
        <v>525</v>
      </c>
      <c r="FA118" s="1046">
        <f t="shared" si="111"/>
        <v>45</v>
      </c>
      <c r="FB118" s="256">
        <f t="shared" si="99"/>
        <v>11169.9</v>
      </c>
      <c r="FC118" s="194">
        <f t="shared" si="100"/>
        <v>0</v>
      </c>
      <c r="FD118" s="194">
        <f t="shared" si="101"/>
        <v>2127.6</v>
      </c>
      <c r="FE118" s="194">
        <f t="shared" si="102"/>
        <v>0</v>
      </c>
      <c r="FF118" s="194">
        <f t="shared" si="103"/>
        <v>2659.5</v>
      </c>
      <c r="FG118" s="194">
        <f t="shared" si="104"/>
        <v>0</v>
      </c>
      <c r="FH118" s="257">
        <f>IF(EZ118="No",IF((OR(MONTH(C118)=5,MONTH(C118)=6,MONTH(C118)=7,MONTH(C118)=8,MONTH(C118)=9)),Summary!$O$15*12*(AX118+AY118+AZ118+BA118)*(1-$BC118),Summary!$O$15*13*(AX118+AY118+AZ118+BA118)*(1-$BC118)+IF(Summary!$O$16="Yes",(CALC!FA118+Summary!$O$15)*6*(AX118+AY118+AZ118+BA118)*(1-$BC118),0)),0)</f>
        <v>0</v>
      </c>
      <c r="FI118" s="1412">
        <f>IF(MONTH(C118)=5,FI117*(IF(Summary!$E$70="no",(1+(Summary!$E$71*0.8)),1+HLOOKUP(YEAR(C118)-1,CCFMODEL!$I$127:$AF$128,2)*0.8)),+FI117)</f>
        <v>32.932392373502402</v>
      </c>
      <c r="FJ118" s="1411">
        <f>IF(MONTH(C118)=5,FJ117*(IF(Summary!$E$70="no",(1+(Summary!$E$71*0.8)),1+HLOOKUP(YEAR(CALC!C118)-1,CCFMODEL!$I$127:$AF$128,2)*0.8)),FJ117)</f>
        <v>28.783429554793436</v>
      </c>
      <c r="FK118" s="832">
        <f t="shared" si="72"/>
        <v>525502.1851039778</v>
      </c>
      <c r="FL118" s="1412">
        <f>IF(MONTH(C118)=5,FL117*(IF(Summary!$E$70="no",(1+(Summary!$E$71*0.8)),1+HLOOKUP(YEAR(CALC!C118)-1,CCFMODEL!$I$127:$AF$128,2)*0.8)),+FL117)</f>
        <v>69.260513244460029</v>
      </c>
      <c r="FM118" s="1411">
        <f>IF(MONTH(C118)=5,FM117*(IF(Summary!$E$70="no",(1+(Summary!$E$71*0.8)),1+HLOOKUP(YEAR(CALC!C118)-1,CCFMODEL!$I$127:$AF$128,2)*0.8)),+FM117)</f>
        <v>33.05587340977349</v>
      </c>
      <c r="FN118" s="832">
        <f t="shared" si="73"/>
        <v>1122020.3145602525</v>
      </c>
      <c r="FO118" s="194">
        <f t="shared" si="105"/>
        <v>1647522.4996642303</v>
      </c>
      <c r="FP118" s="263">
        <f t="shared" si="69"/>
        <v>11169.9</v>
      </c>
      <c r="FQ118" s="194">
        <f t="shared" si="69"/>
        <v>0</v>
      </c>
      <c r="FR118" s="194">
        <f t="shared" si="69"/>
        <v>2127.6</v>
      </c>
      <c r="FS118" s="194">
        <f t="shared" si="68"/>
        <v>0</v>
      </c>
      <c r="FT118" s="194">
        <f t="shared" si="68"/>
        <v>2659.5</v>
      </c>
      <c r="FU118" s="194">
        <f t="shared" si="68"/>
        <v>0</v>
      </c>
      <c r="FV118" s="257">
        <f t="shared" si="68"/>
        <v>0</v>
      </c>
      <c r="FW118" s="189">
        <f t="shared" si="74"/>
        <v>0</v>
      </c>
      <c r="FX118" s="189">
        <f t="shared" si="75"/>
        <v>0</v>
      </c>
      <c r="FY118" s="189">
        <f t="shared" si="76"/>
        <v>0</v>
      </c>
      <c r="FZ118" s="258">
        <f t="shared" si="77"/>
        <v>0</v>
      </c>
      <c r="GA118" s="1293">
        <f>(SUM(FP118:FV118)+SUM(GU118:HB118)/(1-Summary!$O$25))*CY118/1000</f>
        <v>195982.233875712</v>
      </c>
      <c r="GB118" s="1369">
        <f>IF($C118&lt;Summary!$M$81,+Summary!$O$81,VLOOKUP(C118,GasTable,19))</f>
        <v>2.4</v>
      </c>
      <c r="GC118" s="1370">
        <f>IF(H118&lt;=Summary!$N$84,MIN(GA118,Summary!$O$75*(H118-G118+1)),0)</f>
        <v>150000</v>
      </c>
      <c r="GD118" s="1371">
        <f>IF(Summary!$O$75*(H118-G118+1)*0.8&gt;GC118,1,0)</f>
        <v>0</v>
      </c>
      <c r="GE118" s="1372">
        <v>0</v>
      </c>
      <c r="GF118" s="1370">
        <f t="shared" si="106"/>
        <v>45982.233875712001</v>
      </c>
      <c r="GG118" s="1371">
        <f>GF118*(IF(Summary!$O$74=1,VLOOKUP($C118,GasTable,16)+Summary!$O$92+Summary!$O$93,VLOOKUP($C118,GasTable,19)+Summary!$O$92+Summary!$O$93))</f>
        <v>133245.62056892601</v>
      </c>
      <c r="GH118" s="1373">
        <v>18324</v>
      </c>
      <c r="GI118" s="1466">
        <v>0</v>
      </c>
      <c r="GJ118" s="1374">
        <f t="shared" si="107"/>
        <v>511569.62056892598</v>
      </c>
      <c r="GK118" s="189">
        <f t="shared" si="78"/>
        <v>25196.103000000003</v>
      </c>
      <c r="GL118" s="266">
        <v>0.75380144163200002</v>
      </c>
      <c r="GM118" s="255">
        <f t="shared" si="79"/>
        <v>14730</v>
      </c>
      <c r="GN118" s="189">
        <f>IF(SUM(GU118:HB118)=0,0,IF(Summary!$O$16="Yes",SUM(GX118:HB118),IF(Summary!$O$17="Yes",SUM(GY118:HB118),SUM(GU118:HB118))))</f>
        <v>9239.103000000001</v>
      </c>
      <c r="GO118" s="203">
        <v>3.0143117714011383</v>
      </c>
      <c r="GP118" s="258">
        <f t="shared" si="108"/>
        <v>27849.536930087575</v>
      </c>
      <c r="GQ118" s="189"/>
      <c r="GR118" s="189"/>
      <c r="GS118" s="189"/>
      <c r="GT118" s="189"/>
      <c r="GU118" s="268">
        <v>3592.9845000000009</v>
      </c>
      <c r="GV118" s="189">
        <v>684.37800000000027</v>
      </c>
      <c r="GW118" s="189">
        <v>855.47249999999997</v>
      </c>
      <c r="GX118" s="189"/>
      <c r="GY118" s="254">
        <v>2874.3875999999996</v>
      </c>
      <c r="GZ118" s="189">
        <v>547.50239999999997</v>
      </c>
      <c r="HA118" s="189">
        <v>684.37800000000004</v>
      </c>
      <c r="HB118" s="255"/>
      <c r="HC118" s="189">
        <v>9239.103000000001</v>
      </c>
      <c r="HD118" s="189"/>
      <c r="HE118" s="189">
        <v>21557.906999999999</v>
      </c>
      <c r="HF118" s="189">
        <v>300151.75516887603</v>
      </c>
      <c r="HG118" s="189"/>
      <c r="HH118" s="203">
        <v>33.608352132374421</v>
      </c>
      <c r="HI118" s="189">
        <v>724525.72969297948</v>
      </c>
      <c r="HJ118" s="268">
        <f t="shared" si="80"/>
        <v>0</v>
      </c>
      <c r="HK118" s="189">
        <f t="shared" si="81"/>
        <v>0</v>
      </c>
      <c r="HL118" s="189">
        <f t="shared" si="82"/>
        <v>0</v>
      </c>
      <c r="HM118" s="255">
        <f t="shared" si="83"/>
        <v>0</v>
      </c>
      <c r="HN118" s="189">
        <f t="shared" si="84"/>
        <v>0</v>
      </c>
      <c r="HO118" s="203">
        <f t="shared" si="109"/>
        <v>0</v>
      </c>
      <c r="HP118" s="258">
        <f t="shared" si="85"/>
        <v>0</v>
      </c>
      <c r="HQ118" s="203"/>
      <c r="HR118" s="268"/>
      <c r="HS118" s="38"/>
      <c r="HT118" s="255"/>
      <c r="HU118" s="254"/>
      <c r="HV118" s="203"/>
      <c r="HW118" s="189"/>
      <c r="HX118" s="1020"/>
      <c r="HY118" s="258"/>
      <c r="HZ118" s="268"/>
      <c r="IA118" s="203"/>
      <c r="IB118" s="255"/>
      <c r="IC118" s="254"/>
      <c r="ID118" s="203"/>
      <c r="IE118" s="255"/>
      <c r="IF118" s="189"/>
      <c r="IG118" s="203"/>
      <c r="IH118" s="255"/>
      <c r="II118" s="189"/>
      <c r="IJ118" s="203"/>
      <c r="IK118" s="189"/>
      <c r="IL118" s="1182"/>
      <c r="IM118" s="1403"/>
      <c r="IN118" s="254"/>
      <c r="IO118" s="254"/>
      <c r="IP118" s="254"/>
      <c r="IQ118" s="254"/>
      <c r="IR118" s="223"/>
    </row>
    <row r="119" spans="1:252" ht="13.8" thickBot="1">
      <c r="A119" t="str">
        <f t="shared" si="86"/>
        <v>2008Q3</v>
      </c>
      <c r="B119">
        <f t="shared" si="87"/>
        <v>2008</v>
      </c>
      <c r="C119" s="49">
        <f t="shared" si="88"/>
        <v>39630</v>
      </c>
      <c r="D119" s="115">
        <f t="shared" si="89"/>
        <v>2008</v>
      </c>
      <c r="E119" s="10">
        <f t="shared" si="112"/>
        <v>7</v>
      </c>
      <c r="F119" s="248">
        <f t="shared" si="113"/>
        <v>39633</v>
      </c>
      <c r="G119" s="245">
        <v>39630</v>
      </c>
      <c r="H119" s="251">
        <v>39660</v>
      </c>
      <c r="I119" s="959">
        <f t="shared" si="110"/>
        <v>7.1499999999999994E-2</v>
      </c>
      <c r="J119" s="37">
        <f t="shared" si="90"/>
        <v>0.54340243796936027</v>
      </c>
      <c r="K119" s="1036"/>
      <c r="L119" s="37"/>
      <c r="M119" s="1004">
        <v>0</v>
      </c>
      <c r="N119" s="38">
        <f t="shared" si="119"/>
        <v>0</v>
      </c>
      <c r="O119" s="40">
        <f t="shared" si="119"/>
        <v>0</v>
      </c>
      <c r="P119" s="159">
        <f t="shared" si="117"/>
        <v>0</v>
      </c>
      <c r="Q119" s="38">
        <f t="shared" ref="Q119:X128" si="121">P119</f>
        <v>0</v>
      </c>
      <c r="R119" s="40">
        <f t="shared" si="121"/>
        <v>0</v>
      </c>
      <c r="S119" s="38">
        <f t="shared" si="121"/>
        <v>0</v>
      </c>
      <c r="T119" s="38">
        <f t="shared" si="121"/>
        <v>0</v>
      </c>
      <c r="U119" s="38">
        <f t="shared" si="121"/>
        <v>0</v>
      </c>
      <c r="V119" s="159">
        <f t="shared" si="121"/>
        <v>0</v>
      </c>
      <c r="W119" s="38">
        <f t="shared" si="121"/>
        <v>0</v>
      </c>
      <c r="X119" s="39">
        <f t="shared" si="121"/>
        <v>0</v>
      </c>
      <c r="Y119" s="46">
        <v>0</v>
      </c>
      <c r="Z119" s="46">
        <v>0</v>
      </c>
      <c r="AA119" s="47">
        <v>0</v>
      </c>
      <c r="AB119" s="46">
        <v>0</v>
      </c>
      <c r="AC119" s="46">
        <v>0</v>
      </c>
      <c r="AD119" s="47">
        <v>0</v>
      </c>
      <c r="AE119" s="46">
        <v>0</v>
      </c>
      <c r="AF119" s="46">
        <v>0</v>
      </c>
      <c r="AG119" s="47">
        <v>0</v>
      </c>
      <c r="AH119" s="46">
        <v>0</v>
      </c>
      <c r="AI119" s="46">
        <v>0</v>
      </c>
      <c r="AJ119" s="47">
        <v>0</v>
      </c>
      <c r="AK119" s="46">
        <v>0</v>
      </c>
      <c r="AL119" s="46">
        <v>0</v>
      </c>
      <c r="AM119" s="47">
        <v>0</v>
      </c>
      <c r="AN119" s="46">
        <v>0</v>
      </c>
      <c r="AO119" s="46">
        <v>0</v>
      </c>
      <c r="AP119" s="47">
        <v>0</v>
      </c>
      <c r="AQ119" s="46">
        <v>0</v>
      </c>
      <c r="AR119" s="46">
        <v>0</v>
      </c>
      <c r="AS119" s="47">
        <v>0</v>
      </c>
      <c r="AT119" s="46">
        <v>0</v>
      </c>
      <c r="AU119" s="46">
        <v>0</v>
      </c>
      <c r="AV119" s="46">
        <v>0</v>
      </c>
      <c r="AW119" s="1545">
        <v>0</v>
      </c>
      <c r="AX119" s="10">
        <f t="shared" si="114"/>
        <v>22</v>
      </c>
      <c r="AY119" s="42">
        <f>IF(AND($E119=MONTH(Summary!$E$24),$D119=YEAR(Summary!$E$24)),Summary!$E$25,1)*IF(G119="",0,INT((H119-MOD(H119,7)-G119)/7)+1-IF(BA119,IF(WEEKDAY(F119)=7,1,0),0))</f>
        <v>4</v>
      </c>
      <c r="AZ119" s="42">
        <f>IF(AND($E119=MONTH(Summary!$E$24),$D119=YEAR(Summary!$E$24)),Summary!$E$25,1)*IF(G119="",0,INT((H119-MOD(H119-1,7)-G119)/7)+1-IF(BA119,IF(WEEKDAY(F119)=1,1,0),0))</f>
        <v>4</v>
      </c>
      <c r="BA119" s="42">
        <v>1</v>
      </c>
      <c r="BB119" s="10">
        <f>IF(AND($E119=MONTH(Summary!$E$24),$D119=YEAR(Summary!$E$24)),Summary!$E$25,1)*IF(G119="",0,H119-G119+1)</f>
        <v>31</v>
      </c>
      <c r="BC119" s="914">
        <f>Summary!$E$19</f>
        <v>1.4999999999999999E-2</v>
      </c>
      <c r="BD119" s="113">
        <v>15602.4</v>
      </c>
      <c r="BE119" s="171">
        <v>2836.8</v>
      </c>
      <c r="BF119" s="171">
        <v>3546</v>
      </c>
      <c r="BG119" s="174"/>
      <c r="BH119" s="1198">
        <v>1</v>
      </c>
      <c r="BI119" s="1198">
        <v>1</v>
      </c>
      <c r="BJ119" s="1198">
        <v>1</v>
      </c>
      <c r="BK119" s="1198">
        <v>1</v>
      </c>
      <c r="BL119" s="95">
        <v>3120.48</v>
      </c>
      <c r="BM119" s="171">
        <v>567.36</v>
      </c>
      <c r="BN119" s="171">
        <v>709.2</v>
      </c>
      <c r="BO119" s="174"/>
      <c r="BP119" s="1198">
        <v>1</v>
      </c>
      <c r="BQ119" s="1199">
        <v>1</v>
      </c>
      <c r="BR119" s="1199">
        <v>1</v>
      </c>
      <c r="BS119" s="1200">
        <v>1</v>
      </c>
      <c r="BT119" s="94">
        <f t="shared" si="91"/>
        <v>21985.200000000001</v>
      </c>
      <c r="BU119" s="233">
        <f t="shared" si="92"/>
        <v>21985.200000000001</v>
      </c>
      <c r="BV119" s="92">
        <f t="shared" si="93"/>
        <v>4397.04</v>
      </c>
      <c r="BW119" s="233">
        <f t="shared" si="94"/>
        <v>4397.04</v>
      </c>
      <c r="BX119" s="88">
        <v>8.5448323066392877</v>
      </c>
      <c r="BY119" s="90">
        <v>0</v>
      </c>
      <c r="BZ119" s="88">
        <v>0</v>
      </c>
      <c r="CA119" s="88">
        <v>0</v>
      </c>
      <c r="CB119" s="88">
        <v>0</v>
      </c>
      <c r="CC119" s="88">
        <v>0</v>
      </c>
      <c r="CD119" s="88">
        <v>0</v>
      </c>
      <c r="CE119" s="100">
        <v>0</v>
      </c>
      <c r="CF119" s="88">
        <v>0</v>
      </c>
      <c r="CG119" s="88">
        <v>0</v>
      </c>
      <c r="CH119" s="88">
        <v>0</v>
      </c>
      <c r="CI119" s="88">
        <v>0</v>
      </c>
      <c r="CJ119" s="228">
        <v>0</v>
      </c>
      <c r="CK119" s="88">
        <v>0</v>
      </c>
      <c r="CL119" s="88">
        <v>0</v>
      </c>
      <c r="CM119" s="88">
        <v>0</v>
      </c>
      <c r="CN119" s="88">
        <v>0</v>
      </c>
      <c r="CO119" s="88">
        <v>0</v>
      </c>
      <c r="CP119" s="88">
        <v>0</v>
      </c>
      <c r="CQ119" s="229">
        <v>0</v>
      </c>
      <c r="CR119" s="91">
        <v>0</v>
      </c>
      <c r="CS119" s="91">
        <v>0</v>
      </c>
      <c r="CT119" s="91">
        <v>0</v>
      </c>
      <c r="CU119" s="91">
        <v>0</v>
      </c>
      <c r="CV119" s="91">
        <v>0</v>
      </c>
      <c r="CW119" s="91">
        <v>0</v>
      </c>
      <c r="CX119" s="225">
        <v>0</v>
      </c>
      <c r="CY119" s="1265">
        <v>7678.2167199999994</v>
      </c>
      <c r="CZ119" s="90">
        <v>0</v>
      </c>
      <c r="DA119" s="88">
        <v>0</v>
      </c>
      <c r="DB119" s="88">
        <v>0</v>
      </c>
      <c r="DC119" s="88">
        <v>0</v>
      </c>
      <c r="DD119" s="88">
        <v>0</v>
      </c>
      <c r="DE119" s="152">
        <v>0</v>
      </c>
      <c r="DF119" s="230">
        <v>0</v>
      </c>
      <c r="DG119" s="38">
        <v>0</v>
      </c>
      <c r="DH119" s="1237">
        <v>0</v>
      </c>
      <c r="DI119" s="956">
        <v>0</v>
      </c>
      <c r="DJ119" s="956">
        <v>0</v>
      </c>
      <c r="DK119" s="956">
        <v>0</v>
      </c>
      <c r="DL119" s="152">
        <v>0</v>
      </c>
      <c r="DM119" s="160">
        <v>0</v>
      </c>
      <c r="DN119" s="160">
        <v>0</v>
      </c>
      <c r="DO119" s="160">
        <v>0</v>
      </c>
      <c r="DP119" s="160">
        <v>0</v>
      </c>
      <c r="DQ119" s="160">
        <v>0</v>
      </c>
      <c r="DR119" s="230">
        <v>0</v>
      </c>
      <c r="DS119" s="88">
        <v>0</v>
      </c>
      <c r="DT119" s="88">
        <v>0</v>
      </c>
      <c r="DU119" s="88">
        <v>0</v>
      </c>
      <c r="DV119" s="88">
        <v>0</v>
      </c>
      <c r="DW119" s="88">
        <v>0</v>
      </c>
      <c r="DX119" s="88">
        <v>0</v>
      </c>
      <c r="DY119" s="88">
        <v>0</v>
      </c>
      <c r="DZ119" s="88">
        <v>0</v>
      </c>
      <c r="EA119" s="88">
        <v>0</v>
      </c>
      <c r="EB119" s="152">
        <v>0</v>
      </c>
      <c r="EC119" s="52">
        <f t="shared" si="95"/>
        <v>0</v>
      </c>
      <c r="ED119" s="52">
        <f t="shared" si="95"/>
        <v>0</v>
      </c>
      <c r="EE119" s="52">
        <f t="shared" si="95"/>
        <v>0</v>
      </c>
      <c r="EF119" s="52">
        <f t="shared" si="71"/>
        <v>0</v>
      </c>
      <c r="EG119" s="52">
        <f t="shared" si="96"/>
        <v>0</v>
      </c>
      <c r="EH119" s="238">
        <v>0</v>
      </c>
      <c r="EI119" s="211">
        <v>0</v>
      </c>
      <c r="EJ119" s="211">
        <v>0</v>
      </c>
      <c r="EK119" s="211">
        <v>0</v>
      </c>
      <c r="EL119" s="217">
        <f>IF(C119&gt;=Summary!$E$26,MAX(0,SUM(EH119:EK119)),0)</f>
        <v>0</v>
      </c>
      <c r="EM119" s="52">
        <f>IF(C119&gt;=Summary!$E$26,DX119*BL119,0)</f>
        <v>0</v>
      </c>
      <c r="EN119" s="52">
        <f>IF(C119&gt;=Summary!$E$26,DY119*BM119,0)</f>
        <v>0</v>
      </c>
      <c r="EO119" s="52">
        <f>IF(C119&gt;=Summary!$E$26,DZ119*BN119,0)</f>
        <v>0</v>
      </c>
      <c r="EP119" s="52">
        <f>IF(C119&gt;=Summary!$E$26,EA119*BO119,0)</f>
        <v>0</v>
      </c>
      <c r="EQ119" s="52">
        <f>IF(C119&gt;=Summary!$E$26,DX119*BL119+DY119*BM119+DZ119*BN119+EA119*BO119,0)</f>
        <v>0</v>
      </c>
      <c r="ER119" s="826">
        <v>0</v>
      </c>
      <c r="ES119" s="278">
        <v>0</v>
      </c>
      <c r="ET119" s="278">
        <v>0</v>
      </c>
      <c r="EU119" s="278">
        <v>0</v>
      </c>
      <c r="EV119" s="212">
        <f>IF(C119&gt;=Summary!$E$26,MAX(0,SUM(ER119:EU119)),0)</f>
        <v>0</v>
      </c>
      <c r="EW119" s="52"/>
      <c r="EX119" s="1049">
        <f t="shared" si="97"/>
        <v>0</v>
      </c>
      <c r="EY119" s="1045" t="str">
        <f t="shared" si="98"/>
        <v/>
      </c>
      <c r="EZ119" s="1684" t="s">
        <v>525</v>
      </c>
      <c r="FA119" s="1046">
        <f t="shared" si="111"/>
        <v>45</v>
      </c>
      <c r="FB119" s="256">
        <f t="shared" si="99"/>
        <v>11701.8</v>
      </c>
      <c r="FC119" s="194">
        <f t="shared" si="100"/>
        <v>0</v>
      </c>
      <c r="FD119" s="194">
        <f t="shared" si="101"/>
        <v>2127.6</v>
      </c>
      <c r="FE119" s="194">
        <f t="shared" si="102"/>
        <v>0</v>
      </c>
      <c r="FF119" s="194">
        <f t="shared" si="103"/>
        <v>2659.5</v>
      </c>
      <c r="FG119" s="194">
        <f t="shared" si="104"/>
        <v>0</v>
      </c>
      <c r="FH119" s="257">
        <f>IF(EZ119="No",IF((OR(MONTH(C119)=5,MONTH(C119)=6,MONTH(C119)=7,MONTH(C119)=8,MONTH(C119)=9)),Summary!$O$15*12*(AX119+AY119+AZ119+BA119)*(1-$BC119),Summary!$O$15*13*(AX119+AY119+AZ119+BA119)*(1-$BC119)+IF(Summary!$O$16="Yes",(CALC!FA119+Summary!$O$15)*6*(AX119+AY119+AZ119+BA119)*(1-$BC119),0)),0)</f>
        <v>0</v>
      </c>
      <c r="FI119" s="1412">
        <f>IF(MONTH(C119)=5,FI118*(IF(Summary!$E$70="no",(1+(Summary!$E$71*0.8)),1+HLOOKUP(YEAR(C119)-1,CCFMODEL!$I$127:$AF$128,2)*0.8)),+FI118)</f>
        <v>32.932392373502402</v>
      </c>
      <c r="FJ119" s="1411">
        <f>IF(MONTH(C119)=5,FJ118*(IF(Summary!$E$70="no",(1+(Summary!$E$71*0.8)),1+HLOOKUP(YEAR(CALC!C119)-1,CCFMODEL!$I$127:$AF$128,2)*0.8)),FJ118)</f>
        <v>28.783429554793436</v>
      </c>
      <c r="FK119" s="832">
        <f t="shared" si="72"/>
        <v>543018.92460744386</v>
      </c>
      <c r="FL119" s="1412">
        <f>IF(MONTH(C119)=5,FL118*(IF(Summary!$E$70="no",(1+(Summary!$E$71*0.8)),1+HLOOKUP(YEAR(CALC!C119)-1,CCFMODEL!$I$127:$AF$128,2)*0.8)),+FL118)</f>
        <v>69.260513244460029</v>
      </c>
      <c r="FM119" s="1411">
        <f>IF(MONTH(C119)=5,FM118*(IF(Summary!$E$70="no",(1+(Summary!$E$71*0.8)),1+HLOOKUP(YEAR(CALC!C119)-1,CCFMODEL!$I$127:$AF$128,2)*0.8)),+FM118)</f>
        <v>33.05587340977349</v>
      </c>
      <c r="FN119" s="832">
        <f t="shared" si="73"/>
        <v>1159420.991712261</v>
      </c>
      <c r="FO119" s="194">
        <f t="shared" si="105"/>
        <v>1702439.9163197048</v>
      </c>
      <c r="FP119" s="263">
        <f t="shared" si="69"/>
        <v>11701.8</v>
      </c>
      <c r="FQ119" s="194">
        <f t="shared" si="69"/>
        <v>0</v>
      </c>
      <c r="FR119" s="194">
        <f t="shared" si="69"/>
        <v>2127.6</v>
      </c>
      <c r="FS119" s="194">
        <f t="shared" si="68"/>
        <v>0</v>
      </c>
      <c r="FT119" s="194">
        <f t="shared" si="68"/>
        <v>2659.5</v>
      </c>
      <c r="FU119" s="194">
        <f t="shared" si="68"/>
        <v>0</v>
      </c>
      <c r="FV119" s="257">
        <f t="shared" si="68"/>
        <v>0</v>
      </c>
      <c r="FW119" s="189">
        <f t="shared" si="74"/>
        <v>0</v>
      </c>
      <c r="FX119" s="189">
        <f t="shared" si="75"/>
        <v>0</v>
      </c>
      <c r="FY119" s="189">
        <f t="shared" si="76"/>
        <v>0</v>
      </c>
      <c r="FZ119" s="258">
        <f t="shared" si="77"/>
        <v>0</v>
      </c>
      <c r="GA119" s="1293">
        <f>(SUM(FP119:FV119)+SUM(GU119:HB119)/(1-Summary!$O$25))*CY119/1000</f>
        <v>202568.55627905281</v>
      </c>
      <c r="GB119" s="1369">
        <f>IF($C119&lt;Summary!$M$81,+Summary!$O$81,VLOOKUP(C119,GasTable,19))</f>
        <v>2.4</v>
      </c>
      <c r="GC119" s="1370">
        <f>IF(H119&lt;=Summary!$N$84,MIN(GA119,Summary!$O$75*(H119-G119+1)),0)</f>
        <v>155000</v>
      </c>
      <c r="GD119" s="1371">
        <f>IF(Summary!$O$75*(H119-G119+1)*0.8&gt;GC119,1,0)</f>
        <v>0</v>
      </c>
      <c r="GE119" s="1372">
        <v>0</v>
      </c>
      <c r="GF119" s="1370">
        <f t="shared" si="106"/>
        <v>47568.556279052806</v>
      </c>
      <c r="GG119" s="1371">
        <f>GF119*(IF(Summary!$O$74=1,VLOOKUP($C119,GasTable,16)+Summary!$O$92+Summary!$O$93,VLOOKUP($C119,GasTable,19)+Summary!$O$92+Summary!$O$93))</f>
        <v>141537.3174004867</v>
      </c>
      <c r="GH119" s="1373">
        <v>19009.2</v>
      </c>
      <c r="GI119" s="1466">
        <v>0</v>
      </c>
      <c r="GJ119" s="1374">
        <f t="shared" si="107"/>
        <v>532546.51740048663</v>
      </c>
      <c r="GK119" s="189">
        <f t="shared" si="78"/>
        <v>26035.973100000007</v>
      </c>
      <c r="GL119" s="266">
        <v>0.75400088190399994</v>
      </c>
      <c r="GM119" s="255">
        <f t="shared" si="79"/>
        <v>15221</v>
      </c>
      <c r="GN119" s="189">
        <f>IF(SUM(GU119:HB119)=0,0,IF(Summary!$O$16="Yes",SUM(GX119:HB119),IF(Summary!$O$17="Yes",SUM(GY119:HB119),SUM(GU119:HB119))))</f>
        <v>9547.0730999999996</v>
      </c>
      <c r="GO119" s="203">
        <v>3.0143117714011383</v>
      </c>
      <c r="GP119" s="258">
        <f t="shared" si="108"/>
        <v>28777.854827757154</v>
      </c>
      <c r="GQ119" s="189"/>
      <c r="GR119" s="189"/>
      <c r="GS119" s="189"/>
      <c r="GT119" s="189"/>
      <c r="GU119" s="268">
        <v>3764.0790000000002</v>
      </c>
      <c r="GV119" s="189">
        <v>684.37800000000027</v>
      </c>
      <c r="GW119" s="189">
        <v>855.47249999999997</v>
      </c>
      <c r="GX119" s="189"/>
      <c r="GY119" s="254">
        <v>3011.2631999999999</v>
      </c>
      <c r="GZ119" s="189">
        <v>547.50239999999997</v>
      </c>
      <c r="HA119" s="189">
        <v>684.37800000000004</v>
      </c>
      <c r="HB119" s="255"/>
      <c r="HC119" s="189">
        <v>9547.0730999999996</v>
      </c>
      <c r="HD119" s="189"/>
      <c r="HE119" s="189">
        <v>22276.5039</v>
      </c>
      <c r="HF119" s="189">
        <v>417464.12418186851</v>
      </c>
      <c r="HG119" s="189"/>
      <c r="HH119" s="203">
        <v>46.305715341960145</v>
      </c>
      <c r="HI119" s="189">
        <v>1031529.448407465</v>
      </c>
      <c r="HJ119" s="268">
        <f t="shared" si="80"/>
        <v>0</v>
      </c>
      <c r="HK119" s="189">
        <f t="shared" si="81"/>
        <v>0</v>
      </c>
      <c r="HL119" s="189">
        <f t="shared" si="82"/>
        <v>0</v>
      </c>
      <c r="HM119" s="255">
        <f t="shared" si="83"/>
        <v>0</v>
      </c>
      <c r="HN119" s="189">
        <f t="shared" si="84"/>
        <v>0</v>
      </c>
      <c r="HO119" s="203">
        <f t="shared" si="109"/>
        <v>0</v>
      </c>
      <c r="HP119" s="258">
        <f t="shared" si="85"/>
        <v>0</v>
      </c>
      <c r="HQ119" s="203"/>
      <c r="HR119" s="268"/>
      <c r="HS119" s="38"/>
      <c r="HT119" s="255"/>
      <c r="HU119" s="254"/>
      <c r="HV119" s="203"/>
      <c r="HW119" s="189"/>
      <c r="HX119" s="1020"/>
      <c r="HY119" s="258"/>
      <c r="HZ119" s="268"/>
      <c r="IA119" s="203"/>
      <c r="IB119" s="255"/>
      <c r="IC119" s="254"/>
      <c r="ID119" s="203"/>
      <c r="IE119" s="255"/>
      <c r="IF119" s="189"/>
      <c r="IG119" s="203"/>
      <c r="IH119" s="255"/>
      <c r="II119" s="189"/>
      <c r="IJ119" s="203"/>
      <c r="IK119" s="189"/>
      <c r="IL119" s="1182"/>
      <c r="IM119" s="1403"/>
      <c r="IN119" s="254"/>
      <c r="IO119" s="254"/>
      <c r="IP119" s="254"/>
      <c r="IQ119" s="254"/>
      <c r="IR119" s="223"/>
    </row>
    <row r="120" spans="1:252" ht="13.8" thickBot="1">
      <c r="A120" t="str">
        <f t="shared" si="86"/>
        <v>2008Q3</v>
      </c>
      <c r="B120">
        <f t="shared" si="87"/>
        <v>2008</v>
      </c>
      <c r="C120" s="49">
        <f t="shared" si="88"/>
        <v>39661</v>
      </c>
      <c r="D120" s="115">
        <f t="shared" si="89"/>
        <v>2008</v>
      </c>
      <c r="E120" s="10">
        <f t="shared" si="112"/>
        <v>8</v>
      </c>
      <c r="F120" s="248" t="str">
        <f t="shared" si="113"/>
        <v/>
      </c>
      <c r="G120" s="245">
        <v>39661</v>
      </c>
      <c r="H120" s="251">
        <v>39691</v>
      </c>
      <c r="I120" s="959">
        <f t="shared" si="110"/>
        <v>7.1499999999999994E-2</v>
      </c>
      <c r="J120" s="37">
        <f t="shared" si="90"/>
        <v>0.54017204615601921</v>
      </c>
      <c r="K120" s="1036"/>
      <c r="L120" s="37"/>
      <c r="M120" s="1004">
        <v>0</v>
      </c>
      <c r="N120" s="38">
        <f t="shared" si="119"/>
        <v>0</v>
      </c>
      <c r="O120" s="40">
        <f t="shared" si="119"/>
        <v>0</v>
      </c>
      <c r="P120" s="159">
        <f t="shared" si="117"/>
        <v>0</v>
      </c>
      <c r="Q120" s="38">
        <f t="shared" si="121"/>
        <v>0</v>
      </c>
      <c r="R120" s="40">
        <f t="shared" si="121"/>
        <v>0</v>
      </c>
      <c r="S120" s="38">
        <f t="shared" si="121"/>
        <v>0</v>
      </c>
      <c r="T120" s="38">
        <f t="shared" si="121"/>
        <v>0</v>
      </c>
      <c r="U120" s="38">
        <f t="shared" si="121"/>
        <v>0</v>
      </c>
      <c r="V120" s="159">
        <f t="shared" si="121"/>
        <v>0</v>
      </c>
      <c r="W120" s="38">
        <f t="shared" si="121"/>
        <v>0</v>
      </c>
      <c r="X120" s="39">
        <f t="shared" si="121"/>
        <v>0</v>
      </c>
      <c r="Y120" s="46">
        <v>0</v>
      </c>
      <c r="Z120" s="46">
        <v>0</v>
      </c>
      <c r="AA120" s="47">
        <v>0</v>
      </c>
      <c r="AB120" s="46">
        <v>0</v>
      </c>
      <c r="AC120" s="46">
        <v>0</v>
      </c>
      <c r="AD120" s="47">
        <v>0</v>
      </c>
      <c r="AE120" s="46">
        <v>0</v>
      </c>
      <c r="AF120" s="46">
        <v>0</v>
      </c>
      <c r="AG120" s="47">
        <v>0</v>
      </c>
      <c r="AH120" s="46">
        <v>0</v>
      </c>
      <c r="AI120" s="46">
        <v>0</v>
      </c>
      <c r="AJ120" s="47">
        <v>0</v>
      </c>
      <c r="AK120" s="46">
        <v>0</v>
      </c>
      <c r="AL120" s="46">
        <v>0</v>
      </c>
      <c r="AM120" s="47">
        <v>0</v>
      </c>
      <c r="AN120" s="46">
        <v>0</v>
      </c>
      <c r="AO120" s="46">
        <v>0</v>
      </c>
      <c r="AP120" s="47">
        <v>0</v>
      </c>
      <c r="AQ120" s="46">
        <v>0</v>
      </c>
      <c r="AR120" s="46">
        <v>0</v>
      </c>
      <c r="AS120" s="47">
        <v>0</v>
      </c>
      <c r="AT120" s="46">
        <v>0</v>
      </c>
      <c r="AU120" s="46">
        <v>0</v>
      </c>
      <c r="AV120" s="46">
        <v>0</v>
      </c>
      <c r="AW120" s="1545">
        <v>0</v>
      </c>
      <c r="AX120" s="10">
        <f t="shared" si="114"/>
        <v>21</v>
      </c>
      <c r="AY120" s="42">
        <f>IF(AND($E120=MONTH(Summary!$E$24),$D120=YEAR(Summary!$E$24)),Summary!$E$25,1)*IF(G120="",0,INT((H120-MOD(H120,7)-G120)/7)+1-IF(BA120,IF(WEEKDAY(F120)=7,1,0),0))</f>
        <v>5</v>
      </c>
      <c r="AZ120" s="42">
        <f>IF(AND($E120=MONTH(Summary!$E$24),$D120=YEAR(Summary!$E$24)),Summary!$E$25,1)*IF(G120="",0,INT((H120-MOD(H120-1,7)-G120)/7)+1-IF(BA120,IF(WEEKDAY(F120)=1,1,0),0))</f>
        <v>5</v>
      </c>
      <c r="BA120" s="42">
        <v>0</v>
      </c>
      <c r="BB120" s="10">
        <f>IF(AND($E120=MONTH(Summary!$E$24),$D120=YEAR(Summary!$E$24)),Summary!$E$25,1)*IF(G120="",0,H120-G120+1)</f>
        <v>31</v>
      </c>
      <c r="BC120" s="914">
        <f>Summary!$E$19</f>
        <v>1.4999999999999999E-2</v>
      </c>
      <c r="BD120" s="113">
        <v>14893.2</v>
      </c>
      <c r="BE120" s="171">
        <v>3546</v>
      </c>
      <c r="BF120" s="171">
        <v>3546</v>
      </c>
      <c r="BG120" s="174"/>
      <c r="BH120" s="1198">
        <v>1</v>
      </c>
      <c r="BI120" s="1198">
        <v>1</v>
      </c>
      <c r="BJ120" s="1198">
        <v>1</v>
      </c>
      <c r="BK120" s="1198">
        <v>1</v>
      </c>
      <c r="BL120" s="95">
        <v>2978.64</v>
      </c>
      <c r="BM120" s="171">
        <v>709.2</v>
      </c>
      <c r="BN120" s="171">
        <v>709.2</v>
      </c>
      <c r="BO120" s="174"/>
      <c r="BP120" s="1198">
        <v>1</v>
      </c>
      <c r="BQ120" s="1199">
        <v>1</v>
      </c>
      <c r="BR120" s="1199">
        <v>1</v>
      </c>
      <c r="BS120" s="1200">
        <v>1</v>
      </c>
      <c r="BT120" s="94">
        <f t="shared" si="91"/>
        <v>21985.200000000001</v>
      </c>
      <c r="BU120" s="233">
        <f t="shared" si="92"/>
        <v>21985.200000000001</v>
      </c>
      <c r="BV120" s="92">
        <f t="shared" si="93"/>
        <v>4397.04</v>
      </c>
      <c r="BW120" s="233">
        <f t="shared" si="94"/>
        <v>4397.04</v>
      </c>
      <c r="BX120" s="88">
        <v>8.6297056810403827</v>
      </c>
      <c r="BY120" s="90">
        <v>0</v>
      </c>
      <c r="BZ120" s="88">
        <v>0</v>
      </c>
      <c r="CA120" s="88">
        <v>0</v>
      </c>
      <c r="CB120" s="88">
        <v>0</v>
      </c>
      <c r="CC120" s="88">
        <v>0</v>
      </c>
      <c r="CD120" s="88">
        <v>0</v>
      </c>
      <c r="CE120" s="100">
        <v>0</v>
      </c>
      <c r="CF120" s="88">
        <v>0</v>
      </c>
      <c r="CG120" s="88">
        <v>0</v>
      </c>
      <c r="CH120" s="88">
        <v>0</v>
      </c>
      <c r="CI120" s="88">
        <v>0</v>
      </c>
      <c r="CJ120" s="228">
        <v>0</v>
      </c>
      <c r="CK120" s="88">
        <v>0</v>
      </c>
      <c r="CL120" s="88">
        <v>0</v>
      </c>
      <c r="CM120" s="88">
        <v>0</v>
      </c>
      <c r="CN120" s="88">
        <v>0</v>
      </c>
      <c r="CO120" s="88">
        <v>0</v>
      </c>
      <c r="CP120" s="88">
        <v>0</v>
      </c>
      <c r="CQ120" s="229">
        <v>0</v>
      </c>
      <c r="CR120" s="91">
        <v>0</v>
      </c>
      <c r="CS120" s="91">
        <v>0</v>
      </c>
      <c r="CT120" s="91">
        <v>0</v>
      </c>
      <c r="CU120" s="91">
        <v>0</v>
      </c>
      <c r="CV120" s="91">
        <v>0</v>
      </c>
      <c r="CW120" s="91">
        <v>0</v>
      </c>
      <c r="CX120" s="225">
        <v>0</v>
      </c>
      <c r="CY120" s="1265">
        <v>7680.2476799999995</v>
      </c>
      <c r="CZ120" s="90">
        <v>0</v>
      </c>
      <c r="DA120" s="88">
        <v>0</v>
      </c>
      <c r="DB120" s="88">
        <v>0</v>
      </c>
      <c r="DC120" s="88">
        <v>0</v>
      </c>
      <c r="DD120" s="88">
        <v>0</v>
      </c>
      <c r="DE120" s="152">
        <v>0</v>
      </c>
      <c r="DF120" s="230">
        <v>0</v>
      </c>
      <c r="DG120" s="38">
        <v>0</v>
      </c>
      <c r="DH120" s="1237">
        <v>0</v>
      </c>
      <c r="DI120" s="956">
        <v>0</v>
      </c>
      <c r="DJ120" s="956">
        <v>0</v>
      </c>
      <c r="DK120" s="956">
        <v>0</v>
      </c>
      <c r="DL120" s="152">
        <v>0</v>
      </c>
      <c r="DM120" s="160">
        <v>0</v>
      </c>
      <c r="DN120" s="160">
        <v>0</v>
      </c>
      <c r="DO120" s="160">
        <v>0</v>
      </c>
      <c r="DP120" s="160">
        <v>0</v>
      </c>
      <c r="DQ120" s="160">
        <v>0</v>
      </c>
      <c r="DR120" s="230">
        <v>0</v>
      </c>
      <c r="DS120" s="88">
        <v>0</v>
      </c>
      <c r="DT120" s="88">
        <v>0</v>
      </c>
      <c r="DU120" s="88">
        <v>0</v>
      </c>
      <c r="DV120" s="88">
        <v>0</v>
      </c>
      <c r="DW120" s="88">
        <v>0</v>
      </c>
      <c r="DX120" s="88">
        <v>0</v>
      </c>
      <c r="DY120" s="88">
        <v>0</v>
      </c>
      <c r="DZ120" s="88">
        <v>0</v>
      </c>
      <c r="EA120" s="88">
        <v>0</v>
      </c>
      <c r="EB120" s="152">
        <v>0</v>
      </c>
      <c r="EC120" s="52">
        <f t="shared" si="95"/>
        <v>0</v>
      </c>
      <c r="ED120" s="52">
        <f t="shared" si="95"/>
        <v>0</v>
      </c>
      <c r="EE120" s="52">
        <f t="shared" si="95"/>
        <v>0</v>
      </c>
      <c r="EF120" s="52">
        <f t="shared" si="71"/>
        <v>0</v>
      </c>
      <c r="EG120" s="52">
        <f t="shared" si="96"/>
        <v>0</v>
      </c>
      <c r="EH120" s="238">
        <v>0</v>
      </c>
      <c r="EI120" s="211">
        <v>0</v>
      </c>
      <c r="EJ120" s="211">
        <v>0</v>
      </c>
      <c r="EK120" s="211">
        <v>0</v>
      </c>
      <c r="EL120" s="217">
        <f>IF(C120&gt;=Summary!$E$26,MAX(0,SUM(EH120:EK120)),0)</f>
        <v>0</v>
      </c>
      <c r="EM120" s="52">
        <f>IF(C120&gt;=Summary!$E$26,DX120*BL120,0)</f>
        <v>0</v>
      </c>
      <c r="EN120" s="52">
        <f>IF(C120&gt;=Summary!$E$26,DY120*BM120,0)</f>
        <v>0</v>
      </c>
      <c r="EO120" s="52">
        <f>IF(C120&gt;=Summary!$E$26,DZ120*BN120,0)</f>
        <v>0</v>
      </c>
      <c r="EP120" s="52">
        <f>IF(C120&gt;=Summary!$E$26,EA120*BO120,0)</f>
        <v>0</v>
      </c>
      <c r="EQ120" s="52">
        <f>IF(C120&gt;=Summary!$E$26,DX120*BL120+DY120*BM120+DZ120*BN120+EA120*BO120,0)</f>
        <v>0</v>
      </c>
      <c r="ER120" s="826">
        <v>0</v>
      </c>
      <c r="ES120" s="278">
        <v>0</v>
      </c>
      <c r="ET120" s="278">
        <v>0</v>
      </c>
      <c r="EU120" s="278">
        <v>0</v>
      </c>
      <c r="EV120" s="212">
        <f>IF(C120&gt;=Summary!$E$26,MAX(0,SUM(ER120:EU120)),0)</f>
        <v>0</v>
      </c>
      <c r="EW120" s="52"/>
      <c r="EX120" s="1049">
        <f t="shared" si="97"/>
        <v>0</v>
      </c>
      <c r="EY120" s="1045" t="str">
        <f t="shared" si="98"/>
        <v/>
      </c>
      <c r="EZ120" s="1684" t="s">
        <v>525</v>
      </c>
      <c r="FA120" s="1046">
        <f t="shared" si="111"/>
        <v>45</v>
      </c>
      <c r="FB120" s="256">
        <f t="shared" si="99"/>
        <v>11169.9</v>
      </c>
      <c r="FC120" s="194">
        <f t="shared" si="100"/>
        <v>0</v>
      </c>
      <c r="FD120" s="194">
        <f t="shared" si="101"/>
        <v>2659.5</v>
      </c>
      <c r="FE120" s="194">
        <f t="shared" si="102"/>
        <v>0</v>
      </c>
      <c r="FF120" s="194">
        <f t="shared" si="103"/>
        <v>2659.5</v>
      </c>
      <c r="FG120" s="194">
        <f t="shared" si="104"/>
        <v>0</v>
      </c>
      <c r="FH120" s="257">
        <f>IF(EZ120="No",IF((OR(MONTH(C120)=5,MONTH(C120)=6,MONTH(C120)=7,MONTH(C120)=8,MONTH(C120)=9)),Summary!$O$15*12*(AX120+AY120+AZ120+BA120)*(1-$BC120),Summary!$O$15*13*(AX120+AY120+AZ120+BA120)*(1-$BC120)+IF(Summary!$O$16="Yes",(CALC!FA120+Summary!$O$15)*6*(AX120+AY120+AZ120+BA120)*(1-$BC120),0)),0)</f>
        <v>0</v>
      </c>
      <c r="FI120" s="1412">
        <f>IF(MONTH(C120)=5,FI119*(IF(Summary!$E$70="no",(1+(Summary!$E$71*0.8)),1+HLOOKUP(YEAR(C120)-1,CCFMODEL!$I$127:$AF$128,2)*0.8)),+FI119)</f>
        <v>32.932392373502402</v>
      </c>
      <c r="FJ120" s="1411">
        <f>IF(MONTH(C120)=5,FJ119*(IF(Summary!$E$70="no",(1+(Summary!$E$71*0.8)),1+HLOOKUP(YEAR(CALC!C120)-1,CCFMODEL!$I$127:$AF$128,2)*0.8)),FJ119)</f>
        <v>28.783429554793436</v>
      </c>
      <c r="FK120" s="832">
        <f t="shared" si="72"/>
        <v>543018.92460744386</v>
      </c>
      <c r="FL120" s="1412">
        <f>IF(MONTH(C120)=5,FL119*(IF(Summary!$E$70="no",(1+(Summary!$E$71*0.8)),1+HLOOKUP(YEAR(CALC!C120)-1,CCFMODEL!$I$127:$AF$128,2)*0.8)),+FL119)</f>
        <v>69.260513244460029</v>
      </c>
      <c r="FM120" s="1411">
        <f>IF(MONTH(C120)=5,FM119*(IF(Summary!$E$70="no",(1+(Summary!$E$71*0.8)),1+HLOOKUP(YEAR(CALC!C120)-1,CCFMODEL!$I$127:$AF$128,2)*0.8)),+FM119)</f>
        <v>33.05587340977349</v>
      </c>
      <c r="FN120" s="832">
        <f t="shared" si="73"/>
        <v>1159420.991712261</v>
      </c>
      <c r="FO120" s="194">
        <f t="shared" si="105"/>
        <v>1702439.9163197048</v>
      </c>
      <c r="FP120" s="263">
        <f t="shared" si="69"/>
        <v>11169.9</v>
      </c>
      <c r="FQ120" s="194">
        <f t="shared" si="69"/>
        <v>0</v>
      </c>
      <c r="FR120" s="194">
        <f t="shared" si="69"/>
        <v>2659.5</v>
      </c>
      <c r="FS120" s="194">
        <f t="shared" si="68"/>
        <v>0</v>
      </c>
      <c r="FT120" s="194">
        <f t="shared" si="68"/>
        <v>2659.5</v>
      </c>
      <c r="FU120" s="194">
        <f t="shared" si="68"/>
        <v>0</v>
      </c>
      <c r="FV120" s="257">
        <f t="shared" si="68"/>
        <v>0</v>
      </c>
      <c r="FW120" s="189">
        <f t="shared" si="74"/>
        <v>0</v>
      </c>
      <c r="FX120" s="189">
        <f t="shared" si="75"/>
        <v>0</v>
      </c>
      <c r="FY120" s="189">
        <f t="shared" si="76"/>
        <v>0</v>
      </c>
      <c r="FZ120" s="258">
        <f t="shared" si="77"/>
        <v>0</v>
      </c>
      <c r="GA120" s="1293">
        <f>(SUM(FP120:FV120)+SUM(GU120:HB120)/(1-Summary!$O$25))*CY120/1000</f>
        <v>202622.13755320321</v>
      </c>
      <c r="GB120" s="1369">
        <f>IF($C120&lt;Summary!$M$81,+Summary!$O$81,VLOOKUP(C120,GasTable,19))</f>
        <v>2.4</v>
      </c>
      <c r="GC120" s="1370">
        <f>IF(H120&lt;=Summary!$N$84,MIN(GA120,Summary!$O$75*(H120-G120+1)),0)</f>
        <v>155000</v>
      </c>
      <c r="GD120" s="1371">
        <f>IF(Summary!$O$75*(H120-G120+1)*0.8&gt;GC120,1,0)</f>
        <v>0</v>
      </c>
      <c r="GE120" s="1372">
        <v>0</v>
      </c>
      <c r="GF120" s="1370">
        <f t="shared" si="106"/>
        <v>47622.137553203211</v>
      </c>
      <c r="GG120" s="1371">
        <f>GF120*(IF(Summary!$O$74=1,VLOOKUP($C120,GasTable,16)+Summary!$O$92+Summary!$O$93,VLOOKUP($C120,GasTable,19)+Summary!$O$92+Summary!$O$93))</f>
        <v>146950.1960511686</v>
      </c>
      <c r="GH120" s="1373">
        <v>19139.400000000001</v>
      </c>
      <c r="GI120" s="1466">
        <v>0</v>
      </c>
      <c r="GJ120" s="1374">
        <f t="shared" si="107"/>
        <v>538089.59605116863</v>
      </c>
      <c r="GK120" s="189">
        <f t="shared" si="78"/>
        <v>26035.973100000003</v>
      </c>
      <c r="GL120" s="266">
        <v>0.75420032217600008</v>
      </c>
      <c r="GM120" s="255">
        <f t="shared" si="79"/>
        <v>15221.000000000002</v>
      </c>
      <c r="GN120" s="189">
        <f>IF(SUM(GU120:HB120)=0,0,IF(Summary!$O$16="Yes",SUM(GX120:HB120),IF(Summary!$O$17="Yes",SUM(GY120:HB120),SUM(GU120:HB120))))</f>
        <v>9547.0731000000014</v>
      </c>
      <c r="GO120" s="203">
        <v>3.0143117714011383</v>
      </c>
      <c r="GP120" s="258">
        <f t="shared" si="108"/>
        <v>28777.854827757161</v>
      </c>
      <c r="GQ120" s="189"/>
      <c r="GR120" s="189"/>
      <c r="GS120" s="189"/>
      <c r="GT120" s="189"/>
      <c r="GU120" s="268">
        <v>3592.9845000000009</v>
      </c>
      <c r="GV120" s="189">
        <v>855.47249999999997</v>
      </c>
      <c r="GW120" s="189">
        <v>855.47249999999997</v>
      </c>
      <c r="GX120" s="189"/>
      <c r="GY120" s="254">
        <v>2874.3875999999996</v>
      </c>
      <c r="GZ120" s="189">
        <v>684.37800000000004</v>
      </c>
      <c r="HA120" s="189">
        <v>684.37800000000004</v>
      </c>
      <c r="HB120" s="255"/>
      <c r="HC120" s="189">
        <v>9547.0731000000014</v>
      </c>
      <c r="HD120" s="189"/>
      <c r="HE120" s="189">
        <v>22276.503900000003</v>
      </c>
      <c r="HF120" s="189">
        <v>719779.16592705855</v>
      </c>
      <c r="HG120" s="189"/>
      <c r="HH120" s="203">
        <v>79.381185510656891</v>
      </c>
      <c r="HI120" s="189">
        <v>1768335.288614772</v>
      </c>
      <c r="HJ120" s="268">
        <f t="shared" si="80"/>
        <v>0</v>
      </c>
      <c r="HK120" s="189">
        <f t="shared" si="81"/>
        <v>0</v>
      </c>
      <c r="HL120" s="189">
        <f t="shared" si="82"/>
        <v>0</v>
      </c>
      <c r="HM120" s="255">
        <f t="shared" si="83"/>
        <v>0</v>
      </c>
      <c r="HN120" s="189">
        <f t="shared" si="84"/>
        <v>0</v>
      </c>
      <c r="HO120" s="203">
        <f t="shared" si="109"/>
        <v>0</v>
      </c>
      <c r="HP120" s="258">
        <f t="shared" si="85"/>
        <v>0</v>
      </c>
      <c r="HQ120" s="203"/>
      <c r="HR120" s="268"/>
      <c r="HS120" s="38"/>
      <c r="HT120" s="255"/>
      <c r="HU120" s="254"/>
      <c r="HV120" s="203"/>
      <c r="HW120" s="189"/>
      <c r="HX120" s="1020"/>
      <c r="HY120" s="258"/>
      <c r="HZ120" s="268"/>
      <c r="IA120" s="203"/>
      <c r="IB120" s="255"/>
      <c r="IC120" s="254"/>
      <c r="ID120" s="203"/>
      <c r="IE120" s="255"/>
      <c r="IF120" s="189"/>
      <c r="IG120" s="203"/>
      <c r="IH120" s="255"/>
      <c r="II120" s="189"/>
      <c r="IJ120" s="203"/>
      <c r="IK120" s="189"/>
      <c r="IL120" s="1182"/>
      <c r="IM120" s="1403"/>
      <c r="IN120" s="254"/>
      <c r="IO120" s="254"/>
      <c r="IP120" s="254"/>
      <c r="IQ120" s="254"/>
      <c r="IR120" s="223"/>
    </row>
    <row r="121" spans="1:252" ht="13.8" thickBot="1">
      <c r="A121" t="str">
        <f t="shared" si="86"/>
        <v>2008Q3</v>
      </c>
      <c r="B121">
        <f t="shared" si="87"/>
        <v>2008</v>
      </c>
      <c r="C121" s="49">
        <f t="shared" si="88"/>
        <v>39692</v>
      </c>
      <c r="D121" s="115">
        <f t="shared" si="89"/>
        <v>2008</v>
      </c>
      <c r="E121" s="10">
        <f t="shared" si="112"/>
        <v>9</v>
      </c>
      <c r="F121" s="248">
        <f t="shared" si="113"/>
        <v>39692</v>
      </c>
      <c r="G121" s="245">
        <v>39692</v>
      </c>
      <c r="H121" s="251">
        <v>39721</v>
      </c>
      <c r="I121" s="959">
        <f t="shared" si="110"/>
        <v>7.1499999999999994E-2</v>
      </c>
      <c r="J121" s="37">
        <f t="shared" si="90"/>
        <v>0.53706414634549915</v>
      </c>
      <c r="K121" s="1036"/>
      <c r="L121" s="37"/>
      <c r="M121" s="1004">
        <v>0</v>
      </c>
      <c r="N121" s="38">
        <f t="shared" si="119"/>
        <v>0</v>
      </c>
      <c r="O121" s="40">
        <f t="shared" si="119"/>
        <v>0</v>
      </c>
      <c r="P121" s="159">
        <f t="shared" si="117"/>
        <v>0</v>
      </c>
      <c r="Q121" s="38">
        <f t="shared" si="121"/>
        <v>0</v>
      </c>
      <c r="R121" s="40">
        <f t="shared" si="121"/>
        <v>0</v>
      </c>
      <c r="S121" s="38">
        <f t="shared" si="121"/>
        <v>0</v>
      </c>
      <c r="T121" s="38">
        <f t="shared" si="121"/>
        <v>0</v>
      </c>
      <c r="U121" s="38">
        <f t="shared" si="121"/>
        <v>0</v>
      </c>
      <c r="V121" s="159">
        <f t="shared" si="121"/>
        <v>0</v>
      </c>
      <c r="W121" s="38">
        <f t="shared" si="121"/>
        <v>0</v>
      </c>
      <c r="X121" s="39">
        <f t="shared" si="121"/>
        <v>0</v>
      </c>
      <c r="Y121" s="46">
        <v>0</v>
      </c>
      <c r="Z121" s="46">
        <v>0</v>
      </c>
      <c r="AA121" s="47">
        <v>0</v>
      </c>
      <c r="AB121" s="46">
        <v>0</v>
      </c>
      <c r="AC121" s="46">
        <v>0</v>
      </c>
      <c r="AD121" s="47">
        <v>0</v>
      </c>
      <c r="AE121" s="46">
        <v>0</v>
      </c>
      <c r="AF121" s="46">
        <v>0</v>
      </c>
      <c r="AG121" s="47">
        <v>0</v>
      </c>
      <c r="AH121" s="46">
        <v>0</v>
      </c>
      <c r="AI121" s="46">
        <v>0</v>
      </c>
      <c r="AJ121" s="47">
        <v>0</v>
      </c>
      <c r="AK121" s="46">
        <v>0</v>
      </c>
      <c r="AL121" s="46">
        <v>0</v>
      </c>
      <c r="AM121" s="47">
        <v>0</v>
      </c>
      <c r="AN121" s="46">
        <v>0</v>
      </c>
      <c r="AO121" s="46">
        <v>0</v>
      </c>
      <c r="AP121" s="47">
        <v>0</v>
      </c>
      <c r="AQ121" s="46">
        <v>0</v>
      </c>
      <c r="AR121" s="46">
        <v>0</v>
      </c>
      <c r="AS121" s="47">
        <v>0</v>
      </c>
      <c r="AT121" s="46">
        <v>0</v>
      </c>
      <c r="AU121" s="46">
        <v>0</v>
      </c>
      <c r="AV121" s="46">
        <v>0</v>
      </c>
      <c r="AW121" s="1545">
        <v>0</v>
      </c>
      <c r="AX121" s="10">
        <f t="shared" si="114"/>
        <v>21</v>
      </c>
      <c r="AY121" s="42">
        <f>IF(AND($E121=MONTH(Summary!$E$24),$D121=YEAR(Summary!$E$24)),Summary!$E$25,1)*IF(G121="",0,INT((H121-MOD(H121,7)-G121)/7)+1-IF(BA121,IF(WEEKDAY(F121)=7,1,0),0))</f>
        <v>4</v>
      </c>
      <c r="AZ121" s="42">
        <f>IF(AND($E121=MONTH(Summary!$E$24),$D121=YEAR(Summary!$E$24)),Summary!$E$25,1)*IF(G121="",0,INT((H121-MOD(H121-1,7)-G121)/7)+1-IF(BA121,IF(WEEKDAY(F121)=1,1,0),0))</f>
        <v>4</v>
      </c>
      <c r="BA121" s="42">
        <v>1</v>
      </c>
      <c r="BB121" s="10">
        <f>IF(AND($E121=MONTH(Summary!$E$24),$D121=YEAR(Summary!$E$24)),Summary!$E$25,1)*IF(G121="",0,H121-G121+1)</f>
        <v>30</v>
      </c>
      <c r="BC121" s="914">
        <f>Summary!$E$19</f>
        <v>1.4999999999999999E-2</v>
      </c>
      <c r="BD121" s="113">
        <v>14893.2</v>
      </c>
      <c r="BE121" s="171">
        <v>2836.8</v>
      </c>
      <c r="BF121" s="171">
        <v>3546</v>
      </c>
      <c r="BG121" s="174"/>
      <c r="BH121" s="1198">
        <v>1</v>
      </c>
      <c r="BI121" s="1198">
        <v>1</v>
      </c>
      <c r="BJ121" s="1198">
        <v>1</v>
      </c>
      <c r="BK121" s="1198">
        <v>1</v>
      </c>
      <c r="BL121" s="95">
        <v>2978.64</v>
      </c>
      <c r="BM121" s="171">
        <v>567.36</v>
      </c>
      <c r="BN121" s="171">
        <v>709.2</v>
      </c>
      <c r="BO121" s="174"/>
      <c r="BP121" s="1198">
        <v>1</v>
      </c>
      <c r="BQ121" s="1199">
        <v>1</v>
      </c>
      <c r="BR121" s="1199">
        <v>1</v>
      </c>
      <c r="BS121" s="1200">
        <v>1</v>
      </c>
      <c r="BT121" s="94">
        <f t="shared" si="91"/>
        <v>21276</v>
      </c>
      <c r="BU121" s="233">
        <f t="shared" si="92"/>
        <v>21276</v>
      </c>
      <c r="BV121" s="92">
        <f t="shared" si="93"/>
        <v>4255.2</v>
      </c>
      <c r="BW121" s="233">
        <f t="shared" si="94"/>
        <v>4255.2</v>
      </c>
      <c r="BX121" s="88">
        <v>8.7145790554414777</v>
      </c>
      <c r="BY121" s="90">
        <v>0</v>
      </c>
      <c r="BZ121" s="88">
        <v>0</v>
      </c>
      <c r="CA121" s="88">
        <v>0</v>
      </c>
      <c r="CB121" s="88">
        <v>0</v>
      </c>
      <c r="CC121" s="88">
        <v>0</v>
      </c>
      <c r="CD121" s="88">
        <v>0</v>
      </c>
      <c r="CE121" s="100">
        <v>0</v>
      </c>
      <c r="CF121" s="88">
        <v>0</v>
      </c>
      <c r="CG121" s="88">
        <v>0</v>
      </c>
      <c r="CH121" s="88">
        <v>0</v>
      </c>
      <c r="CI121" s="88">
        <v>0</v>
      </c>
      <c r="CJ121" s="228">
        <v>0</v>
      </c>
      <c r="CK121" s="88">
        <v>0</v>
      </c>
      <c r="CL121" s="88">
        <v>0</v>
      </c>
      <c r="CM121" s="88">
        <v>0</v>
      </c>
      <c r="CN121" s="88">
        <v>0</v>
      </c>
      <c r="CO121" s="88">
        <v>0</v>
      </c>
      <c r="CP121" s="88">
        <v>0</v>
      </c>
      <c r="CQ121" s="229">
        <v>0</v>
      </c>
      <c r="CR121" s="91">
        <v>0</v>
      </c>
      <c r="CS121" s="91">
        <v>0</v>
      </c>
      <c r="CT121" s="91">
        <v>0</v>
      </c>
      <c r="CU121" s="91">
        <v>0</v>
      </c>
      <c r="CV121" s="91">
        <v>0</v>
      </c>
      <c r="CW121" s="91">
        <v>0</v>
      </c>
      <c r="CX121" s="225">
        <v>0</v>
      </c>
      <c r="CY121" s="1265">
        <v>7682.2786400000005</v>
      </c>
      <c r="CZ121" s="90">
        <v>0</v>
      </c>
      <c r="DA121" s="88">
        <v>0</v>
      </c>
      <c r="DB121" s="88">
        <v>0</v>
      </c>
      <c r="DC121" s="88">
        <v>0</v>
      </c>
      <c r="DD121" s="88">
        <v>0</v>
      </c>
      <c r="DE121" s="152">
        <v>0</v>
      </c>
      <c r="DF121" s="230">
        <v>0</v>
      </c>
      <c r="DG121" s="38">
        <v>0</v>
      </c>
      <c r="DH121" s="1237">
        <v>0</v>
      </c>
      <c r="DI121" s="956">
        <v>0</v>
      </c>
      <c r="DJ121" s="956">
        <v>0</v>
      </c>
      <c r="DK121" s="956">
        <v>0</v>
      </c>
      <c r="DL121" s="152">
        <v>0</v>
      </c>
      <c r="DM121" s="160">
        <v>0</v>
      </c>
      <c r="DN121" s="160">
        <v>0</v>
      </c>
      <c r="DO121" s="160">
        <v>0</v>
      </c>
      <c r="DP121" s="160">
        <v>0</v>
      </c>
      <c r="DQ121" s="160">
        <v>0</v>
      </c>
      <c r="DR121" s="230">
        <v>0</v>
      </c>
      <c r="DS121" s="88">
        <v>0</v>
      </c>
      <c r="DT121" s="88">
        <v>0</v>
      </c>
      <c r="DU121" s="88">
        <v>0</v>
      </c>
      <c r="DV121" s="88">
        <v>0</v>
      </c>
      <c r="DW121" s="88">
        <v>0</v>
      </c>
      <c r="DX121" s="88">
        <v>0</v>
      </c>
      <c r="DY121" s="88">
        <v>0</v>
      </c>
      <c r="DZ121" s="88">
        <v>0</v>
      </c>
      <c r="EA121" s="88">
        <v>0</v>
      </c>
      <c r="EB121" s="152">
        <v>0</v>
      </c>
      <c r="EC121" s="52">
        <f t="shared" si="95"/>
        <v>0</v>
      </c>
      <c r="ED121" s="52">
        <f t="shared" si="95"/>
        <v>0</v>
      </c>
      <c r="EE121" s="52">
        <f t="shared" si="95"/>
        <v>0</v>
      </c>
      <c r="EF121" s="52">
        <f t="shared" si="71"/>
        <v>0</v>
      </c>
      <c r="EG121" s="52">
        <f t="shared" si="96"/>
        <v>0</v>
      </c>
      <c r="EH121" s="238">
        <v>0</v>
      </c>
      <c r="EI121" s="211">
        <v>0</v>
      </c>
      <c r="EJ121" s="211">
        <v>0</v>
      </c>
      <c r="EK121" s="211">
        <v>0</v>
      </c>
      <c r="EL121" s="217">
        <f>IF(C121&gt;=Summary!$E$26,MAX(0,SUM(EH121:EK121)),0)</f>
        <v>0</v>
      </c>
      <c r="EM121" s="52">
        <f>IF(C121&gt;=Summary!$E$26,DX121*BL121,0)</f>
        <v>0</v>
      </c>
      <c r="EN121" s="52">
        <f>IF(C121&gt;=Summary!$E$26,DY121*BM121,0)</f>
        <v>0</v>
      </c>
      <c r="EO121" s="52">
        <f>IF(C121&gt;=Summary!$E$26,DZ121*BN121,0)</f>
        <v>0</v>
      </c>
      <c r="EP121" s="52">
        <f>IF(C121&gt;=Summary!$E$26,EA121*BO121,0)</f>
        <v>0</v>
      </c>
      <c r="EQ121" s="52">
        <f>IF(C121&gt;=Summary!$E$26,DX121*BL121+DY121*BM121+DZ121*BN121+EA121*BO121,0)</f>
        <v>0</v>
      </c>
      <c r="ER121" s="826">
        <v>0</v>
      </c>
      <c r="ES121" s="278">
        <v>0</v>
      </c>
      <c r="ET121" s="278">
        <v>0</v>
      </c>
      <c r="EU121" s="278">
        <v>0</v>
      </c>
      <c r="EV121" s="212">
        <f>IF(C121&gt;=Summary!$E$26,MAX(0,SUM(ER121:EU121)),0)</f>
        <v>0</v>
      </c>
      <c r="EW121" s="52"/>
      <c r="EX121" s="1049">
        <f t="shared" si="97"/>
        <v>0</v>
      </c>
      <c r="EY121" s="1045" t="str">
        <f t="shared" si="98"/>
        <v/>
      </c>
      <c r="EZ121" s="1684" t="s">
        <v>525</v>
      </c>
      <c r="FA121" s="1046">
        <f t="shared" si="111"/>
        <v>45</v>
      </c>
      <c r="FB121" s="256">
        <f t="shared" si="99"/>
        <v>11169.9</v>
      </c>
      <c r="FC121" s="194">
        <f t="shared" si="100"/>
        <v>0</v>
      </c>
      <c r="FD121" s="194">
        <f t="shared" si="101"/>
        <v>2127.6</v>
      </c>
      <c r="FE121" s="194">
        <f t="shared" si="102"/>
        <v>0</v>
      </c>
      <c r="FF121" s="194">
        <f t="shared" si="103"/>
        <v>2659.5</v>
      </c>
      <c r="FG121" s="194">
        <f t="shared" si="104"/>
        <v>0</v>
      </c>
      <c r="FH121" s="257">
        <f>IF(EZ121="No",IF((OR(MONTH(C121)=5,MONTH(C121)=6,MONTH(C121)=7,MONTH(C121)=8,MONTH(C121)=9)),Summary!$O$15*12*(AX121+AY121+AZ121+BA121)*(1-$BC121),Summary!$O$15*13*(AX121+AY121+AZ121+BA121)*(1-$BC121)+IF(Summary!$O$16="Yes",(CALC!FA121+Summary!$O$15)*6*(AX121+AY121+AZ121+BA121)*(1-$BC121),0)),0)</f>
        <v>0</v>
      </c>
      <c r="FI121" s="1412">
        <f>IF(MONTH(C121)=5,FI120*(IF(Summary!$E$70="no",(1+(Summary!$E$71*0.8)),1+HLOOKUP(YEAR(C121)-1,CCFMODEL!$I$127:$AF$128,2)*0.8)),+FI120)</f>
        <v>32.932392373502402</v>
      </c>
      <c r="FJ121" s="1411">
        <f>IF(MONTH(C121)=5,FJ120*(IF(Summary!$E$70="no",(1+(Summary!$E$71*0.8)),1+HLOOKUP(YEAR(CALC!C121)-1,CCFMODEL!$I$127:$AF$128,2)*0.8)),FJ120)</f>
        <v>28.783429554793436</v>
      </c>
      <c r="FK121" s="832">
        <f t="shared" si="72"/>
        <v>525502.1851039778</v>
      </c>
      <c r="FL121" s="1412">
        <f>IF(MONTH(C121)=5,FL120*(IF(Summary!$E$70="no",(1+(Summary!$E$71*0.8)),1+HLOOKUP(YEAR(CALC!C121)-1,CCFMODEL!$I$127:$AF$128,2)*0.8)),+FL120)</f>
        <v>69.260513244460029</v>
      </c>
      <c r="FM121" s="1411">
        <f>IF(MONTH(C121)=5,FM120*(IF(Summary!$E$70="no",(1+(Summary!$E$71*0.8)),1+HLOOKUP(YEAR(CALC!C121)-1,CCFMODEL!$I$127:$AF$128,2)*0.8)),+FM120)</f>
        <v>33.05587340977349</v>
      </c>
      <c r="FN121" s="832">
        <f t="shared" si="73"/>
        <v>1122020.3145602525</v>
      </c>
      <c r="FO121" s="194">
        <f t="shared" si="105"/>
        <v>1647522.4996642303</v>
      </c>
      <c r="FP121" s="263">
        <f t="shared" si="69"/>
        <v>11169.9</v>
      </c>
      <c r="FQ121" s="194">
        <f t="shared" si="69"/>
        <v>0</v>
      </c>
      <c r="FR121" s="194">
        <f t="shared" si="69"/>
        <v>2127.6</v>
      </c>
      <c r="FS121" s="194">
        <f t="shared" si="68"/>
        <v>0</v>
      </c>
      <c r="FT121" s="194">
        <f t="shared" si="68"/>
        <v>2659.5</v>
      </c>
      <c r="FU121" s="194">
        <f t="shared" si="68"/>
        <v>0</v>
      </c>
      <c r="FV121" s="257">
        <f t="shared" si="68"/>
        <v>0</v>
      </c>
      <c r="FW121" s="189">
        <f t="shared" si="74"/>
        <v>0</v>
      </c>
      <c r="FX121" s="189">
        <f t="shared" si="75"/>
        <v>0</v>
      </c>
      <c r="FY121" s="189">
        <f t="shared" si="76"/>
        <v>0</v>
      </c>
      <c r="FZ121" s="258">
        <f t="shared" si="77"/>
        <v>0</v>
      </c>
      <c r="GA121" s="1293">
        <f>(SUM(FP121:FV121)+SUM(GU121:HB121)/(1-Summary!$O$25))*CY121/1000</f>
        <v>196137.79241356801</v>
      </c>
      <c r="GB121" s="1369">
        <f>IF($C121&lt;Summary!$M$81,+Summary!$O$81,VLOOKUP(C121,GasTable,19))</f>
        <v>2.4</v>
      </c>
      <c r="GC121" s="1370">
        <f>IF(H121&lt;=Summary!$N$84,MIN(GA121,Summary!$O$75*(H121-G121+1)),0)</f>
        <v>150000</v>
      </c>
      <c r="GD121" s="1371">
        <f>IF(Summary!$O$75*(H121-G121+1)*0.8&gt;GC121,1,0)</f>
        <v>0</v>
      </c>
      <c r="GE121" s="1372">
        <v>0</v>
      </c>
      <c r="GF121" s="1370">
        <f t="shared" si="106"/>
        <v>46137.792413568008</v>
      </c>
      <c r="GG121" s="1371">
        <f>GF121*(IF(Summary!$O$74=1,VLOOKUP($C121,GasTable,16)+Summary!$O$92+Summary!$O$93,VLOOKUP($C121,GasTable,19)+Summary!$O$92+Summary!$O$93))</f>
        <v>148429.66517310409</v>
      </c>
      <c r="GH121" s="1373">
        <v>18672</v>
      </c>
      <c r="GI121" s="1466">
        <v>0</v>
      </c>
      <c r="GJ121" s="1374">
        <f t="shared" si="107"/>
        <v>527101.66517310403</v>
      </c>
      <c r="GK121" s="189">
        <f t="shared" si="78"/>
        <v>25196.103000000003</v>
      </c>
      <c r="GL121" s="266">
        <v>0.754399762448</v>
      </c>
      <c r="GM121" s="255">
        <f t="shared" si="79"/>
        <v>14730</v>
      </c>
      <c r="GN121" s="189">
        <f>IF(SUM(GU121:HB121)=0,0,IF(Summary!$O$16="Yes",SUM(GX121:HB121),IF(Summary!$O$17="Yes",SUM(GY121:HB121),SUM(GU121:HB121))))</f>
        <v>9239.103000000001</v>
      </c>
      <c r="GO121" s="203">
        <v>3.0143117714011383</v>
      </c>
      <c r="GP121" s="258">
        <f t="shared" si="108"/>
        <v>27849.536930087575</v>
      </c>
      <c r="GQ121" s="189"/>
      <c r="GR121" s="189"/>
      <c r="GS121" s="189"/>
      <c r="GT121" s="189"/>
      <c r="GU121" s="268">
        <v>3592.9845000000009</v>
      </c>
      <c r="GV121" s="189">
        <v>684.37800000000027</v>
      </c>
      <c r="GW121" s="189">
        <v>855.47249999999997</v>
      </c>
      <c r="GX121" s="189"/>
      <c r="GY121" s="254">
        <v>2874.3875999999996</v>
      </c>
      <c r="GZ121" s="189">
        <v>547.50239999999997</v>
      </c>
      <c r="HA121" s="189">
        <v>684.37800000000004</v>
      </c>
      <c r="HB121" s="255"/>
      <c r="HC121" s="189">
        <v>9239.103000000001</v>
      </c>
      <c r="HD121" s="189"/>
      <c r="HE121" s="189">
        <v>21557.906999999999</v>
      </c>
      <c r="HF121" s="189">
        <v>462980.76549053926</v>
      </c>
      <c r="HG121" s="189"/>
      <c r="HH121" s="203">
        <v>52.012308320627739</v>
      </c>
      <c r="HI121" s="189">
        <v>1121276.5056314189</v>
      </c>
      <c r="HJ121" s="268">
        <f t="shared" si="80"/>
        <v>0</v>
      </c>
      <c r="HK121" s="189">
        <f t="shared" si="81"/>
        <v>0</v>
      </c>
      <c r="HL121" s="189">
        <f t="shared" si="82"/>
        <v>0</v>
      </c>
      <c r="HM121" s="255">
        <f t="shared" si="83"/>
        <v>0</v>
      </c>
      <c r="HN121" s="189">
        <f t="shared" si="84"/>
        <v>0</v>
      </c>
      <c r="HO121" s="203">
        <f t="shared" si="109"/>
        <v>0</v>
      </c>
      <c r="HP121" s="258">
        <f t="shared" si="85"/>
        <v>0</v>
      </c>
      <c r="HQ121" s="203"/>
      <c r="HR121" s="268"/>
      <c r="HS121" s="38"/>
      <c r="HT121" s="255"/>
      <c r="HU121" s="254"/>
      <c r="HV121" s="203"/>
      <c r="HW121" s="189"/>
      <c r="HX121" s="1020"/>
      <c r="HY121" s="258"/>
      <c r="HZ121" s="268"/>
      <c r="IA121" s="203"/>
      <c r="IB121" s="255"/>
      <c r="IC121" s="254"/>
      <c r="ID121" s="203"/>
      <c r="IE121" s="255"/>
      <c r="IF121" s="189"/>
      <c r="IG121" s="203"/>
      <c r="IH121" s="255"/>
      <c r="II121" s="189"/>
      <c r="IJ121" s="203"/>
      <c r="IK121" s="189"/>
      <c r="IL121" s="1182"/>
      <c r="IM121" s="1403"/>
      <c r="IN121" s="254"/>
      <c r="IO121" s="254"/>
      <c r="IP121" s="254"/>
      <c r="IQ121" s="254"/>
      <c r="IR121" s="223"/>
    </row>
    <row r="122" spans="1:252" ht="13.8" thickBot="1">
      <c r="A122" t="str">
        <f t="shared" si="86"/>
        <v>2008Q4</v>
      </c>
      <c r="B122">
        <f t="shared" si="87"/>
        <v>2008</v>
      </c>
      <c r="C122" s="50">
        <f t="shared" si="88"/>
        <v>39722</v>
      </c>
      <c r="D122" s="115">
        <f t="shared" si="89"/>
        <v>2008</v>
      </c>
      <c r="E122" s="33">
        <f t="shared" si="112"/>
        <v>10</v>
      </c>
      <c r="F122" s="248" t="str">
        <f t="shared" si="113"/>
        <v/>
      </c>
      <c r="G122" s="246">
        <v>39722</v>
      </c>
      <c r="H122" s="252">
        <v>39752</v>
      </c>
      <c r="I122" s="959">
        <f t="shared" si="110"/>
        <v>7.1499999999999994E-2</v>
      </c>
      <c r="J122" s="37">
        <f t="shared" si="90"/>
        <v>0.53387143409327464</v>
      </c>
      <c r="K122" s="1036"/>
      <c r="L122" s="37"/>
      <c r="M122" s="1004">
        <v>0</v>
      </c>
      <c r="N122" s="38">
        <f t="shared" si="119"/>
        <v>0</v>
      </c>
      <c r="O122" s="40">
        <f t="shared" si="119"/>
        <v>0</v>
      </c>
      <c r="P122" s="159">
        <f t="shared" si="117"/>
        <v>0</v>
      </c>
      <c r="Q122" s="38">
        <f t="shared" si="121"/>
        <v>0</v>
      </c>
      <c r="R122" s="40">
        <f t="shared" si="121"/>
        <v>0</v>
      </c>
      <c r="S122" s="38">
        <f t="shared" si="121"/>
        <v>0</v>
      </c>
      <c r="T122" s="38">
        <f t="shared" si="121"/>
        <v>0</v>
      </c>
      <c r="U122" s="38">
        <f t="shared" si="121"/>
        <v>0</v>
      </c>
      <c r="V122" s="159">
        <f t="shared" si="121"/>
        <v>0</v>
      </c>
      <c r="W122" s="38">
        <f t="shared" si="121"/>
        <v>0</v>
      </c>
      <c r="X122" s="39">
        <f t="shared" si="121"/>
        <v>0</v>
      </c>
      <c r="Y122" s="46">
        <v>0</v>
      </c>
      <c r="Z122" s="46">
        <v>0</v>
      </c>
      <c r="AA122" s="47">
        <v>0</v>
      </c>
      <c r="AB122" s="46">
        <v>0</v>
      </c>
      <c r="AC122" s="46">
        <v>0</v>
      </c>
      <c r="AD122" s="47">
        <v>0</v>
      </c>
      <c r="AE122" s="46">
        <v>0</v>
      </c>
      <c r="AF122" s="46">
        <v>0</v>
      </c>
      <c r="AG122" s="47">
        <v>0</v>
      </c>
      <c r="AH122" s="46">
        <v>0</v>
      </c>
      <c r="AI122" s="46">
        <v>0</v>
      </c>
      <c r="AJ122" s="47">
        <v>0</v>
      </c>
      <c r="AK122" s="46">
        <v>0</v>
      </c>
      <c r="AL122" s="46">
        <v>0</v>
      </c>
      <c r="AM122" s="47">
        <v>0</v>
      </c>
      <c r="AN122" s="46">
        <v>0</v>
      </c>
      <c r="AO122" s="46">
        <v>0</v>
      </c>
      <c r="AP122" s="47">
        <v>0</v>
      </c>
      <c r="AQ122" s="46">
        <v>0</v>
      </c>
      <c r="AR122" s="46">
        <v>0</v>
      </c>
      <c r="AS122" s="47">
        <v>0</v>
      </c>
      <c r="AT122" s="46">
        <v>0</v>
      </c>
      <c r="AU122" s="46">
        <v>0</v>
      </c>
      <c r="AV122" s="46">
        <v>0</v>
      </c>
      <c r="AW122" s="1545">
        <v>0</v>
      </c>
      <c r="AX122" s="10">
        <f t="shared" si="114"/>
        <v>23</v>
      </c>
      <c r="AY122" s="42">
        <f>IF(AND($E122=MONTH(Summary!$E$24),$D122=YEAR(Summary!$E$24)),Summary!$E$25,1)*IF(G122="",0,INT((H122-MOD(H122,7)-G122)/7)+1-IF(BA122,IF(WEEKDAY(F122)=7,1,0),0))</f>
        <v>4</v>
      </c>
      <c r="AZ122" s="42">
        <f>IF(AND($E122=MONTH(Summary!$E$24),$D122=YEAR(Summary!$E$24)),Summary!$E$25,1)*IF(G122="",0,INT((H122-MOD(H122-1,7)-G122)/7)+1-IF(BA122,IF(WEEKDAY(F122)=1,1,0),0))</f>
        <v>4</v>
      </c>
      <c r="BA122" s="42">
        <v>0</v>
      </c>
      <c r="BB122" s="10">
        <f>IF(AND($E122=MONTH(Summary!$E$24),$D122=YEAR(Summary!$E$24)),Summary!$E$25,1)*IF(G122="",0,H122-G122+1)</f>
        <v>31</v>
      </c>
      <c r="BC122" s="914">
        <f>Summary!$E$19</f>
        <v>1.4999999999999999E-2</v>
      </c>
      <c r="BD122" s="113">
        <v>16311.6</v>
      </c>
      <c r="BE122" s="171">
        <v>2836.8</v>
      </c>
      <c r="BF122" s="171">
        <v>2836.8</v>
      </c>
      <c r="BG122" s="174"/>
      <c r="BH122" s="1198">
        <v>1</v>
      </c>
      <c r="BI122" s="1198">
        <v>1</v>
      </c>
      <c r="BJ122" s="1198">
        <v>1</v>
      </c>
      <c r="BK122" s="1198">
        <v>1</v>
      </c>
      <c r="BL122" s="95">
        <v>3262.32</v>
      </c>
      <c r="BM122" s="171">
        <v>567.36</v>
      </c>
      <c r="BN122" s="171">
        <v>567.36</v>
      </c>
      <c r="BO122" s="174"/>
      <c r="BP122" s="1198">
        <v>1</v>
      </c>
      <c r="BQ122" s="1199">
        <v>1</v>
      </c>
      <c r="BR122" s="1199">
        <v>1</v>
      </c>
      <c r="BS122" s="1200">
        <v>1</v>
      </c>
      <c r="BT122" s="94">
        <f t="shared" si="91"/>
        <v>21985.200000000001</v>
      </c>
      <c r="BU122" s="233">
        <f t="shared" si="92"/>
        <v>21985.200000000001</v>
      </c>
      <c r="BV122" s="92">
        <f t="shared" si="93"/>
        <v>4397.04</v>
      </c>
      <c r="BW122" s="233">
        <f t="shared" si="94"/>
        <v>4397.04</v>
      </c>
      <c r="BX122" s="88">
        <v>8.7967145790554415</v>
      </c>
      <c r="BY122" s="90">
        <v>0</v>
      </c>
      <c r="BZ122" s="88">
        <v>0</v>
      </c>
      <c r="CA122" s="88">
        <v>0</v>
      </c>
      <c r="CB122" s="88">
        <v>0</v>
      </c>
      <c r="CC122" s="88">
        <v>0</v>
      </c>
      <c r="CD122" s="88">
        <v>0</v>
      </c>
      <c r="CE122" s="100">
        <v>0</v>
      </c>
      <c r="CF122" s="88">
        <v>0</v>
      </c>
      <c r="CG122" s="88">
        <v>0</v>
      </c>
      <c r="CH122" s="88">
        <v>0</v>
      </c>
      <c r="CI122" s="88">
        <v>0</v>
      </c>
      <c r="CJ122" s="228">
        <v>0</v>
      </c>
      <c r="CK122" s="88">
        <v>0</v>
      </c>
      <c r="CL122" s="88">
        <v>0</v>
      </c>
      <c r="CM122" s="88">
        <v>0</v>
      </c>
      <c r="CN122" s="88">
        <v>0</v>
      </c>
      <c r="CO122" s="88">
        <v>0</v>
      </c>
      <c r="CP122" s="88">
        <v>0</v>
      </c>
      <c r="CQ122" s="229">
        <v>0</v>
      </c>
      <c r="CR122" s="91">
        <v>0</v>
      </c>
      <c r="CS122" s="91">
        <v>0</v>
      </c>
      <c r="CT122" s="91">
        <v>0</v>
      </c>
      <c r="CU122" s="91">
        <v>0</v>
      </c>
      <c r="CV122" s="91">
        <v>0</v>
      </c>
      <c r="CW122" s="91">
        <v>0</v>
      </c>
      <c r="CX122" s="225">
        <v>0</v>
      </c>
      <c r="CY122" s="1265">
        <v>7684.3096000000005</v>
      </c>
      <c r="CZ122" s="90">
        <v>0</v>
      </c>
      <c r="DA122" s="88">
        <v>0</v>
      </c>
      <c r="DB122" s="88">
        <v>0</v>
      </c>
      <c r="DC122" s="88">
        <v>0</v>
      </c>
      <c r="DD122" s="88">
        <v>0</v>
      </c>
      <c r="DE122" s="152">
        <v>0</v>
      </c>
      <c r="DF122" s="230">
        <v>0</v>
      </c>
      <c r="DG122" s="38">
        <v>0</v>
      </c>
      <c r="DH122" s="1237">
        <v>0</v>
      </c>
      <c r="DI122" s="956">
        <v>0</v>
      </c>
      <c r="DJ122" s="956">
        <v>0</v>
      </c>
      <c r="DK122" s="956">
        <v>0</v>
      </c>
      <c r="DL122" s="152">
        <v>0</v>
      </c>
      <c r="DM122" s="160">
        <v>0</v>
      </c>
      <c r="DN122" s="160">
        <v>0</v>
      </c>
      <c r="DO122" s="160">
        <v>0</v>
      </c>
      <c r="DP122" s="160">
        <v>0</v>
      </c>
      <c r="DQ122" s="160">
        <v>0</v>
      </c>
      <c r="DR122" s="230">
        <v>0</v>
      </c>
      <c r="DS122" s="88">
        <v>0</v>
      </c>
      <c r="DT122" s="88">
        <v>0</v>
      </c>
      <c r="DU122" s="88">
        <v>0</v>
      </c>
      <c r="DV122" s="88">
        <v>0</v>
      </c>
      <c r="DW122" s="88">
        <v>0</v>
      </c>
      <c r="DX122" s="88">
        <v>0</v>
      </c>
      <c r="DY122" s="88">
        <v>0</v>
      </c>
      <c r="DZ122" s="88">
        <v>0</v>
      </c>
      <c r="EA122" s="88">
        <v>0</v>
      </c>
      <c r="EB122" s="152">
        <v>0</v>
      </c>
      <c r="EC122" s="52">
        <f t="shared" si="95"/>
        <v>0</v>
      </c>
      <c r="ED122" s="52">
        <f t="shared" si="95"/>
        <v>0</v>
      </c>
      <c r="EE122" s="52">
        <f t="shared" si="95"/>
        <v>0</v>
      </c>
      <c r="EF122" s="52">
        <f t="shared" si="71"/>
        <v>0</v>
      </c>
      <c r="EG122" s="52">
        <f t="shared" si="96"/>
        <v>0</v>
      </c>
      <c r="EH122" s="238">
        <v>0</v>
      </c>
      <c r="EI122" s="211">
        <v>0</v>
      </c>
      <c r="EJ122" s="211">
        <v>0</v>
      </c>
      <c r="EK122" s="211">
        <v>0</v>
      </c>
      <c r="EL122" s="217">
        <f>IF(C122&gt;=Summary!$E$26,MAX(0,SUM(EH122:EK122)),0)</f>
        <v>0</v>
      </c>
      <c r="EM122" s="52">
        <f>IF(C122&gt;=Summary!$E$26,DX122*BL122,0)</f>
        <v>0</v>
      </c>
      <c r="EN122" s="52">
        <f>IF(C122&gt;=Summary!$E$26,DY122*BM122,0)</f>
        <v>0</v>
      </c>
      <c r="EO122" s="52">
        <f>IF(C122&gt;=Summary!$E$26,DZ122*BN122,0)</f>
        <v>0</v>
      </c>
      <c r="EP122" s="52">
        <f>IF(C122&gt;=Summary!$E$26,EA122*BO122,0)</f>
        <v>0</v>
      </c>
      <c r="EQ122" s="52">
        <f>IF(C122&gt;=Summary!$E$26,DX122*BL122+DY122*BM122+DZ122*BN122+EA122*BO122,0)</f>
        <v>0</v>
      </c>
      <c r="ER122" s="826">
        <v>0</v>
      </c>
      <c r="ES122" s="278">
        <v>0</v>
      </c>
      <c r="ET122" s="278">
        <v>0</v>
      </c>
      <c r="EU122" s="278">
        <v>0</v>
      </c>
      <c r="EV122" s="212">
        <f>IF(C122&gt;=Summary!$E$26,MAX(0,SUM(ER122:EU122)),0)</f>
        <v>0</v>
      </c>
      <c r="EW122" s="52"/>
      <c r="EX122" s="1049">
        <f t="shared" si="97"/>
        <v>0</v>
      </c>
      <c r="EY122" s="1045" t="str">
        <f t="shared" si="98"/>
        <v/>
      </c>
      <c r="EZ122" s="1684" t="s">
        <v>525</v>
      </c>
      <c r="FA122" s="1046">
        <f t="shared" si="111"/>
        <v>45</v>
      </c>
      <c r="FB122" s="256">
        <f t="shared" si="99"/>
        <v>10194.75</v>
      </c>
      <c r="FC122" s="194">
        <f t="shared" si="100"/>
        <v>3058.4250000000002</v>
      </c>
      <c r="FD122" s="194">
        <f t="shared" si="101"/>
        <v>1773</v>
      </c>
      <c r="FE122" s="194">
        <f t="shared" si="102"/>
        <v>531.9</v>
      </c>
      <c r="FF122" s="194">
        <f t="shared" si="103"/>
        <v>1773</v>
      </c>
      <c r="FG122" s="194">
        <f t="shared" si="104"/>
        <v>531.9</v>
      </c>
      <c r="FH122" s="257">
        <f>IF(EZ122="No",IF((OR(MONTH(C122)=5,MONTH(C122)=6,MONTH(C122)=7,MONTH(C122)=8,MONTH(C122)=9)),Summary!$O$15*12*(AX122+AY122+AZ122+BA122)*(1-$BC122),Summary!$O$15*13*(AX122+AY122+AZ122+BA122)*(1-$BC122)+IF(Summary!$O$16="Yes",(CALC!FA122+Summary!$O$15)*6*(AX122+AY122+AZ122+BA122)*(1-$BC122),0)),0)</f>
        <v>0</v>
      </c>
      <c r="FI122" s="1412">
        <f>IF(MONTH(C122)=5,FI121*(IF(Summary!$E$70="no",(1+(Summary!$E$71*0.8)),1+HLOOKUP(YEAR(C122)-1,CCFMODEL!$I$127:$AF$128,2)*0.8)),+FI121)</f>
        <v>32.932392373502402</v>
      </c>
      <c r="FJ122" s="1411">
        <f>IF(MONTH(C122)=5,FJ121*(IF(Summary!$E$70="no",(1+(Summary!$E$71*0.8)),1+HLOOKUP(YEAR(CALC!C122)-1,CCFMODEL!$I$127:$AF$128,2)*0.8)),FJ121)</f>
        <v>28.783429554793436</v>
      </c>
      <c r="FK122" s="832">
        <f t="shared" si="72"/>
        <v>588270.50165806408</v>
      </c>
      <c r="FL122" s="1412">
        <f>IF(MONTH(C122)=5,FL121*(IF(Summary!$E$70="no",(1+(Summary!$E$71*0.8)),1+HLOOKUP(YEAR(CALC!C122)-1,CCFMODEL!$I$127:$AF$128,2)*0.8)),+FL121)</f>
        <v>69.260513244460029</v>
      </c>
      <c r="FM122" s="1411">
        <f>IF(MONTH(C122)=5,FM121*(IF(Summary!$E$70="no",(1+(Summary!$E$71*0.8)),1+HLOOKUP(YEAR(CALC!C122)-1,CCFMODEL!$I$127:$AF$128,2)*0.8)),+FM121)</f>
        <v>33.05587340977349</v>
      </c>
      <c r="FN122" s="832">
        <f t="shared" si="73"/>
        <v>599468.26428624219</v>
      </c>
      <c r="FO122" s="194">
        <f t="shared" si="105"/>
        <v>1187738.7659443063</v>
      </c>
      <c r="FP122" s="263">
        <f t="shared" si="69"/>
        <v>10194.75</v>
      </c>
      <c r="FQ122" s="194">
        <f t="shared" si="69"/>
        <v>3058.4250000000002</v>
      </c>
      <c r="FR122" s="194">
        <f t="shared" si="69"/>
        <v>1773</v>
      </c>
      <c r="FS122" s="194">
        <f t="shared" si="68"/>
        <v>531.9</v>
      </c>
      <c r="FT122" s="194">
        <f t="shared" si="68"/>
        <v>1773</v>
      </c>
      <c r="FU122" s="194">
        <f t="shared" si="68"/>
        <v>531.9</v>
      </c>
      <c r="FV122" s="257">
        <f t="shared" si="68"/>
        <v>0</v>
      </c>
      <c r="FW122" s="189">
        <f t="shared" si="74"/>
        <v>0</v>
      </c>
      <c r="FX122" s="189">
        <f t="shared" si="75"/>
        <v>0</v>
      </c>
      <c r="FY122" s="189">
        <f t="shared" si="76"/>
        <v>0</v>
      </c>
      <c r="FZ122" s="258">
        <f t="shared" si="77"/>
        <v>0</v>
      </c>
      <c r="GA122" s="1293">
        <f>(SUM(FP122:FV122)+SUM(GU122:HB122)/(1-Summary!$O$25))*CY122/1000</f>
        <v>234405.75324236398</v>
      </c>
      <c r="GB122" s="1369">
        <f>IF($C122&lt;Summary!$M$81,+Summary!$O$81,VLOOKUP(C122,GasTable,19))</f>
        <v>2.4</v>
      </c>
      <c r="GC122" s="1370">
        <f>IF(H122&lt;=Summary!$N$84,MIN(GA122,Summary!$O$75*(H122-G122+1)),0)</f>
        <v>155000</v>
      </c>
      <c r="GD122" s="1371">
        <f>IF(Summary!$O$75*(H122-G122+1)*0.8&gt;GC122,1,0)</f>
        <v>0</v>
      </c>
      <c r="GE122" s="1372">
        <v>0</v>
      </c>
      <c r="GF122" s="1370">
        <f t="shared" si="106"/>
        <v>79405.753242363979</v>
      </c>
      <c r="GG122" s="1371">
        <f>GF122*(IF(Summary!$O$74=1,VLOOKUP($C122,GasTable,16)+Summary!$O$92+Summary!$O$93,VLOOKUP($C122,GasTable,19)+Summary!$O$92+Summary!$O$93))</f>
        <v>266624.32015278441</v>
      </c>
      <c r="GH122" s="1373">
        <v>19356.400000000001</v>
      </c>
      <c r="GI122" s="1466">
        <v>0</v>
      </c>
      <c r="GJ122" s="1374">
        <f t="shared" si="107"/>
        <v>657980.72015278449</v>
      </c>
      <c r="GK122" s="189">
        <f t="shared" si="78"/>
        <v>30062.012849999999</v>
      </c>
      <c r="GL122" s="266">
        <v>0.75459920272000014</v>
      </c>
      <c r="GM122" s="255">
        <f t="shared" si="79"/>
        <v>15221.000000000002</v>
      </c>
      <c r="GN122" s="189">
        <f>IF(SUM(GU122:HB122)=0,0,IF(Summary!$O$16="Yes",SUM(GX122:HB122),IF(Summary!$O$17="Yes",SUM(GY122:HB122),SUM(GU122:HB122))))</f>
        <v>12199.037849999999</v>
      </c>
      <c r="GO122" s="203">
        <v>3.0143117714011383</v>
      </c>
      <c r="GP122" s="258">
        <f t="shared" si="108"/>
        <v>36771.703391023031</v>
      </c>
      <c r="GQ122" s="189"/>
      <c r="GR122" s="189"/>
      <c r="GS122" s="189"/>
      <c r="GT122" s="189"/>
      <c r="GU122" s="268">
        <v>5902.7602500000003</v>
      </c>
      <c r="GV122" s="189">
        <v>1026.5670000000002</v>
      </c>
      <c r="GW122" s="189">
        <v>1026.5670000000002</v>
      </c>
      <c r="GX122" s="189"/>
      <c r="GY122" s="254">
        <v>3148.1388000000002</v>
      </c>
      <c r="GZ122" s="189">
        <v>547.50239999999997</v>
      </c>
      <c r="HA122" s="189">
        <v>547.50239999999997</v>
      </c>
      <c r="HB122" s="255"/>
      <c r="HC122" s="189">
        <v>12199.037849999999</v>
      </c>
      <c r="HD122" s="189"/>
      <c r="HE122" s="189">
        <v>20950.521524999996</v>
      </c>
      <c r="HF122" s="189">
        <v>538805.4240762043</v>
      </c>
      <c r="HG122" s="189"/>
      <c r="HH122" s="203">
        <v>43.469283272813961</v>
      </c>
      <c r="HI122" s="189">
        <v>910704.15488341125</v>
      </c>
      <c r="HJ122" s="268">
        <f t="shared" si="80"/>
        <v>0</v>
      </c>
      <c r="HK122" s="189">
        <f t="shared" si="81"/>
        <v>0</v>
      </c>
      <c r="HL122" s="189">
        <f t="shared" si="82"/>
        <v>0</v>
      </c>
      <c r="HM122" s="255">
        <f t="shared" si="83"/>
        <v>0</v>
      </c>
      <c r="HN122" s="189">
        <f t="shared" si="84"/>
        <v>0</v>
      </c>
      <c r="HO122" s="203">
        <f t="shared" si="109"/>
        <v>0</v>
      </c>
      <c r="HP122" s="258">
        <f t="shared" si="85"/>
        <v>0</v>
      </c>
      <c r="HQ122" s="203"/>
      <c r="HR122" s="268"/>
      <c r="HS122" s="38"/>
      <c r="HT122" s="255"/>
      <c r="HU122" s="254"/>
      <c r="HV122" s="203"/>
      <c r="HW122" s="189"/>
      <c r="HX122" s="1020"/>
      <c r="HY122" s="258"/>
      <c r="HZ122" s="268"/>
      <c r="IA122" s="203"/>
      <c r="IB122" s="255"/>
      <c r="IC122" s="254"/>
      <c r="ID122" s="203"/>
      <c r="IE122" s="255"/>
      <c r="IF122" s="189"/>
      <c r="IG122" s="203"/>
      <c r="IH122" s="255"/>
      <c r="II122" s="189"/>
      <c r="IJ122" s="203"/>
      <c r="IK122" s="189"/>
      <c r="IL122" s="1182"/>
      <c r="IM122" s="1403"/>
      <c r="IN122" s="254"/>
      <c r="IO122" s="254"/>
      <c r="IP122" s="254"/>
      <c r="IQ122" s="254"/>
      <c r="IR122" s="223"/>
    </row>
    <row r="123" spans="1:252" ht="13.8" thickBot="1">
      <c r="A123" t="str">
        <f t="shared" si="86"/>
        <v>2008Q4</v>
      </c>
      <c r="B123">
        <f t="shared" si="87"/>
        <v>2008</v>
      </c>
      <c r="C123" s="49">
        <f t="shared" si="88"/>
        <v>39753</v>
      </c>
      <c r="D123" s="115">
        <f t="shared" si="89"/>
        <v>2008</v>
      </c>
      <c r="E123" s="10">
        <f t="shared" si="112"/>
        <v>11</v>
      </c>
      <c r="F123" s="248">
        <f t="shared" si="113"/>
        <v>39779</v>
      </c>
      <c r="G123" s="245">
        <v>39753</v>
      </c>
      <c r="H123" s="251">
        <v>39782</v>
      </c>
      <c r="I123" s="959">
        <f t="shared" si="110"/>
        <v>7.1499999999999994E-2</v>
      </c>
      <c r="J123" s="37">
        <f t="shared" si="90"/>
        <v>0.53079978508687387</v>
      </c>
      <c r="K123" s="1036"/>
      <c r="L123" s="37"/>
      <c r="M123" s="1004">
        <v>0</v>
      </c>
      <c r="N123" s="38">
        <f t="shared" si="119"/>
        <v>0</v>
      </c>
      <c r="O123" s="40">
        <f t="shared" si="119"/>
        <v>0</v>
      </c>
      <c r="P123" s="159">
        <f t="shared" si="117"/>
        <v>0</v>
      </c>
      <c r="Q123" s="38">
        <f t="shared" si="121"/>
        <v>0</v>
      </c>
      <c r="R123" s="40">
        <f t="shared" si="121"/>
        <v>0</v>
      </c>
      <c r="S123" s="38">
        <f t="shared" si="121"/>
        <v>0</v>
      </c>
      <c r="T123" s="38">
        <f t="shared" si="121"/>
        <v>0</v>
      </c>
      <c r="U123" s="38">
        <f t="shared" si="121"/>
        <v>0</v>
      </c>
      <c r="V123" s="159">
        <f t="shared" si="121"/>
        <v>0</v>
      </c>
      <c r="W123" s="38">
        <f t="shared" si="121"/>
        <v>0</v>
      </c>
      <c r="X123" s="39">
        <f t="shared" si="121"/>
        <v>0</v>
      </c>
      <c r="Y123" s="46">
        <v>0</v>
      </c>
      <c r="Z123" s="46">
        <v>0</v>
      </c>
      <c r="AA123" s="47">
        <v>0</v>
      </c>
      <c r="AB123" s="46">
        <v>0</v>
      </c>
      <c r="AC123" s="46">
        <v>0</v>
      </c>
      <c r="AD123" s="47">
        <v>0</v>
      </c>
      <c r="AE123" s="46">
        <v>0</v>
      </c>
      <c r="AF123" s="46">
        <v>0</v>
      </c>
      <c r="AG123" s="47">
        <v>0</v>
      </c>
      <c r="AH123" s="46">
        <v>0</v>
      </c>
      <c r="AI123" s="46">
        <v>0</v>
      </c>
      <c r="AJ123" s="47">
        <v>0</v>
      </c>
      <c r="AK123" s="46">
        <v>0</v>
      </c>
      <c r="AL123" s="46">
        <v>0</v>
      </c>
      <c r="AM123" s="47">
        <v>0</v>
      </c>
      <c r="AN123" s="46">
        <v>0</v>
      </c>
      <c r="AO123" s="46">
        <v>0</v>
      </c>
      <c r="AP123" s="47">
        <v>0</v>
      </c>
      <c r="AQ123" s="46">
        <v>0</v>
      </c>
      <c r="AR123" s="46">
        <v>0</v>
      </c>
      <c r="AS123" s="47">
        <v>0</v>
      </c>
      <c r="AT123" s="46">
        <v>0</v>
      </c>
      <c r="AU123" s="46">
        <v>0</v>
      </c>
      <c r="AV123" s="46">
        <v>0</v>
      </c>
      <c r="AW123" s="1545">
        <v>0</v>
      </c>
      <c r="AX123" s="10">
        <f t="shared" si="114"/>
        <v>19</v>
      </c>
      <c r="AY123" s="42">
        <f>IF(AND($E123=MONTH(Summary!$E$24),$D123=YEAR(Summary!$E$24)),Summary!$E$25,1)*IF(G123="",0,INT((H123-MOD(H123,7)-G123)/7)+1-IF(BA123,IF(WEEKDAY(F123)=7,1,0),0))</f>
        <v>5</v>
      </c>
      <c r="AZ123" s="42">
        <f>IF(AND($E123=MONTH(Summary!$E$24),$D123=YEAR(Summary!$E$24)),Summary!$E$25,1)*IF(G123="",0,INT((H123-MOD(H123-1,7)-G123)/7)+1-IF(BA123,IF(WEEKDAY(F123)=1,1,0),0))</f>
        <v>5</v>
      </c>
      <c r="BA123" s="42">
        <v>1</v>
      </c>
      <c r="BB123" s="10">
        <f>IF(AND($E123=MONTH(Summary!$E$24),$D123=YEAR(Summary!$E$24)),Summary!$E$25,1)*IF(G123="",0,H123-G123+1)</f>
        <v>30</v>
      </c>
      <c r="BC123" s="914">
        <f>Summary!$E$19</f>
        <v>1.4999999999999999E-2</v>
      </c>
      <c r="BD123" s="113">
        <v>13474.8</v>
      </c>
      <c r="BE123" s="171">
        <v>3546</v>
      </c>
      <c r="BF123" s="171">
        <v>4255.2</v>
      </c>
      <c r="BG123" s="174"/>
      <c r="BH123" s="1198">
        <v>1</v>
      </c>
      <c r="BI123" s="1198">
        <v>1</v>
      </c>
      <c r="BJ123" s="1198">
        <v>1</v>
      </c>
      <c r="BK123" s="1198">
        <v>1</v>
      </c>
      <c r="BL123" s="95">
        <v>2694.96</v>
      </c>
      <c r="BM123" s="171">
        <v>709.2</v>
      </c>
      <c r="BN123" s="171">
        <v>851.04</v>
      </c>
      <c r="BO123" s="174"/>
      <c r="BP123" s="1198">
        <v>1</v>
      </c>
      <c r="BQ123" s="1199">
        <v>1</v>
      </c>
      <c r="BR123" s="1199">
        <v>1</v>
      </c>
      <c r="BS123" s="1200">
        <v>1</v>
      </c>
      <c r="BT123" s="94">
        <f t="shared" si="91"/>
        <v>21276</v>
      </c>
      <c r="BU123" s="233">
        <f t="shared" si="92"/>
        <v>21276</v>
      </c>
      <c r="BV123" s="92">
        <f t="shared" si="93"/>
        <v>4255.2</v>
      </c>
      <c r="BW123" s="233">
        <f t="shared" si="94"/>
        <v>4255.2</v>
      </c>
      <c r="BX123" s="88">
        <v>8.8815879534565365</v>
      </c>
      <c r="BY123" s="90">
        <v>0</v>
      </c>
      <c r="BZ123" s="88">
        <v>0</v>
      </c>
      <c r="CA123" s="88">
        <v>0</v>
      </c>
      <c r="CB123" s="88">
        <v>0</v>
      </c>
      <c r="CC123" s="88">
        <v>0</v>
      </c>
      <c r="CD123" s="88">
        <v>0</v>
      </c>
      <c r="CE123" s="100">
        <v>0</v>
      </c>
      <c r="CF123" s="88">
        <v>0</v>
      </c>
      <c r="CG123" s="88">
        <v>0</v>
      </c>
      <c r="CH123" s="88">
        <v>0</v>
      </c>
      <c r="CI123" s="88">
        <v>0</v>
      </c>
      <c r="CJ123" s="228">
        <v>0</v>
      </c>
      <c r="CK123" s="88">
        <v>0</v>
      </c>
      <c r="CL123" s="88">
        <v>0</v>
      </c>
      <c r="CM123" s="88">
        <v>0</v>
      </c>
      <c r="CN123" s="88">
        <v>0</v>
      </c>
      <c r="CO123" s="88">
        <v>0</v>
      </c>
      <c r="CP123" s="88">
        <v>0</v>
      </c>
      <c r="CQ123" s="229">
        <v>0</v>
      </c>
      <c r="CR123" s="91">
        <v>0</v>
      </c>
      <c r="CS123" s="91">
        <v>0</v>
      </c>
      <c r="CT123" s="91">
        <v>0</v>
      </c>
      <c r="CU123" s="91">
        <v>0</v>
      </c>
      <c r="CV123" s="91">
        <v>0</v>
      </c>
      <c r="CW123" s="91">
        <v>0</v>
      </c>
      <c r="CX123" s="225">
        <v>0</v>
      </c>
      <c r="CY123" s="1265">
        <v>7686.3405599999996</v>
      </c>
      <c r="CZ123" s="90">
        <v>0</v>
      </c>
      <c r="DA123" s="88">
        <v>0</v>
      </c>
      <c r="DB123" s="88">
        <v>0</v>
      </c>
      <c r="DC123" s="88">
        <v>0</v>
      </c>
      <c r="DD123" s="88">
        <v>0</v>
      </c>
      <c r="DE123" s="152">
        <v>0</v>
      </c>
      <c r="DF123" s="230">
        <v>0</v>
      </c>
      <c r="DG123" s="38">
        <v>0</v>
      </c>
      <c r="DH123" s="1237">
        <v>0</v>
      </c>
      <c r="DI123" s="956">
        <v>0</v>
      </c>
      <c r="DJ123" s="956">
        <v>0</v>
      </c>
      <c r="DK123" s="956">
        <v>0</v>
      </c>
      <c r="DL123" s="152">
        <v>0</v>
      </c>
      <c r="DM123" s="160">
        <v>0</v>
      </c>
      <c r="DN123" s="160">
        <v>0</v>
      </c>
      <c r="DO123" s="160">
        <v>0</v>
      </c>
      <c r="DP123" s="160">
        <v>0</v>
      </c>
      <c r="DQ123" s="160">
        <v>0</v>
      </c>
      <c r="DR123" s="230">
        <v>0</v>
      </c>
      <c r="DS123" s="88">
        <v>0</v>
      </c>
      <c r="DT123" s="88">
        <v>0</v>
      </c>
      <c r="DU123" s="88">
        <v>0</v>
      </c>
      <c r="DV123" s="88">
        <v>0</v>
      </c>
      <c r="DW123" s="88">
        <v>0</v>
      </c>
      <c r="DX123" s="88">
        <v>0</v>
      </c>
      <c r="DY123" s="88">
        <v>0</v>
      </c>
      <c r="DZ123" s="88">
        <v>0</v>
      </c>
      <c r="EA123" s="88">
        <v>0</v>
      </c>
      <c r="EB123" s="152">
        <v>0</v>
      </c>
      <c r="EC123" s="52">
        <f t="shared" si="95"/>
        <v>0</v>
      </c>
      <c r="ED123" s="52">
        <f t="shared" si="95"/>
        <v>0</v>
      </c>
      <c r="EE123" s="52">
        <f t="shared" si="95"/>
        <v>0</v>
      </c>
      <c r="EF123" s="52">
        <f t="shared" si="71"/>
        <v>0</v>
      </c>
      <c r="EG123" s="52">
        <f t="shared" si="96"/>
        <v>0</v>
      </c>
      <c r="EH123" s="238">
        <v>0</v>
      </c>
      <c r="EI123" s="211">
        <v>0</v>
      </c>
      <c r="EJ123" s="211">
        <v>0</v>
      </c>
      <c r="EK123" s="211">
        <v>0</v>
      </c>
      <c r="EL123" s="217">
        <f>IF(C123&gt;=Summary!$E$26,MAX(0,SUM(EH123:EK123)),0)</f>
        <v>0</v>
      </c>
      <c r="EM123" s="52">
        <f>IF(C123&gt;=Summary!$E$26,DX123*BL123,0)</f>
        <v>0</v>
      </c>
      <c r="EN123" s="52">
        <f>IF(C123&gt;=Summary!$E$26,DY123*BM123,0)</f>
        <v>0</v>
      </c>
      <c r="EO123" s="52">
        <f>IF(C123&gt;=Summary!$E$26,DZ123*BN123,0)</f>
        <v>0</v>
      </c>
      <c r="EP123" s="52">
        <f>IF(C123&gt;=Summary!$E$26,EA123*BO123,0)</f>
        <v>0</v>
      </c>
      <c r="EQ123" s="52">
        <f>IF(C123&gt;=Summary!$E$26,DX123*BL123+DY123*BM123+DZ123*BN123+EA123*BO123,0)</f>
        <v>0</v>
      </c>
      <c r="ER123" s="826">
        <v>0</v>
      </c>
      <c r="ES123" s="278">
        <v>0</v>
      </c>
      <c r="ET123" s="278">
        <v>0</v>
      </c>
      <c r="EU123" s="278">
        <v>0</v>
      </c>
      <c r="EV123" s="212">
        <f>IF(C123&gt;=Summary!$E$26,MAX(0,SUM(ER123:EU123)),0)</f>
        <v>0</v>
      </c>
      <c r="EW123" s="52"/>
      <c r="EX123" s="1049">
        <f t="shared" si="97"/>
        <v>0</v>
      </c>
      <c r="EY123" s="1045" t="str">
        <f t="shared" si="98"/>
        <v/>
      </c>
      <c r="EZ123" s="1684" t="s">
        <v>525</v>
      </c>
      <c r="FA123" s="1046">
        <f t="shared" si="111"/>
        <v>45</v>
      </c>
      <c r="FB123" s="256">
        <f t="shared" si="99"/>
        <v>8421.75</v>
      </c>
      <c r="FC123" s="194">
        <f t="shared" si="100"/>
        <v>2526.5250000000001</v>
      </c>
      <c r="FD123" s="194">
        <f t="shared" si="101"/>
        <v>2216.25</v>
      </c>
      <c r="FE123" s="194">
        <f t="shared" si="102"/>
        <v>664.875</v>
      </c>
      <c r="FF123" s="194">
        <f t="shared" si="103"/>
        <v>2659.5</v>
      </c>
      <c r="FG123" s="194">
        <f t="shared" si="104"/>
        <v>797.85</v>
      </c>
      <c r="FH123" s="257">
        <f>IF(EZ123="No",IF((OR(MONTH(C123)=5,MONTH(C123)=6,MONTH(C123)=7,MONTH(C123)=8,MONTH(C123)=9)),Summary!$O$15*12*(AX123+AY123+AZ123+BA123)*(1-$BC123),Summary!$O$15*13*(AX123+AY123+AZ123+BA123)*(1-$BC123)+IF(Summary!$O$16="Yes",(CALC!FA123+Summary!$O$15)*6*(AX123+AY123+AZ123+BA123)*(1-$BC123),0)),0)</f>
        <v>0</v>
      </c>
      <c r="FI123" s="1412">
        <f>IF(MONTH(C123)=5,FI122*(IF(Summary!$E$70="no",(1+(Summary!$E$71*0.8)),1+HLOOKUP(YEAR(C123)-1,CCFMODEL!$I$127:$AF$128,2)*0.8)),+FI122)</f>
        <v>32.932392373502402</v>
      </c>
      <c r="FJ123" s="1411">
        <f>IF(MONTH(C123)=5,FJ122*(IF(Summary!$E$70="no",(1+(Summary!$E$71*0.8)),1+HLOOKUP(YEAR(CALC!C123)-1,CCFMODEL!$I$127:$AF$128,2)*0.8)),FJ122)</f>
        <v>28.783429554793436</v>
      </c>
      <c r="FK123" s="832">
        <f t="shared" si="72"/>
        <v>569294.03386264271</v>
      </c>
      <c r="FL123" s="1412">
        <f>IF(MONTH(C123)=5,FL122*(IF(Summary!$E$70="no",(1+(Summary!$E$71*0.8)),1+HLOOKUP(YEAR(CALC!C123)-1,CCFMODEL!$I$127:$AF$128,2)*0.8)),+FL122)</f>
        <v>69.260513244460029</v>
      </c>
      <c r="FM123" s="1411">
        <f>IF(MONTH(C123)=5,FM122*(IF(Summary!$E$70="no",(1+(Summary!$E$71*0.8)),1+HLOOKUP(YEAR(CALC!C123)-1,CCFMODEL!$I$127:$AF$128,2)*0.8)),+FM122)</f>
        <v>33.05587340977349</v>
      </c>
      <c r="FN123" s="832">
        <f t="shared" si="73"/>
        <v>580130.5783415247</v>
      </c>
      <c r="FO123" s="194">
        <f t="shared" si="105"/>
        <v>1149424.6122041675</v>
      </c>
      <c r="FP123" s="263">
        <f t="shared" si="69"/>
        <v>8421.75</v>
      </c>
      <c r="FQ123" s="194">
        <f t="shared" si="69"/>
        <v>2526.5250000000001</v>
      </c>
      <c r="FR123" s="194">
        <f t="shared" si="69"/>
        <v>2216.25</v>
      </c>
      <c r="FS123" s="194">
        <f t="shared" si="68"/>
        <v>664.875</v>
      </c>
      <c r="FT123" s="194">
        <f t="shared" si="68"/>
        <v>2659.5</v>
      </c>
      <c r="FU123" s="194">
        <f t="shared" si="68"/>
        <v>797.85</v>
      </c>
      <c r="FV123" s="257">
        <f t="shared" si="68"/>
        <v>0</v>
      </c>
      <c r="FW123" s="189">
        <f t="shared" si="74"/>
        <v>0</v>
      </c>
      <c r="FX123" s="189">
        <f t="shared" si="75"/>
        <v>0</v>
      </c>
      <c r="FY123" s="189">
        <f t="shared" si="76"/>
        <v>0</v>
      </c>
      <c r="FZ123" s="258">
        <f t="shared" si="77"/>
        <v>0</v>
      </c>
      <c r="GA123" s="1293">
        <f>(SUM(FP123:FV123)+SUM(GU123:HB123)/(1-Summary!$O$25))*CY123/1000</f>
        <v>226904.23218445198</v>
      </c>
      <c r="GB123" s="1369">
        <f>IF($C123&lt;Summary!$M$81,+Summary!$O$81,VLOOKUP(C123,GasTable,19))</f>
        <v>2.4</v>
      </c>
      <c r="GC123" s="1370">
        <f>IF(H123&lt;=Summary!$N$84,MIN(GA123,Summary!$O$75*(H123-G123+1)),0)</f>
        <v>150000</v>
      </c>
      <c r="GD123" s="1371">
        <f>IF(Summary!$O$75*(H123-G123+1)*0.8&gt;GC123,1,0)</f>
        <v>0</v>
      </c>
      <c r="GE123" s="1372">
        <v>0</v>
      </c>
      <c r="GF123" s="1370">
        <f t="shared" si="106"/>
        <v>76904.232184451976</v>
      </c>
      <c r="GG123" s="1371">
        <f>GF123*(IF(Summary!$O$74=1,VLOOKUP($C123,GasTable,16)+Summary!$O$92+Summary!$O$93,VLOOKUP($C123,GasTable,19)+Summary!$O$92+Summary!$O$93))</f>
        <v>268891.11958362424</v>
      </c>
      <c r="GH123" s="1373">
        <v>19146</v>
      </c>
      <c r="GI123" s="1466">
        <v>0</v>
      </c>
      <c r="GJ123" s="1374">
        <f t="shared" si="107"/>
        <v>648037.11958362418</v>
      </c>
      <c r="GK123" s="189">
        <f t="shared" si="78"/>
        <v>29092.270500000002</v>
      </c>
      <c r="GL123" s="266">
        <v>0.75479864299200006</v>
      </c>
      <c r="GM123" s="255">
        <f t="shared" si="79"/>
        <v>14730.000000000004</v>
      </c>
      <c r="GN123" s="189">
        <f>IF(SUM(GU123:HB123)=0,0,IF(Summary!$O$16="Yes",SUM(GX123:HB123),IF(Summary!$O$17="Yes",SUM(GY123:HB123),SUM(GU123:HB123))))</f>
        <v>11805.520499999999</v>
      </c>
      <c r="GO123" s="203">
        <v>3.0143117714011383</v>
      </c>
      <c r="GP123" s="258">
        <f t="shared" si="108"/>
        <v>35585.519410667446</v>
      </c>
      <c r="GQ123" s="189"/>
      <c r="GR123" s="189"/>
      <c r="GS123" s="189"/>
      <c r="GT123" s="189"/>
      <c r="GU123" s="268">
        <v>4876.1932499999994</v>
      </c>
      <c r="GV123" s="189">
        <v>1283.20875</v>
      </c>
      <c r="GW123" s="189">
        <v>1539.8504999999998</v>
      </c>
      <c r="GX123" s="189"/>
      <c r="GY123" s="254">
        <v>2600.6363999999999</v>
      </c>
      <c r="GZ123" s="189">
        <v>684.37800000000004</v>
      </c>
      <c r="HA123" s="189">
        <v>821.25359999999989</v>
      </c>
      <c r="HB123" s="255"/>
      <c r="HC123" s="189">
        <v>11805.520499999999</v>
      </c>
      <c r="HD123" s="189"/>
      <c r="HE123" s="189">
        <v>20274.698249999998</v>
      </c>
      <c r="HF123" s="189">
        <v>566370.66929645522</v>
      </c>
      <c r="HG123" s="189"/>
      <c r="HH123" s="203">
        <v>47.692652786162817</v>
      </c>
      <c r="HI123" s="189">
        <v>966954.14398147282</v>
      </c>
      <c r="HJ123" s="268">
        <f t="shared" si="80"/>
        <v>0</v>
      </c>
      <c r="HK123" s="189">
        <f t="shared" si="81"/>
        <v>0</v>
      </c>
      <c r="HL123" s="189">
        <f t="shared" si="82"/>
        <v>0</v>
      </c>
      <c r="HM123" s="255">
        <f t="shared" si="83"/>
        <v>0</v>
      </c>
      <c r="HN123" s="189">
        <f t="shared" si="84"/>
        <v>0</v>
      </c>
      <c r="HO123" s="203">
        <f t="shared" si="109"/>
        <v>0</v>
      </c>
      <c r="HP123" s="258">
        <f t="shared" si="85"/>
        <v>0</v>
      </c>
      <c r="HQ123" s="203"/>
      <c r="HR123" s="268"/>
      <c r="HS123" s="38"/>
      <c r="HT123" s="255"/>
      <c r="HU123" s="254"/>
      <c r="HV123" s="203"/>
      <c r="HW123" s="189"/>
      <c r="HX123" s="1020"/>
      <c r="HY123" s="258"/>
      <c r="HZ123" s="268"/>
      <c r="IA123" s="203"/>
      <c r="IB123" s="255"/>
      <c r="IC123" s="254"/>
      <c r="ID123" s="203"/>
      <c r="IE123" s="255"/>
      <c r="IF123" s="189"/>
      <c r="IG123" s="203"/>
      <c r="IH123" s="255"/>
      <c r="II123" s="189"/>
      <c r="IJ123" s="203"/>
      <c r="IK123" s="189"/>
      <c r="IL123" s="1182"/>
      <c r="IM123" s="1403"/>
      <c r="IN123" s="254"/>
      <c r="IO123" s="254"/>
      <c r="IP123" s="254"/>
      <c r="IQ123" s="254"/>
      <c r="IR123" s="223"/>
    </row>
    <row r="124" spans="1:252" ht="13.8" thickBot="1">
      <c r="A124" t="str">
        <f t="shared" si="86"/>
        <v>2008Q4</v>
      </c>
      <c r="B124">
        <f t="shared" si="87"/>
        <v>2008</v>
      </c>
      <c r="C124" s="49">
        <f t="shared" si="88"/>
        <v>39783</v>
      </c>
      <c r="D124" s="115">
        <f t="shared" si="89"/>
        <v>2008</v>
      </c>
      <c r="E124" s="10">
        <f t="shared" si="112"/>
        <v>12</v>
      </c>
      <c r="F124" s="248">
        <f t="shared" si="113"/>
        <v>39807</v>
      </c>
      <c r="G124" s="245">
        <v>39783</v>
      </c>
      <c r="H124" s="251">
        <v>39813</v>
      </c>
      <c r="I124" s="959">
        <f t="shared" si="110"/>
        <v>7.1499999999999994E-2</v>
      </c>
      <c r="J124" s="37">
        <f t="shared" si="90"/>
        <v>0.52764431289820379</v>
      </c>
      <c r="K124" s="1036"/>
      <c r="L124" s="37"/>
      <c r="M124" s="1004">
        <v>0</v>
      </c>
      <c r="N124" s="38">
        <f t="shared" si="119"/>
        <v>0</v>
      </c>
      <c r="O124" s="40">
        <f t="shared" si="119"/>
        <v>0</v>
      </c>
      <c r="P124" s="159">
        <f t="shared" si="117"/>
        <v>0</v>
      </c>
      <c r="Q124" s="38">
        <f t="shared" si="121"/>
        <v>0</v>
      </c>
      <c r="R124" s="40">
        <f t="shared" si="121"/>
        <v>0</v>
      </c>
      <c r="S124" s="38">
        <f t="shared" si="121"/>
        <v>0</v>
      </c>
      <c r="T124" s="38">
        <f t="shared" si="121"/>
        <v>0</v>
      </c>
      <c r="U124" s="38">
        <f t="shared" si="121"/>
        <v>0</v>
      </c>
      <c r="V124" s="159">
        <f t="shared" si="121"/>
        <v>0</v>
      </c>
      <c r="W124" s="38">
        <f t="shared" si="121"/>
        <v>0</v>
      </c>
      <c r="X124" s="39">
        <f t="shared" si="121"/>
        <v>0</v>
      </c>
      <c r="Y124" s="46">
        <v>0</v>
      </c>
      <c r="Z124" s="46">
        <v>0</v>
      </c>
      <c r="AA124" s="47">
        <v>0</v>
      </c>
      <c r="AB124" s="46">
        <v>0</v>
      </c>
      <c r="AC124" s="46">
        <v>0</v>
      </c>
      <c r="AD124" s="47">
        <v>0</v>
      </c>
      <c r="AE124" s="46">
        <v>0</v>
      </c>
      <c r="AF124" s="46">
        <v>0</v>
      </c>
      <c r="AG124" s="47">
        <v>0</v>
      </c>
      <c r="AH124" s="46">
        <v>0</v>
      </c>
      <c r="AI124" s="46">
        <v>0</v>
      </c>
      <c r="AJ124" s="47">
        <v>0</v>
      </c>
      <c r="AK124" s="46">
        <v>0</v>
      </c>
      <c r="AL124" s="46">
        <v>0</v>
      </c>
      <c r="AM124" s="47">
        <v>0</v>
      </c>
      <c r="AN124" s="46">
        <v>0</v>
      </c>
      <c r="AO124" s="46">
        <v>0</v>
      </c>
      <c r="AP124" s="47">
        <v>0</v>
      </c>
      <c r="AQ124" s="46">
        <v>0</v>
      </c>
      <c r="AR124" s="46">
        <v>0</v>
      </c>
      <c r="AS124" s="47">
        <v>0</v>
      </c>
      <c r="AT124" s="46">
        <v>0</v>
      </c>
      <c r="AU124" s="46">
        <v>0</v>
      </c>
      <c r="AV124" s="46">
        <v>0</v>
      </c>
      <c r="AW124" s="1545">
        <v>0</v>
      </c>
      <c r="AX124" s="10">
        <f t="shared" si="114"/>
        <v>22</v>
      </c>
      <c r="AY124" s="42">
        <f>IF(AND($E124=MONTH(Summary!$E$24),$D124=YEAR(Summary!$E$24)),Summary!$E$25,1)*IF(G124="",0,INT((H124-MOD(H124,7)-G124)/7)+1-IF(BA124,IF(WEEKDAY(F124)=7,1,0),0))</f>
        <v>4</v>
      </c>
      <c r="AZ124" s="42">
        <f>IF(AND($E124=MONTH(Summary!$E$24),$D124=YEAR(Summary!$E$24)),Summary!$E$25,1)*IF(G124="",0,INT((H124-MOD(H124-1,7)-G124)/7)+1-IF(BA124,IF(WEEKDAY(F124)=1,1,0),0))</f>
        <v>4</v>
      </c>
      <c r="BA124" s="42">
        <v>1</v>
      </c>
      <c r="BB124" s="10">
        <f>IF(AND($E124=MONTH(Summary!$E$24),$D124=YEAR(Summary!$E$24)),Summary!$E$25,1)*IF(G124="",0,H124-G124+1)</f>
        <v>31</v>
      </c>
      <c r="BC124" s="914">
        <f>Summary!$E$19</f>
        <v>1.4999999999999999E-2</v>
      </c>
      <c r="BD124" s="113">
        <v>15602.4</v>
      </c>
      <c r="BE124" s="171">
        <v>2836.8</v>
      </c>
      <c r="BF124" s="171">
        <v>3546</v>
      </c>
      <c r="BG124" s="174"/>
      <c r="BH124" s="1198">
        <v>1</v>
      </c>
      <c r="BI124" s="1198">
        <v>1</v>
      </c>
      <c r="BJ124" s="1198">
        <v>1</v>
      </c>
      <c r="BK124" s="1198">
        <v>1</v>
      </c>
      <c r="BL124" s="95">
        <v>3120.48</v>
      </c>
      <c r="BM124" s="171">
        <v>567.36</v>
      </c>
      <c r="BN124" s="171">
        <v>709.2</v>
      </c>
      <c r="BO124" s="174"/>
      <c r="BP124" s="1198">
        <v>1</v>
      </c>
      <c r="BQ124" s="1199">
        <v>1</v>
      </c>
      <c r="BR124" s="1199">
        <v>1</v>
      </c>
      <c r="BS124" s="1200">
        <v>1</v>
      </c>
      <c r="BT124" s="94">
        <f t="shared" si="91"/>
        <v>21985.200000000001</v>
      </c>
      <c r="BU124" s="233">
        <f t="shared" si="92"/>
        <v>21985.200000000001</v>
      </c>
      <c r="BV124" s="92">
        <f t="shared" si="93"/>
        <v>4397.04</v>
      </c>
      <c r="BW124" s="233">
        <f t="shared" si="94"/>
        <v>4397.04</v>
      </c>
      <c r="BX124" s="88">
        <v>8.9637234770705003</v>
      </c>
      <c r="BY124" s="90">
        <v>0</v>
      </c>
      <c r="BZ124" s="88">
        <v>0</v>
      </c>
      <c r="CA124" s="88">
        <v>0</v>
      </c>
      <c r="CB124" s="88">
        <v>0</v>
      </c>
      <c r="CC124" s="88">
        <v>0</v>
      </c>
      <c r="CD124" s="88">
        <v>0</v>
      </c>
      <c r="CE124" s="100">
        <v>0</v>
      </c>
      <c r="CF124" s="88">
        <v>0</v>
      </c>
      <c r="CG124" s="88">
        <v>0</v>
      </c>
      <c r="CH124" s="88">
        <v>0</v>
      </c>
      <c r="CI124" s="88">
        <v>0</v>
      </c>
      <c r="CJ124" s="228">
        <v>0</v>
      </c>
      <c r="CK124" s="88">
        <v>0</v>
      </c>
      <c r="CL124" s="88">
        <v>0</v>
      </c>
      <c r="CM124" s="88">
        <v>0</v>
      </c>
      <c r="CN124" s="88">
        <v>0</v>
      </c>
      <c r="CO124" s="88">
        <v>0</v>
      </c>
      <c r="CP124" s="88">
        <v>0</v>
      </c>
      <c r="CQ124" s="229">
        <v>0</v>
      </c>
      <c r="CR124" s="91">
        <v>0</v>
      </c>
      <c r="CS124" s="91">
        <v>0</v>
      </c>
      <c r="CT124" s="91">
        <v>0</v>
      </c>
      <c r="CU124" s="91">
        <v>0</v>
      </c>
      <c r="CV124" s="91">
        <v>0</v>
      </c>
      <c r="CW124" s="91">
        <v>0</v>
      </c>
      <c r="CX124" s="225">
        <v>0</v>
      </c>
      <c r="CY124" s="1265">
        <v>7688.3715199999997</v>
      </c>
      <c r="CZ124" s="90">
        <v>0</v>
      </c>
      <c r="DA124" s="88">
        <v>0</v>
      </c>
      <c r="DB124" s="88">
        <v>0</v>
      </c>
      <c r="DC124" s="88">
        <v>0</v>
      </c>
      <c r="DD124" s="88">
        <v>0</v>
      </c>
      <c r="DE124" s="152">
        <v>0</v>
      </c>
      <c r="DF124" s="230">
        <v>0</v>
      </c>
      <c r="DG124" s="38">
        <v>0</v>
      </c>
      <c r="DH124" s="1237">
        <v>0</v>
      </c>
      <c r="DI124" s="956">
        <v>0</v>
      </c>
      <c r="DJ124" s="956">
        <v>0</v>
      </c>
      <c r="DK124" s="956">
        <v>0</v>
      </c>
      <c r="DL124" s="152">
        <v>0</v>
      </c>
      <c r="DM124" s="160">
        <v>0</v>
      </c>
      <c r="DN124" s="160">
        <v>0</v>
      </c>
      <c r="DO124" s="160">
        <v>0</v>
      </c>
      <c r="DP124" s="160">
        <v>0</v>
      </c>
      <c r="DQ124" s="160">
        <v>0</v>
      </c>
      <c r="DR124" s="230">
        <v>0</v>
      </c>
      <c r="DS124" s="88">
        <v>0</v>
      </c>
      <c r="DT124" s="88">
        <v>0</v>
      </c>
      <c r="DU124" s="88">
        <v>0</v>
      </c>
      <c r="DV124" s="88">
        <v>0</v>
      </c>
      <c r="DW124" s="88">
        <v>0</v>
      </c>
      <c r="DX124" s="88">
        <v>0</v>
      </c>
      <c r="DY124" s="88">
        <v>0</v>
      </c>
      <c r="DZ124" s="88">
        <v>0</v>
      </c>
      <c r="EA124" s="88">
        <v>0</v>
      </c>
      <c r="EB124" s="152">
        <v>0</v>
      </c>
      <c r="EC124" s="52">
        <f t="shared" si="95"/>
        <v>0</v>
      </c>
      <c r="ED124" s="52">
        <f t="shared" si="95"/>
        <v>0</v>
      </c>
      <c r="EE124" s="52">
        <f t="shared" si="95"/>
        <v>0</v>
      </c>
      <c r="EF124" s="52">
        <f t="shared" si="71"/>
        <v>0</v>
      </c>
      <c r="EG124" s="52">
        <f t="shared" si="96"/>
        <v>0</v>
      </c>
      <c r="EH124" s="238">
        <v>0</v>
      </c>
      <c r="EI124" s="211">
        <v>0</v>
      </c>
      <c r="EJ124" s="211">
        <v>0</v>
      </c>
      <c r="EK124" s="211">
        <v>0</v>
      </c>
      <c r="EL124" s="217">
        <f>IF(C124&gt;=Summary!$E$26,MAX(0,SUM(EH124:EK124)),0)</f>
        <v>0</v>
      </c>
      <c r="EM124" s="52">
        <f>IF(C124&gt;=Summary!$E$26,DX124*BL124,0)</f>
        <v>0</v>
      </c>
      <c r="EN124" s="52">
        <f>IF(C124&gt;=Summary!$E$26,DY124*BM124,0)</f>
        <v>0</v>
      </c>
      <c r="EO124" s="52">
        <f>IF(C124&gt;=Summary!$E$26,DZ124*BN124,0)</f>
        <v>0</v>
      </c>
      <c r="EP124" s="52">
        <f>IF(C124&gt;=Summary!$E$26,EA124*BO124,0)</f>
        <v>0</v>
      </c>
      <c r="EQ124" s="52">
        <f>IF(C124&gt;=Summary!$E$26,DX124*BL124+DY124*BM124+DZ124*BN124+EA124*BO124,0)</f>
        <v>0</v>
      </c>
      <c r="ER124" s="826">
        <v>0</v>
      </c>
      <c r="ES124" s="278">
        <v>0</v>
      </c>
      <c r="ET124" s="278">
        <v>0</v>
      </c>
      <c r="EU124" s="278">
        <v>0</v>
      </c>
      <c r="EV124" s="212">
        <f>IF(C124&gt;=Summary!$E$26,MAX(0,SUM(ER124:EU124)),0)</f>
        <v>0</v>
      </c>
      <c r="EW124" s="52"/>
      <c r="EX124" s="1049">
        <f t="shared" si="97"/>
        <v>0</v>
      </c>
      <c r="EY124" s="1045" t="str">
        <f t="shared" si="98"/>
        <v/>
      </c>
      <c r="EZ124" s="1684" t="s">
        <v>525</v>
      </c>
      <c r="FA124" s="1046">
        <f t="shared" si="111"/>
        <v>45</v>
      </c>
      <c r="FB124" s="256">
        <f t="shared" si="99"/>
        <v>9751.5</v>
      </c>
      <c r="FC124" s="194">
        <f t="shared" si="100"/>
        <v>2925.45</v>
      </c>
      <c r="FD124" s="194">
        <f t="shared" si="101"/>
        <v>1773</v>
      </c>
      <c r="FE124" s="194">
        <f t="shared" si="102"/>
        <v>531.9</v>
      </c>
      <c r="FF124" s="194">
        <f t="shared" si="103"/>
        <v>2216.25</v>
      </c>
      <c r="FG124" s="194">
        <f t="shared" si="104"/>
        <v>664.875</v>
      </c>
      <c r="FH124" s="257">
        <f>IF(EZ124="No",IF((OR(MONTH(C124)=5,MONTH(C124)=6,MONTH(C124)=7,MONTH(C124)=8,MONTH(C124)=9)),Summary!$O$15*12*(AX124+AY124+AZ124+BA124)*(1-$BC124),Summary!$O$15*13*(AX124+AY124+AZ124+BA124)*(1-$BC124)+IF(Summary!$O$16="Yes",(CALC!FA124+Summary!$O$15)*6*(AX124+AY124+AZ124+BA124)*(1-$BC124),0)),0)</f>
        <v>0</v>
      </c>
      <c r="FI124" s="1412">
        <f>IF(MONTH(C124)=5,FI123*(IF(Summary!$E$70="no",(1+(Summary!$E$71*0.8)),1+HLOOKUP(YEAR(C124)-1,CCFMODEL!$I$127:$AF$128,2)*0.8)),+FI123)</f>
        <v>32.932392373502402</v>
      </c>
      <c r="FJ124" s="1411">
        <f>IF(MONTH(C124)=5,FJ123*(IF(Summary!$E$70="no",(1+(Summary!$E$71*0.8)),1+HLOOKUP(YEAR(CALC!C124)-1,CCFMODEL!$I$127:$AF$128,2)*0.8)),FJ123)</f>
        <v>28.783429554793436</v>
      </c>
      <c r="FK124" s="832">
        <f t="shared" si="72"/>
        <v>588270.50165806408</v>
      </c>
      <c r="FL124" s="1412">
        <f>IF(MONTH(C124)=5,FL123*(IF(Summary!$E$70="no",(1+(Summary!$E$71*0.8)),1+HLOOKUP(YEAR(CALC!C124)-1,CCFMODEL!$I$127:$AF$128,2)*0.8)),+FL123)</f>
        <v>69.260513244460029</v>
      </c>
      <c r="FM124" s="1411">
        <f>IF(MONTH(C124)=5,FM123*(IF(Summary!$E$70="no",(1+(Summary!$E$71*0.8)),1+HLOOKUP(YEAR(CALC!C124)-1,CCFMODEL!$I$127:$AF$128,2)*0.8)),+FM123)</f>
        <v>33.05587340977349</v>
      </c>
      <c r="FN124" s="832">
        <f t="shared" si="73"/>
        <v>599468.26428624219</v>
      </c>
      <c r="FO124" s="194">
        <f t="shared" si="105"/>
        <v>1187738.7659443063</v>
      </c>
      <c r="FP124" s="263">
        <f t="shared" si="69"/>
        <v>9751.5</v>
      </c>
      <c r="FQ124" s="194">
        <f t="shared" si="69"/>
        <v>2925.45</v>
      </c>
      <c r="FR124" s="194">
        <f t="shared" si="69"/>
        <v>1773</v>
      </c>
      <c r="FS124" s="194">
        <f t="shared" si="68"/>
        <v>531.9</v>
      </c>
      <c r="FT124" s="194">
        <f t="shared" si="68"/>
        <v>2216.25</v>
      </c>
      <c r="FU124" s="194">
        <f t="shared" si="68"/>
        <v>664.875</v>
      </c>
      <c r="FV124" s="257">
        <f t="shared" si="68"/>
        <v>0</v>
      </c>
      <c r="FW124" s="189">
        <f t="shared" si="74"/>
        <v>0</v>
      </c>
      <c r="FX124" s="189">
        <f t="shared" si="75"/>
        <v>0</v>
      </c>
      <c r="FY124" s="189">
        <f t="shared" si="76"/>
        <v>0</v>
      </c>
      <c r="FZ124" s="258">
        <f t="shared" si="77"/>
        <v>0</v>
      </c>
      <c r="GA124" s="1293">
        <f>(SUM(FP124:FV124)+SUM(GU124:HB124)/(1-Summary!$O$25))*CY124/1000</f>
        <v>234529.65993883676</v>
      </c>
      <c r="GB124" s="1369">
        <f>IF($C124&lt;Summary!$M$81,+Summary!$O$81,VLOOKUP(C124,GasTable,19))</f>
        <v>2.4</v>
      </c>
      <c r="GC124" s="1370">
        <f>IF(H124&lt;=Summary!$N$84,MIN(GA124,Summary!$O$75*(H124-G124+1)),0)</f>
        <v>155000</v>
      </c>
      <c r="GD124" s="1371">
        <f>IF(Summary!$O$75*(H124-G124+1)*0.8&gt;GC124,1,0)</f>
        <v>0</v>
      </c>
      <c r="GE124" s="1372">
        <v>0</v>
      </c>
      <c r="GF124" s="1370">
        <f t="shared" si="106"/>
        <v>79529.659938836761</v>
      </c>
      <c r="GG124" s="1371">
        <f>GF124*(IF(Summary!$O$74=1,VLOOKUP($C124,GasTable,16)+Summary!$O$92+Summary!$O$93,VLOOKUP($C124,GasTable,19)+Summary!$O$92+Summary!$O$93))</f>
        <v>289722.29764581041</v>
      </c>
      <c r="GH124" s="1373">
        <v>20255.400000000001</v>
      </c>
      <c r="GI124" s="1466">
        <v>0</v>
      </c>
      <c r="GJ124" s="1374">
        <f t="shared" si="107"/>
        <v>681977.69764581043</v>
      </c>
      <c r="GK124" s="189">
        <f t="shared" si="78"/>
        <v>30062.012850000003</v>
      </c>
      <c r="GL124" s="266">
        <v>0.75499808326399998</v>
      </c>
      <c r="GM124" s="255">
        <f t="shared" si="79"/>
        <v>15221.000000000002</v>
      </c>
      <c r="GN124" s="189">
        <f>IF(SUM(GU124:HB124)=0,0,IF(Summary!$O$16="Yes",SUM(GX124:HB124),IF(Summary!$O$17="Yes",SUM(GY124:HB124),SUM(GU124:HB124))))</f>
        <v>12199.037849999999</v>
      </c>
      <c r="GO124" s="203">
        <v>3.0143117714011383</v>
      </c>
      <c r="GP124" s="258">
        <f t="shared" si="108"/>
        <v>36771.703391023031</v>
      </c>
      <c r="GQ124" s="189"/>
      <c r="GR124" s="189"/>
      <c r="GS124" s="189"/>
      <c r="GT124" s="189"/>
      <c r="GU124" s="268">
        <v>5646.1184999999996</v>
      </c>
      <c r="GV124" s="189">
        <v>1026.5670000000002</v>
      </c>
      <c r="GW124" s="189">
        <v>1283.20875</v>
      </c>
      <c r="GX124" s="189"/>
      <c r="GY124" s="254">
        <v>3011.2631999999999</v>
      </c>
      <c r="GZ124" s="189">
        <v>547.50239999999997</v>
      </c>
      <c r="HA124" s="189">
        <v>684.37800000000004</v>
      </c>
      <c r="HB124" s="255"/>
      <c r="HC124" s="189">
        <v>12199.037849999999</v>
      </c>
      <c r="HD124" s="189"/>
      <c r="HE124" s="189">
        <v>20950.521524999996</v>
      </c>
      <c r="HF124" s="189">
        <v>566242.01162590773</v>
      </c>
      <c r="HG124" s="189"/>
      <c r="HH124" s="203">
        <v>46.117423012851454</v>
      </c>
      <c r="HI124" s="189">
        <v>966184.0635082745</v>
      </c>
      <c r="HJ124" s="268">
        <f t="shared" si="80"/>
        <v>0</v>
      </c>
      <c r="HK124" s="189">
        <f t="shared" si="81"/>
        <v>0</v>
      </c>
      <c r="HL124" s="189">
        <f t="shared" si="82"/>
        <v>0</v>
      </c>
      <c r="HM124" s="255">
        <f t="shared" si="83"/>
        <v>0</v>
      </c>
      <c r="HN124" s="189">
        <f t="shared" si="84"/>
        <v>0</v>
      </c>
      <c r="HO124" s="203">
        <f t="shared" si="109"/>
        <v>0</v>
      </c>
      <c r="HP124" s="258">
        <f t="shared" si="85"/>
        <v>0</v>
      </c>
      <c r="HQ124" s="203"/>
      <c r="HR124" s="268"/>
      <c r="HS124" s="38"/>
      <c r="HT124" s="255"/>
      <c r="HU124" s="254"/>
      <c r="HV124" s="203"/>
      <c r="HW124" s="189"/>
      <c r="HX124" s="1020"/>
      <c r="HY124" s="258"/>
      <c r="HZ124" s="268"/>
      <c r="IA124" s="203"/>
      <c r="IB124" s="255"/>
      <c r="IC124" s="254"/>
      <c r="ID124" s="203"/>
      <c r="IE124" s="255"/>
      <c r="IF124" s="189"/>
      <c r="IG124" s="203"/>
      <c r="IH124" s="255"/>
      <c r="II124" s="189"/>
      <c r="IJ124" s="203"/>
      <c r="IK124" s="189"/>
      <c r="IL124" s="1182"/>
      <c r="IM124" s="1403"/>
      <c r="IN124" s="254"/>
      <c r="IO124" s="254"/>
      <c r="IP124" s="254"/>
      <c r="IQ124" s="254"/>
      <c r="IR124" s="223"/>
    </row>
    <row r="125" spans="1:252" ht="13.8" thickBot="1">
      <c r="A125" t="str">
        <f t="shared" si="86"/>
        <v>2009Q1</v>
      </c>
      <c r="B125">
        <f t="shared" si="87"/>
        <v>2009</v>
      </c>
      <c r="C125" s="49">
        <f t="shared" si="88"/>
        <v>39814</v>
      </c>
      <c r="D125" s="115">
        <f t="shared" si="89"/>
        <v>2009</v>
      </c>
      <c r="E125" s="10">
        <f t="shared" si="112"/>
        <v>1</v>
      </c>
      <c r="F125" s="248">
        <f t="shared" si="113"/>
        <v>39814</v>
      </c>
      <c r="G125" s="245">
        <v>39814</v>
      </c>
      <c r="H125" s="251">
        <v>39844</v>
      </c>
      <c r="I125" s="959">
        <f t="shared" si="110"/>
        <v>7.1499999999999994E-2</v>
      </c>
      <c r="J125" s="37">
        <f t="shared" si="90"/>
        <v>0.52450759920381584</v>
      </c>
      <c r="K125" s="1036"/>
      <c r="L125" s="37"/>
      <c r="M125" s="1004">
        <v>0</v>
      </c>
      <c r="N125" s="38">
        <f t="shared" si="119"/>
        <v>0</v>
      </c>
      <c r="O125" s="40">
        <f t="shared" si="119"/>
        <v>0</v>
      </c>
      <c r="P125" s="159">
        <f t="shared" si="117"/>
        <v>0</v>
      </c>
      <c r="Q125" s="38">
        <f t="shared" si="121"/>
        <v>0</v>
      </c>
      <c r="R125" s="40">
        <f t="shared" si="121"/>
        <v>0</v>
      </c>
      <c r="S125" s="38">
        <f t="shared" si="121"/>
        <v>0</v>
      </c>
      <c r="T125" s="38">
        <f t="shared" si="121"/>
        <v>0</v>
      </c>
      <c r="U125" s="38">
        <f t="shared" si="121"/>
        <v>0</v>
      </c>
      <c r="V125" s="159">
        <f t="shared" si="121"/>
        <v>0</v>
      </c>
      <c r="W125" s="38">
        <f t="shared" si="121"/>
        <v>0</v>
      </c>
      <c r="X125" s="39">
        <f t="shared" si="121"/>
        <v>0</v>
      </c>
      <c r="Y125" s="46">
        <v>0</v>
      </c>
      <c r="Z125" s="46">
        <v>0</v>
      </c>
      <c r="AA125" s="47">
        <v>0</v>
      </c>
      <c r="AB125" s="46">
        <v>0</v>
      </c>
      <c r="AC125" s="46">
        <v>0</v>
      </c>
      <c r="AD125" s="47">
        <v>0</v>
      </c>
      <c r="AE125" s="46">
        <v>0</v>
      </c>
      <c r="AF125" s="46">
        <v>0</v>
      </c>
      <c r="AG125" s="47">
        <v>0</v>
      </c>
      <c r="AH125" s="46">
        <v>0</v>
      </c>
      <c r="AI125" s="46">
        <v>0</v>
      </c>
      <c r="AJ125" s="47">
        <v>0</v>
      </c>
      <c r="AK125" s="46">
        <v>0</v>
      </c>
      <c r="AL125" s="46">
        <v>0</v>
      </c>
      <c r="AM125" s="47">
        <v>0</v>
      </c>
      <c r="AN125" s="46">
        <v>0</v>
      </c>
      <c r="AO125" s="46">
        <v>0</v>
      </c>
      <c r="AP125" s="47">
        <v>0</v>
      </c>
      <c r="AQ125" s="46">
        <v>0</v>
      </c>
      <c r="AR125" s="46">
        <v>0</v>
      </c>
      <c r="AS125" s="47">
        <v>0</v>
      </c>
      <c r="AT125" s="46">
        <v>0</v>
      </c>
      <c r="AU125" s="46">
        <v>0</v>
      </c>
      <c r="AV125" s="46">
        <v>0</v>
      </c>
      <c r="AW125" s="1545">
        <v>0</v>
      </c>
      <c r="AX125" s="10">
        <f t="shared" si="114"/>
        <v>21</v>
      </c>
      <c r="AY125" s="42">
        <f>IF(AND($E125=MONTH(Summary!$E$24),$D125=YEAR(Summary!$E$24)),Summary!$E$25,1)*IF(G125="",0,INT((H125-MOD(H125,7)-G125)/7)+1-IF(BA125,IF(WEEKDAY(F125)=7,1,0),0))</f>
        <v>5</v>
      </c>
      <c r="AZ125" s="42">
        <f>IF(AND($E125=MONTH(Summary!$E$24),$D125=YEAR(Summary!$E$24)),Summary!$E$25,1)*IF(G125="",0,INT((H125-MOD(H125-1,7)-G125)/7)+1-IF(BA125,IF(WEEKDAY(F125)=1,1,0),0))</f>
        <v>4</v>
      </c>
      <c r="BA125" s="42">
        <v>1</v>
      </c>
      <c r="BB125" s="10">
        <f>IF(AND($E125=MONTH(Summary!$E$24),$D125=YEAR(Summary!$E$24)),Summary!$E$25,1)*IF(G125="",0,H125-G125+1)</f>
        <v>31</v>
      </c>
      <c r="BC125" s="914">
        <f>Summary!$E$19</f>
        <v>1.4999999999999999E-2</v>
      </c>
      <c r="BD125" s="113">
        <v>14893.2</v>
      </c>
      <c r="BE125" s="171">
        <v>3546</v>
      </c>
      <c r="BF125" s="171">
        <v>3546</v>
      </c>
      <c r="BG125" s="174"/>
      <c r="BH125" s="1198">
        <v>1</v>
      </c>
      <c r="BI125" s="1198">
        <v>1</v>
      </c>
      <c r="BJ125" s="1198">
        <v>1</v>
      </c>
      <c r="BK125" s="1198">
        <v>1</v>
      </c>
      <c r="BL125" s="95">
        <v>2978.64</v>
      </c>
      <c r="BM125" s="171">
        <v>709.2</v>
      </c>
      <c r="BN125" s="171">
        <v>709.2</v>
      </c>
      <c r="BO125" s="174"/>
      <c r="BP125" s="1198">
        <v>1</v>
      </c>
      <c r="BQ125" s="1199">
        <v>1</v>
      </c>
      <c r="BR125" s="1199">
        <v>1</v>
      </c>
      <c r="BS125" s="1200">
        <v>1</v>
      </c>
      <c r="BT125" s="94">
        <f t="shared" si="91"/>
        <v>21985.200000000001</v>
      </c>
      <c r="BU125" s="233">
        <f t="shared" si="92"/>
        <v>21985.200000000001</v>
      </c>
      <c r="BV125" s="92">
        <f t="shared" si="93"/>
        <v>4397.04</v>
      </c>
      <c r="BW125" s="233">
        <f t="shared" si="94"/>
        <v>4397.04</v>
      </c>
      <c r="BX125" s="88">
        <v>9.0485968514715953</v>
      </c>
      <c r="BY125" s="90">
        <v>0</v>
      </c>
      <c r="BZ125" s="88">
        <v>0</v>
      </c>
      <c r="CA125" s="88">
        <v>0</v>
      </c>
      <c r="CB125" s="88">
        <v>0</v>
      </c>
      <c r="CC125" s="88">
        <v>0</v>
      </c>
      <c r="CD125" s="88">
        <v>0</v>
      </c>
      <c r="CE125" s="100">
        <v>0</v>
      </c>
      <c r="CF125" s="88">
        <v>0</v>
      </c>
      <c r="CG125" s="88">
        <v>0</v>
      </c>
      <c r="CH125" s="88">
        <v>0</v>
      </c>
      <c r="CI125" s="88">
        <v>0</v>
      </c>
      <c r="CJ125" s="228">
        <v>0</v>
      </c>
      <c r="CK125" s="88">
        <v>0</v>
      </c>
      <c r="CL125" s="88">
        <v>0</v>
      </c>
      <c r="CM125" s="88">
        <v>0</v>
      </c>
      <c r="CN125" s="88">
        <v>0</v>
      </c>
      <c r="CO125" s="88">
        <v>0</v>
      </c>
      <c r="CP125" s="88">
        <v>0</v>
      </c>
      <c r="CQ125" s="229">
        <v>0</v>
      </c>
      <c r="CR125" s="91">
        <v>0</v>
      </c>
      <c r="CS125" s="91">
        <v>0</v>
      </c>
      <c r="CT125" s="91">
        <v>0</v>
      </c>
      <c r="CU125" s="91">
        <v>0</v>
      </c>
      <c r="CV125" s="91">
        <v>0</v>
      </c>
      <c r="CW125" s="91">
        <v>0</v>
      </c>
      <c r="CX125" s="225">
        <v>0</v>
      </c>
      <c r="CY125" s="1265">
        <v>7690.4024799999997</v>
      </c>
      <c r="CZ125" s="90">
        <v>0</v>
      </c>
      <c r="DA125" s="88">
        <v>0</v>
      </c>
      <c r="DB125" s="88">
        <v>0</v>
      </c>
      <c r="DC125" s="88">
        <v>0</v>
      </c>
      <c r="DD125" s="88">
        <v>0</v>
      </c>
      <c r="DE125" s="152">
        <v>0</v>
      </c>
      <c r="DF125" s="230">
        <v>0</v>
      </c>
      <c r="DG125" s="38">
        <v>0</v>
      </c>
      <c r="DH125" s="1237">
        <v>0</v>
      </c>
      <c r="DI125" s="956">
        <v>0</v>
      </c>
      <c r="DJ125" s="956">
        <v>0</v>
      </c>
      <c r="DK125" s="956">
        <v>0</v>
      </c>
      <c r="DL125" s="152">
        <v>0</v>
      </c>
      <c r="DM125" s="160">
        <v>0</v>
      </c>
      <c r="DN125" s="160">
        <v>0</v>
      </c>
      <c r="DO125" s="160">
        <v>0</v>
      </c>
      <c r="DP125" s="160">
        <v>0</v>
      </c>
      <c r="DQ125" s="160">
        <v>0</v>
      </c>
      <c r="DR125" s="230">
        <v>0</v>
      </c>
      <c r="DS125" s="88">
        <v>0</v>
      </c>
      <c r="DT125" s="88">
        <v>0</v>
      </c>
      <c r="DU125" s="88">
        <v>0</v>
      </c>
      <c r="DV125" s="88">
        <v>0</v>
      </c>
      <c r="DW125" s="88">
        <v>0</v>
      </c>
      <c r="DX125" s="88">
        <v>0</v>
      </c>
      <c r="DY125" s="88">
        <v>0</v>
      </c>
      <c r="DZ125" s="88">
        <v>0</v>
      </c>
      <c r="EA125" s="88">
        <v>0</v>
      </c>
      <c r="EB125" s="152">
        <v>0</v>
      </c>
      <c r="EC125" s="52">
        <f t="shared" si="95"/>
        <v>0</v>
      </c>
      <c r="ED125" s="52">
        <f t="shared" si="95"/>
        <v>0</v>
      </c>
      <c r="EE125" s="52">
        <f t="shared" si="95"/>
        <v>0</v>
      </c>
      <c r="EF125" s="52">
        <f t="shared" si="71"/>
        <v>0</v>
      </c>
      <c r="EG125" s="52">
        <f t="shared" si="96"/>
        <v>0</v>
      </c>
      <c r="EH125" s="238">
        <v>0</v>
      </c>
      <c r="EI125" s="211">
        <v>0</v>
      </c>
      <c r="EJ125" s="211">
        <v>0</v>
      </c>
      <c r="EK125" s="211">
        <v>0</v>
      </c>
      <c r="EL125" s="217">
        <f>IF(C125&gt;=Summary!$E$26,MAX(0,SUM(EH125:EK125)),0)</f>
        <v>0</v>
      </c>
      <c r="EM125" s="52">
        <f>IF(C125&gt;=Summary!$E$26,DX125*BL125,0)</f>
        <v>0</v>
      </c>
      <c r="EN125" s="52">
        <f>IF(C125&gt;=Summary!$E$26,DY125*BM125,0)</f>
        <v>0</v>
      </c>
      <c r="EO125" s="52">
        <f>IF(C125&gt;=Summary!$E$26,DZ125*BN125,0)</f>
        <v>0</v>
      </c>
      <c r="EP125" s="52">
        <f>IF(C125&gt;=Summary!$E$26,EA125*BO125,0)</f>
        <v>0</v>
      </c>
      <c r="EQ125" s="52">
        <f>IF(C125&gt;=Summary!$E$26,DX125*BL125+DY125*BM125+DZ125*BN125+EA125*BO125,0)</f>
        <v>0</v>
      </c>
      <c r="ER125" s="826">
        <v>0</v>
      </c>
      <c r="ES125" s="278">
        <v>0</v>
      </c>
      <c r="ET125" s="278">
        <v>0</v>
      </c>
      <c r="EU125" s="278">
        <v>0</v>
      </c>
      <c r="EV125" s="212">
        <f>IF(C125&gt;=Summary!$E$26,MAX(0,SUM(ER125:EU125)),0)</f>
        <v>0</v>
      </c>
      <c r="EW125" s="52"/>
      <c r="EX125" s="1049">
        <f t="shared" si="97"/>
        <v>0</v>
      </c>
      <c r="EY125" s="1045" t="str">
        <f t="shared" si="98"/>
        <v/>
      </c>
      <c r="EZ125" s="1684" t="s">
        <v>525</v>
      </c>
      <c r="FA125" s="1046">
        <f t="shared" si="111"/>
        <v>45</v>
      </c>
      <c r="FB125" s="256">
        <f t="shared" si="99"/>
        <v>9308.25</v>
      </c>
      <c r="FC125" s="194">
        <f t="shared" si="100"/>
        <v>2792.4749999999999</v>
      </c>
      <c r="FD125" s="194">
        <f t="shared" si="101"/>
        <v>2216.25</v>
      </c>
      <c r="FE125" s="194">
        <f t="shared" si="102"/>
        <v>664.875</v>
      </c>
      <c r="FF125" s="194">
        <f t="shared" si="103"/>
        <v>2216.25</v>
      </c>
      <c r="FG125" s="194">
        <f t="shared" si="104"/>
        <v>664.875</v>
      </c>
      <c r="FH125" s="257">
        <f>IF(EZ125="No",IF((OR(MONTH(C125)=5,MONTH(C125)=6,MONTH(C125)=7,MONTH(C125)=8,MONTH(C125)=9)),Summary!$O$15*12*(AX125+AY125+AZ125+BA125)*(1-$BC125),Summary!$O$15*13*(AX125+AY125+AZ125+BA125)*(1-$BC125)+IF(Summary!$O$16="Yes",(CALC!FA125+Summary!$O$15)*6*(AX125+AY125+AZ125+BA125)*(1-$BC125),0)),0)</f>
        <v>0</v>
      </c>
      <c r="FI125" s="1412">
        <f>IF(MONTH(C125)=5,FI124*(IF(Summary!$E$70="no",(1+(Summary!$E$71*0.8)),1+HLOOKUP(YEAR(C125)-1,CCFMODEL!$I$127:$AF$128,2)*0.8)),+FI124)</f>
        <v>32.932392373502402</v>
      </c>
      <c r="FJ125" s="1411">
        <f>IF(MONTH(C125)=5,FJ124*(IF(Summary!$E$70="no",(1+(Summary!$E$71*0.8)),1+HLOOKUP(YEAR(CALC!C125)-1,CCFMODEL!$I$127:$AF$128,2)*0.8)),FJ124)</f>
        <v>28.783429554793436</v>
      </c>
      <c r="FK125" s="832">
        <f t="shared" si="72"/>
        <v>588270.50165806408</v>
      </c>
      <c r="FL125" s="1412">
        <f>IF(MONTH(C125)=5,FL124*(IF(Summary!$E$70="no",(1+(Summary!$E$71*0.8)),1+HLOOKUP(YEAR(CALC!C125)-1,CCFMODEL!$I$127:$AF$128,2)*0.8)),+FL124)</f>
        <v>69.260513244460029</v>
      </c>
      <c r="FM125" s="1411">
        <f>IF(MONTH(C125)=5,FM124*(IF(Summary!$E$70="no",(1+(Summary!$E$71*0.8)),1+HLOOKUP(YEAR(CALC!C125)-1,CCFMODEL!$I$127:$AF$128,2)*0.8)),+FM124)</f>
        <v>33.05587340977349</v>
      </c>
      <c r="FN125" s="832">
        <f t="shared" si="73"/>
        <v>599468.26428624219</v>
      </c>
      <c r="FO125" s="194">
        <f t="shared" si="105"/>
        <v>1187738.7659443063</v>
      </c>
      <c r="FP125" s="263">
        <f t="shared" si="69"/>
        <v>9308.25</v>
      </c>
      <c r="FQ125" s="194">
        <f t="shared" si="69"/>
        <v>2792.4749999999999</v>
      </c>
      <c r="FR125" s="194">
        <f t="shared" si="69"/>
        <v>2216.25</v>
      </c>
      <c r="FS125" s="194">
        <f t="shared" si="68"/>
        <v>664.875</v>
      </c>
      <c r="FT125" s="194">
        <f t="shared" si="68"/>
        <v>2216.25</v>
      </c>
      <c r="FU125" s="194">
        <f t="shared" si="68"/>
        <v>664.875</v>
      </c>
      <c r="FV125" s="257">
        <f t="shared" si="68"/>
        <v>0</v>
      </c>
      <c r="FW125" s="189">
        <f t="shared" si="74"/>
        <v>0</v>
      </c>
      <c r="FX125" s="189">
        <f t="shared" si="75"/>
        <v>0</v>
      </c>
      <c r="FY125" s="189">
        <f t="shared" si="76"/>
        <v>0</v>
      </c>
      <c r="FZ125" s="258">
        <f t="shared" si="77"/>
        <v>0</v>
      </c>
      <c r="GA125" s="1293">
        <f>(SUM(FP125:FV125)+SUM(GU125:HB125)/(1-Summary!$O$25))*CY125/1000</f>
        <v>234591.61328707318</v>
      </c>
      <c r="GB125" s="1369">
        <f>IF($C125&lt;Summary!$M$81,+Summary!$O$81,VLOOKUP(C125,GasTable,19))</f>
        <v>2.4</v>
      </c>
      <c r="GC125" s="1370">
        <f>IF(H125&lt;=Summary!$N$84,MIN(GA125,Summary!$O$75*(H125-G125+1)),0)</f>
        <v>155000</v>
      </c>
      <c r="GD125" s="1371">
        <f>IF(Summary!$O$75*(H125-G125+1)*0.8&gt;GC125,1,0)</f>
        <v>0</v>
      </c>
      <c r="GE125" s="1372">
        <v>0</v>
      </c>
      <c r="GF125" s="1370">
        <f t="shared" si="106"/>
        <v>79591.613287073182</v>
      </c>
      <c r="GG125" s="1371">
        <f>GF125*(IF(Summary!$O$74=1,VLOOKUP($C125,GasTable,16)+Summary!$O$92+Summary!$O$93,VLOOKUP($C125,GasTable,19)+Summary!$O$92+Summary!$O$93))</f>
        <v>277286.6470469294</v>
      </c>
      <c r="GH125" s="1373">
        <v>21290.799999999999</v>
      </c>
      <c r="GI125" s="1466">
        <v>0</v>
      </c>
      <c r="GJ125" s="1374">
        <f t="shared" si="107"/>
        <v>670577.4470469295</v>
      </c>
      <c r="GK125" s="189">
        <f t="shared" si="78"/>
        <v>30062.012850000003</v>
      </c>
      <c r="GL125" s="266">
        <v>0.755197523536</v>
      </c>
      <c r="GM125" s="255">
        <f t="shared" si="79"/>
        <v>15221</v>
      </c>
      <c r="GN125" s="189">
        <f>IF(SUM(GU125:HB125)=0,0,IF(Summary!$O$16="Yes",SUM(GX125:HB125),IF(Summary!$O$17="Yes",SUM(GY125:HB125),SUM(GU125:HB125))))</f>
        <v>12199.037850000001</v>
      </c>
      <c r="GO125" s="203">
        <v>3.1047411245431729</v>
      </c>
      <c r="GP125" s="258">
        <f t="shared" si="108"/>
        <v>37874.85449275373</v>
      </c>
      <c r="GQ125" s="189"/>
      <c r="GR125" s="189"/>
      <c r="GS125" s="189"/>
      <c r="GT125" s="189"/>
      <c r="GU125" s="268">
        <v>5389.4767500000007</v>
      </c>
      <c r="GV125" s="189">
        <v>1283.20875</v>
      </c>
      <c r="GW125" s="189">
        <v>1283.20875</v>
      </c>
      <c r="GX125" s="189"/>
      <c r="GY125" s="254">
        <v>2874.3875999999996</v>
      </c>
      <c r="GZ125" s="189">
        <v>684.37800000000004</v>
      </c>
      <c r="HA125" s="189">
        <v>684.37800000000004</v>
      </c>
      <c r="HB125" s="255"/>
      <c r="HC125" s="189">
        <v>12199.037850000001</v>
      </c>
      <c r="HD125" s="189"/>
      <c r="HE125" s="189">
        <v>20950.521525</v>
      </c>
      <c r="HF125" s="189">
        <v>514688.99117343547</v>
      </c>
      <c r="HG125" s="189"/>
      <c r="HH125" s="203">
        <v>41.867866998280547</v>
      </c>
      <c r="HI125" s="189">
        <v>877153.64875331381</v>
      </c>
      <c r="HJ125" s="268">
        <f t="shared" si="80"/>
        <v>0</v>
      </c>
      <c r="HK125" s="189">
        <f t="shared" si="81"/>
        <v>0</v>
      </c>
      <c r="HL125" s="189">
        <f t="shared" si="82"/>
        <v>0</v>
      </c>
      <c r="HM125" s="255">
        <f t="shared" si="83"/>
        <v>0</v>
      </c>
      <c r="HN125" s="189">
        <f t="shared" si="84"/>
        <v>0</v>
      </c>
      <c r="HO125" s="203">
        <f t="shared" si="109"/>
        <v>0</v>
      </c>
      <c r="HP125" s="258">
        <f t="shared" si="85"/>
        <v>0</v>
      </c>
      <c r="HQ125" s="203"/>
      <c r="HR125" s="268"/>
      <c r="HS125" s="38"/>
      <c r="HT125" s="255"/>
      <c r="HU125" s="254"/>
      <c r="HV125" s="203"/>
      <c r="HW125" s="189"/>
      <c r="HX125" s="1020"/>
      <c r="HY125" s="258"/>
      <c r="HZ125" s="268"/>
      <c r="IA125" s="203"/>
      <c r="IB125" s="255"/>
      <c r="IC125" s="254"/>
      <c r="ID125" s="203"/>
      <c r="IE125" s="255"/>
      <c r="IF125" s="189"/>
      <c r="IG125" s="203"/>
      <c r="IH125" s="255"/>
      <c r="II125" s="189"/>
      <c r="IJ125" s="203"/>
      <c r="IK125" s="189"/>
      <c r="IL125" s="1182"/>
      <c r="IM125" s="1403"/>
      <c r="IN125" s="254"/>
      <c r="IO125" s="254"/>
      <c r="IP125" s="254"/>
      <c r="IQ125" s="254"/>
      <c r="IR125" s="223"/>
    </row>
    <row r="126" spans="1:252" ht="13.8" thickBot="1">
      <c r="A126" t="str">
        <f t="shared" si="86"/>
        <v>2009Q1</v>
      </c>
      <c r="B126">
        <f t="shared" si="87"/>
        <v>2009</v>
      </c>
      <c r="C126" s="49">
        <f t="shared" si="88"/>
        <v>39845</v>
      </c>
      <c r="D126" s="115">
        <f t="shared" si="89"/>
        <v>2009</v>
      </c>
      <c r="E126" s="10">
        <f t="shared" si="112"/>
        <v>2</v>
      </c>
      <c r="F126" s="248" t="str">
        <f t="shared" si="113"/>
        <v/>
      </c>
      <c r="G126" s="245">
        <v>39845</v>
      </c>
      <c r="H126" s="251">
        <v>39872</v>
      </c>
      <c r="I126" s="959">
        <f t="shared" si="110"/>
        <v>7.1499999999999994E-2</v>
      </c>
      <c r="J126" s="37">
        <f t="shared" si="90"/>
        <v>0.52169046900298754</v>
      </c>
      <c r="K126" s="1036"/>
      <c r="L126" s="37"/>
      <c r="M126" s="1004">
        <v>0</v>
      </c>
      <c r="N126" s="38">
        <f t="shared" si="119"/>
        <v>0</v>
      </c>
      <c r="O126" s="40">
        <f t="shared" si="119"/>
        <v>0</v>
      </c>
      <c r="P126" s="159">
        <f t="shared" si="117"/>
        <v>0</v>
      </c>
      <c r="Q126" s="38">
        <f t="shared" si="121"/>
        <v>0</v>
      </c>
      <c r="R126" s="40">
        <f t="shared" si="121"/>
        <v>0</v>
      </c>
      <c r="S126" s="38">
        <f t="shared" si="121"/>
        <v>0</v>
      </c>
      <c r="T126" s="38">
        <f t="shared" si="121"/>
        <v>0</v>
      </c>
      <c r="U126" s="38">
        <f t="shared" si="121"/>
        <v>0</v>
      </c>
      <c r="V126" s="159">
        <f t="shared" si="121"/>
        <v>0</v>
      </c>
      <c r="W126" s="38">
        <f t="shared" si="121"/>
        <v>0</v>
      </c>
      <c r="X126" s="39">
        <f t="shared" si="121"/>
        <v>0</v>
      </c>
      <c r="Y126" s="46">
        <v>0</v>
      </c>
      <c r="Z126" s="46">
        <v>0</v>
      </c>
      <c r="AA126" s="47">
        <v>0</v>
      </c>
      <c r="AB126" s="46">
        <v>0</v>
      </c>
      <c r="AC126" s="46">
        <v>0</v>
      </c>
      <c r="AD126" s="47">
        <v>0</v>
      </c>
      <c r="AE126" s="46">
        <v>0</v>
      </c>
      <c r="AF126" s="46">
        <v>0</v>
      </c>
      <c r="AG126" s="47">
        <v>0</v>
      </c>
      <c r="AH126" s="46">
        <v>0</v>
      </c>
      <c r="AI126" s="46">
        <v>0</v>
      </c>
      <c r="AJ126" s="47">
        <v>0</v>
      </c>
      <c r="AK126" s="46">
        <v>0</v>
      </c>
      <c r="AL126" s="46">
        <v>0</v>
      </c>
      <c r="AM126" s="47">
        <v>0</v>
      </c>
      <c r="AN126" s="46">
        <v>0</v>
      </c>
      <c r="AO126" s="46">
        <v>0</v>
      </c>
      <c r="AP126" s="47">
        <v>0</v>
      </c>
      <c r="AQ126" s="46">
        <v>0</v>
      </c>
      <c r="AR126" s="46">
        <v>0</v>
      </c>
      <c r="AS126" s="47">
        <v>0</v>
      </c>
      <c r="AT126" s="46">
        <v>0</v>
      </c>
      <c r="AU126" s="46">
        <v>0</v>
      </c>
      <c r="AV126" s="46">
        <v>0</v>
      </c>
      <c r="AW126" s="1545">
        <v>0</v>
      </c>
      <c r="AX126" s="10">
        <f t="shared" si="114"/>
        <v>20</v>
      </c>
      <c r="AY126" s="42">
        <f>IF(AND($E126=MONTH(Summary!$E$24),$D126=YEAR(Summary!$E$24)),Summary!$E$25,1)*IF(G126="",0,INT((H126-MOD(H126,7)-G126)/7)+1-IF(BA126,IF(WEEKDAY(F126)=7,1,0),0))</f>
        <v>4</v>
      </c>
      <c r="AZ126" s="42">
        <f>IF(AND($E126=MONTH(Summary!$E$24),$D126=YEAR(Summary!$E$24)),Summary!$E$25,1)*IF(G126="",0,INT((H126-MOD(H126-1,7)-G126)/7)+1-IF(BA126,IF(WEEKDAY(F126)=1,1,0),0))</f>
        <v>4</v>
      </c>
      <c r="BA126" s="42">
        <v>0</v>
      </c>
      <c r="BB126" s="10">
        <f>IF(AND($E126=MONTH(Summary!$E$24),$D126=YEAR(Summary!$E$24)),Summary!$E$25,1)*IF(G126="",0,H126-G126+1)</f>
        <v>28</v>
      </c>
      <c r="BC126" s="914">
        <f>Summary!$E$19</f>
        <v>1.4999999999999999E-2</v>
      </c>
      <c r="BD126" s="113">
        <v>14184</v>
      </c>
      <c r="BE126" s="171">
        <v>2836.8</v>
      </c>
      <c r="BF126" s="171">
        <v>2836.8</v>
      </c>
      <c r="BG126" s="174"/>
      <c r="BH126" s="1198">
        <v>1</v>
      </c>
      <c r="BI126" s="1198">
        <v>1</v>
      </c>
      <c r="BJ126" s="1198">
        <v>1</v>
      </c>
      <c r="BK126" s="1198">
        <v>1</v>
      </c>
      <c r="BL126" s="95">
        <v>2836.8</v>
      </c>
      <c r="BM126" s="171">
        <v>567.36</v>
      </c>
      <c r="BN126" s="171">
        <v>567.36</v>
      </c>
      <c r="BO126" s="174"/>
      <c r="BP126" s="1198">
        <v>1</v>
      </c>
      <c r="BQ126" s="1199">
        <v>1</v>
      </c>
      <c r="BR126" s="1199">
        <v>1</v>
      </c>
      <c r="BS126" s="1200">
        <v>1</v>
      </c>
      <c r="BT126" s="94">
        <f t="shared" si="91"/>
        <v>19857.599999999999</v>
      </c>
      <c r="BU126" s="233">
        <f t="shared" si="92"/>
        <v>19857.599999999999</v>
      </c>
      <c r="BV126" s="92">
        <f t="shared" si="93"/>
        <v>3971.5200000000004</v>
      </c>
      <c r="BW126" s="233">
        <f t="shared" si="94"/>
        <v>3971.5200000000004</v>
      </c>
      <c r="BX126" s="88">
        <v>9.1334702258726903</v>
      </c>
      <c r="BY126" s="90">
        <v>0</v>
      </c>
      <c r="BZ126" s="88">
        <v>0</v>
      </c>
      <c r="CA126" s="88">
        <v>0</v>
      </c>
      <c r="CB126" s="88">
        <v>0</v>
      </c>
      <c r="CC126" s="88">
        <v>0</v>
      </c>
      <c r="CD126" s="88">
        <v>0</v>
      </c>
      <c r="CE126" s="100">
        <v>0</v>
      </c>
      <c r="CF126" s="88">
        <v>0</v>
      </c>
      <c r="CG126" s="88">
        <v>0</v>
      </c>
      <c r="CH126" s="88">
        <v>0</v>
      </c>
      <c r="CI126" s="88">
        <v>0</v>
      </c>
      <c r="CJ126" s="228">
        <v>0</v>
      </c>
      <c r="CK126" s="88">
        <v>0</v>
      </c>
      <c r="CL126" s="88">
        <v>0</v>
      </c>
      <c r="CM126" s="88">
        <v>0</v>
      </c>
      <c r="CN126" s="88">
        <v>0</v>
      </c>
      <c r="CO126" s="88">
        <v>0</v>
      </c>
      <c r="CP126" s="88">
        <v>0</v>
      </c>
      <c r="CQ126" s="229">
        <v>0</v>
      </c>
      <c r="CR126" s="91">
        <v>0</v>
      </c>
      <c r="CS126" s="91">
        <v>0</v>
      </c>
      <c r="CT126" s="91">
        <v>0</v>
      </c>
      <c r="CU126" s="91">
        <v>0</v>
      </c>
      <c r="CV126" s="91">
        <v>0</v>
      </c>
      <c r="CW126" s="91">
        <v>0</v>
      </c>
      <c r="CX126" s="225">
        <v>0</v>
      </c>
      <c r="CY126" s="1265">
        <v>7692.4334400000007</v>
      </c>
      <c r="CZ126" s="90">
        <v>0</v>
      </c>
      <c r="DA126" s="88">
        <v>0</v>
      </c>
      <c r="DB126" s="88">
        <v>0</v>
      </c>
      <c r="DC126" s="88">
        <v>0</v>
      </c>
      <c r="DD126" s="88">
        <v>0</v>
      </c>
      <c r="DE126" s="152">
        <v>0</v>
      </c>
      <c r="DF126" s="230">
        <v>0</v>
      </c>
      <c r="DG126" s="38">
        <v>0</v>
      </c>
      <c r="DH126" s="1237">
        <v>0</v>
      </c>
      <c r="DI126" s="956">
        <v>0</v>
      </c>
      <c r="DJ126" s="956">
        <v>0</v>
      </c>
      <c r="DK126" s="956">
        <v>0</v>
      </c>
      <c r="DL126" s="152">
        <v>0</v>
      </c>
      <c r="DM126" s="160">
        <v>0</v>
      </c>
      <c r="DN126" s="160">
        <v>0</v>
      </c>
      <c r="DO126" s="160">
        <v>0</v>
      </c>
      <c r="DP126" s="160">
        <v>0</v>
      </c>
      <c r="DQ126" s="160">
        <v>0</v>
      </c>
      <c r="DR126" s="230">
        <v>0</v>
      </c>
      <c r="DS126" s="88">
        <v>0</v>
      </c>
      <c r="DT126" s="88">
        <v>0</v>
      </c>
      <c r="DU126" s="88">
        <v>0</v>
      </c>
      <c r="DV126" s="88">
        <v>0</v>
      </c>
      <c r="DW126" s="88">
        <v>0</v>
      </c>
      <c r="DX126" s="88">
        <v>0</v>
      </c>
      <c r="DY126" s="88">
        <v>0</v>
      </c>
      <c r="DZ126" s="88">
        <v>0</v>
      </c>
      <c r="EA126" s="88">
        <v>0</v>
      </c>
      <c r="EB126" s="152">
        <v>0</v>
      </c>
      <c r="EC126" s="52">
        <f t="shared" si="95"/>
        <v>0</v>
      </c>
      <c r="ED126" s="52">
        <f t="shared" si="95"/>
        <v>0</v>
      </c>
      <c r="EE126" s="52">
        <f t="shared" si="95"/>
        <v>0</v>
      </c>
      <c r="EF126" s="52">
        <f t="shared" si="71"/>
        <v>0</v>
      </c>
      <c r="EG126" s="52">
        <f t="shared" si="96"/>
        <v>0</v>
      </c>
      <c r="EH126" s="238">
        <v>0</v>
      </c>
      <c r="EI126" s="211">
        <v>0</v>
      </c>
      <c r="EJ126" s="211">
        <v>0</v>
      </c>
      <c r="EK126" s="211">
        <v>0</v>
      </c>
      <c r="EL126" s="217">
        <f>IF(C126&gt;=Summary!$E$26,MAX(0,SUM(EH126:EK126)),0)</f>
        <v>0</v>
      </c>
      <c r="EM126" s="52">
        <f>IF(C126&gt;=Summary!$E$26,DX126*BL126,0)</f>
        <v>0</v>
      </c>
      <c r="EN126" s="52">
        <f>IF(C126&gt;=Summary!$E$26,DY126*BM126,0)</f>
        <v>0</v>
      </c>
      <c r="EO126" s="52">
        <f>IF(C126&gt;=Summary!$E$26,DZ126*BN126,0)</f>
        <v>0</v>
      </c>
      <c r="EP126" s="52">
        <f>IF(C126&gt;=Summary!$E$26,EA126*BO126,0)</f>
        <v>0</v>
      </c>
      <c r="EQ126" s="52">
        <f>IF(C126&gt;=Summary!$E$26,DX126*BL126+DY126*BM126+DZ126*BN126+EA126*BO126,0)</f>
        <v>0</v>
      </c>
      <c r="ER126" s="826">
        <v>0</v>
      </c>
      <c r="ES126" s="278">
        <v>0</v>
      </c>
      <c r="ET126" s="278">
        <v>0</v>
      </c>
      <c r="EU126" s="278">
        <v>0</v>
      </c>
      <c r="EV126" s="212">
        <f>IF(C126&gt;=Summary!$E$26,MAX(0,SUM(ER126:EU126)),0)</f>
        <v>0</v>
      </c>
      <c r="EW126" s="52"/>
      <c r="EX126" s="1049">
        <f t="shared" si="97"/>
        <v>0</v>
      </c>
      <c r="EY126" s="1045" t="str">
        <f t="shared" si="98"/>
        <v/>
      </c>
      <c r="EZ126" s="1684" t="s">
        <v>525</v>
      </c>
      <c r="FA126" s="1046">
        <f t="shared" si="111"/>
        <v>45</v>
      </c>
      <c r="FB126" s="256">
        <f t="shared" si="99"/>
        <v>8865</v>
      </c>
      <c r="FC126" s="194">
        <f t="shared" si="100"/>
        <v>2659.5</v>
      </c>
      <c r="FD126" s="194">
        <f t="shared" si="101"/>
        <v>1773</v>
      </c>
      <c r="FE126" s="194">
        <f t="shared" si="102"/>
        <v>531.9</v>
      </c>
      <c r="FF126" s="194">
        <f t="shared" si="103"/>
        <v>1773</v>
      </c>
      <c r="FG126" s="194">
        <f t="shared" si="104"/>
        <v>531.9</v>
      </c>
      <c r="FH126" s="257">
        <f>IF(EZ126="No",IF((OR(MONTH(C126)=5,MONTH(C126)=6,MONTH(C126)=7,MONTH(C126)=8,MONTH(C126)=9)),Summary!$O$15*12*(AX126+AY126+AZ126+BA126)*(1-$BC126),Summary!$O$15*13*(AX126+AY126+AZ126+BA126)*(1-$BC126)+IF(Summary!$O$16="Yes",(CALC!FA126+Summary!$O$15)*6*(AX126+AY126+AZ126+BA126)*(1-$BC126),0)),0)</f>
        <v>0</v>
      </c>
      <c r="FI126" s="1412">
        <f>IF(MONTH(C126)=5,FI125*(IF(Summary!$E$70="no",(1+(Summary!$E$71*0.8)),1+HLOOKUP(YEAR(C126)-1,CCFMODEL!$I$127:$AF$128,2)*0.8)),+FI125)</f>
        <v>32.932392373502402</v>
      </c>
      <c r="FJ126" s="1411">
        <f>IF(MONTH(C126)=5,FJ125*(IF(Summary!$E$70="no",(1+(Summary!$E$71*0.8)),1+HLOOKUP(YEAR(CALC!C126)-1,CCFMODEL!$I$127:$AF$128,2)*0.8)),FJ125)</f>
        <v>28.783429554793436</v>
      </c>
      <c r="FK126" s="832">
        <f t="shared" si="72"/>
        <v>531341.09827179974</v>
      </c>
      <c r="FL126" s="1412">
        <f>IF(MONTH(C126)=5,FL125*(IF(Summary!$E$70="no",(1+(Summary!$E$71*0.8)),1+HLOOKUP(YEAR(CALC!C126)-1,CCFMODEL!$I$127:$AF$128,2)*0.8)),+FL125)</f>
        <v>69.260513244460029</v>
      </c>
      <c r="FM126" s="1411">
        <f>IF(MONTH(C126)=5,FM125*(IF(Summary!$E$70="no",(1+(Summary!$E$71*0.8)),1+HLOOKUP(YEAR(CALC!C126)-1,CCFMODEL!$I$127:$AF$128,2)*0.8)),+FM125)</f>
        <v>33.05587340977349</v>
      </c>
      <c r="FN126" s="832">
        <f t="shared" si="73"/>
        <v>541455.20645208971</v>
      </c>
      <c r="FO126" s="194">
        <f t="shared" si="105"/>
        <v>1072796.3047238896</v>
      </c>
      <c r="FP126" s="263">
        <f t="shared" si="69"/>
        <v>8865</v>
      </c>
      <c r="FQ126" s="194">
        <f t="shared" si="69"/>
        <v>2659.5</v>
      </c>
      <c r="FR126" s="194">
        <f t="shared" si="69"/>
        <v>1773</v>
      </c>
      <c r="FS126" s="194">
        <f t="shared" si="68"/>
        <v>531.9</v>
      </c>
      <c r="FT126" s="194">
        <f t="shared" si="68"/>
        <v>1773</v>
      </c>
      <c r="FU126" s="194">
        <f t="shared" si="68"/>
        <v>531.9</v>
      </c>
      <c r="FV126" s="257">
        <f t="shared" si="68"/>
        <v>0</v>
      </c>
      <c r="FW126" s="189">
        <f t="shared" si="74"/>
        <v>0</v>
      </c>
      <c r="FX126" s="189">
        <f t="shared" si="75"/>
        <v>0</v>
      </c>
      <c r="FY126" s="189">
        <f t="shared" si="76"/>
        <v>0</v>
      </c>
      <c r="FZ126" s="258">
        <f t="shared" si="77"/>
        <v>0</v>
      </c>
      <c r="GA126" s="1293">
        <f>(SUM(FP126:FV126)+SUM(GU126:HB126)/(1-Summary!$O$25))*CY126/1000</f>
        <v>211945.1569609248</v>
      </c>
      <c r="GB126" s="1369">
        <f>IF($C126&lt;Summary!$M$81,+Summary!$O$81,VLOOKUP(C126,GasTable,19))</f>
        <v>2.4</v>
      </c>
      <c r="GC126" s="1370">
        <f>IF(H126&lt;=Summary!$N$84,MIN(GA126,Summary!$O$75*(H126-G126+1)),0)</f>
        <v>140000</v>
      </c>
      <c r="GD126" s="1371">
        <f>IF(Summary!$O$75*(H126-G126+1)*0.8&gt;GC126,1,0)</f>
        <v>0</v>
      </c>
      <c r="GE126" s="1372">
        <v>0</v>
      </c>
      <c r="GF126" s="1370">
        <f t="shared" si="106"/>
        <v>71945.156960924796</v>
      </c>
      <c r="GG126" s="1371">
        <f>GF126*(IF(Summary!$O$74=1,VLOOKUP($C126,GasTable,16)+Summary!$O$92+Summary!$O$93,VLOOKUP($C126,GasTable,19)+Summary!$O$92+Summary!$O$93))</f>
        <v>231788.57173941706</v>
      </c>
      <c r="GH126" s="1373">
        <v>18636.8</v>
      </c>
      <c r="GI126" s="1466">
        <v>0</v>
      </c>
      <c r="GJ126" s="1374">
        <f t="shared" si="107"/>
        <v>586425.37173941708</v>
      </c>
      <c r="GK126" s="189">
        <f t="shared" si="78"/>
        <v>27152.785799999998</v>
      </c>
      <c r="GL126" s="266">
        <v>0.75539696380800014</v>
      </c>
      <c r="GM126" s="255">
        <f t="shared" si="79"/>
        <v>13748.000000000002</v>
      </c>
      <c r="GN126" s="189">
        <f>IF(SUM(GU126:HB126)=0,0,IF(Summary!$O$16="Yes",SUM(GX126:HB126),IF(Summary!$O$17="Yes",SUM(GY126:HB126),SUM(GU126:HB126))))</f>
        <v>11018.485799999999</v>
      </c>
      <c r="GO126" s="203">
        <v>3.1047411245431729</v>
      </c>
      <c r="GP126" s="258">
        <f t="shared" si="108"/>
        <v>34209.54599345498</v>
      </c>
      <c r="GQ126" s="189"/>
      <c r="GR126" s="189"/>
      <c r="GS126" s="189"/>
      <c r="GT126" s="189"/>
      <c r="GU126" s="268">
        <v>5132.835</v>
      </c>
      <c r="GV126" s="189">
        <v>1026.5670000000002</v>
      </c>
      <c r="GW126" s="189">
        <v>1026.5670000000002</v>
      </c>
      <c r="GX126" s="189"/>
      <c r="GY126" s="254">
        <v>2737.5120000000002</v>
      </c>
      <c r="GZ126" s="189">
        <v>547.50239999999997</v>
      </c>
      <c r="HA126" s="189">
        <v>547.50239999999997</v>
      </c>
      <c r="HB126" s="255"/>
      <c r="HC126" s="189">
        <v>11018.485799999999</v>
      </c>
      <c r="HD126" s="189"/>
      <c r="HE126" s="189">
        <v>18923.051699999996</v>
      </c>
      <c r="HF126" s="189">
        <v>407691.09882842307</v>
      </c>
      <c r="HG126" s="189"/>
      <c r="HH126" s="203">
        <v>36.724403087488717</v>
      </c>
      <c r="HI126" s="189">
        <v>694937.77827618853</v>
      </c>
      <c r="HJ126" s="268">
        <f t="shared" si="80"/>
        <v>0</v>
      </c>
      <c r="HK126" s="189">
        <f t="shared" si="81"/>
        <v>0</v>
      </c>
      <c r="HL126" s="189">
        <f t="shared" si="82"/>
        <v>0</v>
      </c>
      <c r="HM126" s="255">
        <f t="shared" si="83"/>
        <v>0</v>
      </c>
      <c r="HN126" s="189">
        <f t="shared" si="84"/>
        <v>0</v>
      </c>
      <c r="HO126" s="203">
        <f t="shared" si="109"/>
        <v>0</v>
      </c>
      <c r="HP126" s="258">
        <f t="shared" si="85"/>
        <v>0</v>
      </c>
      <c r="HQ126" s="203"/>
      <c r="HR126" s="268"/>
      <c r="HS126" s="38"/>
      <c r="HT126" s="255"/>
      <c r="HU126" s="254"/>
      <c r="HV126" s="203"/>
      <c r="HW126" s="189"/>
      <c r="HX126" s="1020"/>
      <c r="HY126" s="258"/>
      <c r="HZ126" s="268"/>
      <c r="IA126" s="203"/>
      <c r="IB126" s="255"/>
      <c r="IC126" s="254"/>
      <c r="ID126" s="203"/>
      <c r="IE126" s="255"/>
      <c r="IF126" s="189"/>
      <c r="IG126" s="203"/>
      <c r="IH126" s="255"/>
      <c r="II126" s="189"/>
      <c r="IJ126" s="203"/>
      <c r="IK126" s="189"/>
      <c r="IL126" s="1182"/>
      <c r="IM126" s="1403"/>
      <c r="IN126" s="254"/>
      <c r="IO126" s="254"/>
      <c r="IP126" s="254"/>
      <c r="IQ126" s="254"/>
      <c r="IR126" s="223"/>
    </row>
    <row r="127" spans="1:252" ht="13.8" thickBot="1">
      <c r="A127" t="str">
        <f t="shared" si="86"/>
        <v>2009Q1</v>
      </c>
      <c r="B127">
        <f t="shared" si="87"/>
        <v>2009</v>
      </c>
      <c r="C127" s="49">
        <f t="shared" si="88"/>
        <v>39873</v>
      </c>
      <c r="D127" s="115">
        <f t="shared" si="89"/>
        <v>2009</v>
      </c>
      <c r="E127" s="10">
        <f t="shared" si="112"/>
        <v>3</v>
      </c>
      <c r="F127" s="248" t="str">
        <f t="shared" si="113"/>
        <v/>
      </c>
      <c r="G127" s="245">
        <v>39873</v>
      </c>
      <c r="H127" s="251">
        <v>39903</v>
      </c>
      <c r="I127" s="959">
        <f t="shared" si="110"/>
        <v>7.1499999999999994E-2</v>
      </c>
      <c r="J127" s="37">
        <f t="shared" si="90"/>
        <v>0.51858914942396084</v>
      </c>
      <c r="K127" s="1036"/>
      <c r="L127" s="37"/>
      <c r="M127" s="1004">
        <v>0</v>
      </c>
      <c r="N127" s="38">
        <f t="shared" si="119"/>
        <v>0</v>
      </c>
      <c r="O127" s="40">
        <f t="shared" si="119"/>
        <v>0</v>
      </c>
      <c r="P127" s="159">
        <f t="shared" si="117"/>
        <v>0</v>
      </c>
      <c r="Q127" s="38">
        <f t="shared" si="121"/>
        <v>0</v>
      </c>
      <c r="R127" s="40">
        <f t="shared" si="121"/>
        <v>0</v>
      </c>
      <c r="S127" s="38">
        <f t="shared" si="121"/>
        <v>0</v>
      </c>
      <c r="T127" s="38">
        <f t="shared" si="121"/>
        <v>0</v>
      </c>
      <c r="U127" s="38">
        <f t="shared" si="121"/>
        <v>0</v>
      </c>
      <c r="V127" s="159">
        <f t="shared" si="121"/>
        <v>0</v>
      </c>
      <c r="W127" s="38">
        <f t="shared" si="121"/>
        <v>0</v>
      </c>
      <c r="X127" s="39">
        <f t="shared" si="121"/>
        <v>0</v>
      </c>
      <c r="Y127" s="46">
        <v>0</v>
      </c>
      <c r="Z127" s="46">
        <v>0</v>
      </c>
      <c r="AA127" s="47">
        <v>0</v>
      </c>
      <c r="AB127" s="46">
        <v>0</v>
      </c>
      <c r="AC127" s="46">
        <v>0</v>
      </c>
      <c r="AD127" s="47">
        <v>0</v>
      </c>
      <c r="AE127" s="46">
        <v>0</v>
      </c>
      <c r="AF127" s="46">
        <v>0</v>
      </c>
      <c r="AG127" s="47">
        <v>0</v>
      </c>
      <c r="AH127" s="46">
        <v>0</v>
      </c>
      <c r="AI127" s="46">
        <v>0</v>
      </c>
      <c r="AJ127" s="47">
        <v>0</v>
      </c>
      <c r="AK127" s="46">
        <v>0</v>
      </c>
      <c r="AL127" s="46">
        <v>0</v>
      </c>
      <c r="AM127" s="47">
        <v>0</v>
      </c>
      <c r="AN127" s="46">
        <v>0</v>
      </c>
      <c r="AO127" s="46">
        <v>0</v>
      </c>
      <c r="AP127" s="47">
        <v>0</v>
      </c>
      <c r="AQ127" s="46">
        <v>0</v>
      </c>
      <c r="AR127" s="46">
        <v>0</v>
      </c>
      <c r="AS127" s="47">
        <v>0</v>
      </c>
      <c r="AT127" s="46">
        <v>0</v>
      </c>
      <c r="AU127" s="46">
        <v>0</v>
      </c>
      <c r="AV127" s="46">
        <v>0</v>
      </c>
      <c r="AW127" s="1545">
        <v>0</v>
      </c>
      <c r="AX127" s="10">
        <f t="shared" si="114"/>
        <v>22</v>
      </c>
      <c r="AY127" s="42">
        <f>IF(AND($E127=MONTH(Summary!$E$24),$D127=YEAR(Summary!$E$24)),Summary!$E$25,1)*IF(G127="",0,INT((H127-MOD(H127,7)-G127)/7)+1-IF(BA127,IF(WEEKDAY(F127)=7,1,0),0))</f>
        <v>4</v>
      </c>
      <c r="AZ127" s="42">
        <f>IF(AND($E127=MONTH(Summary!$E$24),$D127=YEAR(Summary!$E$24)),Summary!$E$25,1)*IF(G127="",0,INT((H127-MOD(H127-1,7)-G127)/7)+1-IF(BA127,IF(WEEKDAY(F127)=1,1,0),0))</f>
        <v>5</v>
      </c>
      <c r="BA127" s="42">
        <v>0</v>
      </c>
      <c r="BB127" s="10">
        <f>IF(AND($E127=MONTH(Summary!$E$24),$D127=YEAR(Summary!$E$24)),Summary!$E$25,1)*IF(G127="",0,H127-G127+1)</f>
        <v>31</v>
      </c>
      <c r="BC127" s="914">
        <f>Summary!$E$19</f>
        <v>1.4999999999999999E-2</v>
      </c>
      <c r="BD127" s="113">
        <v>15602.4</v>
      </c>
      <c r="BE127" s="171">
        <v>2836.8</v>
      </c>
      <c r="BF127" s="171">
        <v>3546</v>
      </c>
      <c r="BG127" s="174"/>
      <c r="BH127" s="1198">
        <v>1</v>
      </c>
      <c r="BI127" s="1198">
        <v>1</v>
      </c>
      <c r="BJ127" s="1198">
        <v>1</v>
      </c>
      <c r="BK127" s="1198">
        <v>1</v>
      </c>
      <c r="BL127" s="95">
        <v>3120.48</v>
      </c>
      <c r="BM127" s="171">
        <v>567.36</v>
      </c>
      <c r="BN127" s="171">
        <v>709.2</v>
      </c>
      <c r="BO127" s="174"/>
      <c r="BP127" s="1198">
        <v>1</v>
      </c>
      <c r="BQ127" s="1199">
        <v>1</v>
      </c>
      <c r="BR127" s="1199">
        <v>1</v>
      </c>
      <c r="BS127" s="1200">
        <v>1</v>
      </c>
      <c r="BT127" s="94">
        <f t="shared" si="91"/>
        <v>21985.200000000001</v>
      </c>
      <c r="BU127" s="233">
        <f t="shared" si="92"/>
        <v>21985.200000000001</v>
      </c>
      <c r="BV127" s="92">
        <f t="shared" si="93"/>
        <v>4397.04</v>
      </c>
      <c r="BW127" s="233">
        <f t="shared" si="94"/>
        <v>4397.04</v>
      </c>
      <c r="BX127" s="88">
        <v>9.2101300479123882</v>
      </c>
      <c r="BY127" s="90">
        <v>0</v>
      </c>
      <c r="BZ127" s="88">
        <v>0</v>
      </c>
      <c r="CA127" s="88">
        <v>0</v>
      </c>
      <c r="CB127" s="88">
        <v>0</v>
      </c>
      <c r="CC127" s="88">
        <v>0</v>
      </c>
      <c r="CD127" s="88">
        <v>0</v>
      </c>
      <c r="CE127" s="100">
        <v>0</v>
      </c>
      <c r="CF127" s="88">
        <v>0</v>
      </c>
      <c r="CG127" s="88">
        <v>0</v>
      </c>
      <c r="CH127" s="88">
        <v>0</v>
      </c>
      <c r="CI127" s="88">
        <v>0</v>
      </c>
      <c r="CJ127" s="228">
        <v>0</v>
      </c>
      <c r="CK127" s="88">
        <v>0</v>
      </c>
      <c r="CL127" s="88">
        <v>0</v>
      </c>
      <c r="CM127" s="88">
        <v>0</v>
      </c>
      <c r="CN127" s="88">
        <v>0</v>
      </c>
      <c r="CO127" s="88">
        <v>0</v>
      </c>
      <c r="CP127" s="88">
        <v>0</v>
      </c>
      <c r="CQ127" s="229">
        <v>0</v>
      </c>
      <c r="CR127" s="91">
        <v>0</v>
      </c>
      <c r="CS127" s="91">
        <v>0</v>
      </c>
      <c r="CT127" s="91">
        <v>0</v>
      </c>
      <c r="CU127" s="91">
        <v>0</v>
      </c>
      <c r="CV127" s="91">
        <v>0</v>
      </c>
      <c r="CW127" s="91">
        <v>0</v>
      </c>
      <c r="CX127" s="225">
        <v>0</v>
      </c>
      <c r="CY127" s="1265">
        <v>7694.4644000000008</v>
      </c>
      <c r="CZ127" s="90">
        <v>0</v>
      </c>
      <c r="DA127" s="88">
        <v>0</v>
      </c>
      <c r="DB127" s="88">
        <v>0</v>
      </c>
      <c r="DC127" s="88">
        <v>0</v>
      </c>
      <c r="DD127" s="88">
        <v>0</v>
      </c>
      <c r="DE127" s="152">
        <v>0</v>
      </c>
      <c r="DF127" s="230">
        <v>0</v>
      </c>
      <c r="DG127" s="38">
        <v>0</v>
      </c>
      <c r="DH127" s="1237">
        <v>0</v>
      </c>
      <c r="DI127" s="956">
        <v>0</v>
      </c>
      <c r="DJ127" s="956">
        <v>0</v>
      </c>
      <c r="DK127" s="956">
        <v>0</v>
      </c>
      <c r="DL127" s="152">
        <v>0</v>
      </c>
      <c r="DM127" s="160">
        <v>0</v>
      </c>
      <c r="DN127" s="160">
        <v>0</v>
      </c>
      <c r="DO127" s="160">
        <v>0</v>
      </c>
      <c r="DP127" s="160">
        <v>0</v>
      </c>
      <c r="DQ127" s="160">
        <v>0</v>
      </c>
      <c r="DR127" s="230">
        <v>0</v>
      </c>
      <c r="DS127" s="88">
        <v>0</v>
      </c>
      <c r="DT127" s="88">
        <v>0</v>
      </c>
      <c r="DU127" s="88">
        <v>0</v>
      </c>
      <c r="DV127" s="88">
        <v>0</v>
      </c>
      <c r="DW127" s="88">
        <v>0</v>
      </c>
      <c r="DX127" s="88">
        <v>0</v>
      </c>
      <c r="DY127" s="88">
        <v>0</v>
      </c>
      <c r="DZ127" s="88">
        <v>0</v>
      </c>
      <c r="EA127" s="88">
        <v>0</v>
      </c>
      <c r="EB127" s="152">
        <v>0</v>
      </c>
      <c r="EC127" s="52">
        <f t="shared" si="95"/>
        <v>0</v>
      </c>
      <c r="ED127" s="52">
        <f t="shared" si="95"/>
        <v>0</v>
      </c>
      <c r="EE127" s="52">
        <f t="shared" si="95"/>
        <v>0</v>
      </c>
      <c r="EF127" s="52">
        <f t="shared" si="71"/>
        <v>0</v>
      </c>
      <c r="EG127" s="52">
        <f t="shared" si="96"/>
        <v>0</v>
      </c>
      <c r="EH127" s="238">
        <v>0</v>
      </c>
      <c r="EI127" s="211">
        <v>0</v>
      </c>
      <c r="EJ127" s="211">
        <v>0</v>
      </c>
      <c r="EK127" s="211">
        <v>0</v>
      </c>
      <c r="EL127" s="217">
        <f>IF(C127&gt;=Summary!$E$26,MAX(0,SUM(EH127:EK127)),0)</f>
        <v>0</v>
      </c>
      <c r="EM127" s="52">
        <f>IF(C127&gt;=Summary!$E$26,DX127*BL127,0)</f>
        <v>0</v>
      </c>
      <c r="EN127" s="52">
        <f>IF(C127&gt;=Summary!$E$26,DY127*BM127,0)</f>
        <v>0</v>
      </c>
      <c r="EO127" s="52">
        <f>IF(C127&gt;=Summary!$E$26,DZ127*BN127,0)</f>
        <v>0</v>
      </c>
      <c r="EP127" s="52">
        <f>IF(C127&gt;=Summary!$E$26,EA127*BO127,0)</f>
        <v>0</v>
      </c>
      <c r="EQ127" s="52">
        <f>IF(C127&gt;=Summary!$E$26,DX127*BL127+DY127*BM127+DZ127*BN127+EA127*BO127,0)</f>
        <v>0</v>
      </c>
      <c r="ER127" s="826">
        <v>0</v>
      </c>
      <c r="ES127" s="278">
        <v>0</v>
      </c>
      <c r="ET127" s="278">
        <v>0</v>
      </c>
      <c r="EU127" s="278">
        <v>0</v>
      </c>
      <c r="EV127" s="212">
        <f>IF(C127&gt;=Summary!$E$26,MAX(0,SUM(ER127:EU127)),0)</f>
        <v>0</v>
      </c>
      <c r="EW127" s="52"/>
      <c r="EX127" s="1049">
        <f t="shared" si="97"/>
        <v>0</v>
      </c>
      <c r="EY127" s="1045" t="str">
        <f t="shared" si="98"/>
        <v/>
      </c>
      <c r="EZ127" s="1684" t="s">
        <v>525</v>
      </c>
      <c r="FA127" s="1046">
        <f t="shared" si="111"/>
        <v>45</v>
      </c>
      <c r="FB127" s="256">
        <f t="shared" si="99"/>
        <v>9751.5</v>
      </c>
      <c r="FC127" s="194">
        <f t="shared" si="100"/>
        <v>2925.45</v>
      </c>
      <c r="FD127" s="194">
        <f t="shared" si="101"/>
        <v>1773</v>
      </c>
      <c r="FE127" s="194">
        <f t="shared" si="102"/>
        <v>531.9</v>
      </c>
      <c r="FF127" s="194">
        <f t="shared" si="103"/>
        <v>2216.25</v>
      </c>
      <c r="FG127" s="194">
        <f t="shared" si="104"/>
        <v>664.875</v>
      </c>
      <c r="FH127" s="257">
        <f>IF(EZ127="No",IF((OR(MONTH(C127)=5,MONTH(C127)=6,MONTH(C127)=7,MONTH(C127)=8,MONTH(C127)=9)),Summary!$O$15*12*(AX127+AY127+AZ127+BA127)*(1-$BC127),Summary!$O$15*13*(AX127+AY127+AZ127+BA127)*(1-$BC127)+IF(Summary!$O$16="Yes",(CALC!FA127+Summary!$O$15)*6*(AX127+AY127+AZ127+BA127)*(1-$BC127),0)),0)</f>
        <v>0</v>
      </c>
      <c r="FI127" s="1412">
        <f>IF(MONTH(C127)=5,FI126*(IF(Summary!$E$70="no",(1+(Summary!$E$71*0.8)),1+HLOOKUP(YEAR(C127)-1,CCFMODEL!$I$127:$AF$128,2)*0.8)),+FI126)</f>
        <v>32.932392373502402</v>
      </c>
      <c r="FJ127" s="1411">
        <f>IF(MONTH(C127)=5,FJ126*(IF(Summary!$E$70="no",(1+(Summary!$E$71*0.8)),1+HLOOKUP(YEAR(CALC!C127)-1,CCFMODEL!$I$127:$AF$128,2)*0.8)),FJ126)</f>
        <v>28.783429554793436</v>
      </c>
      <c r="FK127" s="832">
        <f t="shared" si="72"/>
        <v>588270.50165806408</v>
      </c>
      <c r="FL127" s="1412">
        <f>IF(MONTH(C127)=5,FL126*(IF(Summary!$E$70="no",(1+(Summary!$E$71*0.8)),1+HLOOKUP(YEAR(CALC!C127)-1,CCFMODEL!$I$127:$AF$128,2)*0.8)),+FL126)</f>
        <v>69.260513244460029</v>
      </c>
      <c r="FM127" s="1411">
        <f>IF(MONTH(C127)=5,FM126*(IF(Summary!$E$70="no",(1+(Summary!$E$71*0.8)),1+HLOOKUP(YEAR(CALC!C127)-1,CCFMODEL!$I$127:$AF$128,2)*0.8)),+FM126)</f>
        <v>33.05587340977349</v>
      </c>
      <c r="FN127" s="832">
        <f t="shared" si="73"/>
        <v>599468.26428624219</v>
      </c>
      <c r="FO127" s="194">
        <f t="shared" si="105"/>
        <v>1187738.7659443063</v>
      </c>
      <c r="FP127" s="263">
        <f t="shared" si="69"/>
        <v>9751.5</v>
      </c>
      <c r="FQ127" s="194">
        <f t="shared" si="69"/>
        <v>2925.45</v>
      </c>
      <c r="FR127" s="194">
        <f t="shared" si="69"/>
        <v>1773</v>
      </c>
      <c r="FS127" s="194">
        <f t="shared" si="68"/>
        <v>531.9</v>
      </c>
      <c r="FT127" s="194">
        <f t="shared" si="68"/>
        <v>2216.25</v>
      </c>
      <c r="FU127" s="194">
        <f t="shared" si="68"/>
        <v>664.875</v>
      </c>
      <c r="FV127" s="257">
        <f t="shared" si="68"/>
        <v>0</v>
      </c>
      <c r="FW127" s="189">
        <f t="shared" si="74"/>
        <v>0</v>
      </c>
      <c r="FX127" s="189">
        <f t="shared" si="75"/>
        <v>0</v>
      </c>
      <c r="FY127" s="189">
        <f t="shared" si="76"/>
        <v>0</v>
      </c>
      <c r="FZ127" s="258">
        <f t="shared" si="77"/>
        <v>0</v>
      </c>
      <c r="GA127" s="1293">
        <f>(SUM(FP127:FV127)+SUM(GU127:HB127)/(1-Summary!$O$25))*CY127/1000</f>
        <v>234715.51998354599</v>
      </c>
      <c r="GB127" s="1369">
        <f>IF($C127&lt;Summary!$M$81,+Summary!$O$81,VLOOKUP(C127,GasTable,19))</f>
        <v>2.4</v>
      </c>
      <c r="GC127" s="1370">
        <f>IF(H127&lt;=Summary!$N$84,MIN(GA127,Summary!$O$75*(H127-G127+1)),0)</f>
        <v>155000</v>
      </c>
      <c r="GD127" s="1371">
        <f>IF(Summary!$O$75*(H127-G127+1)*0.8&gt;GC127,1,0)</f>
        <v>0</v>
      </c>
      <c r="GE127" s="1372">
        <v>0</v>
      </c>
      <c r="GF127" s="1370">
        <f t="shared" si="106"/>
        <v>79715.519983545993</v>
      </c>
      <c r="GG127" s="1371">
        <f>GF127*(IF(Summary!$O$74=1,VLOOKUP($C127,GasTable,16)+Summary!$O$92+Summary!$O$93,VLOOKUP($C127,GasTable,19)+Summary!$O$92+Summary!$O$93))</f>
        <v>243258.4913548966</v>
      </c>
      <c r="GH127" s="1373">
        <v>19877.2</v>
      </c>
      <c r="GI127" s="1466">
        <v>0</v>
      </c>
      <c r="GJ127" s="1374">
        <f t="shared" si="107"/>
        <v>635135.69135489652</v>
      </c>
      <c r="GK127" s="189">
        <f t="shared" si="78"/>
        <v>30062.012850000003</v>
      </c>
      <c r="GL127" s="266">
        <v>0.75559640408000006</v>
      </c>
      <c r="GM127" s="255">
        <f t="shared" si="79"/>
        <v>15220.999999999998</v>
      </c>
      <c r="GN127" s="189">
        <f>IF(SUM(GU127:HB127)=0,0,IF(Summary!$O$16="Yes",SUM(GX127:HB127),IF(Summary!$O$17="Yes",SUM(GY127:HB127),SUM(GU127:HB127))))</f>
        <v>12199.037849999999</v>
      </c>
      <c r="GO127" s="203">
        <v>3.1047411245431729</v>
      </c>
      <c r="GP127" s="258">
        <f t="shared" si="108"/>
        <v>37874.854492753722</v>
      </c>
      <c r="GQ127" s="189"/>
      <c r="GR127" s="189"/>
      <c r="GS127" s="189"/>
      <c r="GT127" s="189"/>
      <c r="GU127" s="268">
        <v>5646.1184999999996</v>
      </c>
      <c r="GV127" s="189">
        <v>1026.5670000000002</v>
      </c>
      <c r="GW127" s="189">
        <v>1283.20875</v>
      </c>
      <c r="GX127" s="189"/>
      <c r="GY127" s="254">
        <v>3011.2631999999999</v>
      </c>
      <c r="GZ127" s="189">
        <v>547.50239999999997</v>
      </c>
      <c r="HA127" s="189">
        <v>684.37800000000004</v>
      </c>
      <c r="HB127" s="255"/>
      <c r="HC127" s="189">
        <v>12199.037849999999</v>
      </c>
      <c r="HD127" s="189"/>
      <c r="HE127" s="189">
        <v>20950.521524999996</v>
      </c>
      <c r="HF127" s="189">
        <v>427512.97199497174</v>
      </c>
      <c r="HG127" s="189"/>
      <c r="HH127" s="203">
        <v>34.469710979837885</v>
      </c>
      <c r="HI127" s="189">
        <v>722158.42184362235</v>
      </c>
      <c r="HJ127" s="268">
        <f t="shared" si="80"/>
        <v>0</v>
      </c>
      <c r="HK127" s="189">
        <f t="shared" si="81"/>
        <v>0</v>
      </c>
      <c r="HL127" s="189">
        <f t="shared" si="82"/>
        <v>0</v>
      </c>
      <c r="HM127" s="255">
        <f t="shared" si="83"/>
        <v>0</v>
      </c>
      <c r="HN127" s="189">
        <f t="shared" si="84"/>
        <v>0</v>
      </c>
      <c r="HO127" s="203">
        <f t="shared" si="109"/>
        <v>0</v>
      </c>
      <c r="HP127" s="258">
        <f t="shared" si="85"/>
        <v>0</v>
      </c>
      <c r="HQ127" s="203"/>
      <c r="HR127" s="268"/>
      <c r="HS127" s="38"/>
      <c r="HT127" s="255"/>
      <c r="HU127" s="254"/>
      <c r="HV127" s="203"/>
      <c r="HW127" s="189"/>
      <c r="HX127" s="1020"/>
      <c r="HY127" s="258"/>
      <c r="HZ127" s="268"/>
      <c r="IA127" s="203"/>
      <c r="IB127" s="255"/>
      <c r="IC127" s="254"/>
      <c r="ID127" s="203"/>
      <c r="IE127" s="255"/>
      <c r="IF127" s="189"/>
      <c r="IG127" s="203"/>
      <c r="IH127" s="255"/>
      <c r="II127" s="189"/>
      <c r="IJ127" s="203"/>
      <c r="IK127" s="189"/>
      <c r="IL127" s="1182"/>
      <c r="IM127" s="1403"/>
      <c r="IN127" s="254"/>
      <c r="IO127" s="254"/>
      <c r="IP127" s="254"/>
      <c r="IQ127" s="254"/>
      <c r="IR127" s="223"/>
    </row>
    <row r="128" spans="1:252" ht="13.8" thickBot="1">
      <c r="A128" t="str">
        <f t="shared" si="86"/>
        <v>2009Q2</v>
      </c>
      <c r="B128">
        <f t="shared" si="87"/>
        <v>2009</v>
      </c>
      <c r="C128" s="49">
        <f t="shared" si="88"/>
        <v>39904</v>
      </c>
      <c r="D128" s="115">
        <f t="shared" si="89"/>
        <v>2009</v>
      </c>
      <c r="E128" s="10">
        <f t="shared" si="112"/>
        <v>4</v>
      </c>
      <c r="F128" s="248" t="str">
        <f t="shared" si="113"/>
        <v/>
      </c>
      <c r="G128" s="245">
        <v>39904</v>
      </c>
      <c r="H128" s="251">
        <v>39933</v>
      </c>
      <c r="I128" s="959">
        <f t="shared" si="110"/>
        <v>7.1499999999999994E-2</v>
      </c>
      <c r="J128" s="37">
        <f t="shared" si="90"/>
        <v>0.51560542760662154</v>
      </c>
      <c r="K128" s="1036"/>
      <c r="L128" s="37"/>
      <c r="M128" s="1004">
        <v>0</v>
      </c>
      <c r="N128" s="38">
        <f t="shared" si="119"/>
        <v>0</v>
      </c>
      <c r="O128" s="40">
        <f t="shared" si="119"/>
        <v>0</v>
      </c>
      <c r="P128" s="159">
        <f t="shared" si="117"/>
        <v>0</v>
      </c>
      <c r="Q128" s="38">
        <f t="shared" si="121"/>
        <v>0</v>
      </c>
      <c r="R128" s="40">
        <f t="shared" si="121"/>
        <v>0</v>
      </c>
      <c r="S128" s="38">
        <f t="shared" si="121"/>
        <v>0</v>
      </c>
      <c r="T128" s="38">
        <f t="shared" si="121"/>
        <v>0</v>
      </c>
      <c r="U128" s="38">
        <f t="shared" si="121"/>
        <v>0</v>
      </c>
      <c r="V128" s="159">
        <f t="shared" si="121"/>
        <v>0</v>
      </c>
      <c r="W128" s="38">
        <f t="shared" si="121"/>
        <v>0</v>
      </c>
      <c r="X128" s="39">
        <f t="shared" si="121"/>
        <v>0</v>
      </c>
      <c r="Y128" s="46">
        <v>0</v>
      </c>
      <c r="Z128" s="46">
        <v>0</v>
      </c>
      <c r="AA128" s="47">
        <v>0</v>
      </c>
      <c r="AB128" s="46">
        <v>0</v>
      </c>
      <c r="AC128" s="46">
        <v>0</v>
      </c>
      <c r="AD128" s="47">
        <v>0</v>
      </c>
      <c r="AE128" s="46">
        <v>0</v>
      </c>
      <c r="AF128" s="46">
        <v>0</v>
      </c>
      <c r="AG128" s="47">
        <v>0</v>
      </c>
      <c r="AH128" s="46">
        <v>0</v>
      </c>
      <c r="AI128" s="46">
        <v>0</v>
      </c>
      <c r="AJ128" s="47">
        <v>0</v>
      </c>
      <c r="AK128" s="46">
        <v>0</v>
      </c>
      <c r="AL128" s="46">
        <v>0</v>
      </c>
      <c r="AM128" s="47">
        <v>0</v>
      </c>
      <c r="AN128" s="46">
        <v>0</v>
      </c>
      <c r="AO128" s="46">
        <v>0</v>
      </c>
      <c r="AP128" s="47">
        <v>0</v>
      </c>
      <c r="AQ128" s="46">
        <v>0</v>
      </c>
      <c r="AR128" s="46">
        <v>0</v>
      </c>
      <c r="AS128" s="47">
        <v>0</v>
      </c>
      <c r="AT128" s="46">
        <v>0</v>
      </c>
      <c r="AU128" s="46">
        <v>0</v>
      </c>
      <c r="AV128" s="46">
        <v>0</v>
      </c>
      <c r="AW128" s="1545">
        <v>0</v>
      </c>
      <c r="AX128" s="10">
        <f t="shared" si="114"/>
        <v>22</v>
      </c>
      <c r="AY128" s="42">
        <f>IF(AND($E128=MONTH(Summary!$E$24),$D128=YEAR(Summary!$E$24)),Summary!$E$25,1)*IF(G128="",0,INT((H128-MOD(H128,7)-G128)/7)+1-IF(BA128,IF(WEEKDAY(F128)=7,1,0),0))</f>
        <v>4</v>
      </c>
      <c r="AZ128" s="42">
        <f>IF(AND($E128=MONTH(Summary!$E$24),$D128=YEAR(Summary!$E$24)),Summary!$E$25,1)*IF(G128="",0,INT((H128-MOD(H128-1,7)-G128)/7)+1-IF(BA128,IF(WEEKDAY(F128)=1,1,0),0))</f>
        <v>4</v>
      </c>
      <c r="BA128" s="42">
        <v>0</v>
      </c>
      <c r="BB128" s="10">
        <f>IF(AND($E128=MONTH(Summary!$E$24),$D128=YEAR(Summary!$E$24)),Summary!$E$25,1)*IF(G128="",0,H128-G128+1)</f>
        <v>30</v>
      </c>
      <c r="BC128" s="914">
        <f>Summary!$E$19</f>
        <v>1.4999999999999999E-2</v>
      </c>
      <c r="BD128" s="113">
        <v>15602.4</v>
      </c>
      <c r="BE128" s="171">
        <v>2836.8</v>
      </c>
      <c r="BF128" s="171">
        <v>2836.8</v>
      </c>
      <c r="BG128" s="174"/>
      <c r="BH128" s="1198">
        <v>1</v>
      </c>
      <c r="BI128" s="1198">
        <v>1</v>
      </c>
      <c r="BJ128" s="1198">
        <v>1</v>
      </c>
      <c r="BK128" s="1198">
        <v>1</v>
      </c>
      <c r="BL128" s="95">
        <v>3120.48</v>
      </c>
      <c r="BM128" s="171">
        <v>567.36</v>
      </c>
      <c r="BN128" s="171">
        <v>567.36</v>
      </c>
      <c r="BO128" s="174"/>
      <c r="BP128" s="1198">
        <v>1</v>
      </c>
      <c r="BQ128" s="1199">
        <v>1</v>
      </c>
      <c r="BR128" s="1199">
        <v>1</v>
      </c>
      <c r="BS128" s="1200">
        <v>1</v>
      </c>
      <c r="BT128" s="94">
        <f t="shared" si="91"/>
        <v>21276</v>
      </c>
      <c r="BU128" s="233">
        <f t="shared" si="92"/>
        <v>21276</v>
      </c>
      <c r="BV128" s="92">
        <f t="shared" si="93"/>
        <v>4255.2</v>
      </c>
      <c r="BW128" s="233">
        <f t="shared" si="94"/>
        <v>4255.2</v>
      </c>
      <c r="BX128" s="88">
        <v>9.2950034223134832</v>
      </c>
      <c r="BY128" s="90">
        <v>0</v>
      </c>
      <c r="BZ128" s="88">
        <v>0</v>
      </c>
      <c r="CA128" s="88">
        <v>0</v>
      </c>
      <c r="CB128" s="88">
        <v>0</v>
      </c>
      <c r="CC128" s="88">
        <v>0</v>
      </c>
      <c r="CD128" s="88">
        <v>0</v>
      </c>
      <c r="CE128" s="100">
        <v>0</v>
      </c>
      <c r="CF128" s="88">
        <v>0</v>
      </c>
      <c r="CG128" s="88">
        <v>0</v>
      </c>
      <c r="CH128" s="88">
        <v>0</v>
      </c>
      <c r="CI128" s="88">
        <v>0</v>
      </c>
      <c r="CJ128" s="228">
        <v>0</v>
      </c>
      <c r="CK128" s="88">
        <v>0</v>
      </c>
      <c r="CL128" s="88">
        <v>0</v>
      </c>
      <c r="CM128" s="88">
        <v>0</v>
      </c>
      <c r="CN128" s="88">
        <v>0</v>
      </c>
      <c r="CO128" s="88">
        <v>0</v>
      </c>
      <c r="CP128" s="88">
        <v>0</v>
      </c>
      <c r="CQ128" s="229">
        <v>0</v>
      </c>
      <c r="CR128" s="91">
        <v>0</v>
      </c>
      <c r="CS128" s="91">
        <v>0</v>
      </c>
      <c r="CT128" s="91">
        <v>0</v>
      </c>
      <c r="CU128" s="91">
        <v>0</v>
      </c>
      <c r="CV128" s="91">
        <v>0</v>
      </c>
      <c r="CW128" s="91">
        <v>0</v>
      </c>
      <c r="CX128" s="225">
        <v>0</v>
      </c>
      <c r="CY128" s="1265">
        <v>7696.4953599999999</v>
      </c>
      <c r="CZ128" s="90">
        <v>0</v>
      </c>
      <c r="DA128" s="88">
        <v>0</v>
      </c>
      <c r="DB128" s="88">
        <v>0</v>
      </c>
      <c r="DC128" s="88">
        <v>0</v>
      </c>
      <c r="DD128" s="88">
        <v>0</v>
      </c>
      <c r="DE128" s="152">
        <v>0</v>
      </c>
      <c r="DF128" s="230">
        <v>0</v>
      </c>
      <c r="DG128" s="38">
        <v>0</v>
      </c>
      <c r="DH128" s="1237">
        <v>0</v>
      </c>
      <c r="DI128" s="956">
        <v>0</v>
      </c>
      <c r="DJ128" s="956">
        <v>0</v>
      </c>
      <c r="DK128" s="956">
        <v>0</v>
      </c>
      <c r="DL128" s="152">
        <v>0</v>
      </c>
      <c r="DM128" s="160">
        <v>0</v>
      </c>
      <c r="DN128" s="160">
        <v>0</v>
      </c>
      <c r="DO128" s="160">
        <v>0</v>
      </c>
      <c r="DP128" s="160">
        <v>0</v>
      </c>
      <c r="DQ128" s="160">
        <v>0</v>
      </c>
      <c r="DR128" s="230">
        <v>0</v>
      </c>
      <c r="DS128" s="88">
        <v>0</v>
      </c>
      <c r="DT128" s="88">
        <v>0</v>
      </c>
      <c r="DU128" s="88">
        <v>0</v>
      </c>
      <c r="DV128" s="88">
        <v>0</v>
      </c>
      <c r="DW128" s="88">
        <v>0</v>
      </c>
      <c r="DX128" s="88">
        <v>0</v>
      </c>
      <c r="DY128" s="88">
        <v>0</v>
      </c>
      <c r="DZ128" s="88">
        <v>0</v>
      </c>
      <c r="EA128" s="88">
        <v>0</v>
      </c>
      <c r="EB128" s="152">
        <v>0</v>
      </c>
      <c r="EC128" s="52">
        <f t="shared" si="95"/>
        <v>0</v>
      </c>
      <c r="ED128" s="52">
        <f t="shared" si="95"/>
        <v>0</v>
      </c>
      <c r="EE128" s="52">
        <f t="shared" si="95"/>
        <v>0</v>
      </c>
      <c r="EF128" s="52">
        <f t="shared" si="71"/>
        <v>0</v>
      </c>
      <c r="EG128" s="52">
        <f t="shared" si="96"/>
        <v>0</v>
      </c>
      <c r="EH128" s="238">
        <v>0</v>
      </c>
      <c r="EI128" s="211">
        <v>0</v>
      </c>
      <c r="EJ128" s="211">
        <v>0</v>
      </c>
      <c r="EK128" s="211">
        <v>0</v>
      </c>
      <c r="EL128" s="217">
        <f>IF(C128&gt;=Summary!$E$26,MAX(0,SUM(EH128:EK128)),0)</f>
        <v>0</v>
      </c>
      <c r="EM128" s="52">
        <f>IF(C128&gt;=Summary!$E$26,DX128*BL128,0)</f>
        <v>0</v>
      </c>
      <c r="EN128" s="52">
        <f>IF(C128&gt;=Summary!$E$26,DY128*BM128,0)</f>
        <v>0</v>
      </c>
      <c r="EO128" s="52">
        <f>IF(C128&gt;=Summary!$E$26,DZ128*BN128,0)</f>
        <v>0</v>
      </c>
      <c r="EP128" s="52">
        <f>IF(C128&gt;=Summary!$E$26,EA128*BO128,0)</f>
        <v>0</v>
      </c>
      <c r="EQ128" s="52">
        <f>IF(C128&gt;=Summary!$E$26,DX128*BL128+DY128*BM128+DZ128*BN128+EA128*BO128,0)</f>
        <v>0</v>
      </c>
      <c r="ER128" s="826">
        <v>0</v>
      </c>
      <c r="ES128" s="278">
        <v>0</v>
      </c>
      <c r="ET128" s="278">
        <v>0</v>
      </c>
      <c r="EU128" s="278">
        <v>0</v>
      </c>
      <c r="EV128" s="212">
        <f>IF(C128&gt;=Summary!$E$26,MAX(0,SUM(ER128:EU128)),0)</f>
        <v>0</v>
      </c>
      <c r="EW128" s="52"/>
      <c r="EX128" s="1049">
        <f t="shared" si="97"/>
        <v>0</v>
      </c>
      <c r="EY128" s="1045" t="str">
        <f t="shared" si="98"/>
        <v/>
      </c>
      <c r="EZ128" s="1684" t="s">
        <v>525</v>
      </c>
      <c r="FA128" s="1046">
        <f t="shared" si="111"/>
        <v>45</v>
      </c>
      <c r="FB128" s="256">
        <f t="shared" si="99"/>
        <v>9751.5</v>
      </c>
      <c r="FC128" s="194">
        <f t="shared" si="100"/>
        <v>2925.45</v>
      </c>
      <c r="FD128" s="194">
        <f t="shared" si="101"/>
        <v>1773</v>
      </c>
      <c r="FE128" s="194">
        <f t="shared" si="102"/>
        <v>531.9</v>
      </c>
      <c r="FF128" s="194">
        <f t="shared" si="103"/>
        <v>1773</v>
      </c>
      <c r="FG128" s="194">
        <f t="shared" si="104"/>
        <v>531.9</v>
      </c>
      <c r="FH128" s="257">
        <f>IF(EZ128="No",IF((OR(MONTH(C128)=5,MONTH(C128)=6,MONTH(C128)=7,MONTH(C128)=8,MONTH(C128)=9)),Summary!$O$15*12*(AX128+AY128+AZ128+BA128)*(1-$BC128),Summary!$O$15*13*(AX128+AY128+AZ128+BA128)*(1-$BC128)+IF(Summary!$O$16="Yes",(CALC!FA128+Summary!$O$15)*6*(AX128+AY128+AZ128+BA128)*(1-$BC128),0)),0)</f>
        <v>0</v>
      </c>
      <c r="FI128" s="1412">
        <f>IF(MONTH(C128)=5,FI127*(IF(Summary!$E$70="no",(1+(Summary!$E$71*0.8)),1+HLOOKUP(YEAR(C128)-1,CCFMODEL!$I$127:$AF$128,2)*0.8)),+FI127)</f>
        <v>32.932392373502402</v>
      </c>
      <c r="FJ128" s="1411">
        <f>IF(MONTH(C128)=5,FJ127*(IF(Summary!$E$70="no",(1+(Summary!$E$71*0.8)),1+HLOOKUP(YEAR(CALC!C128)-1,CCFMODEL!$I$127:$AF$128,2)*0.8)),FJ127)</f>
        <v>28.783429554793436</v>
      </c>
      <c r="FK128" s="832">
        <f t="shared" si="72"/>
        <v>569294.03386264271</v>
      </c>
      <c r="FL128" s="1412">
        <f>IF(MONTH(C128)=5,FL127*(IF(Summary!$E$70="no",(1+(Summary!$E$71*0.8)),1+HLOOKUP(YEAR(CALC!C128)-1,CCFMODEL!$I$127:$AF$128,2)*0.8)),+FL127)</f>
        <v>69.260513244460029</v>
      </c>
      <c r="FM128" s="1411">
        <f>IF(MONTH(C128)=5,FM127*(IF(Summary!$E$70="no",(1+(Summary!$E$71*0.8)),1+HLOOKUP(YEAR(CALC!C128)-1,CCFMODEL!$I$127:$AF$128,2)*0.8)),+FM127)</f>
        <v>33.05587340977349</v>
      </c>
      <c r="FN128" s="832">
        <f t="shared" si="73"/>
        <v>580130.5783415247</v>
      </c>
      <c r="FO128" s="194">
        <f t="shared" si="105"/>
        <v>1149424.6122041675</v>
      </c>
      <c r="FP128" s="263">
        <f t="shared" si="69"/>
        <v>9751.5</v>
      </c>
      <c r="FQ128" s="194">
        <f t="shared" si="69"/>
        <v>2925.45</v>
      </c>
      <c r="FR128" s="194">
        <f t="shared" si="69"/>
        <v>1773</v>
      </c>
      <c r="FS128" s="194">
        <f t="shared" si="68"/>
        <v>531.9</v>
      </c>
      <c r="FT128" s="194">
        <f t="shared" si="68"/>
        <v>1773</v>
      </c>
      <c r="FU128" s="194">
        <f t="shared" si="68"/>
        <v>531.9</v>
      </c>
      <c r="FV128" s="257">
        <f t="shared" si="68"/>
        <v>0</v>
      </c>
      <c r="FW128" s="189">
        <f t="shared" si="74"/>
        <v>0</v>
      </c>
      <c r="FX128" s="189">
        <f t="shared" si="75"/>
        <v>0</v>
      </c>
      <c r="FY128" s="189">
        <f t="shared" si="76"/>
        <v>0</v>
      </c>
      <c r="FZ128" s="258">
        <f t="shared" si="77"/>
        <v>0</v>
      </c>
      <c r="GA128" s="1293">
        <f>(SUM(FP128:FV128)+SUM(GU128:HB128)/(1-Summary!$O$25))*CY128/1000</f>
        <v>227204.00645011198</v>
      </c>
      <c r="GB128" s="1369">
        <f>IF($C128&lt;Summary!$M$81,+Summary!$O$81,VLOOKUP(C128,GasTable,19))</f>
        <v>2.4</v>
      </c>
      <c r="GC128" s="1370">
        <f>IF(H128&lt;=Summary!$N$84,MIN(GA128,Summary!$O$75*(H128-G128+1)),0)</f>
        <v>150000</v>
      </c>
      <c r="GD128" s="1371">
        <f>IF(Summary!$O$75*(H128-G128+1)*0.8&gt;GC128,1,0)</f>
        <v>0</v>
      </c>
      <c r="GE128" s="1372">
        <v>0</v>
      </c>
      <c r="GF128" s="1370">
        <f t="shared" si="106"/>
        <v>77204.006450111978</v>
      </c>
      <c r="GG128" s="1371">
        <f>GF128*(IF(Summary!$O$74=1,VLOOKUP($C128,GasTable,16)+Summary!$O$92+Summary!$O$93,VLOOKUP($C128,GasTable,19)+Summary!$O$92+Summary!$O$93))</f>
        <v>228647.07296772412</v>
      </c>
      <c r="GH128" s="1373">
        <v>18504</v>
      </c>
      <c r="GI128" s="1466">
        <v>0</v>
      </c>
      <c r="GJ128" s="1374">
        <f t="shared" si="107"/>
        <v>607151.07296772418</v>
      </c>
      <c r="GK128" s="189">
        <f t="shared" si="78"/>
        <v>29092.270500000002</v>
      </c>
      <c r="GL128" s="266">
        <v>0.75579584435200009</v>
      </c>
      <c r="GM128" s="255">
        <f t="shared" si="79"/>
        <v>14730.000000000002</v>
      </c>
      <c r="GN128" s="189">
        <f>IF(SUM(GU128:HB128)=0,0,IF(Summary!$O$16="Yes",SUM(GX128:HB128),IF(Summary!$O$17="Yes",SUM(GY128:HB128),SUM(GU128:HB128))))</f>
        <v>11805.520499999999</v>
      </c>
      <c r="GO128" s="203">
        <v>3.1047411245431729</v>
      </c>
      <c r="GP128" s="258">
        <f t="shared" si="108"/>
        <v>36653.084992987475</v>
      </c>
      <c r="GQ128" s="189"/>
      <c r="GR128" s="189"/>
      <c r="GS128" s="189"/>
      <c r="GT128" s="189"/>
      <c r="GU128" s="268">
        <v>5646.1184999999996</v>
      </c>
      <c r="GV128" s="189">
        <v>1026.5670000000002</v>
      </c>
      <c r="GW128" s="189">
        <v>1026.5670000000002</v>
      </c>
      <c r="GX128" s="189"/>
      <c r="GY128" s="254">
        <v>3011.2631999999999</v>
      </c>
      <c r="GZ128" s="189">
        <v>547.50239999999997</v>
      </c>
      <c r="HA128" s="189">
        <v>547.50239999999997</v>
      </c>
      <c r="HB128" s="255"/>
      <c r="HC128" s="189">
        <v>11805.520499999999</v>
      </c>
      <c r="HD128" s="189"/>
      <c r="HE128" s="189">
        <v>20274.698249999998</v>
      </c>
      <c r="HF128" s="189">
        <v>408907.66366928816</v>
      </c>
      <c r="HG128" s="189"/>
      <c r="HH128" s="203">
        <v>34.011110096177077</v>
      </c>
      <c r="HI128" s="189">
        <v>689564.99434751866</v>
      </c>
      <c r="HJ128" s="268">
        <f t="shared" si="80"/>
        <v>0</v>
      </c>
      <c r="HK128" s="189">
        <f t="shared" si="81"/>
        <v>0</v>
      </c>
      <c r="HL128" s="189">
        <f t="shared" si="82"/>
        <v>0</v>
      </c>
      <c r="HM128" s="255">
        <f t="shared" si="83"/>
        <v>0</v>
      </c>
      <c r="HN128" s="189">
        <f t="shared" si="84"/>
        <v>0</v>
      </c>
      <c r="HO128" s="203">
        <f t="shared" si="109"/>
        <v>0</v>
      </c>
      <c r="HP128" s="258">
        <f t="shared" si="85"/>
        <v>0</v>
      </c>
      <c r="HQ128" s="203"/>
      <c r="HR128" s="268"/>
      <c r="HS128" s="38"/>
      <c r="HT128" s="255"/>
      <c r="HU128" s="254"/>
      <c r="HV128" s="203"/>
      <c r="HW128" s="189"/>
      <c r="HX128" s="1020"/>
      <c r="HY128" s="258"/>
      <c r="HZ128" s="268"/>
      <c r="IA128" s="203"/>
      <c r="IB128" s="255"/>
      <c r="IC128" s="254"/>
      <c r="ID128" s="203"/>
      <c r="IE128" s="255"/>
      <c r="IF128" s="189"/>
      <c r="IG128" s="203"/>
      <c r="IH128" s="255"/>
      <c r="II128" s="189"/>
      <c r="IJ128" s="203"/>
      <c r="IK128" s="189"/>
      <c r="IL128" s="1182"/>
      <c r="IM128" s="1403"/>
      <c r="IN128" s="254"/>
      <c r="IO128" s="254"/>
      <c r="IP128" s="254"/>
      <c r="IQ128" s="254"/>
      <c r="IR128" s="223"/>
    </row>
    <row r="129" spans="1:252" ht="13.8" thickBot="1">
      <c r="A129" t="str">
        <f t="shared" si="86"/>
        <v>2009Q2</v>
      </c>
      <c r="B129">
        <f t="shared" si="87"/>
        <v>2009</v>
      </c>
      <c r="C129" s="49">
        <f t="shared" si="88"/>
        <v>39934</v>
      </c>
      <c r="D129" s="115">
        <f t="shared" si="89"/>
        <v>2009</v>
      </c>
      <c r="E129" s="10">
        <f t="shared" si="112"/>
        <v>5</v>
      </c>
      <c r="F129" s="248">
        <f t="shared" si="113"/>
        <v>39958</v>
      </c>
      <c r="G129" s="245">
        <v>39934</v>
      </c>
      <c r="H129" s="251">
        <v>39964</v>
      </c>
      <c r="I129" s="959">
        <f t="shared" si="110"/>
        <v>7.1499999999999994E-2</v>
      </c>
      <c r="J129" s="37">
        <f t="shared" si="90"/>
        <v>0.51254028207934188</v>
      </c>
      <c r="K129" s="1036"/>
      <c r="L129" s="37"/>
      <c r="M129" s="1004">
        <v>0</v>
      </c>
      <c r="N129" s="38">
        <f t="shared" ref="N129:O148" si="122">M129</f>
        <v>0</v>
      </c>
      <c r="O129" s="40">
        <f t="shared" si="122"/>
        <v>0</v>
      </c>
      <c r="P129" s="159">
        <f t="shared" si="117"/>
        <v>0</v>
      </c>
      <c r="Q129" s="38">
        <f t="shared" ref="Q129:X138" si="123">P129</f>
        <v>0</v>
      </c>
      <c r="R129" s="40">
        <f t="shared" si="123"/>
        <v>0</v>
      </c>
      <c r="S129" s="38">
        <f t="shared" si="123"/>
        <v>0</v>
      </c>
      <c r="T129" s="38">
        <f t="shared" si="123"/>
        <v>0</v>
      </c>
      <c r="U129" s="38">
        <f t="shared" si="123"/>
        <v>0</v>
      </c>
      <c r="V129" s="159">
        <f t="shared" si="123"/>
        <v>0</v>
      </c>
      <c r="W129" s="38">
        <f t="shared" si="123"/>
        <v>0</v>
      </c>
      <c r="X129" s="39">
        <f t="shared" si="123"/>
        <v>0</v>
      </c>
      <c r="Y129" s="46">
        <v>0</v>
      </c>
      <c r="Z129" s="46">
        <v>0</v>
      </c>
      <c r="AA129" s="47">
        <v>0</v>
      </c>
      <c r="AB129" s="46">
        <v>0</v>
      </c>
      <c r="AC129" s="46">
        <v>0</v>
      </c>
      <c r="AD129" s="47">
        <v>0</v>
      </c>
      <c r="AE129" s="46">
        <v>0</v>
      </c>
      <c r="AF129" s="46">
        <v>0</v>
      </c>
      <c r="AG129" s="47">
        <v>0</v>
      </c>
      <c r="AH129" s="46">
        <v>0</v>
      </c>
      <c r="AI129" s="46">
        <v>0</v>
      </c>
      <c r="AJ129" s="47">
        <v>0</v>
      </c>
      <c r="AK129" s="46">
        <v>0</v>
      </c>
      <c r="AL129" s="46">
        <v>0</v>
      </c>
      <c r="AM129" s="47">
        <v>0</v>
      </c>
      <c r="AN129" s="46">
        <v>0</v>
      </c>
      <c r="AO129" s="46">
        <v>0</v>
      </c>
      <c r="AP129" s="47">
        <v>0</v>
      </c>
      <c r="AQ129" s="46">
        <v>0</v>
      </c>
      <c r="AR129" s="46">
        <v>0</v>
      </c>
      <c r="AS129" s="47">
        <v>0</v>
      </c>
      <c r="AT129" s="46">
        <v>0</v>
      </c>
      <c r="AU129" s="46">
        <v>0</v>
      </c>
      <c r="AV129" s="46">
        <v>0</v>
      </c>
      <c r="AW129" s="1545">
        <v>0</v>
      </c>
      <c r="AX129" s="10">
        <f t="shared" si="114"/>
        <v>20</v>
      </c>
      <c r="AY129" s="42">
        <f>IF(AND($E129=MONTH(Summary!$E$24),$D129=YEAR(Summary!$E$24)),Summary!$E$25,1)*IF(G129="",0,INT((H129-MOD(H129,7)-G129)/7)+1-IF(BA129,IF(WEEKDAY(F129)=7,1,0),0))</f>
        <v>5</v>
      </c>
      <c r="AZ129" s="42">
        <f>IF(AND($E129=MONTH(Summary!$E$24),$D129=YEAR(Summary!$E$24)),Summary!$E$25,1)*IF(G129="",0,INT((H129-MOD(H129-1,7)-G129)/7)+1-IF(BA129,IF(WEEKDAY(F129)=1,1,0),0))</f>
        <v>5</v>
      </c>
      <c r="BA129" s="42">
        <v>1</v>
      </c>
      <c r="BB129" s="10">
        <f>IF(AND($E129=MONTH(Summary!$E$24),$D129=YEAR(Summary!$E$24)),Summary!$E$25,1)*IF(G129="",0,H129-G129+1)</f>
        <v>31</v>
      </c>
      <c r="BC129" s="914">
        <f>Summary!$E$19</f>
        <v>1.4999999999999999E-2</v>
      </c>
      <c r="BD129" s="113">
        <v>14184</v>
      </c>
      <c r="BE129" s="171">
        <v>3546</v>
      </c>
      <c r="BF129" s="171">
        <v>4255.2</v>
      </c>
      <c r="BG129" s="174"/>
      <c r="BH129" s="1198">
        <v>1</v>
      </c>
      <c r="BI129" s="1198">
        <v>1</v>
      </c>
      <c r="BJ129" s="1198">
        <v>1</v>
      </c>
      <c r="BK129" s="1198">
        <v>1</v>
      </c>
      <c r="BL129" s="95">
        <v>2836.8</v>
      </c>
      <c r="BM129" s="171">
        <v>709.2</v>
      </c>
      <c r="BN129" s="171">
        <v>851.04</v>
      </c>
      <c r="BO129" s="174"/>
      <c r="BP129" s="1198">
        <v>1</v>
      </c>
      <c r="BQ129" s="1199">
        <v>1</v>
      </c>
      <c r="BR129" s="1199">
        <v>1</v>
      </c>
      <c r="BS129" s="1200">
        <v>1</v>
      </c>
      <c r="BT129" s="94">
        <f t="shared" si="91"/>
        <v>21985.200000000001</v>
      </c>
      <c r="BU129" s="233">
        <f t="shared" si="92"/>
        <v>21985.200000000001</v>
      </c>
      <c r="BV129" s="92">
        <f t="shared" si="93"/>
        <v>4397.04</v>
      </c>
      <c r="BW129" s="233">
        <f t="shared" si="94"/>
        <v>4397.04</v>
      </c>
      <c r="BX129" s="88">
        <v>9.377138945927447</v>
      </c>
      <c r="BY129" s="90">
        <v>0</v>
      </c>
      <c r="BZ129" s="88">
        <v>0</v>
      </c>
      <c r="CA129" s="88">
        <v>0</v>
      </c>
      <c r="CB129" s="88">
        <v>0</v>
      </c>
      <c r="CC129" s="88">
        <v>0</v>
      </c>
      <c r="CD129" s="88">
        <v>0</v>
      </c>
      <c r="CE129" s="100">
        <v>0</v>
      </c>
      <c r="CF129" s="88">
        <v>0</v>
      </c>
      <c r="CG129" s="88">
        <v>0</v>
      </c>
      <c r="CH129" s="88">
        <v>0</v>
      </c>
      <c r="CI129" s="88">
        <v>0</v>
      </c>
      <c r="CJ129" s="228">
        <v>0</v>
      </c>
      <c r="CK129" s="88">
        <v>0</v>
      </c>
      <c r="CL129" s="88">
        <v>0</v>
      </c>
      <c r="CM129" s="88">
        <v>0</v>
      </c>
      <c r="CN129" s="88">
        <v>0</v>
      </c>
      <c r="CO129" s="88">
        <v>0</v>
      </c>
      <c r="CP129" s="88">
        <v>0</v>
      </c>
      <c r="CQ129" s="229">
        <v>0</v>
      </c>
      <c r="CR129" s="91">
        <v>0</v>
      </c>
      <c r="CS129" s="91">
        <v>0</v>
      </c>
      <c r="CT129" s="91">
        <v>0</v>
      </c>
      <c r="CU129" s="91">
        <v>0</v>
      </c>
      <c r="CV129" s="91">
        <v>0</v>
      </c>
      <c r="CW129" s="91">
        <v>0</v>
      </c>
      <c r="CX129" s="225">
        <v>0</v>
      </c>
      <c r="CY129" s="1265">
        <v>7698.5263199999999</v>
      </c>
      <c r="CZ129" s="90">
        <v>0</v>
      </c>
      <c r="DA129" s="88">
        <v>0</v>
      </c>
      <c r="DB129" s="88">
        <v>0</v>
      </c>
      <c r="DC129" s="88">
        <v>0</v>
      </c>
      <c r="DD129" s="88">
        <v>0</v>
      </c>
      <c r="DE129" s="152">
        <v>0</v>
      </c>
      <c r="DF129" s="230">
        <v>0</v>
      </c>
      <c r="DG129" s="38">
        <v>0</v>
      </c>
      <c r="DH129" s="1237">
        <v>0</v>
      </c>
      <c r="DI129" s="956">
        <v>0</v>
      </c>
      <c r="DJ129" s="956">
        <v>0</v>
      </c>
      <c r="DK129" s="956">
        <v>0</v>
      </c>
      <c r="DL129" s="152">
        <v>0</v>
      </c>
      <c r="DM129" s="160">
        <v>0</v>
      </c>
      <c r="DN129" s="160">
        <v>0</v>
      </c>
      <c r="DO129" s="160">
        <v>0</v>
      </c>
      <c r="DP129" s="160">
        <v>0</v>
      </c>
      <c r="DQ129" s="160">
        <v>0</v>
      </c>
      <c r="DR129" s="230">
        <v>0</v>
      </c>
      <c r="DS129" s="88">
        <v>0</v>
      </c>
      <c r="DT129" s="88">
        <v>0</v>
      </c>
      <c r="DU129" s="88">
        <v>0</v>
      </c>
      <c r="DV129" s="88">
        <v>0</v>
      </c>
      <c r="DW129" s="88">
        <v>0</v>
      </c>
      <c r="DX129" s="88">
        <v>0</v>
      </c>
      <c r="DY129" s="88">
        <v>0</v>
      </c>
      <c r="DZ129" s="88">
        <v>0</v>
      </c>
      <c r="EA129" s="88">
        <v>0</v>
      </c>
      <c r="EB129" s="152">
        <v>0</v>
      </c>
      <c r="EC129" s="52">
        <f t="shared" si="95"/>
        <v>0</v>
      </c>
      <c r="ED129" s="52">
        <f t="shared" si="95"/>
        <v>0</v>
      </c>
      <c r="EE129" s="52">
        <f t="shared" si="95"/>
        <v>0</v>
      </c>
      <c r="EF129" s="52">
        <f t="shared" si="71"/>
        <v>0</v>
      </c>
      <c r="EG129" s="52">
        <f t="shared" si="96"/>
        <v>0</v>
      </c>
      <c r="EH129" s="238">
        <v>0</v>
      </c>
      <c r="EI129" s="211">
        <v>0</v>
      </c>
      <c r="EJ129" s="211">
        <v>0</v>
      </c>
      <c r="EK129" s="211">
        <v>0</v>
      </c>
      <c r="EL129" s="217">
        <f>IF(C129&gt;=Summary!$E$26,MAX(0,SUM(EH129:EK129)),0)</f>
        <v>0</v>
      </c>
      <c r="EM129" s="52">
        <f>IF(C129&gt;=Summary!$E$26,DX129*BL129,0)</f>
        <v>0</v>
      </c>
      <c r="EN129" s="52">
        <f>IF(C129&gt;=Summary!$E$26,DY129*BM129,0)</f>
        <v>0</v>
      </c>
      <c r="EO129" s="52">
        <f>IF(C129&gt;=Summary!$E$26,DZ129*BN129,0)</f>
        <v>0</v>
      </c>
      <c r="EP129" s="52">
        <f>IF(C129&gt;=Summary!$E$26,EA129*BO129,0)</f>
        <v>0</v>
      </c>
      <c r="EQ129" s="52">
        <f>IF(C129&gt;=Summary!$E$26,DX129*BL129+DY129*BM129+DZ129*BN129+EA129*BO129,0)</f>
        <v>0</v>
      </c>
      <c r="ER129" s="826">
        <v>0</v>
      </c>
      <c r="ES129" s="278">
        <v>0</v>
      </c>
      <c r="ET129" s="278">
        <v>0</v>
      </c>
      <c r="EU129" s="278">
        <v>0</v>
      </c>
      <c r="EV129" s="212">
        <f>IF(C129&gt;=Summary!$E$26,MAX(0,SUM(ER129:EU129)),0)</f>
        <v>0</v>
      </c>
      <c r="EW129" s="52"/>
      <c r="EX129" s="1049">
        <f t="shared" si="97"/>
        <v>0</v>
      </c>
      <c r="EY129" s="1045" t="str">
        <f t="shared" si="98"/>
        <v/>
      </c>
      <c r="EZ129" s="1684" t="s">
        <v>525</v>
      </c>
      <c r="FA129" s="1046">
        <f t="shared" si="111"/>
        <v>45</v>
      </c>
      <c r="FB129" s="256">
        <f t="shared" si="99"/>
        <v>10638</v>
      </c>
      <c r="FC129" s="194">
        <f t="shared" si="100"/>
        <v>0</v>
      </c>
      <c r="FD129" s="194">
        <f t="shared" si="101"/>
        <v>2659.5</v>
      </c>
      <c r="FE129" s="194">
        <f t="shared" si="102"/>
        <v>0</v>
      </c>
      <c r="FF129" s="194">
        <f t="shared" si="103"/>
        <v>3191.4</v>
      </c>
      <c r="FG129" s="194">
        <f t="shared" si="104"/>
        <v>0</v>
      </c>
      <c r="FH129" s="257">
        <f>IF(EZ129="No",IF((OR(MONTH(C129)=5,MONTH(C129)=6,MONTH(C129)=7,MONTH(C129)=8,MONTH(C129)=9)),Summary!$O$15*12*(AX129+AY129+AZ129+BA129)*(1-$BC129),Summary!$O$15*13*(AX129+AY129+AZ129+BA129)*(1-$BC129)+IF(Summary!$O$16="Yes",(CALC!FA129+Summary!$O$15)*6*(AX129+AY129+AZ129+BA129)*(1-$BC129),0)),0)</f>
        <v>0</v>
      </c>
      <c r="FI129" s="1412">
        <f>IF(MONTH(C129)=5,FI128*(IF(Summary!$E$70="no",(1+(Summary!$E$71*0.8)),1+HLOOKUP(YEAR(C129)-1,CCFMODEL!$I$127:$AF$128,2)*0.8)),+FI128)</f>
        <v>33.722769790466458</v>
      </c>
      <c r="FJ129" s="1411">
        <f>IF(MONTH(C129)=5,FJ128*(IF(Summary!$E$70="no",(1+(Summary!$E$71*0.8)),1+HLOOKUP(YEAR(CALC!C129)-1,CCFMODEL!$I$127:$AF$128,2)*0.8)),FJ128)</f>
        <v>29.474231864108479</v>
      </c>
      <c r="FK129" s="832">
        <f t="shared" si="72"/>
        <v>556051.3787980224</v>
      </c>
      <c r="FL129" s="1412">
        <f>IF(MONTH(C129)=5,FL128*(IF(Summary!$E$70="no",(1+(Summary!$E$71*0.8)),1+HLOOKUP(YEAR(CALC!C129)-1,CCFMODEL!$I$127:$AF$128,2)*0.8)),+FL128)</f>
        <v>70.922765562327072</v>
      </c>
      <c r="FM129" s="1411">
        <f>IF(MONTH(C129)=5,FM128*(IF(Summary!$E$70="no",(1+(Summary!$E$71*0.8)),1+HLOOKUP(YEAR(CALC!C129)-1,CCFMODEL!$I$127:$AF$128,2)*0.8)),+FM128)</f>
        <v>33.849214371608056</v>
      </c>
      <c r="FN129" s="832">
        <f t="shared" si="73"/>
        <v>1187247.0955133552</v>
      </c>
      <c r="FO129" s="194">
        <f t="shared" si="105"/>
        <v>1743298.4743113776</v>
      </c>
      <c r="FP129" s="263">
        <f t="shared" si="69"/>
        <v>10638</v>
      </c>
      <c r="FQ129" s="194">
        <f t="shared" si="69"/>
        <v>0</v>
      </c>
      <c r="FR129" s="194">
        <f t="shared" si="69"/>
        <v>2659.5</v>
      </c>
      <c r="FS129" s="194">
        <f t="shared" si="68"/>
        <v>0</v>
      </c>
      <c r="FT129" s="194">
        <f t="shared" si="68"/>
        <v>3191.4</v>
      </c>
      <c r="FU129" s="194">
        <f t="shared" si="68"/>
        <v>0</v>
      </c>
      <c r="FV129" s="257">
        <f t="shared" si="68"/>
        <v>0</v>
      </c>
      <c r="FW129" s="189">
        <f t="shared" si="74"/>
        <v>0</v>
      </c>
      <c r="FX129" s="189">
        <f t="shared" si="75"/>
        <v>0</v>
      </c>
      <c r="FY129" s="189">
        <f t="shared" si="76"/>
        <v>0</v>
      </c>
      <c r="FZ129" s="258">
        <f t="shared" si="77"/>
        <v>0</v>
      </c>
      <c r="GA129" s="1293">
        <f>(SUM(FP129:FV129)+SUM(GU129:HB129)/(1-Summary!$O$25))*CY129/1000</f>
        <v>203104.36902055683</v>
      </c>
      <c r="GB129" s="1369">
        <f>IF($C129&lt;Summary!$M$81,+Summary!$O$81,VLOOKUP(C129,GasTable,19))</f>
        <v>2.4</v>
      </c>
      <c r="GC129" s="1370">
        <f>IF(H129&lt;=Summary!$N$84,MIN(GA129,Summary!$O$75*(H129-G129+1)),0)</f>
        <v>155000</v>
      </c>
      <c r="GD129" s="1371">
        <f>IF(Summary!$O$75*(H129-G129+1)*0.8&gt;GC129,1,0)</f>
        <v>0</v>
      </c>
      <c r="GE129" s="1372">
        <v>0</v>
      </c>
      <c r="GF129" s="1370">
        <f t="shared" si="106"/>
        <v>48104.369020556827</v>
      </c>
      <c r="GG129" s="1371">
        <f>GF129*(IF(Summary!$O$74=1,VLOOKUP($C129,GasTable,16)+Summary!$O$92+Summary!$O$93,VLOOKUP($C129,GasTable,19)+Summary!$O$92+Summary!$O$93))</f>
        <v>141410.1735512919</v>
      </c>
      <c r="GH129" s="1373">
        <v>19065</v>
      </c>
      <c r="GI129" s="1466">
        <v>0</v>
      </c>
      <c r="GJ129" s="1374">
        <f t="shared" si="107"/>
        <v>532475.17355129193</v>
      </c>
      <c r="GK129" s="189">
        <f t="shared" si="78"/>
        <v>26035.973099999999</v>
      </c>
      <c r="GL129" s="266">
        <v>0.75599528462400012</v>
      </c>
      <c r="GM129" s="255">
        <f t="shared" si="79"/>
        <v>15221.000000000002</v>
      </c>
      <c r="GN129" s="189">
        <f>IF(SUM(GU129:HB129)=0,0,IF(Summary!$O$16="Yes",SUM(GX129:HB129),IF(Summary!$O$17="Yes",SUM(GY129:HB129),SUM(GU129:HB129))))</f>
        <v>9547.0731000000014</v>
      </c>
      <c r="GO129" s="203">
        <v>3.1047411245431729</v>
      </c>
      <c r="GP129" s="258">
        <f t="shared" si="108"/>
        <v>29641.190472589878</v>
      </c>
      <c r="GQ129" s="189"/>
      <c r="GR129" s="189"/>
      <c r="GS129" s="189"/>
      <c r="GT129" s="189"/>
      <c r="GU129" s="268">
        <v>3421.89</v>
      </c>
      <c r="GV129" s="189">
        <v>855.47249999999997</v>
      </c>
      <c r="GW129" s="189">
        <v>1026.5669999999998</v>
      </c>
      <c r="GX129" s="189"/>
      <c r="GY129" s="254">
        <v>2737.5120000000002</v>
      </c>
      <c r="GZ129" s="189">
        <v>684.37800000000004</v>
      </c>
      <c r="HA129" s="189">
        <v>821.25359999999989</v>
      </c>
      <c r="HB129" s="255"/>
      <c r="HC129" s="189">
        <v>9547.0731000000014</v>
      </c>
      <c r="HD129" s="189"/>
      <c r="HE129" s="189">
        <v>22276.503900000003</v>
      </c>
      <c r="HF129" s="189">
        <v>327792.21570852085</v>
      </c>
      <c r="HG129" s="189"/>
      <c r="HH129" s="203">
        <v>34.787343321833788</v>
      </c>
      <c r="HI129" s="189">
        <v>774940.38917946944</v>
      </c>
      <c r="HJ129" s="268">
        <f t="shared" si="80"/>
        <v>0</v>
      </c>
      <c r="HK129" s="189">
        <f t="shared" si="81"/>
        <v>0</v>
      </c>
      <c r="HL129" s="189">
        <f t="shared" si="82"/>
        <v>0</v>
      </c>
      <c r="HM129" s="255">
        <f t="shared" si="83"/>
        <v>0</v>
      </c>
      <c r="HN129" s="189">
        <f t="shared" si="84"/>
        <v>0</v>
      </c>
      <c r="HO129" s="203">
        <f t="shared" si="109"/>
        <v>0</v>
      </c>
      <c r="HP129" s="258">
        <f t="shared" si="85"/>
        <v>0</v>
      </c>
      <c r="HQ129" s="203"/>
      <c r="HR129" s="268"/>
      <c r="HS129" s="38"/>
      <c r="HT129" s="255"/>
      <c r="HU129" s="254"/>
      <c r="HV129" s="203"/>
      <c r="HW129" s="189"/>
      <c r="HX129" s="1020"/>
      <c r="HY129" s="258"/>
      <c r="HZ129" s="268"/>
      <c r="IA129" s="203"/>
      <c r="IB129" s="255"/>
      <c r="IC129" s="254"/>
      <c r="ID129" s="203"/>
      <c r="IE129" s="255"/>
      <c r="IF129" s="189"/>
      <c r="IG129" s="203"/>
      <c r="IH129" s="255"/>
      <c r="II129" s="189"/>
      <c r="IJ129" s="203"/>
      <c r="IK129" s="189"/>
      <c r="IL129" s="1182"/>
      <c r="IM129" s="1403"/>
      <c r="IN129" s="254"/>
      <c r="IO129" s="254"/>
      <c r="IP129" s="254"/>
      <c r="IQ129" s="254"/>
      <c r="IR129" s="223"/>
    </row>
    <row r="130" spans="1:252" ht="13.8" thickBot="1">
      <c r="A130" t="str">
        <f t="shared" si="86"/>
        <v>2009Q2</v>
      </c>
      <c r="B130">
        <f t="shared" si="87"/>
        <v>2009</v>
      </c>
      <c r="C130" s="49">
        <f t="shared" si="88"/>
        <v>39965</v>
      </c>
      <c r="D130" s="115">
        <f t="shared" si="89"/>
        <v>2009</v>
      </c>
      <c r="E130" s="10">
        <f t="shared" si="112"/>
        <v>6</v>
      </c>
      <c r="F130" s="248" t="str">
        <f t="shared" si="113"/>
        <v/>
      </c>
      <c r="G130" s="245">
        <v>39965</v>
      </c>
      <c r="H130" s="251">
        <v>39994</v>
      </c>
      <c r="I130" s="959">
        <f t="shared" si="110"/>
        <v>7.1499999999999994E-2</v>
      </c>
      <c r="J130" s="37">
        <f t="shared" si="90"/>
        <v>0.50959136264359206</v>
      </c>
      <c r="K130" s="1036"/>
      <c r="L130" s="37"/>
      <c r="M130" s="1004">
        <v>0</v>
      </c>
      <c r="N130" s="38">
        <f t="shared" si="122"/>
        <v>0</v>
      </c>
      <c r="O130" s="40">
        <f t="shared" si="122"/>
        <v>0</v>
      </c>
      <c r="P130" s="159">
        <f t="shared" si="117"/>
        <v>0</v>
      </c>
      <c r="Q130" s="38">
        <f t="shared" si="123"/>
        <v>0</v>
      </c>
      <c r="R130" s="40">
        <f t="shared" si="123"/>
        <v>0</v>
      </c>
      <c r="S130" s="38">
        <f t="shared" si="123"/>
        <v>0</v>
      </c>
      <c r="T130" s="38">
        <f t="shared" si="123"/>
        <v>0</v>
      </c>
      <c r="U130" s="38">
        <f t="shared" si="123"/>
        <v>0</v>
      </c>
      <c r="V130" s="159">
        <f t="shared" si="123"/>
        <v>0</v>
      </c>
      <c r="W130" s="38">
        <f t="shared" si="123"/>
        <v>0</v>
      </c>
      <c r="X130" s="39">
        <f t="shared" si="123"/>
        <v>0</v>
      </c>
      <c r="Y130" s="46">
        <v>0</v>
      </c>
      <c r="Z130" s="46">
        <v>0</v>
      </c>
      <c r="AA130" s="47">
        <v>0</v>
      </c>
      <c r="AB130" s="46">
        <v>0</v>
      </c>
      <c r="AC130" s="46">
        <v>0</v>
      </c>
      <c r="AD130" s="47">
        <v>0</v>
      </c>
      <c r="AE130" s="46">
        <v>0</v>
      </c>
      <c r="AF130" s="46">
        <v>0</v>
      </c>
      <c r="AG130" s="47">
        <v>0</v>
      </c>
      <c r="AH130" s="46">
        <v>0</v>
      </c>
      <c r="AI130" s="46">
        <v>0</v>
      </c>
      <c r="AJ130" s="47">
        <v>0</v>
      </c>
      <c r="AK130" s="46">
        <v>0</v>
      </c>
      <c r="AL130" s="46">
        <v>0</v>
      </c>
      <c r="AM130" s="47">
        <v>0</v>
      </c>
      <c r="AN130" s="46">
        <v>0</v>
      </c>
      <c r="AO130" s="46">
        <v>0</v>
      </c>
      <c r="AP130" s="47">
        <v>0</v>
      </c>
      <c r="AQ130" s="46">
        <v>0</v>
      </c>
      <c r="AR130" s="46">
        <v>0</v>
      </c>
      <c r="AS130" s="47">
        <v>0</v>
      </c>
      <c r="AT130" s="46">
        <v>0</v>
      </c>
      <c r="AU130" s="46">
        <v>0</v>
      </c>
      <c r="AV130" s="46">
        <v>0</v>
      </c>
      <c r="AW130" s="1545">
        <v>0</v>
      </c>
      <c r="AX130" s="10">
        <f t="shared" si="114"/>
        <v>22</v>
      </c>
      <c r="AY130" s="42">
        <f>IF(AND($E130=MONTH(Summary!$E$24),$D130=YEAR(Summary!$E$24)),Summary!$E$25,1)*IF(G130="",0,INT((H130-MOD(H130,7)-G130)/7)+1-IF(BA130,IF(WEEKDAY(F130)=7,1,0),0))</f>
        <v>4</v>
      </c>
      <c r="AZ130" s="42">
        <f>IF(AND($E130=MONTH(Summary!$E$24),$D130=YEAR(Summary!$E$24)),Summary!$E$25,1)*IF(G130="",0,INT((H130-MOD(H130-1,7)-G130)/7)+1-IF(BA130,IF(WEEKDAY(F130)=1,1,0),0))</f>
        <v>4</v>
      </c>
      <c r="BA130" s="42">
        <v>0</v>
      </c>
      <c r="BB130" s="10">
        <f>IF(AND($E130=MONTH(Summary!$E$24),$D130=YEAR(Summary!$E$24)),Summary!$E$25,1)*IF(G130="",0,H130-G130+1)</f>
        <v>30</v>
      </c>
      <c r="BC130" s="914">
        <f>Summary!$E$19</f>
        <v>1.4999999999999999E-2</v>
      </c>
      <c r="BD130" s="113">
        <v>15602.4</v>
      </c>
      <c r="BE130" s="171">
        <v>2836.8</v>
      </c>
      <c r="BF130" s="171">
        <v>2836.8</v>
      </c>
      <c r="BG130" s="174"/>
      <c r="BH130" s="1198">
        <v>1</v>
      </c>
      <c r="BI130" s="1198">
        <v>1</v>
      </c>
      <c r="BJ130" s="1198">
        <v>1</v>
      </c>
      <c r="BK130" s="1198">
        <v>1</v>
      </c>
      <c r="BL130" s="95">
        <v>3120.48</v>
      </c>
      <c r="BM130" s="171">
        <v>567.36</v>
      </c>
      <c r="BN130" s="171">
        <v>567.36</v>
      </c>
      <c r="BO130" s="174"/>
      <c r="BP130" s="1198">
        <v>1</v>
      </c>
      <c r="BQ130" s="1199">
        <v>1</v>
      </c>
      <c r="BR130" s="1199">
        <v>1</v>
      </c>
      <c r="BS130" s="1200">
        <v>1</v>
      </c>
      <c r="BT130" s="94">
        <f t="shared" si="91"/>
        <v>21276</v>
      </c>
      <c r="BU130" s="233">
        <f t="shared" si="92"/>
        <v>21276</v>
      </c>
      <c r="BV130" s="92">
        <f t="shared" si="93"/>
        <v>4255.2</v>
      </c>
      <c r="BW130" s="233">
        <f t="shared" si="94"/>
        <v>4255.2</v>
      </c>
      <c r="BX130" s="88">
        <v>9.462012320328542</v>
      </c>
      <c r="BY130" s="90">
        <v>0</v>
      </c>
      <c r="BZ130" s="88">
        <v>0</v>
      </c>
      <c r="CA130" s="88">
        <v>0</v>
      </c>
      <c r="CB130" s="88">
        <v>0</v>
      </c>
      <c r="CC130" s="88">
        <v>0</v>
      </c>
      <c r="CD130" s="88">
        <v>0</v>
      </c>
      <c r="CE130" s="100">
        <v>0</v>
      </c>
      <c r="CF130" s="88">
        <v>0</v>
      </c>
      <c r="CG130" s="88">
        <v>0</v>
      </c>
      <c r="CH130" s="88">
        <v>0</v>
      </c>
      <c r="CI130" s="88">
        <v>0</v>
      </c>
      <c r="CJ130" s="228">
        <v>0</v>
      </c>
      <c r="CK130" s="88">
        <v>0</v>
      </c>
      <c r="CL130" s="88">
        <v>0</v>
      </c>
      <c r="CM130" s="88">
        <v>0</v>
      </c>
      <c r="CN130" s="88">
        <v>0</v>
      </c>
      <c r="CO130" s="88">
        <v>0</v>
      </c>
      <c r="CP130" s="88">
        <v>0</v>
      </c>
      <c r="CQ130" s="229">
        <v>0</v>
      </c>
      <c r="CR130" s="91">
        <v>0</v>
      </c>
      <c r="CS130" s="91">
        <v>0</v>
      </c>
      <c r="CT130" s="91">
        <v>0</v>
      </c>
      <c r="CU130" s="91">
        <v>0</v>
      </c>
      <c r="CV130" s="91">
        <v>0</v>
      </c>
      <c r="CW130" s="91">
        <v>0</v>
      </c>
      <c r="CX130" s="225">
        <v>0</v>
      </c>
      <c r="CY130" s="1265">
        <v>7700.55728</v>
      </c>
      <c r="CZ130" s="90">
        <v>0</v>
      </c>
      <c r="DA130" s="88">
        <v>0</v>
      </c>
      <c r="DB130" s="88">
        <v>0</v>
      </c>
      <c r="DC130" s="88">
        <v>0</v>
      </c>
      <c r="DD130" s="88">
        <v>0</v>
      </c>
      <c r="DE130" s="152">
        <v>0</v>
      </c>
      <c r="DF130" s="230">
        <v>0</v>
      </c>
      <c r="DG130" s="38">
        <v>0</v>
      </c>
      <c r="DH130" s="1237">
        <v>0</v>
      </c>
      <c r="DI130" s="956">
        <v>0</v>
      </c>
      <c r="DJ130" s="956">
        <v>0</v>
      </c>
      <c r="DK130" s="956">
        <v>0</v>
      </c>
      <c r="DL130" s="152">
        <v>0</v>
      </c>
      <c r="DM130" s="160">
        <v>0</v>
      </c>
      <c r="DN130" s="160">
        <v>0</v>
      </c>
      <c r="DO130" s="160">
        <v>0</v>
      </c>
      <c r="DP130" s="160">
        <v>0</v>
      </c>
      <c r="DQ130" s="160">
        <v>0</v>
      </c>
      <c r="DR130" s="230">
        <v>0</v>
      </c>
      <c r="DS130" s="88">
        <v>0</v>
      </c>
      <c r="DT130" s="88">
        <v>0</v>
      </c>
      <c r="DU130" s="88">
        <v>0</v>
      </c>
      <c r="DV130" s="88">
        <v>0</v>
      </c>
      <c r="DW130" s="88">
        <v>0</v>
      </c>
      <c r="DX130" s="88">
        <v>0</v>
      </c>
      <c r="DY130" s="88">
        <v>0</v>
      </c>
      <c r="DZ130" s="88">
        <v>0</v>
      </c>
      <c r="EA130" s="88">
        <v>0</v>
      </c>
      <c r="EB130" s="152">
        <v>0</v>
      </c>
      <c r="EC130" s="52">
        <f t="shared" si="95"/>
        <v>0</v>
      </c>
      <c r="ED130" s="52">
        <f t="shared" si="95"/>
        <v>0</v>
      </c>
      <c r="EE130" s="52">
        <f t="shared" si="95"/>
        <v>0</v>
      </c>
      <c r="EF130" s="52">
        <f t="shared" si="71"/>
        <v>0</v>
      </c>
      <c r="EG130" s="52">
        <f t="shared" si="96"/>
        <v>0</v>
      </c>
      <c r="EH130" s="238">
        <v>0</v>
      </c>
      <c r="EI130" s="211">
        <v>0</v>
      </c>
      <c r="EJ130" s="211">
        <v>0</v>
      </c>
      <c r="EK130" s="211">
        <v>0</v>
      </c>
      <c r="EL130" s="217">
        <f>IF(C130&gt;=Summary!$E$26,MAX(0,SUM(EH130:EK130)),0)</f>
        <v>0</v>
      </c>
      <c r="EM130" s="52">
        <f>IF(C130&gt;=Summary!$E$26,DX130*BL130,0)</f>
        <v>0</v>
      </c>
      <c r="EN130" s="52">
        <f>IF(C130&gt;=Summary!$E$26,DY130*BM130,0)</f>
        <v>0</v>
      </c>
      <c r="EO130" s="52">
        <f>IF(C130&gt;=Summary!$E$26,DZ130*BN130,0)</f>
        <v>0</v>
      </c>
      <c r="EP130" s="52">
        <f>IF(C130&gt;=Summary!$E$26,EA130*BO130,0)</f>
        <v>0</v>
      </c>
      <c r="EQ130" s="52">
        <f>IF(C130&gt;=Summary!$E$26,DX130*BL130+DY130*BM130+DZ130*BN130+EA130*BO130,0)</f>
        <v>0</v>
      </c>
      <c r="ER130" s="826">
        <v>0</v>
      </c>
      <c r="ES130" s="278">
        <v>0</v>
      </c>
      <c r="ET130" s="278">
        <v>0</v>
      </c>
      <c r="EU130" s="278">
        <v>0</v>
      </c>
      <c r="EV130" s="212">
        <f>IF(C130&gt;=Summary!$E$26,MAX(0,SUM(ER130:EU130)),0)</f>
        <v>0</v>
      </c>
      <c r="EW130" s="52"/>
      <c r="EX130" s="1049">
        <f t="shared" si="97"/>
        <v>0</v>
      </c>
      <c r="EY130" s="1045" t="str">
        <f t="shared" si="98"/>
        <v/>
      </c>
      <c r="EZ130" s="1684" t="s">
        <v>525</v>
      </c>
      <c r="FA130" s="1046">
        <f t="shared" si="111"/>
        <v>45</v>
      </c>
      <c r="FB130" s="256">
        <f t="shared" si="99"/>
        <v>11701.8</v>
      </c>
      <c r="FC130" s="194">
        <f t="shared" si="100"/>
        <v>0</v>
      </c>
      <c r="FD130" s="194">
        <f t="shared" si="101"/>
        <v>2127.6</v>
      </c>
      <c r="FE130" s="194">
        <f t="shared" si="102"/>
        <v>0</v>
      </c>
      <c r="FF130" s="194">
        <f t="shared" si="103"/>
        <v>2127.6</v>
      </c>
      <c r="FG130" s="194">
        <f t="shared" si="104"/>
        <v>0</v>
      </c>
      <c r="FH130" s="257">
        <f>IF(EZ130="No",IF((OR(MONTH(C130)=5,MONTH(C130)=6,MONTH(C130)=7,MONTH(C130)=8,MONTH(C130)=9)),Summary!$O$15*12*(AX130+AY130+AZ130+BA130)*(1-$BC130),Summary!$O$15*13*(AX130+AY130+AZ130+BA130)*(1-$BC130)+IF(Summary!$O$16="Yes",(CALC!FA130+Summary!$O$15)*6*(AX130+AY130+AZ130+BA130)*(1-$BC130),0)),0)</f>
        <v>0</v>
      </c>
      <c r="FI130" s="1412">
        <f>IF(MONTH(C130)=5,FI129*(IF(Summary!$E$70="no",(1+(Summary!$E$71*0.8)),1+HLOOKUP(YEAR(C130)-1,CCFMODEL!$I$127:$AF$128,2)*0.8)),+FI129)</f>
        <v>33.722769790466458</v>
      </c>
      <c r="FJ130" s="1411">
        <f>IF(MONTH(C130)=5,FJ129*(IF(Summary!$E$70="no",(1+(Summary!$E$71*0.8)),1+HLOOKUP(YEAR(CALC!C130)-1,CCFMODEL!$I$127:$AF$128,2)*0.8)),FJ129)</f>
        <v>29.474231864108479</v>
      </c>
      <c r="FK130" s="832">
        <f t="shared" si="72"/>
        <v>538114.23754647328</v>
      </c>
      <c r="FL130" s="1412">
        <f>IF(MONTH(C130)=5,FL129*(IF(Summary!$E$70="no",(1+(Summary!$E$71*0.8)),1+HLOOKUP(YEAR(CALC!C130)-1,CCFMODEL!$I$127:$AF$128,2)*0.8)),+FL129)</f>
        <v>70.922765562327072</v>
      </c>
      <c r="FM130" s="1411">
        <f>IF(MONTH(C130)=5,FM129*(IF(Summary!$E$70="no",(1+(Summary!$E$71*0.8)),1+HLOOKUP(YEAR(CALC!C130)-1,CCFMODEL!$I$127:$AF$128,2)*0.8)),+FM129)</f>
        <v>33.849214371608056</v>
      </c>
      <c r="FN130" s="832">
        <f t="shared" si="73"/>
        <v>1148948.8021096985</v>
      </c>
      <c r="FO130" s="194">
        <f t="shared" si="105"/>
        <v>1687063.0396561718</v>
      </c>
      <c r="FP130" s="263">
        <f t="shared" si="69"/>
        <v>11701.8</v>
      </c>
      <c r="FQ130" s="194">
        <f t="shared" si="69"/>
        <v>0</v>
      </c>
      <c r="FR130" s="194">
        <f t="shared" si="69"/>
        <v>2127.6</v>
      </c>
      <c r="FS130" s="194">
        <f t="shared" si="68"/>
        <v>0</v>
      </c>
      <c r="FT130" s="194">
        <f t="shared" si="68"/>
        <v>2127.6</v>
      </c>
      <c r="FU130" s="194">
        <f t="shared" si="68"/>
        <v>0</v>
      </c>
      <c r="FV130" s="257">
        <f t="shared" si="68"/>
        <v>0</v>
      </c>
      <c r="FW130" s="189">
        <f t="shared" si="74"/>
        <v>0</v>
      </c>
      <c r="FX130" s="189">
        <f t="shared" si="75"/>
        <v>0</v>
      </c>
      <c r="FY130" s="189">
        <f t="shared" si="76"/>
        <v>0</v>
      </c>
      <c r="FZ130" s="258">
        <f t="shared" si="77"/>
        <v>0</v>
      </c>
      <c r="GA130" s="1293">
        <f>(SUM(FP130:FV130)+SUM(GU130:HB130)/(1-Summary!$O$25))*CY130/1000</f>
        <v>196604.46802713597</v>
      </c>
      <c r="GB130" s="1369">
        <f>IF($C130&lt;Summary!$M$81,+Summary!$O$81,VLOOKUP(C130,GasTable,19))</f>
        <v>2.4</v>
      </c>
      <c r="GC130" s="1370">
        <f>IF(H130&lt;=Summary!$N$84,MIN(GA130,Summary!$O$75*(H130-G130+1)),0)</f>
        <v>150000</v>
      </c>
      <c r="GD130" s="1371">
        <f>IF(Summary!$O$75*(H130-G130+1)*0.8&gt;GC130,1,0)</f>
        <v>0</v>
      </c>
      <c r="GE130" s="1372">
        <v>0</v>
      </c>
      <c r="GF130" s="1370">
        <f t="shared" si="106"/>
        <v>46604.468027135968</v>
      </c>
      <c r="GG130" s="1371">
        <f>GF130*(IF(Summary!$O$74=1,VLOOKUP($C130,GasTable,16)+Summary!$O$92+Summary!$O$93,VLOOKUP($C130,GasTable,19)+Summary!$O$92+Summary!$O$93))</f>
        <v>138626.54728596561</v>
      </c>
      <c r="GH130" s="1373">
        <v>18678</v>
      </c>
      <c r="GI130" s="1466">
        <v>0</v>
      </c>
      <c r="GJ130" s="1374">
        <f t="shared" si="107"/>
        <v>517304.54728596564</v>
      </c>
      <c r="GK130" s="189">
        <f t="shared" si="78"/>
        <v>25196.103000000006</v>
      </c>
      <c r="GL130" s="266">
        <v>0.75619472489599993</v>
      </c>
      <c r="GM130" s="255">
        <f t="shared" si="79"/>
        <v>14729.999999999998</v>
      </c>
      <c r="GN130" s="189">
        <f>IF(SUM(GU130:HB130)=0,0,IF(Summary!$O$16="Yes",SUM(GX130:HB130),IF(Summary!$O$17="Yes",SUM(GY130:HB130),SUM(GU130:HB130))))</f>
        <v>9239.1029999999992</v>
      </c>
      <c r="GO130" s="203">
        <v>3.1047411245431729</v>
      </c>
      <c r="GP130" s="258">
        <f t="shared" si="108"/>
        <v>28685.023037990199</v>
      </c>
      <c r="GQ130" s="189"/>
      <c r="GR130" s="189"/>
      <c r="GS130" s="189"/>
      <c r="GT130" s="189"/>
      <c r="GU130" s="268">
        <v>3764.0790000000002</v>
      </c>
      <c r="GV130" s="189">
        <v>684.37800000000027</v>
      </c>
      <c r="GW130" s="189">
        <v>684.37800000000027</v>
      </c>
      <c r="GX130" s="189"/>
      <c r="GY130" s="254">
        <v>3011.2631999999999</v>
      </c>
      <c r="GZ130" s="189">
        <v>547.50239999999997</v>
      </c>
      <c r="HA130" s="189">
        <v>547.50239999999997</v>
      </c>
      <c r="HB130" s="255"/>
      <c r="HC130" s="189">
        <v>9239.1029999999992</v>
      </c>
      <c r="HD130" s="189"/>
      <c r="HE130" s="189">
        <v>21557.906999999999</v>
      </c>
      <c r="HF130" s="189">
        <v>301604.01116667385</v>
      </c>
      <c r="HG130" s="189"/>
      <c r="HH130" s="203">
        <v>33.770962978787367</v>
      </c>
      <c r="HI130" s="189">
        <v>728031.27919714106</v>
      </c>
      <c r="HJ130" s="268">
        <f t="shared" si="80"/>
        <v>0</v>
      </c>
      <c r="HK130" s="189">
        <f t="shared" si="81"/>
        <v>0</v>
      </c>
      <c r="HL130" s="189">
        <f t="shared" si="82"/>
        <v>0</v>
      </c>
      <c r="HM130" s="255">
        <f t="shared" si="83"/>
        <v>0</v>
      </c>
      <c r="HN130" s="189">
        <f t="shared" si="84"/>
        <v>0</v>
      </c>
      <c r="HO130" s="203">
        <f t="shared" si="109"/>
        <v>0</v>
      </c>
      <c r="HP130" s="258">
        <f t="shared" si="85"/>
        <v>0</v>
      </c>
      <c r="HQ130" s="203"/>
      <c r="HR130" s="268"/>
      <c r="HS130" s="38"/>
      <c r="HT130" s="255"/>
      <c r="HU130" s="254"/>
      <c r="HV130" s="203"/>
      <c r="HW130" s="189"/>
      <c r="HX130" s="1020"/>
      <c r="HY130" s="258"/>
      <c r="HZ130" s="268"/>
      <c r="IA130" s="203"/>
      <c r="IB130" s="255"/>
      <c r="IC130" s="254"/>
      <c r="ID130" s="203"/>
      <c r="IE130" s="255"/>
      <c r="IF130" s="189"/>
      <c r="IG130" s="203"/>
      <c r="IH130" s="255"/>
      <c r="II130" s="189"/>
      <c r="IJ130" s="203"/>
      <c r="IK130" s="189"/>
      <c r="IL130" s="1182"/>
      <c r="IM130" s="1403"/>
      <c r="IN130" s="254"/>
      <c r="IO130" s="254"/>
      <c r="IP130" s="254"/>
      <c r="IQ130" s="254"/>
      <c r="IR130" s="223"/>
    </row>
    <row r="131" spans="1:252" ht="13.8" thickBot="1">
      <c r="A131" t="str">
        <f t="shared" si="86"/>
        <v>2009Q3</v>
      </c>
      <c r="B131">
        <f t="shared" si="87"/>
        <v>2009</v>
      </c>
      <c r="C131" s="49">
        <f t="shared" si="88"/>
        <v>39995</v>
      </c>
      <c r="D131" s="115">
        <f t="shared" si="89"/>
        <v>2009</v>
      </c>
      <c r="E131" s="10">
        <f t="shared" si="112"/>
        <v>7</v>
      </c>
      <c r="F131" s="248">
        <f t="shared" si="113"/>
        <v>39998</v>
      </c>
      <c r="G131" s="245">
        <v>39995</v>
      </c>
      <c r="H131" s="251">
        <v>40025</v>
      </c>
      <c r="I131" s="959">
        <f t="shared" si="110"/>
        <v>7.1499999999999994E-2</v>
      </c>
      <c r="J131" s="37">
        <f t="shared" si="90"/>
        <v>0.50656196923088526</v>
      </c>
      <c r="K131" s="1036"/>
      <c r="L131" s="37"/>
      <c r="M131" s="1004">
        <v>0</v>
      </c>
      <c r="N131" s="38">
        <f t="shared" si="122"/>
        <v>0</v>
      </c>
      <c r="O131" s="40">
        <f t="shared" si="122"/>
        <v>0</v>
      </c>
      <c r="P131" s="159">
        <f t="shared" si="117"/>
        <v>0</v>
      </c>
      <c r="Q131" s="38">
        <f t="shared" si="123"/>
        <v>0</v>
      </c>
      <c r="R131" s="40">
        <f t="shared" si="123"/>
        <v>0</v>
      </c>
      <c r="S131" s="38">
        <f t="shared" si="123"/>
        <v>0</v>
      </c>
      <c r="T131" s="38">
        <f t="shared" si="123"/>
        <v>0</v>
      </c>
      <c r="U131" s="38">
        <f t="shared" si="123"/>
        <v>0</v>
      </c>
      <c r="V131" s="159">
        <f t="shared" si="123"/>
        <v>0</v>
      </c>
      <c r="W131" s="38">
        <f t="shared" si="123"/>
        <v>0</v>
      </c>
      <c r="X131" s="39">
        <f t="shared" si="123"/>
        <v>0</v>
      </c>
      <c r="Y131" s="46">
        <v>0</v>
      </c>
      <c r="Z131" s="46">
        <v>0</v>
      </c>
      <c r="AA131" s="47">
        <v>0</v>
      </c>
      <c r="AB131" s="46">
        <v>0</v>
      </c>
      <c r="AC131" s="46">
        <v>0</v>
      </c>
      <c r="AD131" s="47">
        <v>0</v>
      </c>
      <c r="AE131" s="46">
        <v>0</v>
      </c>
      <c r="AF131" s="46">
        <v>0</v>
      </c>
      <c r="AG131" s="47">
        <v>0</v>
      </c>
      <c r="AH131" s="46">
        <v>0</v>
      </c>
      <c r="AI131" s="46">
        <v>0</v>
      </c>
      <c r="AJ131" s="47">
        <v>0</v>
      </c>
      <c r="AK131" s="46">
        <v>0</v>
      </c>
      <c r="AL131" s="46">
        <v>0</v>
      </c>
      <c r="AM131" s="47">
        <v>0</v>
      </c>
      <c r="AN131" s="46">
        <v>0</v>
      </c>
      <c r="AO131" s="46">
        <v>0</v>
      </c>
      <c r="AP131" s="47">
        <v>0</v>
      </c>
      <c r="AQ131" s="46">
        <v>0</v>
      </c>
      <c r="AR131" s="46">
        <v>0</v>
      </c>
      <c r="AS131" s="47">
        <v>0</v>
      </c>
      <c r="AT131" s="46">
        <v>0</v>
      </c>
      <c r="AU131" s="46">
        <v>0</v>
      </c>
      <c r="AV131" s="46">
        <v>0</v>
      </c>
      <c r="AW131" s="1545">
        <v>0</v>
      </c>
      <c r="AX131" s="10">
        <f t="shared" si="114"/>
        <v>23</v>
      </c>
      <c r="AY131" s="42">
        <f>IF(AND($E131=MONTH(Summary!$E$24),$D131=YEAR(Summary!$E$24)),Summary!$E$25,1)*IF(G131="",0,INT((H131-MOD(H131,7)-G131)/7)+1-IF(BA131,IF(WEEKDAY(F131)=7,1,0),0))</f>
        <v>3</v>
      </c>
      <c r="AZ131" s="42">
        <f>IF(AND($E131=MONTH(Summary!$E$24),$D131=YEAR(Summary!$E$24)),Summary!$E$25,1)*IF(G131="",0,INT((H131-MOD(H131-1,7)-G131)/7)+1-IF(BA131,IF(WEEKDAY(F131)=1,1,0),0))</f>
        <v>4</v>
      </c>
      <c r="BA131" s="42">
        <v>1</v>
      </c>
      <c r="BB131" s="10">
        <f>IF(AND($E131=MONTH(Summary!$E$24),$D131=YEAR(Summary!$E$24)),Summary!$E$25,1)*IF(G131="",0,H131-G131+1)</f>
        <v>31</v>
      </c>
      <c r="BC131" s="914">
        <f>Summary!$E$19</f>
        <v>1.4999999999999999E-2</v>
      </c>
      <c r="BD131" s="113">
        <v>16311.6</v>
      </c>
      <c r="BE131" s="171">
        <v>2127.6</v>
      </c>
      <c r="BF131" s="171">
        <v>3546</v>
      </c>
      <c r="BG131" s="174"/>
      <c r="BH131" s="1198">
        <v>1</v>
      </c>
      <c r="BI131" s="1198">
        <v>1</v>
      </c>
      <c r="BJ131" s="1198">
        <v>1</v>
      </c>
      <c r="BK131" s="1198">
        <v>1</v>
      </c>
      <c r="BL131" s="95">
        <v>3262.32</v>
      </c>
      <c r="BM131" s="171">
        <v>425.52</v>
      </c>
      <c r="BN131" s="171">
        <v>709.2</v>
      </c>
      <c r="BO131" s="174"/>
      <c r="BP131" s="1198">
        <v>1</v>
      </c>
      <c r="BQ131" s="1199">
        <v>1</v>
      </c>
      <c r="BR131" s="1199">
        <v>1</v>
      </c>
      <c r="BS131" s="1200">
        <v>1</v>
      </c>
      <c r="BT131" s="94">
        <f t="shared" si="91"/>
        <v>21985.200000000001</v>
      </c>
      <c r="BU131" s="233">
        <f t="shared" si="92"/>
        <v>21985.200000000001</v>
      </c>
      <c r="BV131" s="92">
        <f t="shared" si="93"/>
        <v>4397.04</v>
      </c>
      <c r="BW131" s="233">
        <f t="shared" si="94"/>
        <v>4397.04</v>
      </c>
      <c r="BX131" s="88">
        <v>9.5441478439425058</v>
      </c>
      <c r="BY131" s="90">
        <v>0</v>
      </c>
      <c r="BZ131" s="88">
        <v>0</v>
      </c>
      <c r="CA131" s="88">
        <v>0</v>
      </c>
      <c r="CB131" s="88">
        <v>0</v>
      </c>
      <c r="CC131" s="88">
        <v>0</v>
      </c>
      <c r="CD131" s="88">
        <v>0</v>
      </c>
      <c r="CE131" s="100">
        <v>0</v>
      </c>
      <c r="CF131" s="88">
        <v>0</v>
      </c>
      <c r="CG131" s="88">
        <v>0</v>
      </c>
      <c r="CH131" s="88">
        <v>0</v>
      </c>
      <c r="CI131" s="88">
        <v>0</v>
      </c>
      <c r="CJ131" s="228">
        <v>0</v>
      </c>
      <c r="CK131" s="88">
        <v>0</v>
      </c>
      <c r="CL131" s="88">
        <v>0</v>
      </c>
      <c r="CM131" s="88">
        <v>0</v>
      </c>
      <c r="CN131" s="88">
        <v>0</v>
      </c>
      <c r="CO131" s="88">
        <v>0</v>
      </c>
      <c r="CP131" s="88">
        <v>0</v>
      </c>
      <c r="CQ131" s="229">
        <v>0</v>
      </c>
      <c r="CR131" s="91">
        <v>0</v>
      </c>
      <c r="CS131" s="91">
        <v>0</v>
      </c>
      <c r="CT131" s="91">
        <v>0</v>
      </c>
      <c r="CU131" s="91">
        <v>0</v>
      </c>
      <c r="CV131" s="91">
        <v>0</v>
      </c>
      <c r="CW131" s="91">
        <v>0</v>
      </c>
      <c r="CX131" s="225">
        <v>0</v>
      </c>
      <c r="CY131" s="1265">
        <v>7702.5882399999991</v>
      </c>
      <c r="CZ131" s="90">
        <v>0</v>
      </c>
      <c r="DA131" s="88">
        <v>0</v>
      </c>
      <c r="DB131" s="88">
        <v>0</v>
      </c>
      <c r="DC131" s="88">
        <v>0</v>
      </c>
      <c r="DD131" s="88">
        <v>0</v>
      </c>
      <c r="DE131" s="152">
        <v>0</v>
      </c>
      <c r="DF131" s="230">
        <v>0</v>
      </c>
      <c r="DG131" s="38">
        <v>0</v>
      </c>
      <c r="DH131" s="1237">
        <v>0</v>
      </c>
      <c r="DI131" s="956">
        <v>0</v>
      </c>
      <c r="DJ131" s="956">
        <v>0</v>
      </c>
      <c r="DK131" s="956">
        <v>0</v>
      </c>
      <c r="DL131" s="152">
        <v>0</v>
      </c>
      <c r="DM131" s="160">
        <v>0</v>
      </c>
      <c r="DN131" s="160">
        <v>0</v>
      </c>
      <c r="DO131" s="160">
        <v>0</v>
      </c>
      <c r="DP131" s="160">
        <v>0</v>
      </c>
      <c r="DQ131" s="160">
        <v>0</v>
      </c>
      <c r="DR131" s="230">
        <v>0</v>
      </c>
      <c r="DS131" s="88">
        <v>0</v>
      </c>
      <c r="DT131" s="88">
        <v>0</v>
      </c>
      <c r="DU131" s="88">
        <v>0</v>
      </c>
      <c r="DV131" s="88">
        <v>0</v>
      </c>
      <c r="DW131" s="88">
        <v>0</v>
      </c>
      <c r="DX131" s="88">
        <v>0</v>
      </c>
      <c r="DY131" s="88">
        <v>0</v>
      </c>
      <c r="DZ131" s="88">
        <v>0</v>
      </c>
      <c r="EA131" s="88">
        <v>0</v>
      </c>
      <c r="EB131" s="152">
        <v>0</v>
      </c>
      <c r="EC131" s="52">
        <f t="shared" si="95"/>
        <v>0</v>
      </c>
      <c r="ED131" s="52">
        <f t="shared" si="95"/>
        <v>0</v>
      </c>
      <c r="EE131" s="52">
        <f t="shared" si="95"/>
        <v>0</v>
      </c>
      <c r="EF131" s="52">
        <f t="shared" si="71"/>
        <v>0</v>
      </c>
      <c r="EG131" s="52">
        <f t="shared" si="96"/>
        <v>0</v>
      </c>
      <c r="EH131" s="238">
        <v>0</v>
      </c>
      <c r="EI131" s="211">
        <v>0</v>
      </c>
      <c r="EJ131" s="211">
        <v>0</v>
      </c>
      <c r="EK131" s="211">
        <v>0</v>
      </c>
      <c r="EL131" s="217">
        <f>IF(C131&gt;=Summary!$E$26,MAX(0,SUM(EH131:EK131)),0)</f>
        <v>0</v>
      </c>
      <c r="EM131" s="52">
        <f>IF(C131&gt;=Summary!$E$26,DX131*BL131,0)</f>
        <v>0</v>
      </c>
      <c r="EN131" s="52">
        <f>IF(C131&gt;=Summary!$E$26,DY131*BM131,0)</f>
        <v>0</v>
      </c>
      <c r="EO131" s="52">
        <f>IF(C131&gt;=Summary!$E$26,DZ131*BN131,0)</f>
        <v>0</v>
      </c>
      <c r="EP131" s="52">
        <f>IF(C131&gt;=Summary!$E$26,EA131*BO131,0)</f>
        <v>0</v>
      </c>
      <c r="EQ131" s="52">
        <f>IF(C131&gt;=Summary!$E$26,DX131*BL131+DY131*BM131+DZ131*BN131+EA131*BO131,0)</f>
        <v>0</v>
      </c>
      <c r="ER131" s="826">
        <v>0</v>
      </c>
      <c r="ES131" s="278">
        <v>0</v>
      </c>
      <c r="ET131" s="278">
        <v>0</v>
      </c>
      <c r="EU131" s="278">
        <v>0</v>
      </c>
      <c r="EV131" s="212">
        <f>IF(C131&gt;=Summary!$E$26,MAX(0,SUM(ER131:EU131)),0)</f>
        <v>0</v>
      </c>
      <c r="EW131" s="52"/>
      <c r="EX131" s="1049">
        <f t="shared" si="97"/>
        <v>0</v>
      </c>
      <c r="EY131" s="1045" t="str">
        <f t="shared" si="98"/>
        <v/>
      </c>
      <c r="EZ131" s="1684" t="s">
        <v>525</v>
      </c>
      <c r="FA131" s="1046">
        <f t="shared" si="111"/>
        <v>45</v>
      </c>
      <c r="FB131" s="256">
        <f t="shared" si="99"/>
        <v>12233.7</v>
      </c>
      <c r="FC131" s="194">
        <f t="shared" si="100"/>
        <v>0</v>
      </c>
      <c r="FD131" s="194">
        <f t="shared" si="101"/>
        <v>1595.7</v>
      </c>
      <c r="FE131" s="194">
        <f t="shared" si="102"/>
        <v>0</v>
      </c>
      <c r="FF131" s="194">
        <f t="shared" si="103"/>
        <v>2659.5</v>
      </c>
      <c r="FG131" s="194">
        <f t="shared" si="104"/>
        <v>0</v>
      </c>
      <c r="FH131" s="257">
        <f>IF(EZ131="No",IF((OR(MONTH(C131)=5,MONTH(C131)=6,MONTH(C131)=7,MONTH(C131)=8,MONTH(C131)=9)),Summary!$O$15*12*(AX131+AY131+AZ131+BA131)*(1-$BC131),Summary!$O$15*13*(AX131+AY131+AZ131+BA131)*(1-$BC131)+IF(Summary!$O$16="Yes",(CALC!FA131+Summary!$O$15)*6*(AX131+AY131+AZ131+BA131)*(1-$BC131),0)),0)</f>
        <v>0</v>
      </c>
      <c r="FI131" s="1412">
        <f>IF(MONTH(C131)=5,FI130*(IF(Summary!$E$70="no",(1+(Summary!$E$71*0.8)),1+HLOOKUP(YEAR(C131)-1,CCFMODEL!$I$127:$AF$128,2)*0.8)),+FI130)</f>
        <v>33.722769790466458</v>
      </c>
      <c r="FJ131" s="1411">
        <f>IF(MONTH(C131)=5,FJ130*(IF(Summary!$E$70="no",(1+(Summary!$E$71*0.8)),1+HLOOKUP(YEAR(CALC!C131)-1,CCFMODEL!$I$127:$AF$128,2)*0.8)),FJ130)</f>
        <v>29.474231864108479</v>
      </c>
      <c r="FK131" s="832">
        <f t="shared" si="72"/>
        <v>556051.3787980224</v>
      </c>
      <c r="FL131" s="1412">
        <f>IF(MONTH(C131)=5,FL130*(IF(Summary!$E$70="no",(1+(Summary!$E$71*0.8)),1+HLOOKUP(YEAR(CALC!C131)-1,CCFMODEL!$I$127:$AF$128,2)*0.8)),+FL130)</f>
        <v>70.922765562327072</v>
      </c>
      <c r="FM131" s="1411">
        <f>IF(MONTH(C131)=5,FM130*(IF(Summary!$E$70="no",(1+(Summary!$E$71*0.8)),1+HLOOKUP(YEAR(CALC!C131)-1,CCFMODEL!$I$127:$AF$128,2)*0.8)),+FM130)</f>
        <v>33.849214371608056</v>
      </c>
      <c r="FN131" s="832">
        <f t="shared" si="73"/>
        <v>1187247.0955133552</v>
      </c>
      <c r="FO131" s="194">
        <f t="shared" si="105"/>
        <v>1743298.4743113776</v>
      </c>
      <c r="FP131" s="263">
        <f t="shared" si="69"/>
        <v>12233.7</v>
      </c>
      <c r="FQ131" s="194">
        <f t="shared" si="69"/>
        <v>0</v>
      </c>
      <c r="FR131" s="194">
        <f t="shared" si="69"/>
        <v>1595.7</v>
      </c>
      <c r="FS131" s="194">
        <f t="shared" si="68"/>
        <v>0</v>
      </c>
      <c r="FT131" s="194">
        <f t="shared" si="68"/>
        <v>2659.5</v>
      </c>
      <c r="FU131" s="194">
        <f t="shared" si="68"/>
        <v>0</v>
      </c>
      <c r="FV131" s="257">
        <f t="shared" si="68"/>
        <v>0</v>
      </c>
      <c r="FW131" s="189">
        <f t="shared" si="74"/>
        <v>0</v>
      </c>
      <c r="FX131" s="189">
        <f t="shared" si="75"/>
        <v>0</v>
      </c>
      <c r="FY131" s="189">
        <f t="shared" si="76"/>
        <v>0</v>
      </c>
      <c r="FZ131" s="258">
        <f t="shared" si="77"/>
        <v>0</v>
      </c>
      <c r="GA131" s="1293">
        <f>(SUM(FP131:FV131)+SUM(GU131:HB131)/(1-Summary!$O$25))*CY131/1000</f>
        <v>203211.53156885758</v>
      </c>
      <c r="GB131" s="1369">
        <f>IF($C131&lt;Summary!$M$81,+Summary!$O$81,VLOOKUP(C131,GasTable,19))</f>
        <v>2.4</v>
      </c>
      <c r="GC131" s="1370">
        <f>IF(H131&lt;=Summary!$N$84,MIN(GA131,Summary!$O$75*(H131-G131+1)),0)</f>
        <v>155000</v>
      </c>
      <c r="GD131" s="1371">
        <f>IF(Summary!$O$75*(H131-G131+1)*0.8&gt;GC131,1,0)</f>
        <v>0</v>
      </c>
      <c r="GE131" s="1372">
        <v>0</v>
      </c>
      <c r="GF131" s="1370">
        <f t="shared" si="106"/>
        <v>48211.531568857579</v>
      </c>
      <c r="GG131" s="1371">
        <f>GF131*(IF(Summary!$O$74=1,VLOOKUP($C131,GasTable,16)+Summary!$O$92+Summary!$O$93,VLOOKUP($C131,GasTable,19)+Summary!$O$92+Summary!$O$93))</f>
        <v>147252.69388568556</v>
      </c>
      <c r="GH131" s="1373">
        <v>19375</v>
      </c>
      <c r="GI131" s="1466">
        <v>0</v>
      </c>
      <c r="GJ131" s="1374">
        <f t="shared" si="107"/>
        <v>538627.69388568553</v>
      </c>
      <c r="GK131" s="189">
        <f t="shared" si="78"/>
        <v>26035.973100000003</v>
      </c>
      <c r="GL131" s="266">
        <v>0.75639416516799995</v>
      </c>
      <c r="GM131" s="255">
        <f t="shared" si="79"/>
        <v>15221.000000000002</v>
      </c>
      <c r="GN131" s="189">
        <f>IF(SUM(GU131:HB131)=0,0,IF(Summary!$O$16="Yes",SUM(GX131:HB131),IF(Summary!$O$17="Yes",SUM(GY131:HB131),SUM(GU131:HB131))))</f>
        <v>9547.0730999999996</v>
      </c>
      <c r="GO131" s="203">
        <v>3.1047411245431729</v>
      </c>
      <c r="GP131" s="258">
        <f t="shared" si="108"/>
        <v>29641.190472589875</v>
      </c>
      <c r="GQ131" s="189"/>
      <c r="GR131" s="189"/>
      <c r="GS131" s="189"/>
      <c r="GT131" s="189"/>
      <c r="GU131" s="268">
        <v>3935.1734999999994</v>
      </c>
      <c r="GV131" s="189">
        <v>513.28349999999989</v>
      </c>
      <c r="GW131" s="189">
        <v>855.47249999999997</v>
      </c>
      <c r="GX131" s="189"/>
      <c r="GY131" s="254">
        <v>3148.1388000000002</v>
      </c>
      <c r="GZ131" s="189">
        <v>410.62679999999995</v>
      </c>
      <c r="HA131" s="189">
        <v>684.37800000000004</v>
      </c>
      <c r="HB131" s="255"/>
      <c r="HC131" s="189">
        <v>9547.0730999999996</v>
      </c>
      <c r="HD131" s="189"/>
      <c r="HE131" s="189">
        <v>22276.5039</v>
      </c>
      <c r="HF131" s="189">
        <v>431902.12479393091</v>
      </c>
      <c r="HG131" s="189"/>
      <c r="HH131" s="203">
        <v>47.907198937129998</v>
      </c>
      <c r="HI131" s="189">
        <v>1067204.9039610522</v>
      </c>
      <c r="HJ131" s="268">
        <f t="shared" si="80"/>
        <v>0</v>
      </c>
      <c r="HK131" s="189">
        <f t="shared" si="81"/>
        <v>0</v>
      </c>
      <c r="HL131" s="189">
        <f t="shared" si="82"/>
        <v>0</v>
      </c>
      <c r="HM131" s="255">
        <f t="shared" si="83"/>
        <v>0</v>
      </c>
      <c r="HN131" s="189">
        <f t="shared" si="84"/>
        <v>0</v>
      </c>
      <c r="HO131" s="203">
        <f t="shared" si="109"/>
        <v>0</v>
      </c>
      <c r="HP131" s="258">
        <f t="shared" si="85"/>
        <v>0</v>
      </c>
      <c r="HQ131" s="203"/>
      <c r="HR131" s="268"/>
      <c r="HS131" s="38"/>
      <c r="HT131" s="255"/>
      <c r="HU131" s="254"/>
      <c r="HV131" s="203"/>
      <c r="HW131" s="189"/>
      <c r="HX131" s="1020"/>
      <c r="HY131" s="258"/>
      <c r="HZ131" s="268"/>
      <c r="IA131" s="203"/>
      <c r="IB131" s="255"/>
      <c r="IC131" s="254"/>
      <c r="ID131" s="203"/>
      <c r="IE131" s="255"/>
      <c r="IF131" s="189"/>
      <c r="IG131" s="203"/>
      <c r="IH131" s="255"/>
      <c r="II131" s="189"/>
      <c r="IJ131" s="203"/>
      <c r="IK131" s="189"/>
      <c r="IL131" s="1182"/>
      <c r="IM131" s="1403"/>
      <c r="IN131" s="254"/>
      <c r="IO131" s="254"/>
      <c r="IP131" s="254"/>
      <c r="IQ131" s="254"/>
      <c r="IR131" s="223"/>
    </row>
    <row r="132" spans="1:252" ht="13.8" thickBot="1">
      <c r="A132" t="str">
        <f t="shared" si="86"/>
        <v>2009Q3</v>
      </c>
      <c r="B132">
        <f t="shared" si="87"/>
        <v>2009</v>
      </c>
      <c r="C132" s="49">
        <f t="shared" si="88"/>
        <v>40026</v>
      </c>
      <c r="D132" s="115">
        <f t="shared" si="89"/>
        <v>2009</v>
      </c>
      <c r="E132" s="10">
        <f t="shared" si="112"/>
        <v>8</v>
      </c>
      <c r="F132" s="248" t="str">
        <f t="shared" si="113"/>
        <v/>
      </c>
      <c r="G132" s="245">
        <v>40026</v>
      </c>
      <c r="H132" s="251">
        <v>40056</v>
      </c>
      <c r="I132" s="959">
        <f t="shared" si="110"/>
        <v>7.1499999999999994E-2</v>
      </c>
      <c r="J132" s="37">
        <f t="shared" si="90"/>
        <v>0.50355058480561765</v>
      </c>
      <c r="K132" s="1036"/>
      <c r="L132" s="37"/>
      <c r="M132" s="1004">
        <v>0</v>
      </c>
      <c r="N132" s="38">
        <f t="shared" si="122"/>
        <v>0</v>
      </c>
      <c r="O132" s="40">
        <f t="shared" si="122"/>
        <v>0</v>
      </c>
      <c r="P132" s="159">
        <f t="shared" si="117"/>
        <v>0</v>
      </c>
      <c r="Q132" s="38">
        <f t="shared" si="123"/>
        <v>0</v>
      </c>
      <c r="R132" s="40">
        <f t="shared" si="123"/>
        <v>0</v>
      </c>
      <c r="S132" s="38">
        <f t="shared" si="123"/>
        <v>0</v>
      </c>
      <c r="T132" s="38">
        <f t="shared" si="123"/>
        <v>0</v>
      </c>
      <c r="U132" s="38">
        <f t="shared" si="123"/>
        <v>0</v>
      </c>
      <c r="V132" s="159">
        <f t="shared" si="123"/>
        <v>0</v>
      </c>
      <c r="W132" s="38">
        <f t="shared" si="123"/>
        <v>0</v>
      </c>
      <c r="X132" s="39">
        <f t="shared" si="123"/>
        <v>0</v>
      </c>
      <c r="Y132" s="46">
        <v>0</v>
      </c>
      <c r="Z132" s="46">
        <v>0</v>
      </c>
      <c r="AA132" s="47">
        <v>0</v>
      </c>
      <c r="AB132" s="46">
        <v>0</v>
      </c>
      <c r="AC132" s="46">
        <v>0</v>
      </c>
      <c r="AD132" s="47">
        <v>0</v>
      </c>
      <c r="AE132" s="46">
        <v>0</v>
      </c>
      <c r="AF132" s="46">
        <v>0</v>
      </c>
      <c r="AG132" s="47">
        <v>0</v>
      </c>
      <c r="AH132" s="46">
        <v>0</v>
      </c>
      <c r="AI132" s="46">
        <v>0</v>
      </c>
      <c r="AJ132" s="47">
        <v>0</v>
      </c>
      <c r="AK132" s="46">
        <v>0</v>
      </c>
      <c r="AL132" s="46">
        <v>0</v>
      </c>
      <c r="AM132" s="47">
        <v>0</v>
      </c>
      <c r="AN132" s="46">
        <v>0</v>
      </c>
      <c r="AO132" s="46">
        <v>0</v>
      </c>
      <c r="AP132" s="47">
        <v>0</v>
      </c>
      <c r="AQ132" s="46">
        <v>0</v>
      </c>
      <c r="AR132" s="46">
        <v>0</v>
      </c>
      <c r="AS132" s="47">
        <v>0</v>
      </c>
      <c r="AT132" s="46">
        <v>0</v>
      </c>
      <c r="AU132" s="46">
        <v>0</v>
      </c>
      <c r="AV132" s="46">
        <v>0</v>
      </c>
      <c r="AW132" s="1545">
        <v>0</v>
      </c>
      <c r="AX132" s="10">
        <f t="shared" si="114"/>
        <v>21</v>
      </c>
      <c r="AY132" s="42">
        <f>IF(AND($E132=MONTH(Summary!$E$24),$D132=YEAR(Summary!$E$24)),Summary!$E$25,1)*IF(G132="",0,INT((H132-MOD(H132,7)-G132)/7)+1-IF(BA132,IF(WEEKDAY(F132)=7,1,0),0))</f>
        <v>5</v>
      </c>
      <c r="AZ132" s="42">
        <f>IF(AND($E132=MONTH(Summary!$E$24),$D132=YEAR(Summary!$E$24)),Summary!$E$25,1)*IF(G132="",0,INT((H132-MOD(H132-1,7)-G132)/7)+1-IF(BA132,IF(WEEKDAY(F132)=1,1,0),0))</f>
        <v>5</v>
      </c>
      <c r="BA132" s="42">
        <v>0</v>
      </c>
      <c r="BB132" s="10">
        <f>IF(AND($E132=MONTH(Summary!$E$24),$D132=YEAR(Summary!$E$24)),Summary!$E$25,1)*IF(G132="",0,H132-G132+1)</f>
        <v>31</v>
      </c>
      <c r="BC132" s="914">
        <f>Summary!$E$19</f>
        <v>1.4999999999999999E-2</v>
      </c>
      <c r="BD132" s="113">
        <v>14893.2</v>
      </c>
      <c r="BE132" s="171">
        <v>3546</v>
      </c>
      <c r="BF132" s="171">
        <v>3546</v>
      </c>
      <c r="BG132" s="174"/>
      <c r="BH132" s="1198">
        <v>1</v>
      </c>
      <c r="BI132" s="1198">
        <v>1</v>
      </c>
      <c r="BJ132" s="1198">
        <v>1</v>
      </c>
      <c r="BK132" s="1198">
        <v>1</v>
      </c>
      <c r="BL132" s="95">
        <v>2978.64</v>
      </c>
      <c r="BM132" s="171">
        <v>709.2</v>
      </c>
      <c r="BN132" s="171">
        <v>709.2</v>
      </c>
      <c r="BO132" s="174"/>
      <c r="BP132" s="1198">
        <v>1</v>
      </c>
      <c r="BQ132" s="1199">
        <v>1</v>
      </c>
      <c r="BR132" s="1199">
        <v>1</v>
      </c>
      <c r="BS132" s="1200">
        <v>1</v>
      </c>
      <c r="BT132" s="94">
        <f t="shared" si="91"/>
        <v>21985.200000000001</v>
      </c>
      <c r="BU132" s="233">
        <f t="shared" si="92"/>
        <v>21985.200000000001</v>
      </c>
      <c r="BV132" s="92">
        <f t="shared" si="93"/>
        <v>4397.04</v>
      </c>
      <c r="BW132" s="233">
        <f t="shared" si="94"/>
        <v>4397.04</v>
      </c>
      <c r="BX132" s="88">
        <v>9.6290212183436008</v>
      </c>
      <c r="BY132" s="90">
        <v>0</v>
      </c>
      <c r="BZ132" s="88">
        <v>0</v>
      </c>
      <c r="CA132" s="88">
        <v>0</v>
      </c>
      <c r="CB132" s="88">
        <v>0</v>
      </c>
      <c r="CC132" s="88">
        <v>0</v>
      </c>
      <c r="CD132" s="88">
        <v>0</v>
      </c>
      <c r="CE132" s="100">
        <v>0</v>
      </c>
      <c r="CF132" s="88">
        <v>0</v>
      </c>
      <c r="CG132" s="88">
        <v>0</v>
      </c>
      <c r="CH132" s="88">
        <v>0</v>
      </c>
      <c r="CI132" s="88">
        <v>0</v>
      </c>
      <c r="CJ132" s="228">
        <v>0</v>
      </c>
      <c r="CK132" s="88">
        <v>0</v>
      </c>
      <c r="CL132" s="88">
        <v>0</v>
      </c>
      <c r="CM132" s="88">
        <v>0</v>
      </c>
      <c r="CN132" s="88">
        <v>0</v>
      </c>
      <c r="CO132" s="88">
        <v>0</v>
      </c>
      <c r="CP132" s="88">
        <v>0</v>
      </c>
      <c r="CQ132" s="229">
        <v>0</v>
      </c>
      <c r="CR132" s="91">
        <v>0</v>
      </c>
      <c r="CS132" s="91">
        <v>0</v>
      </c>
      <c r="CT132" s="91">
        <v>0</v>
      </c>
      <c r="CU132" s="91">
        <v>0</v>
      </c>
      <c r="CV132" s="91">
        <v>0</v>
      </c>
      <c r="CW132" s="91">
        <v>0</v>
      </c>
      <c r="CX132" s="225">
        <v>0</v>
      </c>
      <c r="CY132" s="1265">
        <v>7704.619200000001</v>
      </c>
      <c r="CZ132" s="90">
        <v>0</v>
      </c>
      <c r="DA132" s="88">
        <v>0</v>
      </c>
      <c r="DB132" s="88">
        <v>0</v>
      </c>
      <c r="DC132" s="88">
        <v>0</v>
      </c>
      <c r="DD132" s="88">
        <v>0</v>
      </c>
      <c r="DE132" s="152">
        <v>0</v>
      </c>
      <c r="DF132" s="230">
        <v>0</v>
      </c>
      <c r="DG132" s="38">
        <v>0</v>
      </c>
      <c r="DH132" s="1237">
        <v>0</v>
      </c>
      <c r="DI132" s="956">
        <v>0</v>
      </c>
      <c r="DJ132" s="956">
        <v>0</v>
      </c>
      <c r="DK132" s="956">
        <v>0</v>
      </c>
      <c r="DL132" s="152">
        <v>0</v>
      </c>
      <c r="DM132" s="160">
        <v>0</v>
      </c>
      <c r="DN132" s="160">
        <v>0</v>
      </c>
      <c r="DO132" s="160">
        <v>0</v>
      </c>
      <c r="DP132" s="160">
        <v>0</v>
      </c>
      <c r="DQ132" s="160">
        <v>0</v>
      </c>
      <c r="DR132" s="230">
        <v>0</v>
      </c>
      <c r="DS132" s="88">
        <v>0</v>
      </c>
      <c r="DT132" s="88">
        <v>0</v>
      </c>
      <c r="DU132" s="88">
        <v>0</v>
      </c>
      <c r="DV132" s="88">
        <v>0</v>
      </c>
      <c r="DW132" s="88">
        <v>0</v>
      </c>
      <c r="DX132" s="88">
        <v>0</v>
      </c>
      <c r="DY132" s="88">
        <v>0</v>
      </c>
      <c r="DZ132" s="88">
        <v>0</v>
      </c>
      <c r="EA132" s="88">
        <v>0</v>
      </c>
      <c r="EB132" s="152">
        <v>0</v>
      </c>
      <c r="EC132" s="52">
        <f t="shared" si="95"/>
        <v>0</v>
      </c>
      <c r="ED132" s="52">
        <f t="shared" si="95"/>
        <v>0</v>
      </c>
      <c r="EE132" s="52">
        <f t="shared" si="95"/>
        <v>0</v>
      </c>
      <c r="EF132" s="52">
        <f t="shared" si="71"/>
        <v>0</v>
      </c>
      <c r="EG132" s="52">
        <f t="shared" si="96"/>
        <v>0</v>
      </c>
      <c r="EH132" s="238">
        <v>0</v>
      </c>
      <c r="EI132" s="211">
        <v>0</v>
      </c>
      <c r="EJ132" s="211">
        <v>0</v>
      </c>
      <c r="EK132" s="211">
        <v>0</v>
      </c>
      <c r="EL132" s="217">
        <f>IF(C132&gt;=Summary!$E$26,MAX(0,SUM(EH132:EK132)),0)</f>
        <v>0</v>
      </c>
      <c r="EM132" s="52">
        <f>IF(C132&gt;=Summary!$E$26,DX132*BL132,0)</f>
        <v>0</v>
      </c>
      <c r="EN132" s="52">
        <f>IF(C132&gt;=Summary!$E$26,DY132*BM132,0)</f>
        <v>0</v>
      </c>
      <c r="EO132" s="52">
        <f>IF(C132&gt;=Summary!$E$26,DZ132*BN132,0)</f>
        <v>0</v>
      </c>
      <c r="EP132" s="52">
        <f>IF(C132&gt;=Summary!$E$26,EA132*BO132,0)</f>
        <v>0</v>
      </c>
      <c r="EQ132" s="52">
        <f>IF(C132&gt;=Summary!$E$26,DX132*BL132+DY132*BM132+DZ132*BN132+EA132*BO132,0)</f>
        <v>0</v>
      </c>
      <c r="ER132" s="826">
        <v>0</v>
      </c>
      <c r="ES132" s="278">
        <v>0</v>
      </c>
      <c r="ET132" s="278">
        <v>0</v>
      </c>
      <c r="EU132" s="278">
        <v>0</v>
      </c>
      <c r="EV132" s="212">
        <f>IF(C132&gt;=Summary!$E$26,MAX(0,SUM(ER132:EU132)),0)</f>
        <v>0</v>
      </c>
      <c r="EW132" s="52"/>
      <c r="EX132" s="1049">
        <f t="shared" si="97"/>
        <v>0</v>
      </c>
      <c r="EY132" s="1045" t="str">
        <f t="shared" si="98"/>
        <v/>
      </c>
      <c r="EZ132" s="1684" t="s">
        <v>525</v>
      </c>
      <c r="FA132" s="1046">
        <f t="shared" si="111"/>
        <v>45</v>
      </c>
      <c r="FB132" s="256">
        <f t="shared" si="99"/>
        <v>11169.9</v>
      </c>
      <c r="FC132" s="194">
        <f t="shared" si="100"/>
        <v>0</v>
      </c>
      <c r="FD132" s="194">
        <f t="shared" si="101"/>
        <v>2659.5</v>
      </c>
      <c r="FE132" s="194">
        <f t="shared" si="102"/>
        <v>0</v>
      </c>
      <c r="FF132" s="194">
        <f t="shared" si="103"/>
        <v>2659.5</v>
      </c>
      <c r="FG132" s="194">
        <f t="shared" si="104"/>
        <v>0</v>
      </c>
      <c r="FH132" s="257">
        <f>IF(EZ132="No",IF((OR(MONTH(C132)=5,MONTH(C132)=6,MONTH(C132)=7,MONTH(C132)=8,MONTH(C132)=9)),Summary!$O$15*12*(AX132+AY132+AZ132+BA132)*(1-$BC132),Summary!$O$15*13*(AX132+AY132+AZ132+BA132)*(1-$BC132)+IF(Summary!$O$16="Yes",(CALC!FA132+Summary!$O$15)*6*(AX132+AY132+AZ132+BA132)*(1-$BC132),0)),0)</f>
        <v>0</v>
      </c>
      <c r="FI132" s="1412">
        <f>IF(MONTH(C132)=5,FI131*(IF(Summary!$E$70="no",(1+(Summary!$E$71*0.8)),1+HLOOKUP(YEAR(C132)-1,CCFMODEL!$I$127:$AF$128,2)*0.8)),+FI131)</f>
        <v>33.722769790466458</v>
      </c>
      <c r="FJ132" s="1411">
        <f>IF(MONTH(C132)=5,FJ131*(IF(Summary!$E$70="no",(1+(Summary!$E$71*0.8)),1+HLOOKUP(YEAR(CALC!C132)-1,CCFMODEL!$I$127:$AF$128,2)*0.8)),FJ131)</f>
        <v>29.474231864108479</v>
      </c>
      <c r="FK132" s="832">
        <f t="shared" si="72"/>
        <v>556051.3787980224</v>
      </c>
      <c r="FL132" s="1412">
        <f>IF(MONTH(C132)=5,FL131*(IF(Summary!$E$70="no",(1+(Summary!$E$71*0.8)),1+HLOOKUP(YEAR(CALC!C132)-1,CCFMODEL!$I$127:$AF$128,2)*0.8)),+FL131)</f>
        <v>70.922765562327072</v>
      </c>
      <c r="FM132" s="1411">
        <f>IF(MONTH(C132)=5,FM131*(IF(Summary!$E$70="no",(1+(Summary!$E$71*0.8)),1+HLOOKUP(YEAR(CALC!C132)-1,CCFMODEL!$I$127:$AF$128,2)*0.8)),+FM131)</f>
        <v>33.849214371608056</v>
      </c>
      <c r="FN132" s="832">
        <f t="shared" si="73"/>
        <v>1187247.0955133552</v>
      </c>
      <c r="FO132" s="194">
        <f t="shared" si="105"/>
        <v>1743298.4743113776</v>
      </c>
      <c r="FP132" s="263">
        <f t="shared" si="69"/>
        <v>11169.9</v>
      </c>
      <c r="FQ132" s="194">
        <f t="shared" si="69"/>
        <v>0</v>
      </c>
      <c r="FR132" s="194">
        <f t="shared" si="69"/>
        <v>2659.5</v>
      </c>
      <c r="FS132" s="194">
        <f t="shared" si="68"/>
        <v>0</v>
      </c>
      <c r="FT132" s="194">
        <f t="shared" si="68"/>
        <v>2659.5</v>
      </c>
      <c r="FU132" s="194">
        <f t="shared" si="68"/>
        <v>0</v>
      </c>
      <c r="FV132" s="257">
        <f t="shared" ref="FV132:FV195" si="124">FH132</f>
        <v>0</v>
      </c>
      <c r="FW132" s="189">
        <f t="shared" si="74"/>
        <v>0</v>
      </c>
      <c r="FX132" s="189">
        <f t="shared" si="75"/>
        <v>0</v>
      </c>
      <c r="FY132" s="189">
        <f t="shared" si="76"/>
        <v>0</v>
      </c>
      <c r="FZ132" s="258">
        <f t="shared" si="77"/>
        <v>0</v>
      </c>
      <c r="GA132" s="1293">
        <f>(SUM(FP132:FV132)+SUM(GU132:HB132)/(1-Summary!$O$25))*CY132/1000</f>
        <v>203265.11284300807</v>
      </c>
      <c r="GB132" s="1369">
        <f>IF($C132&lt;Summary!$M$81,+Summary!$O$81,VLOOKUP(C132,GasTable,19))</f>
        <v>2.4</v>
      </c>
      <c r="GC132" s="1370">
        <f>IF(H132&lt;=Summary!$N$84,MIN(GA132,Summary!$O$75*(H132-G132+1)),0)</f>
        <v>155000</v>
      </c>
      <c r="GD132" s="1371">
        <f>IF(Summary!$O$75*(H132-G132+1)*0.8&gt;GC132,1,0)</f>
        <v>0</v>
      </c>
      <c r="GE132" s="1372">
        <v>0</v>
      </c>
      <c r="GF132" s="1370">
        <f t="shared" si="106"/>
        <v>48265.112843008072</v>
      </c>
      <c r="GG132" s="1371">
        <f>GF132*(IF(Summary!$O$74=1,VLOOKUP($C132,GasTable,16)+Summary!$O$92+Summary!$O$93,VLOOKUP($C132,GasTable,19)+Summary!$O$92+Summary!$O$93))</f>
        <v>152884.3694585514</v>
      </c>
      <c r="GH132" s="1373">
        <v>19505.2</v>
      </c>
      <c r="GI132" s="1466">
        <v>0</v>
      </c>
      <c r="GJ132" s="1374">
        <f t="shared" si="107"/>
        <v>544389.56945855136</v>
      </c>
      <c r="GK132" s="189">
        <f t="shared" si="78"/>
        <v>26035.973100000003</v>
      </c>
      <c r="GL132" s="266">
        <v>0.75659360544000021</v>
      </c>
      <c r="GM132" s="255">
        <f t="shared" si="79"/>
        <v>15221.000000000004</v>
      </c>
      <c r="GN132" s="189">
        <f>IF(SUM(GU132:HB132)=0,0,IF(Summary!$O$16="Yes",SUM(GX132:HB132),IF(Summary!$O$17="Yes",SUM(GY132:HB132),SUM(GU132:HB132))))</f>
        <v>9547.0731000000014</v>
      </c>
      <c r="GO132" s="203">
        <v>3.1047411245431729</v>
      </c>
      <c r="GP132" s="258">
        <f t="shared" si="108"/>
        <v>29641.190472589878</v>
      </c>
      <c r="GQ132" s="189"/>
      <c r="GR132" s="189"/>
      <c r="GS132" s="189"/>
      <c r="GT132" s="189"/>
      <c r="GU132" s="268">
        <v>3592.9845000000009</v>
      </c>
      <c r="GV132" s="189">
        <v>855.47249999999997</v>
      </c>
      <c r="GW132" s="189">
        <v>855.47249999999997</v>
      </c>
      <c r="GX132" s="189"/>
      <c r="GY132" s="254">
        <v>2874.3875999999996</v>
      </c>
      <c r="GZ132" s="189">
        <v>684.37800000000004</v>
      </c>
      <c r="HA132" s="189">
        <v>684.37800000000004</v>
      </c>
      <c r="HB132" s="255"/>
      <c r="HC132" s="189">
        <v>9547.0731000000014</v>
      </c>
      <c r="HD132" s="189"/>
      <c r="HE132" s="189">
        <v>22276.503900000003</v>
      </c>
      <c r="HF132" s="189">
        <v>737117.582821697</v>
      </c>
      <c r="HG132" s="189"/>
      <c r="HH132" s="203">
        <v>81.293361012710648</v>
      </c>
      <c r="HI132" s="189">
        <v>1810931.8736437568</v>
      </c>
      <c r="HJ132" s="268">
        <f t="shared" si="80"/>
        <v>0</v>
      </c>
      <c r="HK132" s="189">
        <f t="shared" si="81"/>
        <v>0</v>
      </c>
      <c r="HL132" s="189">
        <f t="shared" si="82"/>
        <v>0</v>
      </c>
      <c r="HM132" s="255">
        <f t="shared" si="83"/>
        <v>0</v>
      </c>
      <c r="HN132" s="189">
        <f t="shared" si="84"/>
        <v>0</v>
      </c>
      <c r="HO132" s="203">
        <f t="shared" si="109"/>
        <v>0</v>
      </c>
      <c r="HP132" s="258">
        <f t="shared" si="85"/>
        <v>0</v>
      </c>
      <c r="HQ132" s="203"/>
      <c r="HR132" s="268"/>
      <c r="HS132" s="38"/>
      <c r="HT132" s="255"/>
      <c r="HU132" s="254"/>
      <c r="HV132" s="203"/>
      <c r="HW132" s="189"/>
      <c r="HX132" s="1020"/>
      <c r="HY132" s="258"/>
      <c r="HZ132" s="268"/>
      <c r="IA132" s="203"/>
      <c r="IB132" s="255"/>
      <c r="IC132" s="254"/>
      <c r="ID132" s="203"/>
      <c r="IE132" s="255"/>
      <c r="IF132" s="189"/>
      <c r="IG132" s="203"/>
      <c r="IH132" s="255"/>
      <c r="II132" s="189"/>
      <c r="IJ132" s="203"/>
      <c r="IK132" s="189"/>
      <c r="IL132" s="1182"/>
      <c r="IM132" s="1403"/>
      <c r="IN132" s="254"/>
      <c r="IO132" s="254"/>
      <c r="IP132" s="254"/>
      <c r="IQ132" s="254"/>
      <c r="IR132" s="223"/>
    </row>
    <row r="133" spans="1:252" ht="13.8" thickBot="1">
      <c r="A133" t="str">
        <f t="shared" si="86"/>
        <v>2009Q3</v>
      </c>
      <c r="B133">
        <f t="shared" si="87"/>
        <v>2009</v>
      </c>
      <c r="C133" s="49">
        <f t="shared" si="88"/>
        <v>40057</v>
      </c>
      <c r="D133" s="115">
        <f t="shared" si="89"/>
        <v>2009</v>
      </c>
      <c r="E133" s="10">
        <f t="shared" si="112"/>
        <v>9</v>
      </c>
      <c r="F133" s="248">
        <f t="shared" si="113"/>
        <v>40063</v>
      </c>
      <c r="G133" s="245">
        <v>40057</v>
      </c>
      <c r="H133" s="251">
        <v>40086</v>
      </c>
      <c r="I133" s="959">
        <f t="shared" si="110"/>
        <v>7.1499999999999994E-2</v>
      </c>
      <c r="J133" s="37">
        <f t="shared" si="90"/>
        <v>0.50065338792502856</v>
      </c>
      <c r="K133" s="1036"/>
      <c r="L133" s="37"/>
      <c r="M133" s="1004">
        <v>0</v>
      </c>
      <c r="N133" s="38">
        <f t="shared" si="122"/>
        <v>0</v>
      </c>
      <c r="O133" s="40">
        <f t="shared" si="122"/>
        <v>0</v>
      </c>
      <c r="P133" s="159">
        <f t="shared" si="117"/>
        <v>0</v>
      </c>
      <c r="Q133" s="38">
        <f t="shared" si="123"/>
        <v>0</v>
      </c>
      <c r="R133" s="40">
        <f t="shared" si="123"/>
        <v>0</v>
      </c>
      <c r="S133" s="38">
        <f t="shared" si="123"/>
        <v>0</v>
      </c>
      <c r="T133" s="38">
        <f t="shared" si="123"/>
        <v>0</v>
      </c>
      <c r="U133" s="38">
        <f t="shared" si="123"/>
        <v>0</v>
      </c>
      <c r="V133" s="159">
        <f t="shared" si="123"/>
        <v>0</v>
      </c>
      <c r="W133" s="38">
        <f t="shared" si="123"/>
        <v>0</v>
      </c>
      <c r="X133" s="39">
        <f t="shared" si="123"/>
        <v>0</v>
      </c>
      <c r="Y133" s="46">
        <v>0</v>
      </c>
      <c r="Z133" s="46">
        <v>0</v>
      </c>
      <c r="AA133" s="47">
        <v>0</v>
      </c>
      <c r="AB133" s="46">
        <v>0</v>
      </c>
      <c r="AC133" s="46">
        <v>0</v>
      </c>
      <c r="AD133" s="47">
        <v>0</v>
      </c>
      <c r="AE133" s="46">
        <v>0</v>
      </c>
      <c r="AF133" s="46">
        <v>0</v>
      </c>
      <c r="AG133" s="47">
        <v>0</v>
      </c>
      <c r="AH133" s="46">
        <v>0</v>
      </c>
      <c r="AI133" s="46">
        <v>0</v>
      </c>
      <c r="AJ133" s="47">
        <v>0</v>
      </c>
      <c r="AK133" s="46">
        <v>0</v>
      </c>
      <c r="AL133" s="46">
        <v>0</v>
      </c>
      <c r="AM133" s="47">
        <v>0</v>
      </c>
      <c r="AN133" s="46">
        <v>0</v>
      </c>
      <c r="AO133" s="46">
        <v>0</v>
      </c>
      <c r="AP133" s="47">
        <v>0</v>
      </c>
      <c r="AQ133" s="46">
        <v>0</v>
      </c>
      <c r="AR133" s="46">
        <v>0</v>
      </c>
      <c r="AS133" s="47">
        <v>0</v>
      </c>
      <c r="AT133" s="46">
        <v>0</v>
      </c>
      <c r="AU133" s="46">
        <v>0</v>
      </c>
      <c r="AV133" s="46">
        <v>0</v>
      </c>
      <c r="AW133" s="1545">
        <v>0</v>
      </c>
      <c r="AX133" s="10">
        <f t="shared" si="114"/>
        <v>21</v>
      </c>
      <c r="AY133" s="42">
        <f>IF(AND($E133=MONTH(Summary!$E$24),$D133=YEAR(Summary!$E$24)),Summary!$E$25,1)*IF(G133="",0,INT((H133-MOD(H133,7)-G133)/7)+1-IF(BA133,IF(WEEKDAY(F133)=7,1,0),0))</f>
        <v>4</v>
      </c>
      <c r="AZ133" s="42">
        <f>IF(AND($E133=MONTH(Summary!$E$24),$D133=YEAR(Summary!$E$24)),Summary!$E$25,1)*IF(G133="",0,INT((H133-MOD(H133-1,7)-G133)/7)+1-IF(BA133,IF(WEEKDAY(F133)=1,1,0),0))</f>
        <v>4</v>
      </c>
      <c r="BA133" s="42">
        <v>1</v>
      </c>
      <c r="BB133" s="10">
        <f>IF(AND($E133=MONTH(Summary!$E$24),$D133=YEAR(Summary!$E$24)),Summary!$E$25,1)*IF(G133="",0,H133-G133+1)</f>
        <v>30</v>
      </c>
      <c r="BC133" s="914">
        <f>Summary!$E$19</f>
        <v>1.4999999999999999E-2</v>
      </c>
      <c r="BD133" s="113">
        <v>14893.2</v>
      </c>
      <c r="BE133" s="171">
        <v>2836.8</v>
      </c>
      <c r="BF133" s="171">
        <v>3546</v>
      </c>
      <c r="BG133" s="174"/>
      <c r="BH133" s="1198">
        <v>1</v>
      </c>
      <c r="BI133" s="1198">
        <v>1</v>
      </c>
      <c r="BJ133" s="1198">
        <v>1</v>
      </c>
      <c r="BK133" s="1198">
        <v>1</v>
      </c>
      <c r="BL133" s="95">
        <v>2978.64</v>
      </c>
      <c r="BM133" s="171">
        <v>567.36</v>
      </c>
      <c r="BN133" s="171">
        <v>709.2</v>
      </c>
      <c r="BO133" s="174"/>
      <c r="BP133" s="1198">
        <v>1</v>
      </c>
      <c r="BQ133" s="1199">
        <v>1</v>
      </c>
      <c r="BR133" s="1199">
        <v>1</v>
      </c>
      <c r="BS133" s="1200">
        <v>1</v>
      </c>
      <c r="BT133" s="94">
        <f t="shared" si="91"/>
        <v>21276</v>
      </c>
      <c r="BU133" s="233">
        <f t="shared" si="92"/>
        <v>21276</v>
      </c>
      <c r="BV133" s="92">
        <f t="shared" si="93"/>
        <v>4255.2</v>
      </c>
      <c r="BW133" s="233">
        <f t="shared" si="94"/>
        <v>4255.2</v>
      </c>
      <c r="BX133" s="88">
        <v>9.7138945927446958</v>
      </c>
      <c r="BY133" s="90">
        <v>0</v>
      </c>
      <c r="BZ133" s="88">
        <v>0</v>
      </c>
      <c r="CA133" s="88">
        <v>0</v>
      </c>
      <c r="CB133" s="88">
        <v>0</v>
      </c>
      <c r="CC133" s="88">
        <v>0</v>
      </c>
      <c r="CD133" s="88">
        <v>0</v>
      </c>
      <c r="CE133" s="100">
        <v>0</v>
      </c>
      <c r="CF133" s="88">
        <v>0</v>
      </c>
      <c r="CG133" s="88">
        <v>0</v>
      </c>
      <c r="CH133" s="88">
        <v>0</v>
      </c>
      <c r="CI133" s="88">
        <v>0</v>
      </c>
      <c r="CJ133" s="228">
        <v>0</v>
      </c>
      <c r="CK133" s="88">
        <v>0</v>
      </c>
      <c r="CL133" s="88">
        <v>0</v>
      </c>
      <c r="CM133" s="88">
        <v>0</v>
      </c>
      <c r="CN133" s="88">
        <v>0</v>
      </c>
      <c r="CO133" s="88">
        <v>0</v>
      </c>
      <c r="CP133" s="88">
        <v>0</v>
      </c>
      <c r="CQ133" s="229">
        <v>0</v>
      </c>
      <c r="CR133" s="91">
        <v>0</v>
      </c>
      <c r="CS133" s="91">
        <v>0</v>
      </c>
      <c r="CT133" s="91">
        <v>0</v>
      </c>
      <c r="CU133" s="91">
        <v>0</v>
      </c>
      <c r="CV133" s="91">
        <v>0</v>
      </c>
      <c r="CW133" s="91">
        <v>0</v>
      </c>
      <c r="CX133" s="225">
        <v>0</v>
      </c>
      <c r="CY133" s="1265">
        <v>7706.6501600000001</v>
      </c>
      <c r="CZ133" s="90">
        <v>0</v>
      </c>
      <c r="DA133" s="88">
        <v>0</v>
      </c>
      <c r="DB133" s="88">
        <v>0</v>
      </c>
      <c r="DC133" s="88">
        <v>0</v>
      </c>
      <c r="DD133" s="88">
        <v>0</v>
      </c>
      <c r="DE133" s="152">
        <v>0</v>
      </c>
      <c r="DF133" s="230">
        <v>0</v>
      </c>
      <c r="DG133" s="38">
        <v>0</v>
      </c>
      <c r="DH133" s="1237">
        <v>0</v>
      </c>
      <c r="DI133" s="956">
        <v>0</v>
      </c>
      <c r="DJ133" s="956">
        <v>0</v>
      </c>
      <c r="DK133" s="956">
        <v>0</v>
      </c>
      <c r="DL133" s="152">
        <v>0</v>
      </c>
      <c r="DM133" s="160">
        <v>0</v>
      </c>
      <c r="DN133" s="160">
        <v>0</v>
      </c>
      <c r="DO133" s="160">
        <v>0</v>
      </c>
      <c r="DP133" s="160">
        <v>0</v>
      </c>
      <c r="DQ133" s="160">
        <v>0</v>
      </c>
      <c r="DR133" s="230">
        <v>0</v>
      </c>
      <c r="DS133" s="88">
        <v>0</v>
      </c>
      <c r="DT133" s="88">
        <v>0</v>
      </c>
      <c r="DU133" s="88">
        <v>0</v>
      </c>
      <c r="DV133" s="88">
        <v>0</v>
      </c>
      <c r="DW133" s="88">
        <v>0</v>
      </c>
      <c r="DX133" s="88">
        <v>0</v>
      </c>
      <c r="DY133" s="88">
        <v>0</v>
      </c>
      <c r="DZ133" s="88">
        <v>0</v>
      </c>
      <c r="EA133" s="88">
        <v>0</v>
      </c>
      <c r="EB133" s="152">
        <v>0</v>
      </c>
      <c r="EC133" s="52">
        <f t="shared" si="95"/>
        <v>0</v>
      </c>
      <c r="ED133" s="52">
        <f t="shared" si="95"/>
        <v>0</v>
      </c>
      <c r="EE133" s="52">
        <f t="shared" si="95"/>
        <v>0</v>
      </c>
      <c r="EF133" s="52">
        <f t="shared" si="71"/>
        <v>0</v>
      </c>
      <c r="EG133" s="52">
        <f t="shared" si="96"/>
        <v>0</v>
      </c>
      <c r="EH133" s="238">
        <v>0</v>
      </c>
      <c r="EI133" s="211">
        <v>0</v>
      </c>
      <c r="EJ133" s="211">
        <v>0</v>
      </c>
      <c r="EK133" s="211">
        <v>0</v>
      </c>
      <c r="EL133" s="217">
        <f>IF(C133&gt;=Summary!$E$26,MAX(0,SUM(EH133:EK133)),0)</f>
        <v>0</v>
      </c>
      <c r="EM133" s="52">
        <f>IF(C133&gt;=Summary!$E$26,DX133*BL133,0)</f>
        <v>0</v>
      </c>
      <c r="EN133" s="52">
        <f>IF(C133&gt;=Summary!$E$26,DY133*BM133,0)</f>
        <v>0</v>
      </c>
      <c r="EO133" s="52">
        <f>IF(C133&gt;=Summary!$E$26,DZ133*BN133,0)</f>
        <v>0</v>
      </c>
      <c r="EP133" s="52">
        <f>IF(C133&gt;=Summary!$E$26,EA133*BO133,0)</f>
        <v>0</v>
      </c>
      <c r="EQ133" s="52">
        <f>IF(C133&gt;=Summary!$E$26,DX133*BL133+DY133*BM133+DZ133*BN133+EA133*BO133,0)</f>
        <v>0</v>
      </c>
      <c r="ER133" s="826">
        <v>0</v>
      </c>
      <c r="ES133" s="278">
        <v>0</v>
      </c>
      <c r="ET133" s="278">
        <v>0</v>
      </c>
      <c r="EU133" s="278">
        <v>0</v>
      </c>
      <c r="EV133" s="212">
        <f>IF(C133&gt;=Summary!$E$26,MAX(0,SUM(ER133:EU133)),0)</f>
        <v>0</v>
      </c>
      <c r="EW133" s="52"/>
      <c r="EX133" s="1049">
        <f t="shared" si="97"/>
        <v>0</v>
      </c>
      <c r="EY133" s="1045" t="str">
        <f t="shared" si="98"/>
        <v/>
      </c>
      <c r="EZ133" s="1684" t="s">
        <v>525</v>
      </c>
      <c r="FA133" s="1046">
        <f t="shared" si="111"/>
        <v>45</v>
      </c>
      <c r="FB133" s="256">
        <f t="shared" si="99"/>
        <v>11169.9</v>
      </c>
      <c r="FC133" s="194">
        <f t="shared" si="100"/>
        <v>0</v>
      </c>
      <c r="FD133" s="194">
        <f t="shared" si="101"/>
        <v>2127.6</v>
      </c>
      <c r="FE133" s="194">
        <f t="shared" si="102"/>
        <v>0</v>
      </c>
      <c r="FF133" s="194">
        <f t="shared" si="103"/>
        <v>2659.5</v>
      </c>
      <c r="FG133" s="194">
        <f t="shared" si="104"/>
        <v>0</v>
      </c>
      <c r="FH133" s="257">
        <f>IF(EZ133="No",IF((OR(MONTH(C133)=5,MONTH(C133)=6,MONTH(C133)=7,MONTH(C133)=8,MONTH(C133)=9)),Summary!$O$15*12*(AX133+AY133+AZ133+BA133)*(1-$BC133),Summary!$O$15*13*(AX133+AY133+AZ133+BA133)*(1-$BC133)+IF(Summary!$O$16="Yes",(CALC!FA133+Summary!$O$15)*6*(AX133+AY133+AZ133+BA133)*(1-$BC133),0)),0)</f>
        <v>0</v>
      </c>
      <c r="FI133" s="1412">
        <f>IF(MONTH(C133)=5,FI132*(IF(Summary!$E$70="no",(1+(Summary!$E$71*0.8)),1+HLOOKUP(YEAR(C133)-1,CCFMODEL!$I$127:$AF$128,2)*0.8)),+FI132)</f>
        <v>33.722769790466458</v>
      </c>
      <c r="FJ133" s="1411">
        <f>IF(MONTH(C133)=5,FJ132*(IF(Summary!$E$70="no",(1+(Summary!$E$71*0.8)),1+HLOOKUP(YEAR(CALC!C133)-1,CCFMODEL!$I$127:$AF$128,2)*0.8)),FJ132)</f>
        <v>29.474231864108479</v>
      </c>
      <c r="FK133" s="832">
        <f t="shared" si="72"/>
        <v>538114.23754647328</v>
      </c>
      <c r="FL133" s="1412">
        <f>IF(MONTH(C133)=5,FL132*(IF(Summary!$E$70="no",(1+(Summary!$E$71*0.8)),1+HLOOKUP(YEAR(CALC!C133)-1,CCFMODEL!$I$127:$AF$128,2)*0.8)),+FL132)</f>
        <v>70.922765562327072</v>
      </c>
      <c r="FM133" s="1411">
        <f>IF(MONTH(C133)=5,FM132*(IF(Summary!$E$70="no",(1+(Summary!$E$71*0.8)),1+HLOOKUP(YEAR(CALC!C133)-1,CCFMODEL!$I$127:$AF$128,2)*0.8)),+FM132)</f>
        <v>33.849214371608056</v>
      </c>
      <c r="FN133" s="832">
        <f t="shared" si="73"/>
        <v>1148948.8021096985</v>
      </c>
      <c r="FO133" s="194">
        <f t="shared" si="105"/>
        <v>1687063.0396561718</v>
      </c>
      <c r="FP133" s="263">
        <f t="shared" si="69"/>
        <v>11169.9</v>
      </c>
      <c r="FQ133" s="194">
        <f t="shared" si="69"/>
        <v>0</v>
      </c>
      <c r="FR133" s="194">
        <f t="shared" si="69"/>
        <v>2127.6</v>
      </c>
      <c r="FS133" s="194">
        <f t="shared" si="69"/>
        <v>0</v>
      </c>
      <c r="FT133" s="194">
        <f t="shared" si="69"/>
        <v>2659.5</v>
      </c>
      <c r="FU133" s="194">
        <f t="shared" si="69"/>
        <v>0</v>
      </c>
      <c r="FV133" s="257">
        <f t="shared" si="124"/>
        <v>0</v>
      </c>
      <c r="FW133" s="189">
        <f t="shared" si="74"/>
        <v>0</v>
      </c>
      <c r="FX133" s="189">
        <f t="shared" si="75"/>
        <v>0</v>
      </c>
      <c r="FY133" s="189">
        <f t="shared" si="76"/>
        <v>0</v>
      </c>
      <c r="FZ133" s="258">
        <f t="shared" si="77"/>
        <v>0</v>
      </c>
      <c r="GA133" s="1293">
        <f>(SUM(FP133:FV133)+SUM(GU133:HB133)/(1-Summary!$O$25))*CY133/1000</f>
        <v>196760.026564992</v>
      </c>
      <c r="GB133" s="1369">
        <f>IF($C133&lt;Summary!$M$81,+Summary!$O$81,VLOOKUP(C133,GasTable,19))</f>
        <v>2.4</v>
      </c>
      <c r="GC133" s="1370">
        <f>IF(H133&lt;=Summary!$N$84,MIN(GA133,Summary!$O$75*(H133-G133+1)),0)</f>
        <v>150000</v>
      </c>
      <c r="GD133" s="1371">
        <f>IF(Summary!$O$75*(H133-G133+1)*0.8&gt;GC133,1,0)</f>
        <v>0</v>
      </c>
      <c r="GE133" s="1372">
        <v>0</v>
      </c>
      <c r="GF133" s="1370">
        <f t="shared" si="106"/>
        <v>46760.026564992004</v>
      </c>
      <c r="GG133" s="1371">
        <f>GF133*(IF(Summary!$O$74=1,VLOOKUP($C133,GasTable,16)+Summary!$O$92+Summary!$O$93,VLOOKUP($C133,GasTable,19)+Summary!$O$92+Summary!$O$93))</f>
        <v>154424.06824477986</v>
      </c>
      <c r="GH133" s="1373">
        <v>19020</v>
      </c>
      <c r="GI133" s="1466">
        <v>0</v>
      </c>
      <c r="GJ133" s="1374">
        <f t="shared" si="107"/>
        <v>533444.06824477983</v>
      </c>
      <c r="GK133" s="189">
        <f t="shared" si="78"/>
        <v>25196.103000000003</v>
      </c>
      <c r="GL133" s="266">
        <v>0.75679304571200001</v>
      </c>
      <c r="GM133" s="255">
        <f t="shared" si="79"/>
        <v>14730</v>
      </c>
      <c r="GN133" s="189">
        <f>IF(SUM(GU133:HB133)=0,0,IF(Summary!$O$16="Yes",SUM(GX133:HB133),IF(Summary!$O$17="Yes",SUM(GY133:HB133),SUM(GU133:HB133))))</f>
        <v>9239.103000000001</v>
      </c>
      <c r="GO133" s="203">
        <v>3.1047411245431729</v>
      </c>
      <c r="GP133" s="258">
        <f t="shared" si="108"/>
        <v>28685.023037990206</v>
      </c>
      <c r="GQ133" s="189"/>
      <c r="GR133" s="189"/>
      <c r="GS133" s="189"/>
      <c r="GT133" s="189"/>
      <c r="GU133" s="268">
        <v>3592.9845000000009</v>
      </c>
      <c r="GV133" s="189">
        <v>684.37800000000027</v>
      </c>
      <c r="GW133" s="189">
        <v>855.47249999999997</v>
      </c>
      <c r="GX133" s="189"/>
      <c r="GY133" s="254">
        <v>2874.3875999999996</v>
      </c>
      <c r="GZ133" s="189">
        <v>547.50239999999997</v>
      </c>
      <c r="HA133" s="189">
        <v>684.37800000000004</v>
      </c>
      <c r="HB133" s="255"/>
      <c r="HC133" s="189">
        <v>9239.103000000001</v>
      </c>
      <c r="HD133" s="189"/>
      <c r="HE133" s="189">
        <v>21557.906999999999</v>
      </c>
      <c r="HF133" s="189">
        <v>473042.14038119651</v>
      </c>
      <c r="HG133" s="189"/>
      <c r="HH133" s="203">
        <v>53.14262597515885</v>
      </c>
      <c r="HI133" s="189">
        <v>1145643.7885082588</v>
      </c>
      <c r="HJ133" s="268">
        <f t="shared" si="80"/>
        <v>0</v>
      </c>
      <c r="HK133" s="189">
        <f t="shared" si="81"/>
        <v>0</v>
      </c>
      <c r="HL133" s="189">
        <f t="shared" si="82"/>
        <v>0</v>
      </c>
      <c r="HM133" s="255">
        <f t="shared" si="83"/>
        <v>0</v>
      </c>
      <c r="HN133" s="189">
        <f t="shared" si="84"/>
        <v>0</v>
      </c>
      <c r="HO133" s="203">
        <f t="shared" si="109"/>
        <v>0</v>
      </c>
      <c r="HP133" s="258">
        <f t="shared" si="85"/>
        <v>0</v>
      </c>
      <c r="HQ133" s="203"/>
      <c r="HR133" s="268"/>
      <c r="HS133" s="38"/>
      <c r="HT133" s="255"/>
      <c r="HU133" s="254"/>
      <c r="HV133" s="203"/>
      <c r="HW133" s="189"/>
      <c r="HX133" s="1020"/>
      <c r="HY133" s="258"/>
      <c r="HZ133" s="268"/>
      <c r="IA133" s="203"/>
      <c r="IB133" s="255"/>
      <c r="IC133" s="254"/>
      <c r="ID133" s="203"/>
      <c r="IE133" s="255"/>
      <c r="IF133" s="189"/>
      <c r="IG133" s="203"/>
      <c r="IH133" s="255"/>
      <c r="II133" s="189"/>
      <c r="IJ133" s="203"/>
      <c r="IK133" s="189"/>
      <c r="IL133" s="1182"/>
      <c r="IM133" s="1403"/>
      <c r="IN133" s="254"/>
      <c r="IO133" s="254"/>
      <c r="IP133" s="254"/>
      <c r="IQ133" s="254"/>
      <c r="IR133" s="223"/>
    </row>
    <row r="134" spans="1:252" ht="13.8" thickBot="1">
      <c r="A134" t="str">
        <f t="shared" si="86"/>
        <v>2009Q4</v>
      </c>
      <c r="B134">
        <f t="shared" si="87"/>
        <v>2009</v>
      </c>
      <c r="C134" s="49">
        <f t="shared" si="88"/>
        <v>40087</v>
      </c>
      <c r="D134" s="115">
        <f t="shared" si="89"/>
        <v>2009</v>
      </c>
      <c r="E134" s="10">
        <f t="shared" si="112"/>
        <v>10</v>
      </c>
      <c r="F134" s="248" t="str">
        <f t="shared" si="113"/>
        <v/>
      </c>
      <c r="G134" s="245">
        <v>40087</v>
      </c>
      <c r="H134" s="251">
        <v>40117</v>
      </c>
      <c r="I134" s="959">
        <f t="shared" si="110"/>
        <v>7.1499999999999994E-2</v>
      </c>
      <c r="J134" s="37">
        <f t="shared" si="90"/>
        <v>0.49767712854032992</v>
      </c>
      <c r="K134" s="1036"/>
      <c r="L134" s="37"/>
      <c r="M134" s="1004">
        <v>0</v>
      </c>
      <c r="N134" s="38">
        <f t="shared" si="122"/>
        <v>0</v>
      </c>
      <c r="O134" s="40">
        <f t="shared" si="122"/>
        <v>0</v>
      </c>
      <c r="P134" s="159">
        <f t="shared" si="117"/>
        <v>0</v>
      </c>
      <c r="Q134" s="38">
        <f t="shared" si="123"/>
        <v>0</v>
      </c>
      <c r="R134" s="40">
        <f t="shared" si="123"/>
        <v>0</v>
      </c>
      <c r="S134" s="38">
        <f t="shared" si="123"/>
        <v>0</v>
      </c>
      <c r="T134" s="38">
        <f t="shared" si="123"/>
        <v>0</v>
      </c>
      <c r="U134" s="38">
        <f t="shared" si="123"/>
        <v>0</v>
      </c>
      <c r="V134" s="159">
        <f t="shared" si="123"/>
        <v>0</v>
      </c>
      <c r="W134" s="38">
        <f t="shared" si="123"/>
        <v>0</v>
      </c>
      <c r="X134" s="39">
        <f t="shared" si="123"/>
        <v>0</v>
      </c>
      <c r="Y134" s="46">
        <v>0</v>
      </c>
      <c r="Z134" s="46">
        <v>0</v>
      </c>
      <c r="AA134" s="47">
        <v>0</v>
      </c>
      <c r="AB134" s="46">
        <v>0</v>
      </c>
      <c r="AC134" s="46">
        <v>0</v>
      </c>
      <c r="AD134" s="47">
        <v>0</v>
      </c>
      <c r="AE134" s="46">
        <v>0</v>
      </c>
      <c r="AF134" s="46">
        <v>0</v>
      </c>
      <c r="AG134" s="47">
        <v>0</v>
      </c>
      <c r="AH134" s="46">
        <v>0</v>
      </c>
      <c r="AI134" s="46">
        <v>0</v>
      </c>
      <c r="AJ134" s="47">
        <v>0</v>
      </c>
      <c r="AK134" s="46">
        <v>0</v>
      </c>
      <c r="AL134" s="46">
        <v>0</v>
      </c>
      <c r="AM134" s="47">
        <v>0</v>
      </c>
      <c r="AN134" s="46">
        <v>0</v>
      </c>
      <c r="AO134" s="46">
        <v>0</v>
      </c>
      <c r="AP134" s="47">
        <v>0</v>
      </c>
      <c r="AQ134" s="46">
        <v>0</v>
      </c>
      <c r="AR134" s="46">
        <v>0</v>
      </c>
      <c r="AS134" s="47">
        <v>0</v>
      </c>
      <c r="AT134" s="46">
        <v>0</v>
      </c>
      <c r="AU134" s="46">
        <v>0</v>
      </c>
      <c r="AV134" s="46">
        <v>0</v>
      </c>
      <c r="AW134" s="1545">
        <v>0</v>
      </c>
      <c r="AX134" s="10">
        <f t="shared" si="114"/>
        <v>22</v>
      </c>
      <c r="AY134" s="42">
        <f>IF(AND($E134=MONTH(Summary!$E$24),$D134=YEAR(Summary!$E$24)),Summary!$E$25,1)*IF(G134="",0,INT((H134-MOD(H134,7)-G134)/7)+1-IF(BA134,IF(WEEKDAY(F134)=7,1,0),0))</f>
        <v>5</v>
      </c>
      <c r="AZ134" s="42">
        <f>IF(AND($E134=MONTH(Summary!$E$24),$D134=YEAR(Summary!$E$24)),Summary!$E$25,1)*IF(G134="",0,INT((H134-MOD(H134-1,7)-G134)/7)+1-IF(BA134,IF(WEEKDAY(F134)=1,1,0),0))</f>
        <v>4</v>
      </c>
      <c r="BA134" s="42">
        <v>0</v>
      </c>
      <c r="BB134" s="10">
        <f>IF(AND($E134=MONTH(Summary!$E$24),$D134=YEAR(Summary!$E$24)),Summary!$E$25,1)*IF(G134="",0,H134-G134+1)</f>
        <v>31</v>
      </c>
      <c r="BC134" s="914">
        <f>Summary!$E$19</f>
        <v>1.4999999999999999E-2</v>
      </c>
      <c r="BD134" s="113">
        <v>15602.4</v>
      </c>
      <c r="BE134" s="171">
        <v>3546</v>
      </c>
      <c r="BF134" s="171">
        <v>2836.8</v>
      </c>
      <c r="BG134" s="174"/>
      <c r="BH134" s="1198">
        <v>1</v>
      </c>
      <c r="BI134" s="1198">
        <v>1</v>
      </c>
      <c r="BJ134" s="1198">
        <v>1</v>
      </c>
      <c r="BK134" s="1198">
        <v>1</v>
      </c>
      <c r="BL134" s="95">
        <v>3120.48</v>
      </c>
      <c r="BM134" s="171">
        <v>709.2</v>
      </c>
      <c r="BN134" s="171">
        <v>567.36</v>
      </c>
      <c r="BO134" s="174"/>
      <c r="BP134" s="1198">
        <v>1</v>
      </c>
      <c r="BQ134" s="1199">
        <v>1</v>
      </c>
      <c r="BR134" s="1199">
        <v>1</v>
      </c>
      <c r="BS134" s="1200">
        <v>1</v>
      </c>
      <c r="BT134" s="94">
        <f t="shared" si="91"/>
        <v>21985.200000000001</v>
      </c>
      <c r="BU134" s="233">
        <f t="shared" si="92"/>
        <v>21985.200000000001</v>
      </c>
      <c r="BV134" s="92">
        <f t="shared" si="93"/>
        <v>4397.04</v>
      </c>
      <c r="BW134" s="233">
        <f t="shared" si="94"/>
        <v>4397.04</v>
      </c>
      <c r="BX134" s="88">
        <v>9.7960301163586578</v>
      </c>
      <c r="BY134" s="90">
        <v>0</v>
      </c>
      <c r="BZ134" s="88">
        <v>0</v>
      </c>
      <c r="CA134" s="88">
        <v>0</v>
      </c>
      <c r="CB134" s="88">
        <v>0</v>
      </c>
      <c r="CC134" s="88">
        <v>0</v>
      </c>
      <c r="CD134" s="88">
        <v>0</v>
      </c>
      <c r="CE134" s="100">
        <v>0</v>
      </c>
      <c r="CF134" s="88">
        <v>0</v>
      </c>
      <c r="CG134" s="88">
        <v>0</v>
      </c>
      <c r="CH134" s="88">
        <v>0</v>
      </c>
      <c r="CI134" s="88">
        <v>0</v>
      </c>
      <c r="CJ134" s="228">
        <v>0</v>
      </c>
      <c r="CK134" s="88">
        <v>0</v>
      </c>
      <c r="CL134" s="88">
        <v>0</v>
      </c>
      <c r="CM134" s="88">
        <v>0</v>
      </c>
      <c r="CN134" s="88">
        <v>0</v>
      </c>
      <c r="CO134" s="88">
        <v>0</v>
      </c>
      <c r="CP134" s="88">
        <v>0</v>
      </c>
      <c r="CQ134" s="229">
        <v>0</v>
      </c>
      <c r="CR134" s="91">
        <v>0</v>
      </c>
      <c r="CS134" s="91">
        <v>0</v>
      </c>
      <c r="CT134" s="91">
        <v>0</v>
      </c>
      <c r="CU134" s="91">
        <v>0</v>
      </c>
      <c r="CV134" s="91">
        <v>0</v>
      </c>
      <c r="CW134" s="91">
        <v>0</v>
      </c>
      <c r="CX134" s="225">
        <v>0</v>
      </c>
      <c r="CY134" s="1265">
        <v>7708.6811200000002</v>
      </c>
      <c r="CZ134" s="90">
        <v>0</v>
      </c>
      <c r="DA134" s="88">
        <v>0</v>
      </c>
      <c r="DB134" s="88">
        <v>0</v>
      </c>
      <c r="DC134" s="88">
        <v>0</v>
      </c>
      <c r="DD134" s="88">
        <v>0</v>
      </c>
      <c r="DE134" s="152">
        <v>0</v>
      </c>
      <c r="DF134" s="230">
        <v>0</v>
      </c>
      <c r="DG134" s="38">
        <v>0</v>
      </c>
      <c r="DH134" s="1237">
        <v>0</v>
      </c>
      <c r="DI134" s="956">
        <v>0</v>
      </c>
      <c r="DJ134" s="956">
        <v>0</v>
      </c>
      <c r="DK134" s="956">
        <v>0</v>
      </c>
      <c r="DL134" s="152">
        <v>0</v>
      </c>
      <c r="DM134" s="160">
        <v>0</v>
      </c>
      <c r="DN134" s="160">
        <v>0</v>
      </c>
      <c r="DO134" s="160">
        <v>0</v>
      </c>
      <c r="DP134" s="160">
        <v>0</v>
      </c>
      <c r="DQ134" s="160">
        <v>0</v>
      </c>
      <c r="DR134" s="230">
        <v>0</v>
      </c>
      <c r="DS134" s="88">
        <v>0</v>
      </c>
      <c r="DT134" s="88">
        <v>0</v>
      </c>
      <c r="DU134" s="88">
        <v>0</v>
      </c>
      <c r="DV134" s="88">
        <v>0</v>
      </c>
      <c r="DW134" s="88">
        <v>0</v>
      </c>
      <c r="DX134" s="88">
        <v>0</v>
      </c>
      <c r="DY134" s="88">
        <v>0</v>
      </c>
      <c r="DZ134" s="88">
        <v>0</v>
      </c>
      <c r="EA134" s="88">
        <v>0</v>
      </c>
      <c r="EB134" s="152">
        <v>0</v>
      </c>
      <c r="EC134" s="52">
        <f t="shared" si="95"/>
        <v>0</v>
      </c>
      <c r="ED134" s="52">
        <f t="shared" si="95"/>
        <v>0</v>
      </c>
      <c r="EE134" s="52">
        <f t="shared" si="95"/>
        <v>0</v>
      </c>
      <c r="EF134" s="52">
        <f t="shared" si="71"/>
        <v>0</v>
      </c>
      <c r="EG134" s="52">
        <f t="shared" si="96"/>
        <v>0</v>
      </c>
      <c r="EH134" s="238">
        <v>0</v>
      </c>
      <c r="EI134" s="211">
        <v>0</v>
      </c>
      <c r="EJ134" s="211">
        <v>0</v>
      </c>
      <c r="EK134" s="211">
        <v>0</v>
      </c>
      <c r="EL134" s="217">
        <f>IF(C134&gt;=Summary!$E$26,MAX(0,SUM(EH134:EK134)),0)</f>
        <v>0</v>
      </c>
      <c r="EM134" s="52">
        <f>IF(C134&gt;=Summary!$E$26,DX134*BL134,0)</f>
        <v>0</v>
      </c>
      <c r="EN134" s="52">
        <f>IF(C134&gt;=Summary!$E$26,DY134*BM134,0)</f>
        <v>0</v>
      </c>
      <c r="EO134" s="52">
        <f>IF(C134&gt;=Summary!$E$26,DZ134*BN134,0)</f>
        <v>0</v>
      </c>
      <c r="EP134" s="52">
        <f>IF(C134&gt;=Summary!$E$26,EA134*BO134,0)</f>
        <v>0</v>
      </c>
      <c r="EQ134" s="52">
        <f>IF(C134&gt;=Summary!$E$26,DX134*BL134+DY134*BM134+DZ134*BN134+EA134*BO134,0)</f>
        <v>0</v>
      </c>
      <c r="ER134" s="826">
        <v>0</v>
      </c>
      <c r="ES134" s="278">
        <v>0</v>
      </c>
      <c r="ET134" s="278">
        <v>0</v>
      </c>
      <c r="EU134" s="278">
        <v>0</v>
      </c>
      <c r="EV134" s="212">
        <f>IF(C134&gt;=Summary!$E$26,MAX(0,SUM(ER134:EU134)),0)</f>
        <v>0</v>
      </c>
      <c r="EW134" s="52"/>
      <c r="EX134" s="1049">
        <f t="shared" si="97"/>
        <v>0</v>
      </c>
      <c r="EY134" s="1045" t="str">
        <f t="shared" si="98"/>
        <v/>
      </c>
      <c r="EZ134" s="1684" t="s">
        <v>525</v>
      </c>
      <c r="FA134" s="1046">
        <f t="shared" si="111"/>
        <v>45</v>
      </c>
      <c r="FB134" s="256">
        <f t="shared" si="99"/>
        <v>9751.5</v>
      </c>
      <c r="FC134" s="194">
        <f t="shared" si="100"/>
        <v>2925.45</v>
      </c>
      <c r="FD134" s="194">
        <f t="shared" si="101"/>
        <v>2216.25</v>
      </c>
      <c r="FE134" s="194">
        <f t="shared" si="102"/>
        <v>664.875</v>
      </c>
      <c r="FF134" s="194">
        <f t="shared" si="103"/>
        <v>1773</v>
      </c>
      <c r="FG134" s="194">
        <f t="shared" si="104"/>
        <v>531.9</v>
      </c>
      <c r="FH134" s="257">
        <f>IF(EZ134="No",IF((OR(MONTH(C134)=5,MONTH(C134)=6,MONTH(C134)=7,MONTH(C134)=8,MONTH(C134)=9)),Summary!$O$15*12*(AX134+AY134+AZ134+BA134)*(1-$BC134),Summary!$O$15*13*(AX134+AY134+AZ134+BA134)*(1-$BC134)+IF(Summary!$O$16="Yes",(CALC!FA134+Summary!$O$15)*6*(AX134+AY134+AZ134+BA134)*(1-$BC134),0)),0)</f>
        <v>0</v>
      </c>
      <c r="FI134" s="1412">
        <f>IF(MONTH(C134)=5,FI133*(IF(Summary!$E$70="no",(1+(Summary!$E$71*0.8)),1+HLOOKUP(YEAR(C134)-1,CCFMODEL!$I$127:$AF$128,2)*0.8)),+FI133)</f>
        <v>33.722769790466458</v>
      </c>
      <c r="FJ134" s="1411">
        <f>IF(MONTH(C134)=5,FJ133*(IF(Summary!$E$70="no",(1+(Summary!$E$71*0.8)),1+HLOOKUP(YEAR(CALC!C134)-1,CCFMODEL!$I$127:$AF$128,2)*0.8)),FJ133)</f>
        <v>29.474231864108479</v>
      </c>
      <c r="FK134" s="832">
        <f t="shared" si="72"/>
        <v>602388.9936978576</v>
      </c>
      <c r="FL134" s="1412">
        <f>IF(MONTH(C134)=5,FL133*(IF(Summary!$E$70="no",(1+(Summary!$E$71*0.8)),1+HLOOKUP(YEAR(CALC!C134)-1,CCFMODEL!$I$127:$AF$128,2)*0.8)),+FL133)</f>
        <v>70.922765562327072</v>
      </c>
      <c r="FM134" s="1411">
        <f>IF(MONTH(C134)=5,FM133*(IF(Summary!$E$70="no",(1+(Summary!$E$71*0.8)),1+HLOOKUP(YEAR(CALC!C134)-1,CCFMODEL!$I$127:$AF$128,2)*0.8)),+FM133)</f>
        <v>33.849214371608056</v>
      </c>
      <c r="FN134" s="832">
        <f t="shared" si="73"/>
        <v>613855.50262911222</v>
      </c>
      <c r="FO134" s="194">
        <f t="shared" si="105"/>
        <v>1216244.4963269699</v>
      </c>
      <c r="FP134" s="263">
        <f t="shared" ref="FP134:FU176" si="125">FB134</f>
        <v>9751.5</v>
      </c>
      <c r="FQ134" s="194">
        <f t="shared" si="125"/>
        <v>2925.45</v>
      </c>
      <c r="FR134" s="194">
        <f t="shared" si="125"/>
        <v>2216.25</v>
      </c>
      <c r="FS134" s="194">
        <f t="shared" si="125"/>
        <v>664.875</v>
      </c>
      <c r="FT134" s="194">
        <f t="shared" si="125"/>
        <v>1773</v>
      </c>
      <c r="FU134" s="194">
        <f t="shared" si="125"/>
        <v>531.9</v>
      </c>
      <c r="FV134" s="257">
        <f t="shared" si="124"/>
        <v>0</v>
      </c>
      <c r="FW134" s="189">
        <f t="shared" si="74"/>
        <v>0</v>
      </c>
      <c r="FX134" s="189">
        <f t="shared" si="75"/>
        <v>0</v>
      </c>
      <c r="FY134" s="189">
        <f t="shared" si="76"/>
        <v>0</v>
      </c>
      <c r="FZ134" s="258">
        <f t="shared" si="77"/>
        <v>0</v>
      </c>
      <c r="GA134" s="1293">
        <f>(SUM(FP134:FV134)+SUM(GU134:HB134)/(1-Summary!$O$25))*CY134/1000</f>
        <v>235149.19342120085</v>
      </c>
      <c r="GB134" s="1369">
        <f>IF($C134&lt;Summary!$M$81,+Summary!$O$81,VLOOKUP(C134,GasTable,19))</f>
        <v>2.4</v>
      </c>
      <c r="GC134" s="1370">
        <f>IF(H134&lt;=Summary!$N$84,MIN(GA134,Summary!$O$75*(H134-G134+1)),0)</f>
        <v>155000</v>
      </c>
      <c r="GD134" s="1371">
        <f>IF(Summary!$O$75*(H134-G134+1)*0.8&gt;GC134,1,0)</f>
        <v>0</v>
      </c>
      <c r="GE134" s="1372">
        <v>0</v>
      </c>
      <c r="GF134" s="1370">
        <f t="shared" si="106"/>
        <v>80149.193421200849</v>
      </c>
      <c r="GG134" s="1371">
        <f>GF134*(IF(Summary!$O$74=1,VLOOKUP($C134,GasTable,16)+Summary!$O$92+Summary!$O$93,VLOOKUP($C134,GasTable,19)+Summary!$O$92+Summary!$O$93))</f>
        <v>276268.28599139344</v>
      </c>
      <c r="GH134" s="1373">
        <v>19709.8</v>
      </c>
      <c r="GI134" s="1466">
        <v>0</v>
      </c>
      <c r="GJ134" s="1374">
        <f t="shared" si="107"/>
        <v>667978.08599139354</v>
      </c>
      <c r="GK134" s="189">
        <f t="shared" si="78"/>
        <v>30062.012850000006</v>
      </c>
      <c r="GL134" s="266">
        <v>0.75699248598400004</v>
      </c>
      <c r="GM134" s="255">
        <f t="shared" si="79"/>
        <v>15221</v>
      </c>
      <c r="GN134" s="189">
        <f>IF(SUM(GU134:HB134)=0,0,IF(Summary!$O$16="Yes",SUM(GX134:HB134),IF(Summary!$O$17="Yes",SUM(GY134:HB134),SUM(GU134:HB134))))</f>
        <v>12199.037849999999</v>
      </c>
      <c r="GO134" s="203">
        <v>3.1047411245431729</v>
      </c>
      <c r="GP134" s="258">
        <f t="shared" si="108"/>
        <v>37874.854492753722</v>
      </c>
      <c r="GQ134" s="189"/>
      <c r="GR134" s="189"/>
      <c r="GS134" s="189"/>
      <c r="GT134" s="189"/>
      <c r="GU134" s="268">
        <v>5646.1184999999996</v>
      </c>
      <c r="GV134" s="189">
        <v>1283.20875</v>
      </c>
      <c r="GW134" s="189">
        <v>1026.5670000000002</v>
      </c>
      <c r="GX134" s="189"/>
      <c r="GY134" s="254">
        <v>3011.2631999999999</v>
      </c>
      <c r="GZ134" s="189">
        <v>684.37800000000004</v>
      </c>
      <c r="HA134" s="189">
        <v>547.50239999999997</v>
      </c>
      <c r="HB134" s="255"/>
      <c r="HC134" s="189">
        <v>12199.037849999999</v>
      </c>
      <c r="HD134" s="189"/>
      <c r="HE134" s="189">
        <v>20950.521524999996</v>
      </c>
      <c r="HF134" s="189">
        <v>566918.02927737345</v>
      </c>
      <c r="HG134" s="189"/>
      <c r="HH134" s="203">
        <v>45.737327996234512</v>
      </c>
      <c r="HI134" s="189">
        <v>958220.87468109617</v>
      </c>
      <c r="HJ134" s="268">
        <f t="shared" si="80"/>
        <v>0</v>
      </c>
      <c r="HK134" s="189">
        <f t="shared" si="81"/>
        <v>0</v>
      </c>
      <c r="HL134" s="189">
        <f t="shared" si="82"/>
        <v>0</v>
      </c>
      <c r="HM134" s="255">
        <f t="shared" si="83"/>
        <v>0</v>
      </c>
      <c r="HN134" s="189">
        <f t="shared" si="84"/>
        <v>0</v>
      </c>
      <c r="HO134" s="203">
        <f t="shared" si="109"/>
        <v>0</v>
      </c>
      <c r="HP134" s="258">
        <f t="shared" si="85"/>
        <v>0</v>
      </c>
      <c r="HQ134" s="203"/>
      <c r="HR134" s="268"/>
      <c r="HS134" s="38"/>
      <c r="HT134" s="255"/>
      <c r="HU134" s="254"/>
      <c r="HV134" s="203"/>
      <c r="HW134" s="189"/>
      <c r="HX134" s="1020"/>
      <c r="HY134" s="258"/>
      <c r="HZ134" s="268"/>
      <c r="IA134" s="203"/>
      <c r="IB134" s="255"/>
      <c r="IC134" s="254"/>
      <c r="ID134" s="203"/>
      <c r="IE134" s="255"/>
      <c r="IF134" s="189"/>
      <c r="IG134" s="203"/>
      <c r="IH134" s="255"/>
      <c r="II134" s="189"/>
      <c r="IJ134" s="203"/>
      <c r="IK134" s="189"/>
      <c r="IL134" s="1182"/>
      <c r="IM134" s="1403"/>
      <c r="IN134" s="254"/>
      <c r="IO134" s="254"/>
      <c r="IP134" s="254"/>
      <c r="IQ134" s="254"/>
      <c r="IR134" s="223"/>
    </row>
    <row r="135" spans="1:252" ht="13.8" thickBot="1">
      <c r="A135" t="str">
        <f t="shared" si="86"/>
        <v>2009Q4</v>
      </c>
      <c r="B135">
        <f t="shared" si="87"/>
        <v>2009</v>
      </c>
      <c r="C135" s="49">
        <f t="shared" si="88"/>
        <v>40118</v>
      </c>
      <c r="D135" s="115">
        <f t="shared" si="89"/>
        <v>2009</v>
      </c>
      <c r="E135" s="10">
        <f t="shared" si="112"/>
        <v>11</v>
      </c>
      <c r="F135" s="248">
        <f t="shared" si="113"/>
        <v>40143</v>
      </c>
      <c r="G135" s="245">
        <v>40118</v>
      </c>
      <c r="H135" s="251">
        <v>40147</v>
      </c>
      <c r="I135" s="959">
        <f t="shared" si="110"/>
        <v>7.1499999999999994E-2</v>
      </c>
      <c r="J135" s="37">
        <f t="shared" si="90"/>
        <v>0.49481372480720903</v>
      </c>
      <c r="K135" s="1036"/>
      <c r="L135" s="37"/>
      <c r="M135" s="1004">
        <v>0</v>
      </c>
      <c r="N135" s="38">
        <f t="shared" si="122"/>
        <v>0</v>
      </c>
      <c r="O135" s="40">
        <f t="shared" si="122"/>
        <v>0</v>
      </c>
      <c r="P135" s="159">
        <f t="shared" si="117"/>
        <v>0</v>
      </c>
      <c r="Q135" s="38">
        <f t="shared" si="123"/>
        <v>0</v>
      </c>
      <c r="R135" s="40">
        <f t="shared" si="123"/>
        <v>0</v>
      </c>
      <c r="S135" s="38">
        <f t="shared" si="123"/>
        <v>0</v>
      </c>
      <c r="T135" s="38">
        <f t="shared" si="123"/>
        <v>0</v>
      </c>
      <c r="U135" s="38">
        <f t="shared" si="123"/>
        <v>0</v>
      </c>
      <c r="V135" s="159">
        <f t="shared" si="123"/>
        <v>0</v>
      </c>
      <c r="W135" s="38">
        <f t="shared" si="123"/>
        <v>0</v>
      </c>
      <c r="X135" s="39">
        <f t="shared" si="123"/>
        <v>0</v>
      </c>
      <c r="Y135" s="46">
        <v>0</v>
      </c>
      <c r="Z135" s="46">
        <v>0</v>
      </c>
      <c r="AA135" s="47">
        <v>0</v>
      </c>
      <c r="AB135" s="46">
        <v>0</v>
      </c>
      <c r="AC135" s="46">
        <v>0</v>
      </c>
      <c r="AD135" s="47">
        <v>0</v>
      </c>
      <c r="AE135" s="46">
        <v>0</v>
      </c>
      <c r="AF135" s="46">
        <v>0</v>
      </c>
      <c r="AG135" s="47">
        <v>0</v>
      </c>
      <c r="AH135" s="46">
        <v>0</v>
      </c>
      <c r="AI135" s="46">
        <v>0</v>
      </c>
      <c r="AJ135" s="47">
        <v>0</v>
      </c>
      <c r="AK135" s="46">
        <v>0</v>
      </c>
      <c r="AL135" s="46">
        <v>0</v>
      </c>
      <c r="AM135" s="47">
        <v>0</v>
      </c>
      <c r="AN135" s="46">
        <v>0</v>
      </c>
      <c r="AO135" s="46">
        <v>0</v>
      </c>
      <c r="AP135" s="47">
        <v>0</v>
      </c>
      <c r="AQ135" s="46">
        <v>0</v>
      </c>
      <c r="AR135" s="46">
        <v>0</v>
      </c>
      <c r="AS135" s="47">
        <v>0</v>
      </c>
      <c r="AT135" s="46">
        <v>0</v>
      </c>
      <c r="AU135" s="46">
        <v>0</v>
      </c>
      <c r="AV135" s="46">
        <v>0</v>
      </c>
      <c r="AW135" s="1545">
        <v>0</v>
      </c>
      <c r="AX135" s="10">
        <f t="shared" si="114"/>
        <v>20</v>
      </c>
      <c r="AY135" s="42">
        <f>IF(AND($E135=MONTH(Summary!$E$24),$D135=YEAR(Summary!$E$24)),Summary!$E$25,1)*IF(G135="",0,INT((H135-MOD(H135,7)-G135)/7)+1-IF(BA135,IF(WEEKDAY(F135)=7,1,0),0))</f>
        <v>4</v>
      </c>
      <c r="AZ135" s="42">
        <f>IF(AND($E135=MONTH(Summary!$E$24),$D135=YEAR(Summary!$E$24)),Summary!$E$25,1)*IF(G135="",0,INT((H135-MOD(H135-1,7)-G135)/7)+1-IF(BA135,IF(WEEKDAY(F135)=1,1,0),0))</f>
        <v>5</v>
      </c>
      <c r="BA135" s="42">
        <v>1</v>
      </c>
      <c r="BB135" s="10">
        <f>IF(AND($E135=MONTH(Summary!$E$24),$D135=YEAR(Summary!$E$24)),Summary!$E$25,1)*IF(G135="",0,H135-G135+1)</f>
        <v>30</v>
      </c>
      <c r="BC135" s="914">
        <f>Summary!$E$19</f>
        <v>1.4999999999999999E-2</v>
      </c>
      <c r="BD135" s="113">
        <v>14184</v>
      </c>
      <c r="BE135" s="171">
        <v>2836.8</v>
      </c>
      <c r="BF135" s="171">
        <v>4255.2</v>
      </c>
      <c r="BG135" s="174"/>
      <c r="BH135" s="1198">
        <v>1</v>
      </c>
      <c r="BI135" s="1198">
        <v>1</v>
      </c>
      <c r="BJ135" s="1198">
        <v>1</v>
      </c>
      <c r="BK135" s="1198">
        <v>1</v>
      </c>
      <c r="BL135" s="95">
        <v>2836.8</v>
      </c>
      <c r="BM135" s="171">
        <v>567.36</v>
      </c>
      <c r="BN135" s="171">
        <v>851.04</v>
      </c>
      <c r="BO135" s="174"/>
      <c r="BP135" s="1198">
        <v>1</v>
      </c>
      <c r="BQ135" s="1199">
        <v>1</v>
      </c>
      <c r="BR135" s="1199">
        <v>1</v>
      </c>
      <c r="BS135" s="1200">
        <v>1</v>
      </c>
      <c r="BT135" s="94">
        <f t="shared" si="91"/>
        <v>21276</v>
      </c>
      <c r="BU135" s="233">
        <f t="shared" si="92"/>
        <v>21276</v>
      </c>
      <c r="BV135" s="92">
        <f t="shared" si="93"/>
        <v>4255.2000000000007</v>
      </c>
      <c r="BW135" s="233">
        <f t="shared" si="94"/>
        <v>4255.2000000000007</v>
      </c>
      <c r="BX135" s="88">
        <v>9.8809034907597528</v>
      </c>
      <c r="BY135" s="90">
        <v>0</v>
      </c>
      <c r="BZ135" s="88">
        <v>0</v>
      </c>
      <c r="CA135" s="88">
        <v>0</v>
      </c>
      <c r="CB135" s="88">
        <v>0</v>
      </c>
      <c r="CC135" s="88">
        <v>0</v>
      </c>
      <c r="CD135" s="88">
        <v>0</v>
      </c>
      <c r="CE135" s="100">
        <v>0</v>
      </c>
      <c r="CF135" s="88">
        <v>0</v>
      </c>
      <c r="CG135" s="88">
        <v>0</v>
      </c>
      <c r="CH135" s="88">
        <v>0</v>
      </c>
      <c r="CI135" s="88">
        <v>0</v>
      </c>
      <c r="CJ135" s="228">
        <v>0</v>
      </c>
      <c r="CK135" s="88">
        <v>0</v>
      </c>
      <c r="CL135" s="88">
        <v>0</v>
      </c>
      <c r="CM135" s="88">
        <v>0</v>
      </c>
      <c r="CN135" s="88">
        <v>0</v>
      </c>
      <c r="CO135" s="88">
        <v>0</v>
      </c>
      <c r="CP135" s="88">
        <v>0</v>
      </c>
      <c r="CQ135" s="229">
        <v>0</v>
      </c>
      <c r="CR135" s="91">
        <v>0</v>
      </c>
      <c r="CS135" s="91">
        <v>0</v>
      </c>
      <c r="CT135" s="91">
        <v>0</v>
      </c>
      <c r="CU135" s="91">
        <v>0</v>
      </c>
      <c r="CV135" s="91">
        <v>0</v>
      </c>
      <c r="CW135" s="91">
        <v>0</v>
      </c>
      <c r="CX135" s="225">
        <v>0</v>
      </c>
      <c r="CY135" s="1265">
        <v>7710.7120799999993</v>
      </c>
      <c r="CZ135" s="90">
        <v>0</v>
      </c>
      <c r="DA135" s="88">
        <v>0</v>
      </c>
      <c r="DB135" s="88">
        <v>0</v>
      </c>
      <c r="DC135" s="88">
        <v>0</v>
      </c>
      <c r="DD135" s="88">
        <v>0</v>
      </c>
      <c r="DE135" s="152">
        <v>0</v>
      </c>
      <c r="DF135" s="230">
        <v>0</v>
      </c>
      <c r="DG135" s="38">
        <v>0</v>
      </c>
      <c r="DH135" s="1237">
        <v>0</v>
      </c>
      <c r="DI135" s="956">
        <v>0</v>
      </c>
      <c r="DJ135" s="956">
        <v>0</v>
      </c>
      <c r="DK135" s="956">
        <v>0</v>
      </c>
      <c r="DL135" s="152">
        <v>0</v>
      </c>
      <c r="DM135" s="160">
        <v>0</v>
      </c>
      <c r="DN135" s="160">
        <v>0</v>
      </c>
      <c r="DO135" s="160">
        <v>0</v>
      </c>
      <c r="DP135" s="160">
        <v>0</v>
      </c>
      <c r="DQ135" s="160">
        <v>0</v>
      </c>
      <c r="DR135" s="230">
        <v>0</v>
      </c>
      <c r="DS135" s="88">
        <v>0</v>
      </c>
      <c r="DT135" s="88">
        <v>0</v>
      </c>
      <c r="DU135" s="88">
        <v>0</v>
      </c>
      <c r="DV135" s="88">
        <v>0</v>
      </c>
      <c r="DW135" s="88">
        <v>0</v>
      </c>
      <c r="DX135" s="88">
        <v>0</v>
      </c>
      <c r="DY135" s="88">
        <v>0</v>
      </c>
      <c r="DZ135" s="88">
        <v>0</v>
      </c>
      <c r="EA135" s="88">
        <v>0</v>
      </c>
      <c r="EB135" s="152">
        <v>0</v>
      </c>
      <c r="EC135" s="52">
        <f t="shared" si="95"/>
        <v>0</v>
      </c>
      <c r="ED135" s="52">
        <f t="shared" si="95"/>
        <v>0</v>
      </c>
      <c r="EE135" s="52">
        <f t="shared" si="95"/>
        <v>0</v>
      </c>
      <c r="EF135" s="52">
        <f t="shared" si="71"/>
        <v>0</v>
      </c>
      <c r="EG135" s="52">
        <f t="shared" si="96"/>
        <v>0</v>
      </c>
      <c r="EH135" s="238">
        <v>0</v>
      </c>
      <c r="EI135" s="211">
        <v>0</v>
      </c>
      <c r="EJ135" s="211">
        <v>0</v>
      </c>
      <c r="EK135" s="211">
        <v>0</v>
      </c>
      <c r="EL135" s="217">
        <f>IF(C135&gt;=Summary!$E$26,MAX(0,SUM(EH135:EK135)),0)</f>
        <v>0</v>
      </c>
      <c r="EM135" s="52">
        <f>IF(C135&gt;=Summary!$E$26,DX135*BL135,0)</f>
        <v>0</v>
      </c>
      <c r="EN135" s="52">
        <f>IF(C135&gt;=Summary!$E$26,DY135*BM135,0)</f>
        <v>0</v>
      </c>
      <c r="EO135" s="52">
        <f>IF(C135&gt;=Summary!$E$26,DZ135*BN135,0)</f>
        <v>0</v>
      </c>
      <c r="EP135" s="52">
        <f>IF(C135&gt;=Summary!$E$26,EA135*BO135,0)</f>
        <v>0</v>
      </c>
      <c r="EQ135" s="52">
        <f>IF(C135&gt;=Summary!$E$26,DX135*BL135+DY135*BM135+DZ135*BN135+EA135*BO135,0)</f>
        <v>0</v>
      </c>
      <c r="ER135" s="826">
        <v>0</v>
      </c>
      <c r="ES135" s="278">
        <v>0</v>
      </c>
      <c r="ET135" s="278">
        <v>0</v>
      </c>
      <c r="EU135" s="278">
        <v>0</v>
      </c>
      <c r="EV135" s="212">
        <f>IF(C135&gt;=Summary!$E$26,MAX(0,SUM(ER135:EU135)),0)</f>
        <v>0</v>
      </c>
      <c r="EW135" s="52"/>
      <c r="EX135" s="1049">
        <f t="shared" si="97"/>
        <v>0</v>
      </c>
      <c r="EY135" s="1045" t="str">
        <f t="shared" si="98"/>
        <v/>
      </c>
      <c r="EZ135" s="1684" t="s">
        <v>525</v>
      </c>
      <c r="FA135" s="1046">
        <f t="shared" si="111"/>
        <v>45</v>
      </c>
      <c r="FB135" s="256">
        <f t="shared" si="99"/>
        <v>8865</v>
      </c>
      <c r="FC135" s="194">
        <f t="shared" si="100"/>
        <v>2659.5</v>
      </c>
      <c r="FD135" s="194">
        <f t="shared" si="101"/>
        <v>1773</v>
      </c>
      <c r="FE135" s="194">
        <f t="shared" si="102"/>
        <v>531.9</v>
      </c>
      <c r="FF135" s="194">
        <f t="shared" si="103"/>
        <v>2659.5</v>
      </c>
      <c r="FG135" s="194">
        <f t="shared" si="104"/>
        <v>797.85</v>
      </c>
      <c r="FH135" s="257">
        <f>IF(EZ135="No",IF((OR(MONTH(C135)=5,MONTH(C135)=6,MONTH(C135)=7,MONTH(C135)=8,MONTH(C135)=9)),Summary!$O$15*12*(AX135+AY135+AZ135+BA135)*(1-$BC135),Summary!$O$15*13*(AX135+AY135+AZ135+BA135)*(1-$BC135)+IF(Summary!$O$16="Yes",(CALC!FA135+Summary!$O$15)*6*(AX135+AY135+AZ135+BA135)*(1-$BC135),0)),0)</f>
        <v>0</v>
      </c>
      <c r="FI135" s="1412">
        <f>IF(MONTH(C135)=5,FI134*(IF(Summary!$E$70="no",(1+(Summary!$E$71*0.8)),1+HLOOKUP(YEAR(C135)-1,CCFMODEL!$I$127:$AF$128,2)*0.8)),+FI134)</f>
        <v>33.722769790466458</v>
      </c>
      <c r="FJ135" s="1411">
        <f>IF(MONTH(C135)=5,FJ134*(IF(Summary!$E$70="no",(1+(Summary!$E$71*0.8)),1+HLOOKUP(YEAR(CALC!C135)-1,CCFMODEL!$I$127:$AF$128,2)*0.8)),FJ134)</f>
        <v>29.474231864108479</v>
      </c>
      <c r="FK135" s="832">
        <f t="shared" si="72"/>
        <v>582957.09067534609</v>
      </c>
      <c r="FL135" s="1412">
        <f>IF(MONTH(C135)=5,FL134*(IF(Summary!$E$70="no",(1+(Summary!$E$71*0.8)),1+HLOOKUP(YEAR(CALC!C135)-1,CCFMODEL!$I$127:$AF$128,2)*0.8)),+FL134)</f>
        <v>70.922765562327072</v>
      </c>
      <c r="FM135" s="1411">
        <f>IF(MONTH(C135)=5,FM134*(IF(Summary!$E$70="no",(1+(Summary!$E$71*0.8)),1+HLOOKUP(YEAR(CALC!C135)-1,CCFMODEL!$I$127:$AF$128,2)*0.8)),+FM134)</f>
        <v>33.849214371608056</v>
      </c>
      <c r="FN135" s="832">
        <f t="shared" si="73"/>
        <v>594053.71222172142</v>
      </c>
      <c r="FO135" s="194">
        <f t="shared" si="105"/>
        <v>1177010.8028970675</v>
      </c>
      <c r="FP135" s="263">
        <f t="shared" si="125"/>
        <v>8865</v>
      </c>
      <c r="FQ135" s="194">
        <f t="shared" si="125"/>
        <v>2659.5</v>
      </c>
      <c r="FR135" s="194">
        <f t="shared" si="125"/>
        <v>1773</v>
      </c>
      <c r="FS135" s="194">
        <f t="shared" si="125"/>
        <v>531.9</v>
      </c>
      <c r="FT135" s="194">
        <f t="shared" si="125"/>
        <v>2659.5</v>
      </c>
      <c r="FU135" s="194">
        <f t="shared" si="125"/>
        <v>797.85</v>
      </c>
      <c r="FV135" s="257">
        <f t="shared" si="124"/>
        <v>0</v>
      </c>
      <c r="FW135" s="189">
        <f t="shared" si="74"/>
        <v>0</v>
      </c>
      <c r="FX135" s="189">
        <f t="shared" si="75"/>
        <v>0</v>
      </c>
      <c r="FY135" s="189">
        <f t="shared" si="76"/>
        <v>0</v>
      </c>
      <c r="FZ135" s="258">
        <f t="shared" si="77"/>
        <v>0</v>
      </c>
      <c r="GA135" s="1293">
        <f>(SUM(FP135:FV135)+SUM(GU135:HB135)/(1-Summary!$O$25))*CY135/1000</f>
        <v>227623.69042203596</v>
      </c>
      <c r="GB135" s="1369">
        <f>IF($C135&lt;Summary!$M$81,+Summary!$O$81,VLOOKUP(C135,GasTable,19))</f>
        <v>2.4</v>
      </c>
      <c r="GC135" s="1370">
        <f>IF(H135&lt;=Summary!$N$84,MIN(GA135,Summary!$O$75*(H135-G135+1)),0)</f>
        <v>150000</v>
      </c>
      <c r="GD135" s="1371">
        <f>IF(Summary!$O$75*(H135-G135+1)*0.8&gt;GC135,1,0)</f>
        <v>0</v>
      </c>
      <c r="GE135" s="1372">
        <v>0</v>
      </c>
      <c r="GF135" s="1370">
        <f t="shared" si="106"/>
        <v>77623.690422035957</v>
      </c>
      <c r="GG135" s="1371">
        <f>GF135*(IF(Summary!$O$74=1,VLOOKUP($C135,GasTable,16)+Summary!$O$92+Summary!$O$93,VLOOKUP($C135,GasTable,19)+Summary!$O$92+Summary!$O$93))</f>
        <v>278619.56884521386</v>
      </c>
      <c r="GH135" s="1373">
        <v>19458</v>
      </c>
      <c r="GI135" s="1466">
        <v>0</v>
      </c>
      <c r="GJ135" s="1374">
        <f t="shared" si="107"/>
        <v>658077.56884521386</v>
      </c>
      <c r="GK135" s="189">
        <f t="shared" si="78"/>
        <v>29092.270499999999</v>
      </c>
      <c r="GL135" s="266">
        <v>0.75719192625599996</v>
      </c>
      <c r="GM135" s="255">
        <f t="shared" si="79"/>
        <v>14730.000000000002</v>
      </c>
      <c r="GN135" s="189">
        <f>IF(SUM(GU135:HB135)=0,0,IF(Summary!$O$16="Yes",SUM(GX135:HB135),IF(Summary!$O$17="Yes",SUM(GY135:HB135),SUM(GU135:HB135))))</f>
        <v>11805.520499999999</v>
      </c>
      <c r="GO135" s="203">
        <v>3.1047411245431729</v>
      </c>
      <c r="GP135" s="258">
        <f t="shared" si="108"/>
        <v>36653.084992987475</v>
      </c>
      <c r="GQ135" s="189"/>
      <c r="GR135" s="189"/>
      <c r="GS135" s="189"/>
      <c r="GT135" s="189"/>
      <c r="GU135" s="268">
        <v>5132.835</v>
      </c>
      <c r="GV135" s="189">
        <v>1026.5670000000002</v>
      </c>
      <c r="GW135" s="189">
        <v>1539.8504999999998</v>
      </c>
      <c r="GX135" s="189"/>
      <c r="GY135" s="254">
        <v>2737.5120000000002</v>
      </c>
      <c r="GZ135" s="189">
        <v>547.50239999999997</v>
      </c>
      <c r="HA135" s="189">
        <v>821.25359999999989</v>
      </c>
      <c r="HB135" s="255"/>
      <c r="HC135" s="189">
        <v>11805.520499999999</v>
      </c>
      <c r="HD135" s="189"/>
      <c r="HE135" s="189">
        <v>20274.698249999998</v>
      </c>
      <c r="HF135" s="189">
        <v>596366.81335484353</v>
      </c>
      <c r="HG135" s="189"/>
      <c r="HH135" s="203">
        <v>50.218552803685824</v>
      </c>
      <c r="HI135" s="189">
        <v>1018166.0046464214</v>
      </c>
      <c r="HJ135" s="268">
        <f t="shared" si="80"/>
        <v>0</v>
      </c>
      <c r="HK135" s="189">
        <f t="shared" si="81"/>
        <v>0</v>
      </c>
      <c r="HL135" s="189">
        <f t="shared" si="82"/>
        <v>0</v>
      </c>
      <c r="HM135" s="255">
        <f t="shared" si="83"/>
        <v>0</v>
      </c>
      <c r="HN135" s="189">
        <f t="shared" si="84"/>
        <v>0</v>
      </c>
      <c r="HO135" s="203">
        <f t="shared" si="109"/>
        <v>0</v>
      </c>
      <c r="HP135" s="258">
        <f t="shared" si="85"/>
        <v>0</v>
      </c>
      <c r="HQ135" s="203"/>
      <c r="HR135" s="268"/>
      <c r="HS135" s="38"/>
      <c r="HT135" s="255"/>
      <c r="HU135" s="254"/>
      <c r="HV135" s="203"/>
      <c r="HW135" s="189"/>
      <c r="HX135" s="1020"/>
      <c r="HY135" s="258"/>
      <c r="HZ135" s="268"/>
      <c r="IA135" s="203"/>
      <c r="IB135" s="255"/>
      <c r="IC135" s="254"/>
      <c r="ID135" s="203"/>
      <c r="IE135" s="255"/>
      <c r="IF135" s="189"/>
      <c r="IG135" s="203"/>
      <c r="IH135" s="255"/>
      <c r="II135" s="189"/>
      <c r="IJ135" s="203"/>
      <c r="IK135" s="189"/>
      <c r="IL135" s="1182"/>
      <c r="IM135" s="1403"/>
      <c r="IN135" s="254"/>
      <c r="IO135" s="254"/>
      <c r="IP135" s="254"/>
      <c r="IQ135" s="254"/>
      <c r="IR135" s="223"/>
    </row>
    <row r="136" spans="1:252" ht="13.8" thickBot="1">
      <c r="A136" t="str">
        <f t="shared" si="86"/>
        <v>2009Q4</v>
      </c>
      <c r="B136">
        <f t="shared" si="87"/>
        <v>2009</v>
      </c>
      <c r="C136" s="49">
        <f t="shared" si="88"/>
        <v>40148</v>
      </c>
      <c r="D136" s="115">
        <f t="shared" si="89"/>
        <v>2009</v>
      </c>
      <c r="E136" s="10">
        <f t="shared" si="112"/>
        <v>12</v>
      </c>
      <c r="F136" s="248">
        <f t="shared" si="113"/>
        <v>40172</v>
      </c>
      <c r="G136" s="245">
        <v>40148</v>
      </c>
      <c r="H136" s="251">
        <v>40178</v>
      </c>
      <c r="I136" s="959">
        <f t="shared" si="110"/>
        <v>7.1499999999999994E-2</v>
      </c>
      <c r="J136" s="37">
        <f t="shared" si="90"/>
        <v>0.49187218076165934</v>
      </c>
      <c r="K136" s="1036"/>
      <c r="L136" s="37"/>
      <c r="M136" s="1004">
        <v>0</v>
      </c>
      <c r="N136" s="38">
        <f t="shared" si="122"/>
        <v>0</v>
      </c>
      <c r="O136" s="40">
        <f t="shared" si="122"/>
        <v>0</v>
      </c>
      <c r="P136" s="159">
        <f t="shared" si="117"/>
        <v>0</v>
      </c>
      <c r="Q136" s="38">
        <f t="shared" si="123"/>
        <v>0</v>
      </c>
      <c r="R136" s="40">
        <f t="shared" si="123"/>
        <v>0</v>
      </c>
      <c r="S136" s="38">
        <f t="shared" si="123"/>
        <v>0</v>
      </c>
      <c r="T136" s="38">
        <f t="shared" si="123"/>
        <v>0</v>
      </c>
      <c r="U136" s="38">
        <f t="shared" si="123"/>
        <v>0</v>
      </c>
      <c r="V136" s="159">
        <f t="shared" si="123"/>
        <v>0</v>
      </c>
      <c r="W136" s="38">
        <f t="shared" si="123"/>
        <v>0</v>
      </c>
      <c r="X136" s="39">
        <f t="shared" si="123"/>
        <v>0</v>
      </c>
      <c r="Y136" s="46">
        <v>0</v>
      </c>
      <c r="Z136" s="46">
        <v>0</v>
      </c>
      <c r="AA136" s="47">
        <v>0</v>
      </c>
      <c r="AB136" s="46">
        <v>0</v>
      </c>
      <c r="AC136" s="46">
        <v>0</v>
      </c>
      <c r="AD136" s="47">
        <v>0</v>
      </c>
      <c r="AE136" s="46">
        <v>0</v>
      </c>
      <c r="AF136" s="46">
        <v>0</v>
      </c>
      <c r="AG136" s="47">
        <v>0</v>
      </c>
      <c r="AH136" s="46">
        <v>0</v>
      </c>
      <c r="AI136" s="46">
        <v>0</v>
      </c>
      <c r="AJ136" s="47">
        <v>0</v>
      </c>
      <c r="AK136" s="46">
        <v>0</v>
      </c>
      <c r="AL136" s="46">
        <v>0</v>
      </c>
      <c r="AM136" s="47">
        <v>0</v>
      </c>
      <c r="AN136" s="46">
        <v>0</v>
      </c>
      <c r="AO136" s="46">
        <v>0</v>
      </c>
      <c r="AP136" s="47">
        <v>0</v>
      </c>
      <c r="AQ136" s="46">
        <v>0</v>
      </c>
      <c r="AR136" s="46">
        <v>0</v>
      </c>
      <c r="AS136" s="47">
        <v>0</v>
      </c>
      <c r="AT136" s="46">
        <v>0</v>
      </c>
      <c r="AU136" s="46">
        <v>0</v>
      </c>
      <c r="AV136" s="46">
        <v>0</v>
      </c>
      <c r="AW136" s="1545">
        <v>0</v>
      </c>
      <c r="AX136" s="10">
        <f t="shared" si="114"/>
        <v>22</v>
      </c>
      <c r="AY136" s="42">
        <f>IF(AND($E136=MONTH(Summary!$E$24),$D136=YEAR(Summary!$E$24)),Summary!$E$25,1)*IF(G136="",0,INT((H136-MOD(H136,7)-G136)/7)+1-IF(BA136,IF(WEEKDAY(F136)=7,1,0),0))</f>
        <v>4</v>
      </c>
      <c r="AZ136" s="42">
        <f>IF(AND($E136=MONTH(Summary!$E$24),$D136=YEAR(Summary!$E$24)),Summary!$E$25,1)*IF(G136="",0,INT((H136-MOD(H136-1,7)-G136)/7)+1-IF(BA136,IF(WEEKDAY(F136)=1,1,0),0))</f>
        <v>4</v>
      </c>
      <c r="BA136" s="42">
        <v>1</v>
      </c>
      <c r="BB136" s="10">
        <f>IF(AND($E136=MONTH(Summary!$E$24),$D136=YEAR(Summary!$E$24)),Summary!$E$25,1)*IF(G136="",0,H136-G136+1)</f>
        <v>31</v>
      </c>
      <c r="BC136" s="914">
        <f>Summary!$E$19</f>
        <v>1.4999999999999999E-2</v>
      </c>
      <c r="BD136" s="113">
        <v>15602.4</v>
      </c>
      <c r="BE136" s="171">
        <v>2836.8</v>
      </c>
      <c r="BF136" s="171">
        <v>3546</v>
      </c>
      <c r="BG136" s="174"/>
      <c r="BH136" s="1198">
        <v>1</v>
      </c>
      <c r="BI136" s="1198">
        <v>1</v>
      </c>
      <c r="BJ136" s="1198">
        <v>1</v>
      </c>
      <c r="BK136" s="1198">
        <v>1</v>
      </c>
      <c r="BL136" s="95">
        <v>3120.48</v>
      </c>
      <c r="BM136" s="171">
        <v>567.36</v>
      </c>
      <c r="BN136" s="171">
        <v>709.2</v>
      </c>
      <c r="BO136" s="174"/>
      <c r="BP136" s="1198">
        <v>1</v>
      </c>
      <c r="BQ136" s="1199">
        <v>1</v>
      </c>
      <c r="BR136" s="1199">
        <v>1</v>
      </c>
      <c r="BS136" s="1200">
        <v>1</v>
      </c>
      <c r="BT136" s="94">
        <f t="shared" si="91"/>
        <v>21985.200000000001</v>
      </c>
      <c r="BU136" s="233">
        <f t="shared" si="92"/>
        <v>21985.200000000001</v>
      </c>
      <c r="BV136" s="92">
        <f t="shared" si="93"/>
        <v>4397.04</v>
      </c>
      <c r="BW136" s="233">
        <f t="shared" si="94"/>
        <v>4397.04</v>
      </c>
      <c r="BX136" s="88">
        <v>9.9630390143737166</v>
      </c>
      <c r="BY136" s="90">
        <v>0</v>
      </c>
      <c r="BZ136" s="88">
        <v>0</v>
      </c>
      <c r="CA136" s="88">
        <v>0</v>
      </c>
      <c r="CB136" s="88">
        <v>0</v>
      </c>
      <c r="CC136" s="88">
        <v>0</v>
      </c>
      <c r="CD136" s="88">
        <v>0</v>
      </c>
      <c r="CE136" s="100">
        <v>0</v>
      </c>
      <c r="CF136" s="88">
        <v>0</v>
      </c>
      <c r="CG136" s="88">
        <v>0</v>
      </c>
      <c r="CH136" s="88">
        <v>0</v>
      </c>
      <c r="CI136" s="88">
        <v>0</v>
      </c>
      <c r="CJ136" s="228">
        <v>0</v>
      </c>
      <c r="CK136" s="88">
        <v>0</v>
      </c>
      <c r="CL136" s="88">
        <v>0</v>
      </c>
      <c r="CM136" s="88">
        <v>0</v>
      </c>
      <c r="CN136" s="88">
        <v>0</v>
      </c>
      <c r="CO136" s="88">
        <v>0</v>
      </c>
      <c r="CP136" s="88">
        <v>0</v>
      </c>
      <c r="CQ136" s="229">
        <v>0</v>
      </c>
      <c r="CR136" s="91">
        <v>0</v>
      </c>
      <c r="CS136" s="91">
        <v>0</v>
      </c>
      <c r="CT136" s="91">
        <v>0</v>
      </c>
      <c r="CU136" s="91">
        <v>0</v>
      </c>
      <c r="CV136" s="91">
        <v>0</v>
      </c>
      <c r="CW136" s="91">
        <v>0</v>
      </c>
      <c r="CX136" s="225">
        <v>0</v>
      </c>
      <c r="CY136" s="1265">
        <v>7712.7430399999994</v>
      </c>
      <c r="CZ136" s="90">
        <v>0</v>
      </c>
      <c r="DA136" s="88">
        <v>0</v>
      </c>
      <c r="DB136" s="88">
        <v>0</v>
      </c>
      <c r="DC136" s="88">
        <v>0</v>
      </c>
      <c r="DD136" s="88">
        <v>0</v>
      </c>
      <c r="DE136" s="152">
        <v>0</v>
      </c>
      <c r="DF136" s="230">
        <v>0</v>
      </c>
      <c r="DG136" s="38">
        <v>0</v>
      </c>
      <c r="DH136" s="1237">
        <v>0</v>
      </c>
      <c r="DI136" s="956">
        <v>0</v>
      </c>
      <c r="DJ136" s="956">
        <v>0</v>
      </c>
      <c r="DK136" s="956">
        <v>0</v>
      </c>
      <c r="DL136" s="152">
        <v>0</v>
      </c>
      <c r="DM136" s="160">
        <v>0</v>
      </c>
      <c r="DN136" s="160">
        <v>0</v>
      </c>
      <c r="DO136" s="160">
        <v>0</v>
      </c>
      <c r="DP136" s="160">
        <v>0</v>
      </c>
      <c r="DQ136" s="160">
        <v>0</v>
      </c>
      <c r="DR136" s="230">
        <v>0</v>
      </c>
      <c r="DS136" s="88">
        <v>0</v>
      </c>
      <c r="DT136" s="88">
        <v>0</v>
      </c>
      <c r="DU136" s="88">
        <v>0</v>
      </c>
      <c r="DV136" s="88">
        <v>0</v>
      </c>
      <c r="DW136" s="88">
        <v>0</v>
      </c>
      <c r="DX136" s="88">
        <v>0</v>
      </c>
      <c r="DY136" s="88">
        <v>0</v>
      </c>
      <c r="DZ136" s="88">
        <v>0</v>
      </c>
      <c r="EA136" s="88">
        <v>0</v>
      </c>
      <c r="EB136" s="152">
        <v>0</v>
      </c>
      <c r="EC136" s="52">
        <f t="shared" si="95"/>
        <v>0</v>
      </c>
      <c r="ED136" s="52">
        <f t="shared" si="95"/>
        <v>0</v>
      </c>
      <c r="EE136" s="52">
        <f t="shared" si="95"/>
        <v>0</v>
      </c>
      <c r="EF136" s="52">
        <f t="shared" si="71"/>
        <v>0</v>
      </c>
      <c r="EG136" s="52">
        <f t="shared" si="96"/>
        <v>0</v>
      </c>
      <c r="EH136" s="238">
        <v>0</v>
      </c>
      <c r="EI136" s="211">
        <v>0</v>
      </c>
      <c r="EJ136" s="211">
        <v>0</v>
      </c>
      <c r="EK136" s="211">
        <v>0</v>
      </c>
      <c r="EL136" s="217">
        <f>IF(C136&gt;=Summary!$E$26,MAX(0,SUM(EH136:EK136)),0)</f>
        <v>0</v>
      </c>
      <c r="EM136" s="52">
        <f>IF(C136&gt;=Summary!$E$26,DX136*BL136,0)</f>
        <v>0</v>
      </c>
      <c r="EN136" s="52">
        <f>IF(C136&gt;=Summary!$E$26,DY136*BM136,0)</f>
        <v>0</v>
      </c>
      <c r="EO136" s="52">
        <f>IF(C136&gt;=Summary!$E$26,DZ136*BN136,0)</f>
        <v>0</v>
      </c>
      <c r="EP136" s="52">
        <f>IF(C136&gt;=Summary!$E$26,EA136*BO136,0)</f>
        <v>0</v>
      </c>
      <c r="EQ136" s="52">
        <f>IF(C136&gt;=Summary!$E$26,DX136*BL136+DY136*BM136+DZ136*BN136+EA136*BO136,0)</f>
        <v>0</v>
      </c>
      <c r="ER136" s="826">
        <v>0</v>
      </c>
      <c r="ES136" s="278">
        <v>0</v>
      </c>
      <c r="ET136" s="278">
        <v>0</v>
      </c>
      <c r="EU136" s="278">
        <v>0</v>
      </c>
      <c r="EV136" s="212">
        <f>IF(C136&gt;=Summary!$E$26,MAX(0,SUM(ER136:EU136)),0)</f>
        <v>0</v>
      </c>
      <c r="EW136" s="52"/>
      <c r="EX136" s="1049">
        <f t="shared" si="97"/>
        <v>0</v>
      </c>
      <c r="EY136" s="1045" t="str">
        <f t="shared" si="98"/>
        <v/>
      </c>
      <c r="EZ136" s="1684" t="s">
        <v>525</v>
      </c>
      <c r="FA136" s="1046">
        <f t="shared" si="111"/>
        <v>45</v>
      </c>
      <c r="FB136" s="256">
        <f t="shared" si="99"/>
        <v>9751.5</v>
      </c>
      <c r="FC136" s="194">
        <f t="shared" si="100"/>
        <v>2925.45</v>
      </c>
      <c r="FD136" s="194">
        <f t="shared" si="101"/>
        <v>1773</v>
      </c>
      <c r="FE136" s="194">
        <f t="shared" si="102"/>
        <v>531.9</v>
      </c>
      <c r="FF136" s="194">
        <f t="shared" si="103"/>
        <v>2216.25</v>
      </c>
      <c r="FG136" s="194">
        <f t="shared" si="104"/>
        <v>664.875</v>
      </c>
      <c r="FH136" s="257">
        <f>IF(EZ136="No",IF((OR(MONTH(C136)=5,MONTH(C136)=6,MONTH(C136)=7,MONTH(C136)=8,MONTH(C136)=9)),Summary!$O$15*12*(AX136+AY136+AZ136+BA136)*(1-$BC136),Summary!$O$15*13*(AX136+AY136+AZ136+BA136)*(1-$BC136)+IF(Summary!$O$16="Yes",(CALC!FA136+Summary!$O$15)*6*(AX136+AY136+AZ136+BA136)*(1-$BC136),0)),0)</f>
        <v>0</v>
      </c>
      <c r="FI136" s="1412">
        <f>IF(MONTH(C136)=5,FI135*(IF(Summary!$E$70="no",(1+(Summary!$E$71*0.8)),1+HLOOKUP(YEAR(C136)-1,CCFMODEL!$I$127:$AF$128,2)*0.8)),+FI135)</f>
        <v>33.722769790466458</v>
      </c>
      <c r="FJ136" s="1411">
        <f>IF(MONTH(C136)=5,FJ135*(IF(Summary!$E$70="no",(1+(Summary!$E$71*0.8)),1+HLOOKUP(YEAR(CALC!C136)-1,CCFMODEL!$I$127:$AF$128,2)*0.8)),FJ135)</f>
        <v>29.474231864108479</v>
      </c>
      <c r="FK136" s="832">
        <f t="shared" si="72"/>
        <v>602388.99369785748</v>
      </c>
      <c r="FL136" s="1412">
        <f>IF(MONTH(C136)=5,FL135*(IF(Summary!$E$70="no",(1+(Summary!$E$71*0.8)),1+HLOOKUP(YEAR(CALC!C136)-1,CCFMODEL!$I$127:$AF$128,2)*0.8)),+FL135)</f>
        <v>70.922765562327072</v>
      </c>
      <c r="FM136" s="1411">
        <f>IF(MONTH(C136)=5,FM135*(IF(Summary!$E$70="no",(1+(Summary!$E$71*0.8)),1+HLOOKUP(YEAR(CALC!C136)-1,CCFMODEL!$I$127:$AF$128,2)*0.8)),+FM135)</f>
        <v>33.849214371608056</v>
      </c>
      <c r="FN136" s="832">
        <f t="shared" si="73"/>
        <v>613855.5026291121</v>
      </c>
      <c r="FO136" s="194">
        <f t="shared" si="105"/>
        <v>1216244.4963269695</v>
      </c>
      <c r="FP136" s="263">
        <f t="shared" si="125"/>
        <v>9751.5</v>
      </c>
      <c r="FQ136" s="194">
        <f t="shared" si="125"/>
        <v>2925.45</v>
      </c>
      <c r="FR136" s="194">
        <f t="shared" si="125"/>
        <v>1773</v>
      </c>
      <c r="FS136" s="194">
        <f t="shared" si="125"/>
        <v>531.9</v>
      </c>
      <c r="FT136" s="194">
        <f t="shared" si="125"/>
        <v>2216.25</v>
      </c>
      <c r="FU136" s="194">
        <f t="shared" si="125"/>
        <v>664.875</v>
      </c>
      <c r="FV136" s="257">
        <f t="shared" si="124"/>
        <v>0</v>
      </c>
      <c r="FW136" s="189">
        <f t="shared" si="74"/>
        <v>0</v>
      </c>
      <c r="FX136" s="189">
        <f t="shared" si="75"/>
        <v>0</v>
      </c>
      <c r="FY136" s="189">
        <f t="shared" si="76"/>
        <v>0</v>
      </c>
      <c r="FZ136" s="258">
        <f t="shared" si="77"/>
        <v>0</v>
      </c>
      <c r="GA136" s="1293">
        <f>(SUM(FP136:FV136)+SUM(GU136:HB136)/(1-Summary!$O$25))*CY136/1000</f>
        <v>235273.10011767354</v>
      </c>
      <c r="GB136" s="1369">
        <f>IF($C136&lt;Summary!$M$81,+Summary!$O$81,VLOOKUP(C136,GasTable,19))</f>
        <v>2.4</v>
      </c>
      <c r="GC136" s="1370">
        <f>IF(H136&lt;=Summary!$N$84,MIN(GA136,Summary!$O$75*(H136-G136+1)),0)</f>
        <v>155000</v>
      </c>
      <c r="GD136" s="1371">
        <f>IF(Summary!$O$75*(H136-G136+1)*0.8&gt;GC136,1,0)</f>
        <v>0</v>
      </c>
      <c r="GE136" s="1372">
        <v>0</v>
      </c>
      <c r="GF136" s="1370">
        <f t="shared" si="106"/>
        <v>80273.100117673544</v>
      </c>
      <c r="GG136" s="1371">
        <f>GF136*(IF(Summary!$O$74=1,VLOOKUP($C136,GasTable,16)+Summary!$O$92+Summary!$O$93,VLOOKUP($C136,GasTable,19)+Summary!$O$92+Summary!$O$93))</f>
        <v>300206.97661546856</v>
      </c>
      <c r="GH136" s="1373">
        <v>20559.2</v>
      </c>
      <c r="GI136" s="1466">
        <v>0</v>
      </c>
      <c r="GJ136" s="1374">
        <f t="shared" si="107"/>
        <v>692766.17661546846</v>
      </c>
      <c r="GK136" s="189">
        <f t="shared" si="78"/>
        <v>30062.012850000003</v>
      </c>
      <c r="GL136" s="266">
        <v>0.75739136652799999</v>
      </c>
      <c r="GM136" s="255">
        <f t="shared" si="79"/>
        <v>15221.000000000002</v>
      </c>
      <c r="GN136" s="189">
        <f>IF(SUM(GU136:HB136)=0,0,IF(Summary!$O$16="Yes",SUM(GX136:HB136),IF(Summary!$O$17="Yes",SUM(GY136:HB136),SUM(GU136:HB136))))</f>
        <v>12199.037849999999</v>
      </c>
      <c r="GO136" s="203">
        <v>3.1047411245431729</v>
      </c>
      <c r="GP136" s="258">
        <f t="shared" si="108"/>
        <v>37874.854492753722</v>
      </c>
      <c r="GQ136" s="189"/>
      <c r="GR136" s="189"/>
      <c r="GS136" s="189"/>
      <c r="GT136" s="189"/>
      <c r="GU136" s="268">
        <v>5646.1184999999996</v>
      </c>
      <c r="GV136" s="189">
        <v>1026.5670000000002</v>
      </c>
      <c r="GW136" s="189">
        <v>1283.20875</v>
      </c>
      <c r="GX136" s="189"/>
      <c r="GY136" s="254">
        <v>3011.2631999999999</v>
      </c>
      <c r="GZ136" s="189">
        <v>547.50239999999997</v>
      </c>
      <c r="HA136" s="189">
        <v>684.37800000000004</v>
      </c>
      <c r="HB136" s="255"/>
      <c r="HC136" s="189">
        <v>12199.037849999999</v>
      </c>
      <c r="HD136" s="189"/>
      <c r="HE136" s="189">
        <v>20950.521524999996</v>
      </c>
      <c r="HF136" s="189">
        <v>568837.32773075253</v>
      </c>
      <c r="HG136" s="189"/>
      <c r="HH136" s="203">
        <v>46.328797810555905</v>
      </c>
      <c r="HI136" s="189">
        <v>970612.47575742425</v>
      </c>
      <c r="HJ136" s="268">
        <f t="shared" si="80"/>
        <v>0</v>
      </c>
      <c r="HK136" s="189">
        <f t="shared" si="81"/>
        <v>0</v>
      </c>
      <c r="HL136" s="189">
        <f t="shared" si="82"/>
        <v>0</v>
      </c>
      <c r="HM136" s="255">
        <f t="shared" si="83"/>
        <v>0</v>
      </c>
      <c r="HN136" s="189">
        <f t="shared" si="84"/>
        <v>0</v>
      </c>
      <c r="HO136" s="203">
        <f t="shared" si="109"/>
        <v>0</v>
      </c>
      <c r="HP136" s="258">
        <f t="shared" si="85"/>
        <v>0</v>
      </c>
      <c r="HQ136" s="203"/>
      <c r="HR136" s="268"/>
      <c r="HS136" s="38"/>
      <c r="HT136" s="255"/>
      <c r="HU136" s="254"/>
      <c r="HV136" s="203"/>
      <c r="HW136" s="189"/>
      <c r="HX136" s="1020"/>
      <c r="HY136" s="258"/>
      <c r="HZ136" s="268"/>
      <c r="IA136" s="203"/>
      <c r="IB136" s="255"/>
      <c r="IC136" s="254"/>
      <c r="ID136" s="203"/>
      <c r="IE136" s="255"/>
      <c r="IF136" s="189"/>
      <c r="IG136" s="203"/>
      <c r="IH136" s="255"/>
      <c r="II136" s="189"/>
      <c r="IJ136" s="203"/>
      <c r="IK136" s="189"/>
      <c r="IL136" s="1182"/>
      <c r="IM136" s="1403"/>
      <c r="IN136" s="254"/>
      <c r="IO136" s="254"/>
      <c r="IP136" s="254"/>
      <c r="IQ136" s="254"/>
      <c r="IR136" s="223"/>
    </row>
    <row r="137" spans="1:252" ht="13.8" thickBot="1">
      <c r="A137" t="str">
        <f t="shared" si="86"/>
        <v>2010Q1</v>
      </c>
      <c r="B137">
        <f t="shared" si="87"/>
        <v>2010</v>
      </c>
      <c r="C137" s="49">
        <f t="shared" si="88"/>
        <v>40179</v>
      </c>
      <c r="D137" s="115">
        <f t="shared" si="89"/>
        <v>2010</v>
      </c>
      <c r="E137" s="10">
        <f t="shared" si="112"/>
        <v>1</v>
      </c>
      <c r="F137" s="248">
        <f t="shared" si="113"/>
        <v>40179</v>
      </c>
      <c r="G137" s="245">
        <v>40179</v>
      </c>
      <c r="H137" s="251">
        <v>40209</v>
      </c>
      <c r="I137" s="959">
        <f t="shared" si="110"/>
        <v>7.1499999999999994E-2</v>
      </c>
      <c r="J137" s="37">
        <f t="shared" si="90"/>
        <v>0.48894812346099581</v>
      </c>
      <c r="K137" s="1036"/>
      <c r="L137" s="37"/>
      <c r="M137" s="1004">
        <v>0</v>
      </c>
      <c r="N137" s="38">
        <f t="shared" si="122"/>
        <v>0</v>
      </c>
      <c r="O137" s="40">
        <f t="shared" si="122"/>
        <v>0</v>
      </c>
      <c r="P137" s="159">
        <f t="shared" si="117"/>
        <v>0</v>
      </c>
      <c r="Q137" s="38">
        <f t="shared" si="123"/>
        <v>0</v>
      </c>
      <c r="R137" s="40">
        <f t="shared" si="123"/>
        <v>0</v>
      </c>
      <c r="S137" s="38">
        <f t="shared" si="123"/>
        <v>0</v>
      </c>
      <c r="T137" s="38">
        <f t="shared" si="123"/>
        <v>0</v>
      </c>
      <c r="U137" s="38">
        <f t="shared" si="123"/>
        <v>0</v>
      </c>
      <c r="V137" s="159">
        <f t="shared" si="123"/>
        <v>0</v>
      </c>
      <c r="W137" s="38">
        <f t="shared" si="123"/>
        <v>0</v>
      </c>
      <c r="X137" s="39">
        <f t="shared" si="123"/>
        <v>0</v>
      </c>
      <c r="Y137" s="46">
        <v>0</v>
      </c>
      <c r="Z137" s="46">
        <v>0</v>
      </c>
      <c r="AA137" s="47">
        <v>0</v>
      </c>
      <c r="AB137" s="46">
        <v>0</v>
      </c>
      <c r="AC137" s="46">
        <v>0</v>
      </c>
      <c r="AD137" s="47">
        <v>0</v>
      </c>
      <c r="AE137" s="46">
        <v>0</v>
      </c>
      <c r="AF137" s="46">
        <v>0</v>
      </c>
      <c r="AG137" s="47">
        <v>0</v>
      </c>
      <c r="AH137" s="46">
        <v>0</v>
      </c>
      <c r="AI137" s="46">
        <v>0</v>
      </c>
      <c r="AJ137" s="47">
        <v>0</v>
      </c>
      <c r="AK137" s="46">
        <v>0</v>
      </c>
      <c r="AL137" s="46">
        <v>0</v>
      </c>
      <c r="AM137" s="47">
        <v>0</v>
      </c>
      <c r="AN137" s="46">
        <v>0</v>
      </c>
      <c r="AO137" s="46">
        <v>0</v>
      </c>
      <c r="AP137" s="47">
        <v>0</v>
      </c>
      <c r="AQ137" s="46">
        <v>0</v>
      </c>
      <c r="AR137" s="46">
        <v>0</v>
      </c>
      <c r="AS137" s="47">
        <v>0</v>
      </c>
      <c r="AT137" s="46">
        <v>0</v>
      </c>
      <c r="AU137" s="46">
        <v>0</v>
      </c>
      <c r="AV137" s="46">
        <v>0</v>
      </c>
      <c r="AW137" s="1545">
        <v>0</v>
      </c>
      <c r="AX137" s="10">
        <f t="shared" si="114"/>
        <v>20</v>
      </c>
      <c r="AY137" s="42">
        <f>IF(AND($E137=MONTH(Summary!$E$24),$D137=YEAR(Summary!$E$24)),Summary!$E$25,1)*IF(G137="",0,INT((H137-MOD(H137,7)-G137)/7)+1-IF(BA137,IF(WEEKDAY(F137)=7,1,0),0))</f>
        <v>5</v>
      </c>
      <c r="AZ137" s="42">
        <f>IF(AND($E137=MONTH(Summary!$E$24),$D137=YEAR(Summary!$E$24)),Summary!$E$25,1)*IF(G137="",0,INT((H137-MOD(H137-1,7)-G137)/7)+1-IF(BA137,IF(WEEKDAY(F137)=1,1,0),0))</f>
        <v>5</v>
      </c>
      <c r="BA137" s="42">
        <v>1</v>
      </c>
      <c r="BB137" s="10">
        <f>IF(AND($E137=MONTH(Summary!$E$24),$D137=YEAR(Summary!$E$24)),Summary!$E$25,1)*IF(G137="",0,H137-G137+1)</f>
        <v>31</v>
      </c>
      <c r="BC137" s="914">
        <f>Summary!$E$19</f>
        <v>1.4999999999999999E-2</v>
      </c>
      <c r="BD137" s="113">
        <v>14184</v>
      </c>
      <c r="BE137" s="171">
        <v>3546</v>
      </c>
      <c r="BF137" s="171">
        <v>4255.2</v>
      </c>
      <c r="BG137" s="174"/>
      <c r="BH137" s="1198">
        <v>1</v>
      </c>
      <c r="BI137" s="1198">
        <v>1</v>
      </c>
      <c r="BJ137" s="1198">
        <v>1</v>
      </c>
      <c r="BK137" s="1198">
        <v>1</v>
      </c>
      <c r="BL137" s="95">
        <v>2836.8</v>
      </c>
      <c r="BM137" s="171">
        <v>709.2</v>
      </c>
      <c r="BN137" s="171">
        <v>851.04</v>
      </c>
      <c r="BO137" s="174"/>
      <c r="BP137" s="1198">
        <v>1</v>
      </c>
      <c r="BQ137" s="1199">
        <v>1</v>
      </c>
      <c r="BR137" s="1199">
        <v>1</v>
      </c>
      <c r="BS137" s="1200">
        <v>1</v>
      </c>
      <c r="BT137" s="94">
        <f t="shared" si="91"/>
        <v>21985.200000000001</v>
      </c>
      <c r="BU137" s="233">
        <f t="shared" si="92"/>
        <v>21985.200000000001</v>
      </c>
      <c r="BV137" s="92">
        <f t="shared" si="93"/>
        <v>4397.04</v>
      </c>
      <c r="BW137" s="233">
        <f t="shared" si="94"/>
        <v>4397.04</v>
      </c>
      <c r="BX137" s="88">
        <v>10.047912388774812</v>
      </c>
      <c r="BY137" s="90">
        <v>0</v>
      </c>
      <c r="BZ137" s="88">
        <v>0</v>
      </c>
      <c r="CA137" s="88">
        <v>0</v>
      </c>
      <c r="CB137" s="88">
        <v>0</v>
      </c>
      <c r="CC137" s="88">
        <v>0</v>
      </c>
      <c r="CD137" s="88">
        <v>0</v>
      </c>
      <c r="CE137" s="100">
        <v>0</v>
      </c>
      <c r="CF137" s="88">
        <v>0</v>
      </c>
      <c r="CG137" s="88">
        <v>0</v>
      </c>
      <c r="CH137" s="88">
        <v>0</v>
      </c>
      <c r="CI137" s="88">
        <v>0</v>
      </c>
      <c r="CJ137" s="228">
        <v>0</v>
      </c>
      <c r="CK137" s="88">
        <v>0</v>
      </c>
      <c r="CL137" s="88">
        <v>0</v>
      </c>
      <c r="CM137" s="88">
        <v>0</v>
      </c>
      <c r="CN137" s="88">
        <v>0</v>
      </c>
      <c r="CO137" s="88">
        <v>0</v>
      </c>
      <c r="CP137" s="88">
        <v>0</v>
      </c>
      <c r="CQ137" s="229">
        <v>0</v>
      </c>
      <c r="CR137" s="91">
        <v>0</v>
      </c>
      <c r="CS137" s="91">
        <v>0</v>
      </c>
      <c r="CT137" s="91">
        <v>0</v>
      </c>
      <c r="CU137" s="91">
        <v>0</v>
      </c>
      <c r="CV137" s="91">
        <v>0</v>
      </c>
      <c r="CW137" s="91">
        <v>0</v>
      </c>
      <c r="CX137" s="225">
        <v>0</v>
      </c>
      <c r="CY137" s="1265">
        <v>7714.7740000000003</v>
      </c>
      <c r="CZ137" s="90">
        <v>0</v>
      </c>
      <c r="DA137" s="88">
        <v>0</v>
      </c>
      <c r="DB137" s="88">
        <v>0</v>
      </c>
      <c r="DC137" s="88">
        <v>0</v>
      </c>
      <c r="DD137" s="88">
        <v>0</v>
      </c>
      <c r="DE137" s="152">
        <v>0</v>
      </c>
      <c r="DF137" s="230">
        <v>0</v>
      </c>
      <c r="DG137" s="38">
        <v>0</v>
      </c>
      <c r="DH137" s="1237">
        <v>0</v>
      </c>
      <c r="DI137" s="956">
        <v>0</v>
      </c>
      <c r="DJ137" s="956">
        <v>0</v>
      </c>
      <c r="DK137" s="956">
        <v>0</v>
      </c>
      <c r="DL137" s="152">
        <v>0</v>
      </c>
      <c r="DM137" s="160">
        <v>0</v>
      </c>
      <c r="DN137" s="160">
        <v>0</v>
      </c>
      <c r="DO137" s="160">
        <v>0</v>
      </c>
      <c r="DP137" s="160">
        <v>0</v>
      </c>
      <c r="DQ137" s="160">
        <v>0</v>
      </c>
      <c r="DR137" s="230">
        <v>0</v>
      </c>
      <c r="DS137" s="88">
        <v>0</v>
      </c>
      <c r="DT137" s="88">
        <v>0</v>
      </c>
      <c r="DU137" s="88">
        <v>0</v>
      </c>
      <c r="DV137" s="88">
        <v>0</v>
      </c>
      <c r="DW137" s="88">
        <v>0</v>
      </c>
      <c r="DX137" s="88">
        <v>0</v>
      </c>
      <c r="DY137" s="88">
        <v>0</v>
      </c>
      <c r="DZ137" s="88">
        <v>0</v>
      </c>
      <c r="EA137" s="88">
        <v>0</v>
      </c>
      <c r="EB137" s="152">
        <v>0</v>
      </c>
      <c r="EC137" s="52">
        <f t="shared" si="95"/>
        <v>0</v>
      </c>
      <c r="ED137" s="52">
        <f t="shared" si="95"/>
        <v>0</v>
      </c>
      <c r="EE137" s="52">
        <f t="shared" si="95"/>
        <v>0</v>
      </c>
      <c r="EF137" s="52">
        <f t="shared" si="71"/>
        <v>0</v>
      </c>
      <c r="EG137" s="52">
        <f t="shared" si="96"/>
        <v>0</v>
      </c>
      <c r="EH137" s="238">
        <v>0</v>
      </c>
      <c r="EI137" s="211">
        <v>0</v>
      </c>
      <c r="EJ137" s="211">
        <v>0</v>
      </c>
      <c r="EK137" s="211">
        <v>0</v>
      </c>
      <c r="EL137" s="217">
        <f>IF(C137&gt;=Summary!$E$26,MAX(0,SUM(EH137:EK137)),0)</f>
        <v>0</v>
      </c>
      <c r="EM137" s="52">
        <f>IF(C137&gt;=Summary!$E$26,DX137*BL137,0)</f>
        <v>0</v>
      </c>
      <c r="EN137" s="52">
        <f>IF(C137&gt;=Summary!$E$26,DY137*BM137,0)</f>
        <v>0</v>
      </c>
      <c r="EO137" s="52">
        <f>IF(C137&gt;=Summary!$E$26,DZ137*BN137,0)</f>
        <v>0</v>
      </c>
      <c r="EP137" s="52">
        <f>IF(C137&gt;=Summary!$E$26,EA137*BO137,0)</f>
        <v>0</v>
      </c>
      <c r="EQ137" s="52">
        <f>IF(C137&gt;=Summary!$E$26,DX137*BL137+DY137*BM137+DZ137*BN137+EA137*BO137,0)</f>
        <v>0</v>
      </c>
      <c r="ER137" s="826">
        <v>0</v>
      </c>
      <c r="ES137" s="278">
        <v>0</v>
      </c>
      <c r="ET137" s="278">
        <v>0</v>
      </c>
      <c r="EU137" s="278">
        <v>0</v>
      </c>
      <c r="EV137" s="212">
        <f>IF(C137&gt;=Summary!$E$26,MAX(0,SUM(ER137:EU137)),0)</f>
        <v>0</v>
      </c>
      <c r="EW137" s="52"/>
      <c r="EX137" s="1049">
        <f t="shared" si="97"/>
        <v>0</v>
      </c>
      <c r="EY137" s="1045" t="str">
        <f t="shared" si="98"/>
        <v/>
      </c>
      <c r="EZ137" s="1684" t="s">
        <v>525</v>
      </c>
      <c r="FA137" s="1046">
        <f t="shared" si="111"/>
        <v>45</v>
      </c>
      <c r="FB137" s="256">
        <f t="shared" si="99"/>
        <v>8865</v>
      </c>
      <c r="FC137" s="194">
        <f t="shared" si="100"/>
        <v>2659.5</v>
      </c>
      <c r="FD137" s="194">
        <f t="shared" si="101"/>
        <v>2216.25</v>
      </c>
      <c r="FE137" s="194">
        <f t="shared" si="102"/>
        <v>664.875</v>
      </c>
      <c r="FF137" s="194">
        <f t="shared" si="103"/>
        <v>2659.5</v>
      </c>
      <c r="FG137" s="194">
        <f t="shared" si="104"/>
        <v>797.85</v>
      </c>
      <c r="FH137" s="257">
        <f>IF(EZ137="No",IF((OR(MONTH(C137)=5,MONTH(C137)=6,MONTH(C137)=7,MONTH(C137)=8,MONTH(C137)=9)),Summary!$O$15*12*(AX137+AY137+AZ137+BA137)*(1-$BC137),Summary!$O$15*13*(AX137+AY137+AZ137+BA137)*(1-$BC137)+IF(Summary!$O$16="Yes",(CALC!FA137+Summary!$O$15)*6*(AX137+AY137+AZ137+BA137)*(1-$BC137),0)),0)</f>
        <v>0</v>
      </c>
      <c r="FI137" s="1412">
        <f>IF(MONTH(C137)=5,FI136*(IF(Summary!$E$70="no",(1+(Summary!$E$71*0.8)),1+HLOOKUP(YEAR(C137)-1,CCFMODEL!$I$127:$AF$128,2)*0.8)),+FI136)</f>
        <v>33.722769790466458</v>
      </c>
      <c r="FJ137" s="1411">
        <f>IF(MONTH(C137)=5,FJ136*(IF(Summary!$E$70="no",(1+(Summary!$E$71*0.8)),1+HLOOKUP(YEAR(CALC!C137)-1,CCFMODEL!$I$127:$AF$128,2)*0.8)),FJ136)</f>
        <v>29.474231864108479</v>
      </c>
      <c r="FK137" s="832">
        <f t="shared" si="72"/>
        <v>602388.99369785748</v>
      </c>
      <c r="FL137" s="1412">
        <f>IF(MONTH(C137)=5,FL136*(IF(Summary!$E$70="no",(1+(Summary!$E$71*0.8)),1+HLOOKUP(YEAR(CALC!C137)-1,CCFMODEL!$I$127:$AF$128,2)*0.8)),+FL136)</f>
        <v>70.922765562327072</v>
      </c>
      <c r="FM137" s="1411">
        <f>IF(MONTH(C137)=5,FM136*(IF(Summary!$E$70="no",(1+(Summary!$E$71*0.8)),1+HLOOKUP(YEAR(CALC!C137)-1,CCFMODEL!$I$127:$AF$128,2)*0.8)),+FM136)</f>
        <v>33.849214371608056</v>
      </c>
      <c r="FN137" s="832">
        <f t="shared" si="73"/>
        <v>613855.5026291121</v>
      </c>
      <c r="FO137" s="194">
        <f t="shared" si="105"/>
        <v>1216244.4963269695</v>
      </c>
      <c r="FP137" s="263">
        <f t="shared" si="125"/>
        <v>8865</v>
      </c>
      <c r="FQ137" s="194">
        <f t="shared" si="125"/>
        <v>2659.5</v>
      </c>
      <c r="FR137" s="194">
        <f t="shared" si="125"/>
        <v>2216.25</v>
      </c>
      <c r="FS137" s="194">
        <f t="shared" si="125"/>
        <v>664.875</v>
      </c>
      <c r="FT137" s="194">
        <f t="shared" si="125"/>
        <v>2659.5</v>
      </c>
      <c r="FU137" s="194">
        <f t="shared" si="125"/>
        <v>797.85</v>
      </c>
      <c r="FV137" s="257">
        <f t="shared" si="124"/>
        <v>0</v>
      </c>
      <c r="FW137" s="189">
        <f t="shared" si="74"/>
        <v>0</v>
      </c>
      <c r="FX137" s="189">
        <f t="shared" si="75"/>
        <v>0</v>
      </c>
      <c r="FY137" s="189">
        <f t="shared" si="76"/>
        <v>0</v>
      </c>
      <c r="FZ137" s="258">
        <f t="shared" si="77"/>
        <v>0</v>
      </c>
      <c r="GA137" s="1294">
        <f>(SUM(FP137:FV137)+SUM(GU137:HB137)/(1-Summary!$O$25))*CY137/1000</f>
        <v>235335.05346591002</v>
      </c>
      <c r="GB137" s="1369">
        <f>IF($C137&lt;Summary!$M$81,+Summary!$O$81,VLOOKUP(C137,GasTable,19))</f>
        <v>2.4</v>
      </c>
      <c r="GC137" s="1370">
        <f>IF(H137&lt;=Summary!$N$84,MIN(GA137,Summary!$O$75*(H137-G137+1)),0)</f>
        <v>155000</v>
      </c>
      <c r="GD137" s="1371">
        <f>IF(Summary!$O$75*(H137-G137+1)*0.8&gt;GC137,1,0)</f>
        <v>0</v>
      </c>
      <c r="GE137" s="1372">
        <v>0</v>
      </c>
      <c r="GF137" s="1370">
        <f t="shared" si="106"/>
        <v>80335.053465910023</v>
      </c>
      <c r="GG137" s="1371">
        <f>GF137*(IF(Summary!$O$74=1,VLOOKUP($C137,GasTable,16)+Summary!$O$92+Summary!$O$93,VLOOKUP($C137,GasTable,19)+Summary!$O$92+Summary!$O$93))</f>
        <v>287122.87516450475</v>
      </c>
      <c r="GH137" s="1373">
        <v>21644.2</v>
      </c>
      <c r="GI137" s="1466">
        <v>0</v>
      </c>
      <c r="GJ137" s="1374">
        <f t="shared" si="107"/>
        <v>680767.0751645047</v>
      </c>
      <c r="GK137" s="189">
        <f t="shared" si="78"/>
        <v>30062.012849999999</v>
      </c>
      <c r="GL137" s="266">
        <v>0.75759080680000002</v>
      </c>
      <c r="GM137" s="255">
        <f t="shared" si="79"/>
        <v>15221</v>
      </c>
      <c r="GN137" s="189">
        <f>IF(SUM(GU137:HB137)=0,0,IF(Summary!$O$16="Yes",SUM(GX137:HB137),IF(Summary!$O$17="Yes",SUM(GY137:HB137),SUM(GU137:HB137))))</f>
        <v>12199.037850000001</v>
      </c>
      <c r="GO137" s="203">
        <v>3.1978833582794679</v>
      </c>
      <c r="GP137" s="258">
        <f t="shared" si="108"/>
        <v>39011.100127536345</v>
      </c>
      <c r="GQ137" s="189"/>
      <c r="GR137" s="189"/>
      <c r="GS137" s="189"/>
      <c r="GT137" s="189"/>
      <c r="GU137" s="268">
        <v>5132.835</v>
      </c>
      <c r="GV137" s="189">
        <v>1283.20875</v>
      </c>
      <c r="GW137" s="189">
        <v>1539.8504999999998</v>
      </c>
      <c r="GX137" s="189"/>
      <c r="GY137" s="254">
        <v>2737.5120000000002</v>
      </c>
      <c r="GZ137" s="189">
        <v>684.37800000000004</v>
      </c>
      <c r="HA137" s="189">
        <v>821.25359999999989</v>
      </c>
      <c r="HB137" s="255"/>
      <c r="HC137" s="189">
        <v>12199.037850000001</v>
      </c>
      <c r="HD137" s="189"/>
      <c r="HE137" s="189">
        <v>20950.521525</v>
      </c>
      <c r="HF137" s="189">
        <v>535064.20519640238</v>
      </c>
      <c r="HG137" s="189"/>
      <c r="HH137" s="203">
        <v>43.525308220852999</v>
      </c>
      <c r="HI137" s="189">
        <v>911877.90676324023</v>
      </c>
      <c r="HJ137" s="268">
        <f t="shared" si="80"/>
        <v>0</v>
      </c>
      <c r="HK137" s="189">
        <f t="shared" si="81"/>
        <v>0</v>
      </c>
      <c r="HL137" s="189">
        <f t="shared" si="82"/>
        <v>0</v>
      </c>
      <c r="HM137" s="255">
        <f t="shared" si="83"/>
        <v>0</v>
      </c>
      <c r="HN137" s="189">
        <f t="shared" si="84"/>
        <v>0</v>
      </c>
      <c r="HO137" s="203">
        <f t="shared" si="109"/>
        <v>0</v>
      </c>
      <c r="HP137" s="258">
        <f t="shared" si="85"/>
        <v>0</v>
      </c>
      <c r="HQ137" s="203"/>
      <c r="HR137" s="268"/>
      <c r="HS137" s="38"/>
      <c r="HT137" s="255"/>
      <c r="HU137" s="254"/>
      <c r="HV137" s="203"/>
      <c r="HW137" s="189"/>
      <c r="HX137" s="1020"/>
      <c r="HY137" s="258"/>
      <c r="HZ137" s="268"/>
      <c r="IA137" s="203"/>
      <c r="IB137" s="255"/>
      <c r="IC137" s="254"/>
      <c r="ID137" s="203"/>
      <c r="IE137" s="255"/>
      <c r="IF137" s="189"/>
      <c r="IG137" s="203"/>
      <c r="IH137" s="255"/>
      <c r="II137" s="189"/>
      <c r="IJ137" s="203"/>
      <c r="IK137" s="189"/>
      <c r="IL137" s="1182"/>
      <c r="IM137" s="1403"/>
      <c r="IN137" s="254"/>
      <c r="IO137" s="254"/>
      <c r="IP137" s="254"/>
      <c r="IQ137" s="254"/>
      <c r="IR137" s="223"/>
    </row>
    <row r="138" spans="1:252" ht="13.8" thickBot="1">
      <c r="A138" t="str">
        <f t="shared" si="86"/>
        <v>2010Q1</v>
      </c>
      <c r="B138">
        <f t="shared" si="87"/>
        <v>2010</v>
      </c>
      <c r="C138" s="49">
        <f t="shared" si="88"/>
        <v>40210</v>
      </c>
      <c r="D138" s="115">
        <f t="shared" si="89"/>
        <v>2010</v>
      </c>
      <c r="E138" s="10">
        <f t="shared" si="112"/>
        <v>2</v>
      </c>
      <c r="F138" s="248" t="str">
        <f t="shared" si="113"/>
        <v/>
      </c>
      <c r="G138" s="245">
        <v>40210</v>
      </c>
      <c r="H138" s="251">
        <v>40237</v>
      </c>
      <c r="I138" s="959">
        <f t="shared" si="110"/>
        <v>7.1499999999999994E-2</v>
      </c>
      <c r="J138" s="37">
        <f t="shared" si="90"/>
        <v>0.48632198319661984</v>
      </c>
      <c r="K138" s="1036"/>
      <c r="L138" s="37"/>
      <c r="M138" s="1004">
        <v>0</v>
      </c>
      <c r="N138" s="38">
        <f t="shared" si="122"/>
        <v>0</v>
      </c>
      <c r="O138" s="40">
        <f t="shared" si="122"/>
        <v>0</v>
      </c>
      <c r="P138" s="159">
        <f t="shared" si="117"/>
        <v>0</v>
      </c>
      <c r="Q138" s="38">
        <f t="shared" si="123"/>
        <v>0</v>
      </c>
      <c r="R138" s="40">
        <f t="shared" si="123"/>
        <v>0</v>
      </c>
      <c r="S138" s="38">
        <f t="shared" si="123"/>
        <v>0</v>
      </c>
      <c r="T138" s="38">
        <f t="shared" si="123"/>
        <v>0</v>
      </c>
      <c r="U138" s="38">
        <f t="shared" si="123"/>
        <v>0</v>
      </c>
      <c r="V138" s="159">
        <f t="shared" si="123"/>
        <v>0</v>
      </c>
      <c r="W138" s="38">
        <f t="shared" si="123"/>
        <v>0</v>
      </c>
      <c r="X138" s="39">
        <f t="shared" si="123"/>
        <v>0</v>
      </c>
      <c r="Y138" s="46">
        <v>0</v>
      </c>
      <c r="Z138" s="46">
        <v>0</v>
      </c>
      <c r="AA138" s="47">
        <v>0</v>
      </c>
      <c r="AB138" s="46">
        <v>0</v>
      </c>
      <c r="AC138" s="46">
        <v>0</v>
      </c>
      <c r="AD138" s="47">
        <v>0</v>
      </c>
      <c r="AE138" s="46">
        <v>0</v>
      </c>
      <c r="AF138" s="46">
        <v>0</v>
      </c>
      <c r="AG138" s="47">
        <v>0</v>
      </c>
      <c r="AH138" s="46">
        <v>0</v>
      </c>
      <c r="AI138" s="46">
        <v>0</v>
      </c>
      <c r="AJ138" s="47">
        <v>0</v>
      </c>
      <c r="AK138" s="46">
        <v>0</v>
      </c>
      <c r="AL138" s="46">
        <v>0</v>
      </c>
      <c r="AM138" s="47">
        <v>0</v>
      </c>
      <c r="AN138" s="46">
        <v>0</v>
      </c>
      <c r="AO138" s="46">
        <v>0</v>
      </c>
      <c r="AP138" s="47">
        <v>0</v>
      </c>
      <c r="AQ138" s="46">
        <v>0</v>
      </c>
      <c r="AR138" s="46">
        <v>0</v>
      </c>
      <c r="AS138" s="47">
        <v>0</v>
      </c>
      <c r="AT138" s="46">
        <v>0</v>
      </c>
      <c r="AU138" s="46">
        <v>0</v>
      </c>
      <c r="AV138" s="46">
        <v>0</v>
      </c>
      <c r="AW138" s="1545">
        <v>0</v>
      </c>
      <c r="AX138" s="10">
        <f t="shared" si="114"/>
        <v>20</v>
      </c>
      <c r="AY138" s="42">
        <f>IF(AND($E138=MONTH(Summary!$E$24),$D138=YEAR(Summary!$E$24)),Summary!$E$25,1)*IF(G138="",0,INT((H138-MOD(H138,7)-G138)/7)+1-IF(BA138,IF(WEEKDAY(F138)=7,1,0),0))</f>
        <v>4</v>
      </c>
      <c r="AZ138" s="42">
        <f>IF(AND($E138=MONTH(Summary!$E$24),$D138=YEAR(Summary!$E$24)),Summary!$E$25,1)*IF(G138="",0,INT((H138-MOD(H138-1,7)-G138)/7)+1-IF(BA138,IF(WEEKDAY(F138)=1,1,0),0))</f>
        <v>4</v>
      </c>
      <c r="BA138" s="42">
        <v>0</v>
      </c>
      <c r="BB138" s="10">
        <f>IF(AND($E138=MONTH(Summary!$E$24),$D138=YEAR(Summary!$E$24)),Summary!$E$25,1)*IF(G138="",0,H138-G138+1)</f>
        <v>28</v>
      </c>
      <c r="BC138" s="914">
        <f>Summary!$E$19</f>
        <v>1.4999999999999999E-2</v>
      </c>
      <c r="BD138" s="113">
        <v>14184</v>
      </c>
      <c r="BE138" s="171">
        <v>2836.8</v>
      </c>
      <c r="BF138" s="171">
        <v>2836.8</v>
      </c>
      <c r="BG138" s="174"/>
      <c r="BH138" s="1198">
        <v>1</v>
      </c>
      <c r="BI138" s="1198">
        <v>1</v>
      </c>
      <c r="BJ138" s="1198">
        <v>1</v>
      </c>
      <c r="BK138" s="1198">
        <v>1</v>
      </c>
      <c r="BL138" s="95">
        <v>2836.8</v>
      </c>
      <c r="BM138" s="171">
        <v>567.36</v>
      </c>
      <c r="BN138" s="171">
        <v>567.36</v>
      </c>
      <c r="BO138" s="174"/>
      <c r="BP138" s="1198">
        <v>1</v>
      </c>
      <c r="BQ138" s="1199">
        <v>1</v>
      </c>
      <c r="BR138" s="1199">
        <v>1</v>
      </c>
      <c r="BS138" s="1200">
        <v>1</v>
      </c>
      <c r="BT138" s="94">
        <f t="shared" si="91"/>
        <v>19857.599999999999</v>
      </c>
      <c r="BU138" s="233">
        <f t="shared" si="92"/>
        <v>19857.599999999999</v>
      </c>
      <c r="BV138" s="92">
        <f t="shared" si="93"/>
        <v>3971.5200000000004</v>
      </c>
      <c r="BW138" s="233">
        <f t="shared" si="94"/>
        <v>3971.5200000000004</v>
      </c>
      <c r="BX138" s="88">
        <v>10.132785763175907</v>
      </c>
      <c r="BY138" s="90">
        <v>0</v>
      </c>
      <c r="BZ138" s="88">
        <v>0</v>
      </c>
      <c r="CA138" s="88">
        <v>0</v>
      </c>
      <c r="CB138" s="88">
        <v>0</v>
      </c>
      <c r="CC138" s="88">
        <v>0</v>
      </c>
      <c r="CD138" s="88">
        <v>0</v>
      </c>
      <c r="CE138" s="100">
        <v>0</v>
      </c>
      <c r="CF138" s="88">
        <v>0</v>
      </c>
      <c r="CG138" s="88">
        <v>0</v>
      </c>
      <c r="CH138" s="88">
        <v>0</v>
      </c>
      <c r="CI138" s="88">
        <v>0</v>
      </c>
      <c r="CJ138" s="228">
        <v>0</v>
      </c>
      <c r="CK138" s="88">
        <v>0</v>
      </c>
      <c r="CL138" s="88">
        <v>0</v>
      </c>
      <c r="CM138" s="88">
        <v>0</v>
      </c>
      <c r="CN138" s="88">
        <v>0</v>
      </c>
      <c r="CO138" s="88">
        <v>0</v>
      </c>
      <c r="CP138" s="88">
        <v>0</v>
      </c>
      <c r="CQ138" s="229">
        <v>0</v>
      </c>
      <c r="CR138" s="91">
        <v>0</v>
      </c>
      <c r="CS138" s="91">
        <v>0</v>
      </c>
      <c r="CT138" s="91">
        <v>0</v>
      </c>
      <c r="CU138" s="91">
        <v>0</v>
      </c>
      <c r="CV138" s="91">
        <v>0</v>
      </c>
      <c r="CW138" s="91">
        <v>0</v>
      </c>
      <c r="CX138" s="225">
        <v>0</v>
      </c>
      <c r="CY138" s="1265">
        <v>7716.8049600000004</v>
      </c>
      <c r="CZ138" s="90">
        <v>0</v>
      </c>
      <c r="DA138" s="88">
        <v>0</v>
      </c>
      <c r="DB138" s="88">
        <v>0</v>
      </c>
      <c r="DC138" s="88">
        <v>0</v>
      </c>
      <c r="DD138" s="88">
        <v>0</v>
      </c>
      <c r="DE138" s="152">
        <v>0</v>
      </c>
      <c r="DF138" s="230">
        <v>0</v>
      </c>
      <c r="DG138" s="38">
        <v>0</v>
      </c>
      <c r="DH138" s="1237">
        <v>0</v>
      </c>
      <c r="DI138" s="956">
        <v>0</v>
      </c>
      <c r="DJ138" s="956">
        <v>0</v>
      </c>
      <c r="DK138" s="956">
        <v>0</v>
      </c>
      <c r="DL138" s="152">
        <v>0</v>
      </c>
      <c r="DM138" s="160">
        <v>0</v>
      </c>
      <c r="DN138" s="160">
        <v>0</v>
      </c>
      <c r="DO138" s="160">
        <v>0</v>
      </c>
      <c r="DP138" s="160">
        <v>0</v>
      </c>
      <c r="DQ138" s="160">
        <v>0</v>
      </c>
      <c r="DR138" s="230">
        <v>0</v>
      </c>
      <c r="DS138" s="88">
        <v>0</v>
      </c>
      <c r="DT138" s="88">
        <v>0</v>
      </c>
      <c r="DU138" s="88">
        <v>0</v>
      </c>
      <c r="DV138" s="88">
        <v>0</v>
      </c>
      <c r="DW138" s="88">
        <v>0</v>
      </c>
      <c r="DX138" s="88">
        <v>0</v>
      </c>
      <c r="DY138" s="88">
        <v>0</v>
      </c>
      <c r="DZ138" s="88">
        <v>0</v>
      </c>
      <c r="EA138" s="88">
        <v>0</v>
      </c>
      <c r="EB138" s="152">
        <v>0</v>
      </c>
      <c r="EC138" s="52">
        <f t="shared" si="95"/>
        <v>0</v>
      </c>
      <c r="ED138" s="52">
        <f t="shared" si="95"/>
        <v>0</v>
      </c>
      <c r="EE138" s="52">
        <f t="shared" si="95"/>
        <v>0</v>
      </c>
      <c r="EF138" s="52">
        <f t="shared" si="71"/>
        <v>0</v>
      </c>
      <c r="EG138" s="52">
        <f t="shared" si="96"/>
        <v>0</v>
      </c>
      <c r="EH138" s="238">
        <v>0</v>
      </c>
      <c r="EI138" s="211">
        <v>0</v>
      </c>
      <c r="EJ138" s="211">
        <v>0</v>
      </c>
      <c r="EK138" s="211">
        <v>0</v>
      </c>
      <c r="EL138" s="217">
        <f>IF(C138&gt;=Summary!$E$26,MAX(0,SUM(EH138:EK138)),0)</f>
        <v>0</v>
      </c>
      <c r="EM138" s="52">
        <f>IF(C138&gt;=Summary!$E$26,DX138*BL138,0)</f>
        <v>0</v>
      </c>
      <c r="EN138" s="52">
        <f>IF(C138&gt;=Summary!$E$26,DY138*BM138,0)</f>
        <v>0</v>
      </c>
      <c r="EO138" s="52">
        <f>IF(C138&gt;=Summary!$E$26,DZ138*BN138,0)</f>
        <v>0</v>
      </c>
      <c r="EP138" s="52">
        <f>IF(C138&gt;=Summary!$E$26,EA138*BO138,0)</f>
        <v>0</v>
      </c>
      <c r="EQ138" s="52">
        <f>IF(C138&gt;=Summary!$E$26,DX138*BL138+DY138*BM138+DZ138*BN138+EA138*BO138,0)</f>
        <v>0</v>
      </c>
      <c r="ER138" s="826">
        <v>0</v>
      </c>
      <c r="ES138" s="278">
        <v>0</v>
      </c>
      <c r="ET138" s="278">
        <v>0</v>
      </c>
      <c r="EU138" s="278">
        <v>0</v>
      </c>
      <c r="EV138" s="212">
        <f>IF(C138&gt;=Summary!$E$26,MAX(0,SUM(ER138:EU138)),0)</f>
        <v>0</v>
      </c>
      <c r="EW138" s="52"/>
      <c r="EX138" s="1049">
        <f t="shared" si="97"/>
        <v>0</v>
      </c>
      <c r="EY138" s="1045" t="str">
        <f t="shared" si="98"/>
        <v/>
      </c>
      <c r="EZ138" s="1684" t="s">
        <v>525</v>
      </c>
      <c r="FA138" s="1046">
        <f t="shared" si="111"/>
        <v>45</v>
      </c>
      <c r="FB138" s="256">
        <f t="shared" si="99"/>
        <v>8865</v>
      </c>
      <c r="FC138" s="194">
        <f t="shared" si="100"/>
        <v>2659.5</v>
      </c>
      <c r="FD138" s="194">
        <f t="shared" si="101"/>
        <v>1773</v>
      </c>
      <c r="FE138" s="194">
        <f t="shared" si="102"/>
        <v>531.9</v>
      </c>
      <c r="FF138" s="194">
        <f t="shared" si="103"/>
        <v>1773</v>
      </c>
      <c r="FG138" s="194">
        <f t="shared" si="104"/>
        <v>531.9</v>
      </c>
      <c r="FH138" s="257">
        <f>IF(EZ138="No",IF((OR(MONTH(C138)=5,MONTH(C138)=6,MONTH(C138)=7,MONTH(C138)=8,MONTH(C138)=9)),Summary!$O$15*12*(AX138+AY138+AZ138+BA138)*(1-$BC138),Summary!$O$15*13*(AX138+AY138+AZ138+BA138)*(1-$BC138)+IF(Summary!$O$16="Yes",(CALC!FA138+Summary!$O$15)*6*(AX138+AY138+AZ138+BA138)*(1-$BC138),0)),0)</f>
        <v>0</v>
      </c>
      <c r="FI138" s="1412">
        <f>IF(MONTH(C138)=5,FI137*(IF(Summary!$E$70="no",(1+(Summary!$E$71*0.8)),1+HLOOKUP(YEAR(C138)-1,CCFMODEL!$I$127:$AF$128,2)*0.8)),+FI137)</f>
        <v>33.722769790466458</v>
      </c>
      <c r="FJ138" s="1411">
        <f>IF(MONTH(C138)=5,FJ137*(IF(Summary!$E$70="no",(1+(Summary!$E$71*0.8)),1+HLOOKUP(YEAR(CALC!C138)-1,CCFMODEL!$I$127:$AF$128,2)*0.8)),FJ137)</f>
        <v>29.474231864108479</v>
      </c>
      <c r="FK138" s="832">
        <f t="shared" si="72"/>
        <v>544093.28463032295</v>
      </c>
      <c r="FL138" s="1412">
        <f>IF(MONTH(C138)=5,FL137*(IF(Summary!$E$70="no",(1+(Summary!$E$71*0.8)),1+HLOOKUP(YEAR(CALC!C138)-1,CCFMODEL!$I$127:$AF$128,2)*0.8)),+FL137)</f>
        <v>70.922765562327072</v>
      </c>
      <c r="FM138" s="1411">
        <f>IF(MONTH(C138)=5,FM137*(IF(Summary!$E$70="no",(1+(Summary!$E$71*0.8)),1+HLOOKUP(YEAR(CALC!C138)-1,CCFMODEL!$I$127:$AF$128,2)*0.8)),+FM137)</f>
        <v>33.849214371608056</v>
      </c>
      <c r="FN138" s="832">
        <f t="shared" si="73"/>
        <v>554450.13140693994</v>
      </c>
      <c r="FO138" s="194">
        <f t="shared" si="105"/>
        <v>1098543.4160372629</v>
      </c>
      <c r="FP138" s="263">
        <f t="shared" si="125"/>
        <v>8865</v>
      </c>
      <c r="FQ138" s="194">
        <f t="shared" si="125"/>
        <v>2659.5</v>
      </c>
      <c r="FR138" s="194">
        <f t="shared" si="125"/>
        <v>1773</v>
      </c>
      <c r="FS138" s="194">
        <f t="shared" si="125"/>
        <v>531.9</v>
      </c>
      <c r="FT138" s="194">
        <f t="shared" si="125"/>
        <v>1773</v>
      </c>
      <c r="FU138" s="194">
        <f t="shared" si="125"/>
        <v>531.9</v>
      </c>
      <c r="FV138" s="257">
        <f t="shared" si="124"/>
        <v>0</v>
      </c>
      <c r="FW138" s="189">
        <f t="shared" si="74"/>
        <v>0</v>
      </c>
      <c r="FX138" s="189">
        <f t="shared" si="75"/>
        <v>0</v>
      </c>
      <c r="FY138" s="189">
        <f t="shared" si="76"/>
        <v>0</v>
      </c>
      <c r="FZ138" s="258">
        <f t="shared" si="77"/>
        <v>0</v>
      </c>
      <c r="GA138" s="1294">
        <f>(SUM(FP138:FV138)+SUM(GU138:HB138)/(1-Summary!$O$25))*CY138/1000</f>
        <v>212616.6513160032</v>
      </c>
      <c r="GB138" s="1369">
        <f>IF($C138&lt;Summary!$M$81,+Summary!$O$81,VLOOKUP(C138,GasTable,19))</f>
        <v>2.4</v>
      </c>
      <c r="GC138" s="1370">
        <f>IF(H138&lt;=Summary!$N$84,MIN(GA138,Summary!$O$75*(H138-G138+1)),0)</f>
        <v>140000</v>
      </c>
      <c r="GD138" s="1371">
        <f>IF(Summary!$O$75*(H138-G138+1)*0.8&gt;GC138,1,0)</f>
        <v>0</v>
      </c>
      <c r="GE138" s="1372">
        <v>0</v>
      </c>
      <c r="GF138" s="1370">
        <f t="shared" si="106"/>
        <v>72616.651316003205</v>
      </c>
      <c r="GG138" s="1371">
        <f>GF138*(IF(Summary!$O$74=1,VLOOKUP($C138,GasTable,16)+Summary!$O$92+Summary!$O$93,VLOOKUP($C138,GasTable,19)+Summary!$O$92+Summary!$O$93))</f>
        <v>240001.63080037461</v>
      </c>
      <c r="GH138" s="1373">
        <v>18978.400000000001</v>
      </c>
      <c r="GI138" s="1466">
        <v>0</v>
      </c>
      <c r="GJ138" s="1374">
        <f t="shared" si="107"/>
        <v>594980.03080037457</v>
      </c>
      <c r="GK138" s="189">
        <f t="shared" si="78"/>
        <v>27152.785799999998</v>
      </c>
      <c r="GL138" s="266">
        <v>0.75779024707200004</v>
      </c>
      <c r="GM138" s="255">
        <f t="shared" si="79"/>
        <v>13748.000000000002</v>
      </c>
      <c r="GN138" s="189">
        <f>IF(SUM(GU138:HB138)=0,0,IF(Summary!$O$16="Yes",SUM(GX138:HB138),IF(Summary!$O$17="Yes",SUM(GY138:HB138),SUM(GU138:HB138))))</f>
        <v>11018.485799999999</v>
      </c>
      <c r="GO138" s="203">
        <v>3.1978833582794679</v>
      </c>
      <c r="GP138" s="258">
        <f t="shared" si="108"/>
        <v>35235.832373258621</v>
      </c>
      <c r="GQ138" s="189"/>
      <c r="GR138" s="189"/>
      <c r="GS138" s="189"/>
      <c r="GT138" s="189"/>
      <c r="GU138" s="268">
        <v>5132.835</v>
      </c>
      <c r="GV138" s="189">
        <v>1026.5670000000002</v>
      </c>
      <c r="GW138" s="189">
        <v>1026.5670000000002</v>
      </c>
      <c r="GX138" s="189"/>
      <c r="GY138" s="254">
        <v>2737.5120000000002</v>
      </c>
      <c r="GZ138" s="189">
        <v>547.50239999999997</v>
      </c>
      <c r="HA138" s="189">
        <v>547.50239999999997</v>
      </c>
      <c r="HB138" s="255"/>
      <c r="HC138" s="189">
        <v>11018.485799999999</v>
      </c>
      <c r="HD138" s="189"/>
      <c r="HE138" s="189">
        <v>18923.051699999996</v>
      </c>
      <c r="HF138" s="189">
        <v>426817.52554712887</v>
      </c>
      <c r="HG138" s="189"/>
      <c r="HH138" s="203">
        <v>38.44729232019349</v>
      </c>
      <c r="HI138" s="189">
        <v>727540.10030003428</v>
      </c>
      <c r="HJ138" s="268">
        <f t="shared" si="80"/>
        <v>0</v>
      </c>
      <c r="HK138" s="189">
        <f t="shared" si="81"/>
        <v>0</v>
      </c>
      <c r="HL138" s="189">
        <f t="shared" si="82"/>
        <v>0</v>
      </c>
      <c r="HM138" s="255">
        <f t="shared" si="83"/>
        <v>0</v>
      </c>
      <c r="HN138" s="189">
        <f t="shared" si="84"/>
        <v>0</v>
      </c>
      <c r="HO138" s="203">
        <f t="shared" si="109"/>
        <v>0</v>
      </c>
      <c r="HP138" s="258">
        <f t="shared" si="85"/>
        <v>0</v>
      </c>
      <c r="HQ138" s="203"/>
      <c r="HR138" s="268"/>
      <c r="HS138" s="38"/>
      <c r="HT138" s="255"/>
      <c r="HU138" s="254"/>
      <c r="HV138" s="203"/>
      <c r="HW138" s="189"/>
      <c r="HX138" s="1020"/>
      <c r="HY138" s="258"/>
      <c r="HZ138" s="268"/>
      <c r="IA138" s="203"/>
      <c r="IB138" s="255"/>
      <c r="IC138" s="254"/>
      <c r="ID138" s="203"/>
      <c r="IE138" s="255"/>
      <c r="IF138" s="189"/>
      <c r="IG138" s="203"/>
      <c r="IH138" s="255"/>
      <c r="II138" s="189"/>
      <c r="IJ138" s="203"/>
      <c r="IK138" s="189"/>
      <c r="IL138" s="1182"/>
      <c r="IM138" s="1403"/>
      <c r="IN138" s="254"/>
      <c r="IO138" s="254"/>
      <c r="IP138" s="254"/>
      <c r="IQ138" s="254"/>
      <c r="IR138" s="223"/>
    </row>
    <row r="139" spans="1:252" ht="13.8" thickBot="1">
      <c r="A139" t="str">
        <f t="shared" si="86"/>
        <v>2010Q1</v>
      </c>
      <c r="B139">
        <f t="shared" si="87"/>
        <v>2010</v>
      </c>
      <c r="C139" s="49">
        <f t="shared" si="88"/>
        <v>40238</v>
      </c>
      <c r="D139" s="115">
        <f t="shared" si="89"/>
        <v>2010</v>
      </c>
      <c r="E139" s="10">
        <f t="shared" si="112"/>
        <v>3</v>
      </c>
      <c r="F139" s="248" t="str">
        <f t="shared" si="113"/>
        <v/>
      </c>
      <c r="G139" s="245">
        <v>40238</v>
      </c>
      <c r="H139" s="251">
        <v>40268</v>
      </c>
      <c r="I139" s="959">
        <f t="shared" si="110"/>
        <v>7.1499999999999994E-2</v>
      </c>
      <c r="J139" s="37">
        <f t="shared" si="90"/>
        <v>0.48343092043466968</v>
      </c>
      <c r="K139" s="1036"/>
      <c r="L139" s="37"/>
      <c r="M139" s="1004">
        <v>0</v>
      </c>
      <c r="N139" s="38">
        <f t="shared" si="122"/>
        <v>0</v>
      </c>
      <c r="O139" s="40">
        <f t="shared" si="122"/>
        <v>0</v>
      </c>
      <c r="P139" s="159">
        <f t="shared" si="117"/>
        <v>0</v>
      </c>
      <c r="Q139" s="38">
        <f t="shared" ref="Q139:X148" si="126">P139</f>
        <v>0</v>
      </c>
      <c r="R139" s="40">
        <f t="shared" si="126"/>
        <v>0</v>
      </c>
      <c r="S139" s="38">
        <f t="shared" si="126"/>
        <v>0</v>
      </c>
      <c r="T139" s="38">
        <f t="shared" si="126"/>
        <v>0</v>
      </c>
      <c r="U139" s="38">
        <f t="shared" si="126"/>
        <v>0</v>
      </c>
      <c r="V139" s="159">
        <f t="shared" si="126"/>
        <v>0</v>
      </c>
      <c r="W139" s="38">
        <f t="shared" si="126"/>
        <v>0</v>
      </c>
      <c r="X139" s="39">
        <f t="shared" si="126"/>
        <v>0</v>
      </c>
      <c r="Y139" s="46">
        <v>0</v>
      </c>
      <c r="Z139" s="46">
        <v>0</v>
      </c>
      <c r="AA139" s="47">
        <v>0</v>
      </c>
      <c r="AB139" s="46">
        <v>0</v>
      </c>
      <c r="AC139" s="46">
        <v>0</v>
      </c>
      <c r="AD139" s="47">
        <v>0</v>
      </c>
      <c r="AE139" s="46">
        <v>0</v>
      </c>
      <c r="AF139" s="46">
        <v>0</v>
      </c>
      <c r="AG139" s="47">
        <v>0</v>
      </c>
      <c r="AH139" s="46">
        <v>0</v>
      </c>
      <c r="AI139" s="46">
        <v>0</v>
      </c>
      <c r="AJ139" s="47">
        <v>0</v>
      </c>
      <c r="AK139" s="46">
        <v>0</v>
      </c>
      <c r="AL139" s="46">
        <v>0</v>
      </c>
      <c r="AM139" s="47">
        <v>0</v>
      </c>
      <c r="AN139" s="46">
        <v>0</v>
      </c>
      <c r="AO139" s="46">
        <v>0</v>
      </c>
      <c r="AP139" s="47">
        <v>0</v>
      </c>
      <c r="AQ139" s="46">
        <v>0</v>
      </c>
      <c r="AR139" s="46">
        <v>0</v>
      </c>
      <c r="AS139" s="47">
        <v>0</v>
      </c>
      <c r="AT139" s="46">
        <v>0</v>
      </c>
      <c r="AU139" s="46">
        <v>0</v>
      </c>
      <c r="AV139" s="46">
        <v>0</v>
      </c>
      <c r="AW139" s="1545">
        <v>0</v>
      </c>
      <c r="AX139" s="10">
        <f t="shared" si="114"/>
        <v>23</v>
      </c>
      <c r="AY139" s="42">
        <f>IF(AND($E139=MONTH(Summary!$E$24),$D139=YEAR(Summary!$E$24)),Summary!$E$25,1)*IF(G139="",0,INT((H139-MOD(H139,7)-G139)/7)+1-IF(BA139,IF(WEEKDAY(F139)=7,1,0),0))</f>
        <v>4</v>
      </c>
      <c r="AZ139" s="42">
        <f>IF(AND($E139=MONTH(Summary!$E$24),$D139=YEAR(Summary!$E$24)),Summary!$E$25,1)*IF(G139="",0,INT((H139-MOD(H139-1,7)-G139)/7)+1-IF(BA139,IF(WEEKDAY(F139)=1,1,0),0))</f>
        <v>4</v>
      </c>
      <c r="BA139" s="42">
        <v>0</v>
      </c>
      <c r="BB139" s="10">
        <f>IF(AND($E139=MONTH(Summary!$E$24),$D139=YEAR(Summary!$E$24)),Summary!$E$25,1)*IF(G139="",0,H139-G139+1)</f>
        <v>31</v>
      </c>
      <c r="BC139" s="914">
        <f>Summary!$E$19</f>
        <v>1.4999999999999999E-2</v>
      </c>
      <c r="BD139" s="113">
        <v>16311.6</v>
      </c>
      <c r="BE139" s="171">
        <v>2836.8</v>
      </c>
      <c r="BF139" s="171">
        <v>2836.8</v>
      </c>
      <c r="BG139" s="174"/>
      <c r="BH139" s="1198">
        <v>1</v>
      </c>
      <c r="BI139" s="1198">
        <v>1</v>
      </c>
      <c r="BJ139" s="1198">
        <v>1</v>
      </c>
      <c r="BK139" s="1198">
        <v>1</v>
      </c>
      <c r="BL139" s="95">
        <v>3262.32</v>
      </c>
      <c r="BM139" s="171">
        <v>567.36</v>
      </c>
      <c r="BN139" s="171">
        <v>567.36</v>
      </c>
      <c r="BO139" s="174"/>
      <c r="BP139" s="1198">
        <v>1</v>
      </c>
      <c r="BQ139" s="1199">
        <v>1</v>
      </c>
      <c r="BR139" s="1199">
        <v>1</v>
      </c>
      <c r="BS139" s="1200">
        <v>1</v>
      </c>
      <c r="BT139" s="94">
        <f t="shared" si="91"/>
        <v>21985.200000000001</v>
      </c>
      <c r="BU139" s="233">
        <f t="shared" si="92"/>
        <v>21985.200000000001</v>
      </c>
      <c r="BV139" s="92">
        <f t="shared" si="93"/>
        <v>4397.04</v>
      </c>
      <c r="BW139" s="233">
        <f t="shared" si="94"/>
        <v>4397.04</v>
      </c>
      <c r="BX139" s="88">
        <v>10.209445585215606</v>
      </c>
      <c r="BY139" s="90">
        <v>0</v>
      </c>
      <c r="BZ139" s="88">
        <v>0</v>
      </c>
      <c r="CA139" s="88">
        <v>0</v>
      </c>
      <c r="CB139" s="88">
        <v>0</v>
      </c>
      <c r="CC139" s="88">
        <v>0</v>
      </c>
      <c r="CD139" s="88">
        <v>0</v>
      </c>
      <c r="CE139" s="100">
        <v>0</v>
      </c>
      <c r="CF139" s="88">
        <v>0</v>
      </c>
      <c r="CG139" s="88">
        <v>0</v>
      </c>
      <c r="CH139" s="88">
        <v>0</v>
      </c>
      <c r="CI139" s="88">
        <v>0</v>
      </c>
      <c r="CJ139" s="228">
        <v>0</v>
      </c>
      <c r="CK139" s="88">
        <v>0</v>
      </c>
      <c r="CL139" s="88">
        <v>0</v>
      </c>
      <c r="CM139" s="88">
        <v>0</v>
      </c>
      <c r="CN139" s="88">
        <v>0</v>
      </c>
      <c r="CO139" s="88">
        <v>0</v>
      </c>
      <c r="CP139" s="88">
        <v>0</v>
      </c>
      <c r="CQ139" s="229">
        <v>0</v>
      </c>
      <c r="CR139" s="91">
        <v>0</v>
      </c>
      <c r="CS139" s="91">
        <v>0</v>
      </c>
      <c r="CT139" s="91">
        <v>0</v>
      </c>
      <c r="CU139" s="91">
        <v>0</v>
      </c>
      <c r="CV139" s="91">
        <v>0</v>
      </c>
      <c r="CW139" s="91">
        <v>0</v>
      </c>
      <c r="CX139" s="225">
        <v>0</v>
      </c>
      <c r="CY139" s="1265">
        <v>7718.8359200000004</v>
      </c>
      <c r="CZ139" s="90">
        <v>0</v>
      </c>
      <c r="DA139" s="88">
        <v>0</v>
      </c>
      <c r="DB139" s="88">
        <v>0</v>
      </c>
      <c r="DC139" s="88">
        <v>0</v>
      </c>
      <c r="DD139" s="88">
        <v>0</v>
      </c>
      <c r="DE139" s="152">
        <v>0</v>
      </c>
      <c r="DF139" s="230">
        <v>0</v>
      </c>
      <c r="DG139" s="38">
        <v>0</v>
      </c>
      <c r="DH139" s="1237">
        <v>0</v>
      </c>
      <c r="DI139" s="956">
        <v>0</v>
      </c>
      <c r="DJ139" s="956">
        <v>0</v>
      </c>
      <c r="DK139" s="956">
        <v>0</v>
      </c>
      <c r="DL139" s="152">
        <v>0</v>
      </c>
      <c r="DM139" s="160">
        <v>0</v>
      </c>
      <c r="DN139" s="160">
        <v>0</v>
      </c>
      <c r="DO139" s="160">
        <v>0</v>
      </c>
      <c r="DP139" s="160">
        <v>0</v>
      </c>
      <c r="DQ139" s="160">
        <v>0</v>
      </c>
      <c r="DR139" s="230">
        <v>0</v>
      </c>
      <c r="DS139" s="88">
        <v>0</v>
      </c>
      <c r="DT139" s="88">
        <v>0</v>
      </c>
      <c r="DU139" s="88">
        <v>0</v>
      </c>
      <c r="DV139" s="88">
        <v>0</v>
      </c>
      <c r="DW139" s="88">
        <v>0</v>
      </c>
      <c r="DX139" s="88">
        <v>0</v>
      </c>
      <c r="DY139" s="88">
        <v>0</v>
      </c>
      <c r="DZ139" s="88">
        <v>0</v>
      </c>
      <c r="EA139" s="88">
        <v>0</v>
      </c>
      <c r="EB139" s="152">
        <v>0</v>
      </c>
      <c r="EC139" s="52">
        <f t="shared" si="95"/>
        <v>0</v>
      </c>
      <c r="ED139" s="52">
        <f t="shared" si="95"/>
        <v>0</v>
      </c>
      <c r="EE139" s="52">
        <f t="shared" si="95"/>
        <v>0</v>
      </c>
      <c r="EF139" s="52">
        <f t="shared" si="71"/>
        <v>0</v>
      </c>
      <c r="EG139" s="52">
        <f t="shared" si="96"/>
        <v>0</v>
      </c>
      <c r="EH139" s="238">
        <v>0</v>
      </c>
      <c r="EI139" s="211">
        <v>0</v>
      </c>
      <c r="EJ139" s="211">
        <v>0</v>
      </c>
      <c r="EK139" s="211">
        <v>0</v>
      </c>
      <c r="EL139" s="217">
        <f>IF(C139&gt;=Summary!$E$26,MAX(0,SUM(EH139:EK139)),0)</f>
        <v>0</v>
      </c>
      <c r="EM139" s="52">
        <f>IF(C139&gt;=Summary!$E$26,DX139*BL139,0)</f>
        <v>0</v>
      </c>
      <c r="EN139" s="52">
        <f>IF(C139&gt;=Summary!$E$26,DY139*BM139,0)</f>
        <v>0</v>
      </c>
      <c r="EO139" s="52">
        <f>IF(C139&gt;=Summary!$E$26,DZ139*BN139,0)</f>
        <v>0</v>
      </c>
      <c r="EP139" s="52">
        <f>IF(C139&gt;=Summary!$E$26,EA139*BO139,0)</f>
        <v>0</v>
      </c>
      <c r="EQ139" s="52">
        <f>IF(C139&gt;=Summary!$E$26,DX139*BL139+DY139*BM139+DZ139*BN139+EA139*BO139,0)</f>
        <v>0</v>
      </c>
      <c r="ER139" s="826">
        <v>0</v>
      </c>
      <c r="ES139" s="278">
        <v>0</v>
      </c>
      <c r="ET139" s="278">
        <v>0</v>
      </c>
      <c r="EU139" s="278">
        <v>0</v>
      </c>
      <c r="EV139" s="212">
        <f>IF(C139&gt;=Summary!$E$26,MAX(0,SUM(ER139:EU139)),0)</f>
        <v>0</v>
      </c>
      <c r="EW139" s="52"/>
      <c r="EX139" s="1049">
        <f t="shared" si="97"/>
        <v>0</v>
      </c>
      <c r="EY139" s="1045" t="str">
        <f t="shared" si="98"/>
        <v/>
      </c>
      <c r="EZ139" s="1684" t="s">
        <v>525</v>
      </c>
      <c r="FA139" s="1046">
        <f t="shared" si="111"/>
        <v>45</v>
      </c>
      <c r="FB139" s="256">
        <f t="shared" si="99"/>
        <v>10194.75</v>
      </c>
      <c r="FC139" s="194">
        <f t="shared" si="100"/>
        <v>3058.4250000000002</v>
      </c>
      <c r="FD139" s="194">
        <f t="shared" si="101"/>
        <v>1773</v>
      </c>
      <c r="FE139" s="194">
        <f t="shared" si="102"/>
        <v>531.9</v>
      </c>
      <c r="FF139" s="194">
        <f t="shared" si="103"/>
        <v>1773</v>
      </c>
      <c r="FG139" s="194">
        <f t="shared" si="104"/>
        <v>531.9</v>
      </c>
      <c r="FH139" s="257">
        <f>IF(EZ139="No",IF((OR(MONTH(C139)=5,MONTH(C139)=6,MONTH(C139)=7,MONTH(C139)=8,MONTH(C139)=9)),Summary!$O$15*12*(AX139+AY139+AZ139+BA139)*(1-$BC139),Summary!$O$15*13*(AX139+AY139+AZ139+BA139)*(1-$BC139)+IF(Summary!$O$16="Yes",(CALC!FA139+Summary!$O$15)*6*(AX139+AY139+AZ139+BA139)*(1-$BC139),0)),0)</f>
        <v>0</v>
      </c>
      <c r="FI139" s="1412">
        <f>IF(MONTH(C139)=5,FI138*(IF(Summary!$E$70="no",(1+(Summary!$E$71*0.8)),1+HLOOKUP(YEAR(C139)-1,CCFMODEL!$I$127:$AF$128,2)*0.8)),+FI138)</f>
        <v>33.722769790466458</v>
      </c>
      <c r="FJ139" s="1411">
        <f>IF(MONTH(C139)=5,FJ138*(IF(Summary!$E$70="no",(1+(Summary!$E$71*0.8)),1+HLOOKUP(YEAR(CALC!C139)-1,CCFMODEL!$I$127:$AF$128,2)*0.8)),FJ138)</f>
        <v>29.474231864108479</v>
      </c>
      <c r="FK139" s="832">
        <f t="shared" si="72"/>
        <v>602388.99369785748</v>
      </c>
      <c r="FL139" s="1412">
        <f>IF(MONTH(C139)=5,FL138*(IF(Summary!$E$70="no",(1+(Summary!$E$71*0.8)),1+HLOOKUP(YEAR(CALC!C139)-1,CCFMODEL!$I$127:$AF$128,2)*0.8)),+FL138)</f>
        <v>70.922765562327072</v>
      </c>
      <c r="FM139" s="1411">
        <f>IF(MONTH(C139)=5,FM138*(IF(Summary!$E$70="no",(1+(Summary!$E$71*0.8)),1+HLOOKUP(YEAR(CALC!C139)-1,CCFMODEL!$I$127:$AF$128,2)*0.8)),+FM138)</f>
        <v>33.849214371608056</v>
      </c>
      <c r="FN139" s="832">
        <f t="shared" si="73"/>
        <v>613855.5026291121</v>
      </c>
      <c r="FO139" s="194">
        <f t="shared" si="105"/>
        <v>1216244.4963269695</v>
      </c>
      <c r="FP139" s="263">
        <f t="shared" si="125"/>
        <v>10194.75</v>
      </c>
      <c r="FQ139" s="194">
        <f t="shared" si="125"/>
        <v>3058.4250000000002</v>
      </c>
      <c r="FR139" s="194">
        <f t="shared" si="125"/>
        <v>1773</v>
      </c>
      <c r="FS139" s="194">
        <f t="shared" si="125"/>
        <v>531.9</v>
      </c>
      <c r="FT139" s="194">
        <f t="shared" si="125"/>
        <v>1773</v>
      </c>
      <c r="FU139" s="194">
        <f t="shared" si="125"/>
        <v>531.9</v>
      </c>
      <c r="FV139" s="257">
        <f t="shared" si="124"/>
        <v>0</v>
      </c>
      <c r="FW139" s="189">
        <f t="shared" si="74"/>
        <v>0</v>
      </c>
      <c r="FX139" s="189">
        <f t="shared" si="75"/>
        <v>0</v>
      </c>
      <c r="FY139" s="189">
        <f t="shared" si="76"/>
        <v>0</v>
      </c>
      <c r="FZ139" s="258">
        <f t="shared" si="77"/>
        <v>0</v>
      </c>
      <c r="GA139" s="1294">
        <f>(SUM(FP139:FV139)+SUM(GU139:HB139)/(1-Summary!$O$25))*CY139/1000</f>
        <v>235458.96016238278</v>
      </c>
      <c r="GB139" s="1369">
        <f>IF($C139&lt;Summary!$M$81,+Summary!$O$81,VLOOKUP(C139,GasTable,19))</f>
        <v>2.4</v>
      </c>
      <c r="GC139" s="1370">
        <f>IF(H139&lt;=Summary!$N$84,MIN(GA139,Summary!$O$75*(H139-G139+1)),0)</f>
        <v>155000</v>
      </c>
      <c r="GD139" s="1371">
        <f>IF(Summary!$O$75*(H139-G139+1)*0.8&gt;GC139,1,0)</f>
        <v>0</v>
      </c>
      <c r="GE139" s="1372">
        <v>0</v>
      </c>
      <c r="GF139" s="1370">
        <f t="shared" si="106"/>
        <v>80458.960162382777</v>
      </c>
      <c r="GG139" s="1371">
        <f>GF139*(IF(Summary!$O$74=1,VLOOKUP($C139,GasTable,16)+Summary!$O$92+Summary!$O$93,VLOOKUP($C139,GasTable,19)+Summary!$O$92+Summary!$O$93))</f>
        <v>251870.33946207011</v>
      </c>
      <c r="GH139" s="1373">
        <v>20274</v>
      </c>
      <c r="GI139" s="1466">
        <v>0</v>
      </c>
      <c r="GJ139" s="1374">
        <f t="shared" si="107"/>
        <v>644144.33946207014</v>
      </c>
      <c r="GK139" s="189">
        <f t="shared" si="78"/>
        <v>30062.012849999999</v>
      </c>
      <c r="GL139" s="266">
        <v>0.75798968734400018</v>
      </c>
      <c r="GM139" s="255">
        <f t="shared" si="79"/>
        <v>15221.000000000004</v>
      </c>
      <c r="GN139" s="189">
        <f>IF(SUM(GU139:HB139)=0,0,IF(Summary!$O$16="Yes",SUM(GX139:HB139),IF(Summary!$O$17="Yes",SUM(GY139:HB139),SUM(GU139:HB139))))</f>
        <v>12199.037849999999</v>
      </c>
      <c r="GO139" s="203">
        <v>3.1978833582794679</v>
      </c>
      <c r="GP139" s="258">
        <f t="shared" si="108"/>
        <v>39011.100127536338</v>
      </c>
      <c r="GQ139" s="189"/>
      <c r="GR139" s="189"/>
      <c r="GS139" s="189"/>
      <c r="GT139" s="189"/>
      <c r="GU139" s="268">
        <v>5902.7602500000003</v>
      </c>
      <c r="GV139" s="189">
        <v>1026.5670000000002</v>
      </c>
      <c r="GW139" s="189">
        <v>1026.5670000000002</v>
      </c>
      <c r="GX139" s="189"/>
      <c r="GY139" s="254">
        <v>3148.1388000000002</v>
      </c>
      <c r="GZ139" s="189">
        <v>547.50239999999997</v>
      </c>
      <c r="HA139" s="189">
        <v>547.50239999999997</v>
      </c>
      <c r="HB139" s="255"/>
      <c r="HC139" s="189">
        <v>12199.037849999999</v>
      </c>
      <c r="HD139" s="189"/>
      <c r="HE139" s="189">
        <v>20950.521524999996</v>
      </c>
      <c r="HF139" s="189">
        <v>441220.18892422796</v>
      </c>
      <c r="HG139" s="189"/>
      <c r="HH139" s="203">
        <v>35.574902721002076</v>
      </c>
      <c r="HI139" s="189">
        <v>745312.76520613499</v>
      </c>
      <c r="HJ139" s="268">
        <f t="shared" si="80"/>
        <v>0</v>
      </c>
      <c r="HK139" s="189">
        <f t="shared" si="81"/>
        <v>0</v>
      </c>
      <c r="HL139" s="189">
        <f t="shared" si="82"/>
        <v>0</v>
      </c>
      <c r="HM139" s="255">
        <f t="shared" si="83"/>
        <v>0</v>
      </c>
      <c r="HN139" s="189">
        <f t="shared" si="84"/>
        <v>0</v>
      </c>
      <c r="HO139" s="203">
        <f t="shared" si="109"/>
        <v>0</v>
      </c>
      <c r="HP139" s="258">
        <f t="shared" si="85"/>
        <v>0</v>
      </c>
      <c r="HQ139" s="203"/>
      <c r="HR139" s="268"/>
      <c r="HS139" s="38"/>
      <c r="HT139" s="255"/>
      <c r="HU139" s="254"/>
      <c r="HV139" s="203"/>
      <c r="HW139" s="189"/>
      <c r="HX139" s="1020"/>
      <c r="HY139" s="258"/>
      <c r="HZ139" s="268"/>
      <c r="IA139" s="203"/>
      <c r="IB139" s="255"/>
      <c r="IC139" s="254"/>
      <c r="ID139" s="203"/>
      <c r="IE139" s="255"/>
      <c r="IF139" s="189"/>
      <c r="IG139" s="203"/>
      <c r="IH139" s="255"/>
      <c r="II139" s="189"/>
      <c r="IJ139" s="203"/>
      <c r="IK139" s="189"/>
      <c r="IL139" s="1182"/>
      <c r="IM139" s="1403"/>
      <c r="IN139" s="254"/>
      <c r="IO139" s="254"/>
      <c r="IP139" s="254"/>
      <c r="IQ139" s="254"/>
      <c r="IR139" s="223"/>
    </row>
    <row r="140" spans="1:252" ht="13.8" thickBot="1">
      <c r="A140" t="str">
        <f t="shared" si="86"/>
        <v>2010Q2</v>
      </c>
      <c r="B140">
        <f t="shared" si="87"/>
        <v>2010</v>
      </c>
      <c r="C140" s="49">
        <f t="shared" si="88"/>
        <v>40269</v>
      </c>
      <c r="D140" s="115">
        <f t="shared" si="89"/>
        <v>2010</v>
      </c>
      <c r="E140" s="10">
        <f t="shared" si="112"/>
        <v>4</v>
      </c>
      <c r="F140" s="248" t="str">
        <f t="shared" si="113"/>
        <v/>
      </c>
      <c r="G140" s="245">
        <v>40269</v>
      </c>
      <c r="H140" s="251">
        <v>40298</v>
      </c>
      <c r="I140" s="959">
        <f t="shared" si="110"/>
        <v>7.1499999999999994E-2</v>
      </c>
      <c r="J140" s="37">
        <f t="shared" si="90"/>
        <v>0.48064948278584985</v>
      </c>
      <c r="K140" s="1036"/>
      <c r="L140" s="37"/>
      <c r="M140" s="1004">
        <v>0</v>
      </c>
      <c r="N140" s="38">
        <f t="shared" si="122"/>
        <v>0</v>
      </c>
      <c r="O140" s="40">
        <f t="shared" si="122"/>
        <v>0</v>
      </c>
      <c r="P140" s="159">
        <f t="shared" si="117"/>
        <v>0</v>
      </c>
      <c r="Q140" s="38">
        <f t="shared" si="126"/>
        <v>0</v>
      </c>
      <c r="R140" s="40">
        <f t="shared" si="126"/>
        <v>0</v>
      </c>
      <c r="S140" s="38">
        <f t="shared" si="126"/>
        <v>0</v>
      </c>
      <c r="T140" s="38">
        <f t="shared" si="126"/>
        <v>0</v>
      </c>
      <c r="U140" s="38">
        <f t="shared" si="126"/>
        <v>0</v>
      </c>
      <c r="V140" s="159">
        <f t="shared" si="126"/>
        <v>0</v>
      </c>
      <c r="W140" s="38">
        <f t="shared" si="126"/>
        <v>0</v>
      </c>
      <c r="X140" s="39">
        <f t="shared" si="126"/>
        <v>0</v>
      </c>
      <c r="Y140" s="46">
        <v>0</v>
      </c>
      <c r="Z140" s="46">
        <v>0</v>
      </c>
      <c r="AA140" s="47">
        <v>0</v>
      </c>
      <c r="AB140" s="46">
        <v>0</v>
      </c>
      <c r="AC140" s="46">
        <v>0</v>
      </c>
      <c r="AD140" s="47">
        <v>0</v>
      </c>
      <c r="AE140" s="46">
        <v>0</v>
      </c>
      <c r="AF140" s="46">
        <v>0</v>
      </c>
      <c r="AG140" s="47">
        <v>0</v>
      </c>
      <c r="AH140" s="46">
        <v>0</v>
      </c>
      <c r="AI140" s="46">
        <v>0</v>
      </c>
      <c r="AJ140" s="47">
        <v>0</v>
      </c>
      <c r="AK140" s="46">
        <v>0</v>
      </c>
      <c r="AL140" s="46">
        <v>0</v>
      </c>
      <c r="AM140" s="47">
        <v>0</v>
      </c>
      <c r="AN140" s="46">
        <v>0</v>
      </c>
      <c r="AO140" s="46">
        <v>0</v>
      </c>
      <c r="AP140" s="47">
        <v>0</v>
      </c>
      <c r="AQ140" s="46">
        <v>0</v>
      </c>
      <c r="AR140" s="46">
        <v>0</v>
      </c>
      <c r="AS140" s="47">
        <v>0</v>
      </c>
      <c r="AT140" s="46">
        <v>0</v>
      </c>
      <c r="AU140" s="46">
        <v>0</v>
      </c>
      <c r="AV140" s="46">
        <v>0</v>
      </c>
      <c r="AW140" s="1545">
        <v>0</v>
      </c>
      <c r="AX140" s="10">
        <f t="shared" si="114"/>
        <v>22</v>
      </c>
      <c r="AY140" s="42">
        <f>IF(AND($E140=MONTH(Summary!$E$24),$D140=YEAR(Summary!$E$24)),Summary!$E$25,1)*IF(G140="",0,INT((H140-MOD(H140,7)-G140)/7)+1-IF(BA140,IF(WEEKDAY(F140)=7,1,0),0))</f>
        <v>4</v>
      </c>
      <c r="AZ140" s="42">
        <f>IF(AND($E140=MONTH(Summary!$E$24),$D140=YEAR(Summary!$E$24)),Summary!$E$25,1)*IF(G140="",0,INT((H140-MOD(H140-1,7)-G140)/7)+1-IF(BA140,IF(WEEKDAY(F140)=1,1,0),0))</f>
        <v>4</v>
      </c>
      <c r="BA140" s="42">
        <v>0</v>
      </c>
      <c r="BB140" s="10">
        <f>IF(AND($E140=MONTH(Summary!$E$24),$D140=YEAR(Summary!$E$24)),Summary!$E$25,1)*IF(G140="",0,H140-G140+1)</f>
        <v>30</v>
      </c>
      <c r="BC140" s="914">
        <f>Summary!$E$19</f>
        <v>1.4999999999999999E-2</v>
      </c>
      <c r="BD140" s="113">
        <v>15602.4</v>
      </c>
      <c r="BE140" s="171">
        <v>2836.8</v>
      </c>
      <c r="BF140" s="171">
        <v>2836.8</v>
      </c>
      <c r="BG140" s="174"/>
      <c r="BH140" s="1198">
        <v>1</v>
      </c>
      <c r="BI140" s="1198">
        <v>1</v>
      </c>
      <c r="BJ140" s="1198">
        <v>1</v>
      </c>
      <c r="BK140" s="1198">
        <v>1</v>
      </c>
      <c r="BL140" s="95">
        <v>3120.48</v>
      </c>
      <c r="BM140" s="171">
        <v>567.36</v>
      </c>
      <c r="BN140" s="171">
        <v>567.36</v>
      </c>
      <c r="BO140" s="174"/>
      <c r="BP140" s="1198">
        <v>1</v>
      </c>
      <c r="BQ140" s="1199">
        <v>1</v>
      </c>
      <c r="BR140" s="1199">
        <v>1</v>
      </c>
      <c r="BS140" s="1200">
        <v>1</v>
      </c>
      <c r="BT140" s="94">
        <f t="shared" si="91"/>
        <v>21276</v>
      </c>
      <c r="BU140" s="233">
        <f t="shared" si="92"/>
        <v>21276</v>
      </c>
      <c r="BV140" s="92">
        <f t="shared" si="93"/>
        <v>4255.2</v>
      </c>
      <c r="BW140" s="233">
        <f t="shared" si="94"/>
        <v>4255.2</v>
      </c>
      <c r="BX140" s="88">
        <v>10.294318959616701</v>
      </c>
      <c r="BY140" s="90">
        <v>0</v>
      </c>
      <c r="BZ140" s="88">
        <v>0</v>
      </c>
      <c r="CA140" s="88">
        <v>0</v>
      </c>
      <c r="CB140" s="88">
        <v>0</v>
      </c>
      <c r="CC140" s="88">
        <v>0</v>
      </c>
      <c r="CD140" s="88">
        <v>0</v>
      </c>
      <c r="CE140" s="100">
        <v>0</v>
      </c>
      <c r="CF140" s="88">
        <v>0</v>
      </c>
      <c r="CG140" s="88">
        <v>0</v>
      </c>
      <c r="CH140" s="88">
        <v>0</v>
      </c>
      <c r="CI140" s="88">
        <v>0</v>
      </c>
      <c r="CJ140" s="228">
        <v>0</v>
      </c>
      <c r="CK140" s="88">
        <v>0</v>
      </c>
      <c r="CL140" s="88">
        <v>0</v>
      </c>
      <c r="CM140" s="88">
        <v>0</v>
      </c>
      <c r="CN140" s="88">
        <v>0</v>
      </c>
      <c r="CO140" s="88">
        <v>0</v>
      </c>
      <c r="CP140" s="88">
        <v>0</v>
      </c>
      <c r="CQ140" s="229">
        <v>0</v>
      </c>
      <c r="CR140" s="91">
        <v>0</v>
      </c>
      <c r="CS140" s="91">
        <v>0</v>
      </c>
      <c r="CT140" s="91">
        <v>0</v>
      </c>
      <c r="CU140" s="91">
        <v>0</v>
      </c>
      <c r="CV140" s="91">
        <v>0</v>
      </c>
      <c r="CW140" s="91">
        <v>0</v>
      </c>
      <c r="CX140" s="225">
        <v>0</v>
      </c>
      <c r="CY140" s="1265">
        <v>7720.8668799999996</v>
      </c>
      <c r="CZ140" s="90">
        <v>0</v>
      </c>
      <c r="DA140" s="88">
        <v>0</v>
      </c>
      <c r="DB140" s="88">
        <v>0</v>
      </c>
      <c r="DC140" s="88">
        <v>0</v>
      </c>
      <c r="DD140" s="88">
        <v>0</v>
      </c>
      <c r="DE140" s="152">
        <v>0</v>
      </c>
      <c r="DF140" s="230">
        <v>0</v>
      </c>
      <c r="DG140" s="38">
        <v>0</v>
      </c>
      <c r="DH140" s="1237">
        <v>0</v>
      </c>
      <c r="DI140" s="956">
        <v>0</v>
      </c>
      <c r="DJ140" s="956">
        <v>0</v>
      </c>
      <c r="DK140" s="956">
        <v>0</v>
      </c>
      <c r="DL140" s="152">
        <v>0</v>
      </c>
      <c r="DM140" s="160">
        <v>0</v>
      </c>
      <c r="DN140" s="160">
        <v>0</v>
      </c>
      <c r="DO140" s="160">
        <v>0</v>
      </c>
      <c r="DP140" s="160">
        <v>0</v>
      </c>
      <c r="DQ140" s="160">
        <v>0</v>
      </c>
      <c r="DR140" s="230">
        <v>0</v>
      </c>
      <c r="DS140" s="88">
        <v>0</v>
      </c>
      <c r="DT140" s="88">
        <v>0</v>
      </c>
      <c r="DU140" s="88">
        <v>0</v>
      </c>
      <c r="DV140" s="88">
        <v>0</v>
      </c>
      <c r="DW140" s="88">
        <v>0</v>
      </c>
      <c r="DX140" s="88">
        <v>0</v>
      </c>
      <c r="DY140" s="88">
        <v>0</v>
      </c>
      <c r="DZ140" s="88">
        <v>0</v>
      </c>
      <c r="EA140" s="88">
        <v>0</v>
      </c>
      <c r="EB140" s="152">
        <v>0</v>
      </c>
      <c r="EC140" s="52">
        <f t="shared" si="95"/>
        <v>0</v>
      </c>
      <c r="ED140" s="52">
        <f t="shared" si="95"/>
        <v>0</v>
      </c>
      <c r="EE140" s="52">
        <f t="shared" si="95"/>
        <v>0</v>
      </c>
      <c r="EF140" s="52">
        <f t="shared" si="71"/>
        <v>0</v>
      </c>
      <c r="EG140" s="52">
        <f t="shared" si="96"/>
        <v>0</v>
      </c>
      <c r="EH140" s="238">
        <v>0</v>
      </c>
      <c r="EI140" s="211">
        <v>0</v>
      </c>
      <c r="EJ140" s="211">
        <v>0</v>
      </c>
      <c r="EK140" s="211">
        <v>0</v>
      </c>
      <c r="EL140" s="217">
        <f>IF(C140&gt;=Summary!$E$26,MAX(0,SUM(EH140:EK140)),0)</f>
        <v>0</v>
      </c>
      <c r="EM140" s="52">
        <f>IF(C140&gt;=Summary!$E$26,DX140*BL140,0)</f>
        <v>0</v>
      </c>
      <c r="EN140" s="52">
        <f>IF(C140&gt;=Summary!$E$26,DY140*BM140,0)</f>
        <v>0</v>
      </c>
      <c r="EO140" s="52">
        <f>IF(C140&gt;=Summary!$E$26,DZ140*BN140,0)</f>
        <v>0</v>
      </c>
      <c r="EP140" s="52">
        <f>IF(C140&gt;=Summary!$E$26,EA140*BO140,0)</f>
        <v>0</v>
      </c>
      <c r="EQ140" s="52">
        <f>IF(C140&gt;=Summary!$E$26,DX140*BL140+DY140*BM140+DZ140*BN140+EA140*BO140,0)</f>
        <v>0</v>
      </c>
      <c r="ER140" s="826">
        <v>0</v>
      </c>
      <c r="ES140" s="278">
        <v>0</v>
      </c>
      <c r="ET140" s="278">
        <v>0</v>
      </c>
      <c r="EU140" s="278">
        <v>0</v>
      </c>
      <c r="EV140" s="212">
        <f>IF(C140&gt;=Summary!$E$26,MAX(0,SUM(ER140:EU140)),0)</f>
        <v>0</v>
      </c>
      <c r="EW140" s="52"/>
      <c r="EX140" s="1049">
        <f t="shared" si="97"/>
        <v>0</v>
      </c>
      <c r="EY140" s="1045" t="str">
        <f t="shared" si="98"/>
        <v/>
      </c>
      <c r="EZ140" s="1684" t="s">
        <v>525</v>
      </c>
      <c r="FA140" s="1046">
        <f t="shared" si="111"/>
        <v>45</v>
      </c>
      <c r="FB140" s="256">
        <f t="shared" si="99"/>
        <v>9751.5</v>
      </c>
      <c r="FC140" s="194">
        <f t="shared" si="100"/>
        <v>2925.45</v>
      </c>
      <c r="FD140" s="194">
        <f t="shared" si="101"/>
        <v>1773</v>
      </c>
      <c r="FE140" s="194">
        <f t="shared" si="102"/>
        <v>531.9</v>
      </c>
      <c r="FF140" s="194">
        <f t="shared" si="103"/>
        <v>1773</v>
      </c>
      <c r="FG140" s="194">
        <f t="shared" si="104"/>
        <v>531.9</v>
      </c>
      <c r="FH140" s="257">
        <f>IF(EZ140="No",IF((OR(MONTH(C140)=5,MONTH(C140)=6,MONTH(C140)=7,MONTH(C140)=8,MONTH(C140)=9)),Summary!$O$15*12*(AX140+AY140+AZ140+BA140)*(1-$BC140),Summary!$O$15*13*(AX140+AY140+AZ140+BA140)*(1-$BC140)+IF(Summary!$O$16="Yes",(CALC!FA140+Summary!$O$15)*6*(AX140+AY140+AZ140+BA140)*(1-$BC140),0)),0)</f>
        <v>0</v>
      </c>
      <c r="FI140" s="1412">
        <f>IF(MONTH(C140)=5,FI139*(IF(Summary!$E$70="no",(1+(Summary!$E$71*0.8)),1+HLOOKUP(YEAR(C140)-1,CCFMODEL!$I$127:$AF$128,2)*0.8)),+FI139)</f>
        <v>33.722769790466458</v>
      </c>
      <c r="FJ140" s="1411">
        <f>IF(MONTH(C140)=5,FJ139*(IF(Summary!$E$70="no",(1+(Summary!$E$71*0.8)),1+HLOOKUP(YEAR(CALC!C140)-1,CCFMODEL!$I$127:$AF$128,2)*0.8)),FJ139)</f>
        <v>29.474231864108479</v>
      </c>
      <c r="FK140" s="832">
        <f t="shared" si="72"/>
        <v>582957.09067534609</v>
      </c>
      <c r="FL140" s="1412">
        <f>IF(MONTH(C140)=5,FL139*(IF(Summary!$E$70="no",(1+(Summary!$E$71*0.8)),1+HLOOKUP(YEAR(CALC!C140)-1,CCFMODEL!$I$127:$AF$128,2)*0.8)),+FL139)</f>
        <v>70.922765562327072</v>
      </c>
      <c r="FM140" s="1411">
        <f>IF(MONTH(C140)=5,FM139*(IF(Summary!$E$70="no",(1+(Summary!$E$71*0.8)),1+HLOOKUP(YEAR(CALC!C140)-1,CCFMODEL!$I$127:$AF$128,2)*0.8)),+FM139)</f>
        <v>33.849214371608056</v>
      </c>
      <c r="FN140" s="832">
        <f t="shared" si="73"/>
        <v>594053.71222172142</v>
      </c>
      <c r="FO140" s="194">
        <f t="shared" si="105"/>
        <v>1177010.8028970675</v>
      </c>
      <c r="FP140" s="263">
        <f t="shared" si="125"/>
        <v>9751.5</v>
      </c>
      <c r="FQ140" s="194">
        <f t="shared" si="125"/>
        <v>2925.45</v>
      </c>
      <c r="FR140" s="194">
        <f t="shared" si="125"/>
        <v>1773</v>
      </c>
      <c r="FS140" s="194">
        <f t="shared" si="125"/>
        <v>531.9</v>
      </c>
      <c r="FT140" s="194">
        <f t="shared" si="125"/>
        <v>1773</v>
      </c>
      <c r="FU140" s="194">
        <f t="shared" si="125"/>
        <v>531.9</v>
      </c>
      <c r="FV140" s="257">
        <f t="shared" si="124"/>
        <v>0</v>
      </c>
      <c r="FW140" s="189">
        <f t="shared" si="74"/>
        <v>0</v>
      </c>
      <c r="FX140" s="189">
        <f t="shared" si="75"/>
        <v>0</v>
      </c>
      <c r="FY140" s="189">
        <f t="shared" si="76"/>
        <v>0</v>
      </c>
      <c r="FZ140" s="258">
        <f t="shared" si="77"/>
        <v>0</v>
      </c>
      <c r="GA140" s="1294">
        <f>(SUM(FP140:FV140)+SUM(GU140:HB140)/(1-Summary!$O$25))*CY140/1000</f>
        <v>227923.46468769599</v>
      </c>
      <c r="GB140" s="1444">
        <f>IF($C140&lt;Summary!$M$81,+Summary!$O$81,VLOOKUP(C140,GasTable,19))</f>
        <v>2.4</v>
      </c>
      <c r="GC140" s="1370">
        <f>IF(H140&lt;=Summary!$N$84,MIN(GA140,Summary!$O$75*(H140-G140+1)),0)</f>
        <v>150000</v>
      </c>
      <c r="GD140" s="1371">
        <f>IF(Summary!$O$75*(H140-G140+1)*0.8&gt;GC140,1,0)</f>
        <v>0</v>
      </c>
      <c r="GE140" s="1372">
        <v>0</v>
      </c>
      <c r="GF140" s="1370">
        <f t="shared" si="106"/>
        <v>77923.464687695989</v>
      </c>
      <c r="GG140" s="1371">
        <f>GF140*(IF(Summary!$O$74=1,VLOOKUP($C140,GasTable,16)+Summary!$O$92+Summary!$O$93,VLOOKUP($C140,GasTable,19)+Summary!$O$92+Summary!$O$93))</f>
        <v>236736.80160049294</v>
      </c>
      <c r="GH140" s="1373">
        <v>18906</v>
      </c>
      <c r="GI140" s="1466">
        <v>0</v>
      </c>
      <c r="GJ140" s="1374">
        <f t="shared" si="107"/>
        <v>615642.80160049291</v>
      </c>
      <c r="GK140" s="189">
        <f t="shared" si="78"/>
        <v>29092.270500000002</v>
      </c>
      <c r="GL140" s="266">
        <v>0.75818912761599999</v>
      </c>
      <c r="GM140" s="255">
        <f t="shared" si="79"/>
        <v>14730</v>
      </c>
      <c r="GN140" s="189">
        <f>IF(SUM(GU140:HB140)=0,0,IF(Summary!$O$16="Yes",SUM(GX140:HB140),IF(Summary!$O$17="Yes",SUM(GY140:HB140),SUM(GU140:HB140))))</f>
        <v>11805.520499999999</v>
      </c>
      <c r="GO140" s="203">
        <v>3.1978833582794679</v>
      </c>
      <c r="GP140" s="258">
        <f t="shared" si="108"/>
        <v>37752.677542777099</v>
      </c>
      <c r="GQ140" s="189"/>
      <c r="GR140" s="189"/>
      <c r="GS140" s="189"/>
      <c r="GT140" s="189"/>
      <c r="GU140" s="268">
        <v>5646.1184999999996</v>
      </c>
      <c r="GV140" s="189">
        <v>1026.5670000000002</v>
      </c>
      <c r="GW140" s="189">
        <v>1026.5670000000002</v>
      </c>
      <c r="GX140" s="189"/>
      <c r="GY140" s="254">
        <v>3011.2631999999999</v>
      </c>
      <c r="GZ140" s="189">
        <v>547.50239999999997</v>
      </c>
      <c r="HA140" s="189">
        <v>547.50239999999997</v>
      </c>
      <c r="HB140" s="255"/>
      <c r="HC140" s="189">
        <v>11805.520499999999</v>
      </c>
      <c r="HD140" s="189"/>
      <c r="HE140" s="189">
        <v>20274.698249999998</v>
      </c>
      <c r="HF140" s="189">
        <v>413738.32692281628</v>
      </c>
      <c r="HG140" s="189"/>
      <c r="HH140" s="203">
        <v>34.41290305422293</v>
      </c>
      <c r="HI140" s="189">
        <v>697711.22533087316</v>
      </c>
      <c r="HJ140" s="268">
        <f t="shared" si="80"/>
        <v>0</v>
      </c>
      <c r="HK140" s="189">
        <f t="shared" si="81"/>
        <v>0</v>
      </c>
      <c r="HL140" s="189">
        <f t="shared" si="82"/>
        <v>0</v>
      </c>
      <c r="HM140" s="255">
        <f t="shared" si="83"/>
        <v>0</v>
      </c>
      <c r="HN140" s="189">
        <f t="shared" si="84"/>
        <v>0</v>
      </c>
      <c r="HO140" s="203">
        <f t="shared" si="109"/>
        <v>0</v>
      </c>
      <c r="HP140" s="258">
        <f t="shared" si="85"/>
        <v>0</v>
      </c>
      <c r="HQ140" s="203"/>
      <c r="HR140" s="268"/>
      <c r="HS140" s="38"/>
      <c r="HT140" s="255"/>
      <c r="HU140" s="254"/>
      <c r="HV140" s="203"/>
      <c r="HW140" s="189"/>
      <c r="HX140" s="1020"/>
      <c r="HY140" s="258"/>
      <c r="HZ140" s="268"/>
      <c r="IA140" s="203"/>
      <c r="IB140" s="255"/>
      <c r="IC140" s="254"/>
      <c r="ID140" s="203"/>
      <c r="IE140" s="255"/>
      <c r="IF140" s="189"/>
      <c r="IG140" s="203"/>
      <c r="IH140" s="255"/>
      <c r="II140" s="189"/>
      <c r="IJ140" s="203"/>
      <c r="IK140" s="189"/>
      <c r="IL140" s="1182"/>
      <c r="IM140" s="1403"/>
      <c r="IN140" s="254"/>
      <c r="IO140" s="254"/>
      <c r="IP140" s="254"/>
      <c r="IQ140" s="254"/>
      <c r="IR140" s="223"/>
    </row>
    <row r="141" spans="1:252" ht="13.8" thickBot="1">
      <c r="A141" t="str">
        <f t="shared" si="86"/>
        <v>2010Q2</v>
      </c>
      <c r="B141">
        <f t="shared" si="87"/>
        <v>2010</v>
      </c>
      <c r="C141" s="49">
        <f t="shared" si="88"/>
        <v>40299</v>
      </c>
      <c r="D141" s="115">
        <f t="shared" si="89"/>
        <v>2010</v>
      </c>
      <c r="E141" s="10">
        <f t="shared" si="112"/>
        <v>5</v>
      </c>
      <c r="F141" s="248">
        <f t="shared" si="113"/>
        <v>40329</v>
      </c>
      <c r="G141" s="245">
        <v>40299</v>
      </c>
      <c r="H141" s="251">
        <v>40329</v>
      </c>
      <c r="I141" s="959">
        <f t="shared" si="110"/>
        <v>7.1499999999999994E-2</v>
      </c>
      <c r="J141" s="37">
        <f t="shared" si="90"/>
        <v>0.47779214162249362</v>
      </c>
      <c r="K141" s="1036"/>
      <c r="L141" s="37"/>
      <c r="M141" s="1004">
        <v>0</v>
      </c>
      <c r="N141" s="38">
        <f t="shared" si="122"/>
        <v>0</v>
      </c>
      <c r="O141" s="40">
        <f t="shared" si="122"/>
        <v>0</v>
      </c>
      <c r="P141" s="159">
        <f t="shared" si="117"/>
        <v>0</v>
      </c>
      <c r="Q141" s="38">
        <f t="shared" si="126"/>
        <v>0</v>
      </c>
      <c r="R141" s="40">
        <f t="shared" si="126"/>
        <v>0</v>
      </c>
      <c r="S141" s="38">
        <f t="shared" si="126"/>
        <v>0</v>
      </c>
      <c r="T141" s="38">
        <f t="shared" si="126"/>
        <v>0</v>
      </c>
      <c r="U141" s="38">
        <f t="shared" si="126"/>
        <v>0</v>
      </c>
      <c r="V141" s="159">
        <f t="shared" si="126"/>
        <v>0</v>
      </c>
      <c r="W141" s="38">
        <f t="shared" si="126"/>
        <v>0</v>
      </c>
      <c r="X141" s="39">
        <f t="shared" si="126"/>
        <v>0</v>
      </c>
      <c r="Y141" s="46">
        <v>0</v>
      </c>
      <c r="Z141" s="46">
        <v>0</v>
      </c>
      <c r="AA141" s="47">
        <v>0</v>
      </c>
      <c r="AB141" s="46">
        <v>0</v>
      </c>
      <c r="AC141" s="46">
        <v>0</v>
      </c>
      <c r="AD141" s="47">
        <v>0</v>
      </c>
      <c r="AE141" s="46">
        <v>0</v>
      </c>
      <c r="AF141" s="46">
        <v>0</v>
      </c>
      <c r="AG141" s="47">
        <v>0</v>
      </c>
      <c r="AH141" s="46">
        <v>0</v>
      </c>
      <c r="AI141" s="46">
        <v>0</v>
      </c>
      <c r="AJ141" s="47">
        <v>0</v>
      </c>
      <c r="AK141" s="46">
        <v>0</v>
      </c>
      <c r="AL141" s="46">
        <v>0</v>
      </c>
      <c r="AM141" s="47">
        <v>0</v>
      </c>
      <c r="AN141" s="46">
        <v>0</v>
      </c>
      <c r="AO141" s="46">
        <v>0</v>
      </c>
      <c r="AP141" s="47">
        <v>0</v>
      </c>
      <c r="AQ141" s="46">
        <v>0</v>
      </c>
      <c r="AR141" s="46">
        <v>0</v>
      </c>
      <c r="AS141" s="47">
        <v>0</v>
      </c>
      <c r="AT141" s="46">
        <v>0</v>
      </c>
      <c r="AU141" s="46">
        <v>0</v>
      </c>
      <c r="AV141" s="46">
        <v>0</v>
      </c>
      <c r="AW141" s="1545">
        <v>0</v>
      </c>
      <c r="AX141" s="10">
        <f t="shared" si="114"/>
        <v>20</v>
      </c>
      <c r="AY141" s="42">
        <f>IF(AND($E141=MONTH(Summary!$E$24),$D141=YEAR(Summary!$E$24)),Summary!$E$25,1)*IF(G141="",0,INT((H141-MOD(H141,7)-G141)/7)+1-IF(BA141,IF(WEEKDAY(F141)=7,1,0),0))</f>
        <v>5</v>
      </c>
      <c r="AZ141" s="42">
        <f>IF(AND($E141=MONTH(Summary!$E$24),$D141=YEAR(Summary!$E$24)),Summary!$E$25,1)*IF(G141="",0,INT((H141-MOD(H141-1,7)-G141)/7)+1-IF(BA141,IF(WEEKDAY(F141)=1,1,0),0))</f>
        <v>5</v>
      </c>
      <c r="BA141" s="42">
        <v>1</v>
      </c>
      <c r="BB141" s="10">
        <f>IF(AND($E141=MONTH(Summary!$E$24),$D141=YEAR(Summary!$E$24)),Summary!$E$25,1)*IF(G141="",0,H141-G141+1)</f>
        <v>31</v>
      </c>
      <c r="BC141" s="914">
        <f>Summary!$E$19</f>
        <v>1.4999999999999999E-2</v>
      </c>
      <c r="BD141" s="113">
        <v>14184</v>
      </c>
      <c r="BE141" s="171">
        <v>3546</v>
      </c>
      <c r="BF141" s="171">
        <v>4255.2</v>
      </c>
      <c r="BG141" s="174"/>
      <c r="BH141" s="1198">
        <v>1</v>
      </c>
      <c r="BI141" s="1198">
        <v>1</v>
      </c>
      <c r="BJ141" s="1198">
        <v>1</v>
      </c>
      <c r="BK141" s="1198">
        <v>1</v>
      </c>
      <c r="BL141" s="95">
        <v>2836.8</v>
      </c>
      <c r="BM141" s="171">
        <v>709.2</v>
      </c>
      <c r="BN141" s="171">
        <v>851.04</v>
      </c>
      <c r="BO141" s="174"/>
      <c r="BP141" s="1198">
        <v>1</v>
      </c>
      <c r="BQ141" s="1199">
        <v>1</v>
      </c>
      <c r="BR141" s="1199">
        <v>1</v>
      </c>
      <c r="BS141" s="1200">
        <v>1</v>
      </c>
      <c r="BT141" s="94">
        <f t="shared" si="91"/>
        <v>21985.200000000001</v>
      </c>
      <c r="BU141" s="233">
        <f t="shared" si="92"/>
        <v>21985.200000000001</v>
      </c>
      <c r="BV141" s="92">
        <f t="shared" si="93"/>
        <v>4397.04</v>
      </c>
      <c r="BW141" s="233">
        <f t="shared" si="94"/>
        <v>4397.04</v>
      </c>
      <c r="BX141" s="88">
        <v>10.376454483230663</v>
      </c>
      <c r="BY141" s="90">
        <v>0</v>
      </c>
      <c r="BZ141" s="88">
        <v>0</v>
      </c>
      <c r="CA141" s="88">
        <v>0</v>
      </c>
      <c r="CB141" s="88">
        <v>0</v>
      </c>
      <c r="CC141" s="88">
        <v>0</v>
      </c>
      <c r="CD141" s="88">
        <v>0</v>
      </c>
      <c r="CE141" s="100">
        <v>0</v>
      </c>
      <c r="CF141" s="88">
        <v>0</v>
      </c>
      <c r="CG141" s="88">
        <v>0</v>
      </c>
      <c r="CH141" s="88">
        <v>0</v>
      </c>
      <c r="CI141" s="88">
        <v>0</v>
      </c>
      <c r="CJ141" s="228">
        <v>0</v>
      </c>
      <c r="CK141" s="88">
        <v>0</v>
      </c>
      <c r="CL141" s="88">
        <v>0</v>
      </c>
      <c r="CM141" s="88">
        <v>0</v>
      </c>
      <c r="CN141" s="88">
        <v>0</v>
      </c>
      <c r="CO141" s="88">
        <v>0</v>
      </c>
      <c r="CP141" s="88">
        <v>0</v>
      </c>
      <c r="CQ141" s="229">
        <v>0</v>
      </c>
      <c r="CR141" s="91">
        <v>0</v>
      </c>
      <c r="CS141" s="91">
        <v>0</v>
      </c>
      <c r="CT141" s="91">
        <v>0</v>
      </c>
      <c r="CU141" s="91">
        <v>0</v>
      </c>
      <c r="CV141" s="91">
        <v>0</v>
      </c>
      <c r="CW141" s="91">
        <v>0</v>
      </c>
      <c r="CX141" s="225">
        <v>0</v>
      </c>
      <c r="CY141" s="1265">
        <v>7722.8978399999996</v>
      </c>
      <c r="CZ141" s="90">
        <v>0</v>
      </c>
      <c r="DA141" s="88">
        <v>0</v>
      </c>
      <c r="DB141" s="88">
        <v>0</v>
      </c>
      <c r="DC141" s="88">
        <v>0</v>
      </c>
      <c r="DD141" s="88">
        <v>0</v>
      </c>
      <c r="DE141" s="152">
        <v>0</v>
      </c>
      <c r="DF141" s="230">
        <v>0</v>
      </c>
      <c r="DG141" s="38">
        <v>0</v>
      </c>
      <c r="DH141" s="1237">
        <v>0</v>
      </c>
      <c r="DI141" s="956">
        <v>0</v>
      </c>
      <c r="DJ141" s="956">
        <v>0</v>
      </c>
      <c r="DK141" s="956">
        <v>0</v>
      </c>
      <c r="DL141" s="152">
        <v>0</v>
      </c>
      <c r="DM141" s="160">
        <v>0</v>
      </c>
      <c r="DN141" s="160">
        <v>0</v>
      </c>
      <c r="DO141" s="160">
        <v>0</v>
      </c>
      <c r="DP141" s="160">
        <v>0</v>
      </c>
      <c r="DQ141" s="160">
        <v>0</v>
      </c>
      <c r="DR141" s="230">
        <v>0</v>
      </c>
      <c r="DS141" s="88">
        <v>0</v>
      </c>
      <c r="DT141" s="88">
        <v>0</v>
      </c>
      <c r="DU141" s="88">
        <v>0</v>
      </c>
      <c r="DV141" s="88">
        <v>0</v>
      </c>
      <c r="DW141" s="88">
        <v>0</v>
      </c>
      <c r="DX141" s="88">
        <v>0</v>
      </c>
      <c r="DY141" s="88">
        <v>0</v>
      </c>
      <c r="DZ141" s="88">
        <v>0</v>
      </c>
      <c r="EA141" s="88">
        <v>0</v>
      </c>
      <c r="EB141" s="152">
        <v>0</v>
      </c>
      <c r="EC141" s="52">
        <f t="shared" si="95"/>
        <v>0</v>
      </c>
      <c r="ED141" s="52">
        <f t="shared" si="95"/>
        <v>0</v>
      </c>
      <c r="EE141" s="52">
        <f t="shared" si="95"/>
        <v>0</v>
      </c>
      <c r="EF141" s="52">
        <f t="shared" si="71"/>
        <v>0</v>
      </c>
      <c r="EG141" s="52">
        <f t="shared" si="96"/>
        <v>0</v>
      </c>
      <c r="EH141" s="238">
        <v>0</v>
      </c>
      <c r="EI141" s="211">
        <v>0</v>
      </c>
      <c r="EJ141" s="211">
        <v>0</v>
      </c>
      <c r="EK141" s="211">
        <v>0</v>
      </c>
      <c r="EL141" s="217">
        <f>IF(C141&gt;=Summary!$E$26,MAX(0,SUM(EH141:EK141)),0)</f>
        <v>0</v>
      </c>
      <c r="EM141" s="52">
        <f>IF(C141&gt;=Summary!$E$26,DX141*BL141,0)</f>
        <v>0</v>
      </c>
      <c r="EN141" s="52">
        <f>IF(C141&gt;=Summary!$E$26,DY141*BM141,0)</f>
        <v>0</v>
      </c>
      <c r="EO141" s="52">
        <f>IF(C141&gt;=Summary!$E$26,DZ141*BN141,0)</f>
        <v>0</v>
      </c>
      <c r="EP141" s="52">
        <f>IF(C141&gt;=Summary!$E$26,EA141*BO141,0)</f>
        <v>0</v>
      </c>
      <c r="EQ141" s="52">
        <f>IF(C141&gt;=Summary!$E$26,DX141*BL141+DY141*BM141+DZ141*BN141+EA141*BO141,0)</f>
        <v>0</v>
      </c>
      <c r="ER141" s="826">
        <v>0</v>
      </c>
      <c r="ES141" s="278">
        <v>0</v>
      </c>
      <c r="ET141" s="278">
        <v>0</v>
      </c>
      <c r="EU141" s="278">
        <v>0</v>
      </c>
      <c r="EV141" s="212">
        <f>IF(C141&gt;=Summary!$E$26,MAX(0,SUM(ER141:EU141)),0)</f>
        <v>0</v>
      </c>
      <c r="EW141" s="52"/>
      <c r="EX141" s="1049">
        <f t="shared" si="97"/>
        <v>0</v>
      </c>
      <c r="EY141" s="1045" t="str">
        <f t="shared" si="98"/>
        <v/>
      </c>
      <c r="EZ141" s="1684" t="s">
        <v>525</v>
      </c>
      <c r="FA141" s="1046">
        <f t="shared" si="111"/>
        <v>45</v>
      </c>
      <c r="FB141" s="256">
        <f t="shared" si="99"/>
        <v>10638</v>
      </c>
      <c r="FC141" s="194">
        <f t="shared" si="100"/>
        <v>0</v>
      </c>
      <c r="FD141" s="194">
        <f t="shared" si="101"/>
        <v>2659.5</v>
      </c>
      <c r="FE141" s="194">
        <f t="shared" si="102"/>
        <v>0</v>
      </c>
      <c r="FF141" s="194">
        <f t="shared" si="103"/>
        <v>3191.4</v>
      </c>
      <c r="FG141" s="194">
        <f t="shared" si="104"/>
        <v>0</v>
      </c>
      <c r="FH141" s="257">
        <f>IF(EZ141="No",IF((OR(MONTH(C141)=5,MONTH(C141)=6,MONTH(C141)=7,MONTH(C141)=8,MONTH(C141)=9)),Summary!$O$15*12*(AX141+AY141+AZ141+BA141)*(1-$BC141),Summary!$O$15*13*(AX141+AY141+AZ141+BA141)*(1-$BC141)+IF(Summary!$O$16="Yes",(CALC!FA141+Summary!$O$15)*6*(AX141+AY141+AZ141+BA141)*(1-$BC141),0)),0)</f>
        <v>0</v>
      </c>
      <c r="FI141" s="1412">
        <f>IF(MONTH(C141)=5,FI140*(IF(Summary!$E$70="no",(1+(Summary!$E$71*0.8)),1+HLOOKUP(YEAR(C141)-1,CCFMODEL!$I$127:$AF$128,2)*0.8)),+FI140)</f>
        <v>34.532116265437651</v>
      </c>
      <c r="FJ141" s="1411">
        <f>IF(MONTH(C141)=5,FJ140*(IF(Summary!$E$70="no",(1+(Summary!$E$71*0.8)),1+HLOOKUP(YEAR(CALC!C141)-1,CCFMODEL!$I$127:$AF$128,2)*0.8)),FJ140)</f>
        <v>30.181613428847083</v>
      </c>
      <c r="FK141" s="832">
        <f t="shared" si="72"/>
        <v>569396.61188917491</v>
      </c>
      <c r="FL141" s="1412">
        <f>IF(MONTH(C141)=5,FL140*(IF(Summary!$E$70="no",(1+(Summary!$E$71*0.8)),1+HLOOKUP(YEAR(CALC!C141)-1,CCFMODEL!$I$127:$AF$128,2)*0.8)),+FL140)</f>
        <v>72.624911935822922</v>
      </c>
      <c r="FM141" s="1411">
        <f>IF(MONTH(C141)=5,FM140*(IF(Summary!$E$70="no",(1+(Summary!$E$71*0.8)),1+HLOOKUP(YEAR(CALC!C141)-1,CCFMODEL!$I$127:$AF$128,2)*0.8)),+FM140)</f>
        <v>34.661595516526653</v>
      </c>
      <c r="FN141" s="832">
        <f t="shared" si="73"/>
        <v>1215741.0258056757</v>
      </c>
      <c r="FO141" s="194">
        <f t="shared" si="105"/>
        <v>1785137.6376948506</v>
      </c>
      <c r="FP141" s="263">
        <f t="shared" si="125"/>
        <v>10638</v>
      </c>
      <c r="FQ141" s="194">
        <f t="shared" si="125"/>
        <v>0</v>
      </c>
      <c r="FR141" s="194">
        <f t="shared" si="125"/>
        <v>2659.5</v>
      </c>
      <c r="FS141" s="194">
        <f t="shared" si="125"/>
        <v>0</v>
      </c>
      <c r="FT141" s="194">
        <f t="shared" si="125"/>
        <v>3191.4</v>
      </c>
      <c r="FU141" s="194">
        <f t="shared" si="125"/>
        <v>0</v>
      </c>
      <c r="FV141" s="257">
        <f t="shared" si="124"/>
        <v>0</v>
      </c>
      <c r="FW141" s="189">
        <f t="shared" si="74"/>
        <v>0</v>
      </c>
      <c r="FX141" s="189">
        <f t="shared" si="75"/>
        <v>0</v>
      </c>
      <c r="FY141" s="189">
        <f t="shared" si="76"/>
        <v>0</v>
      </c>
      <c r="FZ141" s="258">
        <f t="shared" si="77"/>
        <v>0</v>
      </c>
      <c r="GA141" s="1294">
        <f>(SUM(FP141:FV141)+SUM(GU141:HB141)/(1-Summary!$O$25))*CY141/1000</f>
        <v>203747.34431036163</v>
      </c>
      <c r="GB141" s="1444">
        <f>IF($C141&lt;Summary!$M$81,+Summary!$O$81,VLOOKUP(C141,GasTable,19))</f>
        <v>2.963448970589317</v>
      </c>
      <c r="GC141" s="1370">
        <f>IF(H141&lt;=Summary!$N$84,MIN(GA141,Summary!$O$75*(H141-G141+1)),0)</f>
        <v>0</v>
      </c>
      <c r="GD141" s="1371">
        <f>IF(C141&lt;Summary!$N$84,IF(Summary!$O$75*(H141-G141+1)*0.8&gt;GC141,1,0),0)</f>
        <v>0</v>
      </c>
      <c r="GE141" s="1372">
        <v>0</v>
      </c>
      <c r="GF141" s="1370">
        <f t="shared" si="106"/>
        <v>203747.34431036163</v>
      </c>
      <c r="GG141" s="1371">
        <f>GF141*(IF(Summary!$O$74=1,VLOOKUP($C141,GasTable,16)+Summary!$O$92+Summary!$O$93,VLOOKUP($C141,GasTable,19)+Summary!$O$92+Summary!$O$93))</f>
        <v>614410.09439541819</v>
      </c>
      <c r="GH141" s="1373">
        <v>4593.3459044134415</v>
      </c>
      <c r="GI141" s="1466">
        <v>0</v>
      </c>
      <c r="GJ141" s="1374">
        <f t="shared" si="107"/>
        <v>619003.44029983168</v>
      </c>
      <c r="GK141" s="189">
        <f t="shared" si="78"/>
        <v>26035.973099999999</v>
      </c>
      <c r="GL141" s="266">
        <v>0.51743415528000003</v>
      </c>
      <c r="GM141" s="255">
        <f t="shared" si="79"/>
        <v>0</v>
      </c>
      <c r="GN141" s="189">
        <f>IF(SUM(GU141:HB141)=0,0,IF(Summary!$O$16="Yes",SUM(GX141:HB141),IF(Summary!$O$17="Yes",SUM(GY141:HB141),SUM(GU141:HB141))))</f>
        <v>9547.0731000000014</v>
      </c>
      <c r="GO141" s="203">
        <v>3.1978833582794679</v>
      </c>
      <c r="GP141" s="258">
        <f t="shared" si="108"/>
        <v>30530.426186767574</v>
      </c>
      <c r="GQ141" s="189"/>
      <c r="GR141" s="189"/>
      <c r="GS141" s="189"/>
      <c r="GT141" s="189"/>
      <c r="GU141" s="268">
        <v>3421.89</v>
      </c>
      <c r="GV141" s="189">
        <v>855.47249999999997</v>
      </c>
      <c r="GW141" s="189">
        <v>1026.5669999999998</v>
      </c>
      <c r="GX141" s="189"/>
      <c r="GY141" s="254">
        <v>2737.5120000000002</v>
      </c>
      <c r="GZ141" s="189">
        <v>684.37800000000004</v>
      </c>
      <c r="HA141" s="189">
        <v>821.25359999999989</v>
      </c>
      <c r="HB141" s="255"/>
      <c r="HC141" s="189">
        <v>9547.0731000000014</v>
      </c>
      <c r="HD141" s="189"/>
      <c r="HE141" s="189">
        <v>22276.503900000003</v>
      </c>
      <c r="HF141" s="189">
        <v>335423.76646566606</v>
      </c>
      <c r="HG141" s="189"/>
      <c r="HH141" s="203">
        <v>35.597250828920167</v>
      </c>
      <c r="HI141" s="189">
        <v>792982.29691971838</v>
      </c>
      <c r="HJ141" s="268">
        <f t="shared" si="80"/>
        <v>0</v>
      </c>
      <c r="HK141" s="189">
        <f t="shared" si="81"/>
        <v>0</v>
      </c>
      <c r="HL141" s="189">
        <f t="shared" si="82"/>
        <v>0</v>
      </c>
      <c r="HM141" s="255">
        <f t="shared" si="83"/>
        <v>0</v>
      </c>
      <c r="HN141" s="189">
        <f t="shared" si="84"/>
        <v>0</v>
      </c>
      <c r="HO141" s="203">
        <f t="shared" si="109"/>
        <v>0</v>
      </c>
      <c r="HP141" s="258">
        <f t="shared" si="85"/>
        <v>0</v>
      </c>
      <c r="HQ141" s="203"/>
      <c r="HR141" s="268"/>
      <c r="HS141" s="38"/>
      <c r="HT141" s="255"/>
      <c r="HU141" s="254"/>
      <c r="HV141" s="203"/>
      <c r="HW141" s="189"/>
      <c r="HX141" s="1020"/>
      <c r="HY141" s="258"/>
      <c r="HZ141" s="268"/>
      <c r="IA141" s="203"/>
      <c r="IB141" s="255"/>
      <c r="IC141" s="254"/>
      <c r="ID141" s="203"/>
      <c r="IE141" s="255"/>
      <c r="IF141" s="189"/>
      <c r="IG141" s="203"/>
      <c r="IH141" s="255"/>
      <c r="II141" s="189"/>
      <c r="IJ141" s="203"/>
      <c r="IK141" s="189"/>
      <c r="IL141" s="1182"/>
      <c r="IM141" s="1403"/>
      <c r="IN141" s="254"/>
      <c r="IO141" s="254"/>
      <c r="IP141" s="254"/>
      <c r="IQ141" s="254"/>
      <c r="IR141" s="223"/>
    </row>
    <row r="142" spans="1:252" ht="13.8" thickBot="1">
      <c r="A142" t="str">
        <f t="shared" si="86"/>
        <v>2010Q2</v>
      </c>
      <c r="B142">
        <f t="shared" si="87"/>
        <v>2010</v>
      </c>
      <c r="C142" s="49">
        <f t="shared" si="88"/>
        <v>40330</v>
      </c>
      <c r="D142" s="115">
        <f t="shared" si="89"/>
        <v>2010</v>
      </c>
      <c r="E142" s="10">
        <f t="shared" si="112"/>
        <v>6</v>
      </c>
      <c r="F142" s="248" t="str">
        <f t="shared" si="113"/>
        <v/>
      </c>
      <c r="G142" s="245">
        <v>40330</v>
      </c>
      <c r="H142" s="251">
        <v>40359</v>
      </c>
      <c r="I142" s="959">
        <f t="shared" si="110"/>
        <v>7.1499999999999994E-2</v>
      </c>
      <c r="J142" s="37">
        <f t="shared" si="90"/>
        <v>0.47504314689575122</v>
      </c>
      <c r="K142" s="1036"/>
      <c r="L142" s="37"/>
      <c r="M142" s="1004">
        <v>0</v>
      </c>
      <c r="N142" s="38">
        <f t="shared" si="122"/>
        <v>0</v>
      </c>
      <c r="O142" s="40">
        <f t="shared" si="122"/>
        <v>0</v>
      </c>
      <c r="P142" s="159">
        <f t="shared" si="117"/>
        <v>0</v>
      </c>
      <c r="Q142" s="38">
        <f t="shared" si="126"/>
        <v>0</v>
      </c>
      <c r="R142" s="40">
        <f t="shared" si="126"/>
        <v>0</v>
      </c>
      <c r="S142" s="38">
        <f t="shared" si="126"/>
        <v>0</v>
      </c>
      <c r="T142" s="38">
        <f t="shared" si="126"/>
        <v>0</v>
      </c>
      <c r="U142" s="38">
        <f t="shared" si="126"/>
        <v>0</v>
      </c>
      <c r="V142" s="159">
        <f t="shared" si="126"/>
        <v>0</v>
      </c>
      <c r="W142" s="38">
        <f t="shared" si="126"/>
        <v>0</v>
      </c>
      <c r="X142" s="39">
        <f t="shared" si="126"/>
        <v>0</v>
      </c>
      <c r="Y142" s="46">
        <v>0</v>
      </c>
      <c r="Z142" s="46">
        <v>0</v>
      </c>
      <c r="AA142" s="47">
        <v>0</v>
      </c>
      <c r="AB142" s="46">
        <v>0</v>
      </c>
      <c r="AC142" s="46">
        <v>0</v>
      </c>
      <c r="AD142" s="47">
        <v>0</v>
      </c>
      <c r="AE142" s="46">
        <v>0</v>
      </c>
      <c r="AF142" s="46">
        <v>0</v>
      </c>
      <c r="AG142" s="47">
        <v>0</v>
      </c>
      <c r="AH142" s="46">
        <v>0</v>
      </c>
      <c r="AI142" s="46">
        <v>0</v>
      </c>
      <c r="AJ142" s="47">
        <v>0</v>
      </c>
      <c r="AK142" s="46">
        <v>0</v>
      </c>
      <c r="AL142" s="46">
        <v>0</v>
      </c>
      <c r="AM142" s="47">
        <v>0</v>
      </c>
      <c r="AN142" s="46">
        <v>0</v>
      </c>
      <c r="AO142" s="46">
        <v>0</v>
      </c>
      <c r="AP142" s="47">
        <v>0</v>
      </c>
      <c r="AQ142" s="46">
        <v>0</v>
      </c>
      <c r="AR142" s="46">
        <v>0</v>
      </c>
      <c r="AS142" s="47">
        <v>0</v>
      </c>
      <c r="AT142" s="46">
        <v>0</v>
      </c>
      <c r="AU142" s="46">
        <v>0</v>
      </c>
      <c r="AV142" s="46">
        <v>0</v>
      </c>
      <c r="AW142" s="1545">
        <v>0</v>
      </c>
      <c r="AX142" s="10">
        <f t="shared" si="114"/>
        <v>22</v>
      </c>
      <c r="AY142" s="42">
        <f>IF(AND($E142=MONTH(Summary!$E$24),$D142=YEAR(Summary!$E$24)),Summary!$E$25,1)*IF(G142="",0,INT((H142-MOD(H142,7)-G142)/7)+1-IF(BA142,IF(WEEKDAY(F142)=7,1,0),0))</f>
        <v>4</v>
      </c>
      <c r="AZ142" s="42">
        <f>IF(AND($E142=MONTH(Summary!$E$24),$D142=YEAR(Summary!$E$24)),Summary!$E$25,1)*IF(G142="",0,INT((H142-MOD(H142-1,7)-G142)/7)+1-IF(BA142,IF(WEEKDAY(F142)=1,1,0),0))</f>
        <v>4</v>
      </c>
      <c r="BA142" s="42">
        <v>0</v>
      </c>
      <c r="BB142" s="10">
        <f>IF(AND($E142=MONTH(Summary!$E$24),$D142=YEAR(Summary!$E$24)),Summary!$E$25,1)*IF(G142="",0,H142-G142+1)</f>
        <v>30</v>
      </c>
      <c r="BC142" s="914">
        <f>Summary!$E$19</f>
        <v>1.4999999999999999E-2</v>
      </c>
      <c r="BD142" s="113">
        <v>15602.4</v>
      </c>
      <c r="BE142" s="171">
        <v>2836.8</v>
      </c>
      <c r="BF142" s="171">
        <v>2836.8</v>
      </c>
      <c r="BG142" s="174"/>
      <c r="BH142" s="1198">
        <v>1</v>
      </c>
      <c r="BI142" s="1198">
        <v>1</v>
      </c>
      <c r="BJ142" s="1198">
        <v>1</v>
      </c>
      <c r="BK142" s="1198">
        <v>1</v>
      </c>
      <c r="BL142" s="95">
        <v>3120.48</v>
      </c>
      <c r="BM142" s="171">
        <v>567.36</v>
      </c>
      <c r="BN142" s="171">
        <v>567.36</v>
      </c>
      <c r="BO142" s="174"/>
      <c r="BP142" s="1198">
        <v>1</v>
      </c>
      <c r="BQ142" s="1199">
        <v>1</v>
      </c>
      <c r="BR142" s="1199">
        <v>1</v>
      </c>
      <c r="BS142" s="1200">
        <v>1</v>
      </c>
      <c r="BT142" s="94">
        <f t="shared" si="91"/>
        <v>21276</v>
      </c>
      <c r="BU142" s="233">
        <f t="shared" si="92"/>
        <v>21276</v>
      </c>
      <c r="BV142" s="92">
        <f t="shared" si="93"/>
        <v>4255.2</v>
      </c>
      <c r="BW142" s="233">
        <f t="shared" si="94"/>
        <v>4255.2</v>
      </c>
      <c r="BX142" s="88">
        <v>10.461327857631758</v>
      </c>
      <c r="BY142" s="90">
        <v>0</v>
      </c>
      <c r="BZ142" s="88">
        <v>0</v>
      </c>
      <c r="CA142" s="88">
        <v>0</v>
      </c>
      <c r="CB142" s="88">
        <v>0</v>
      </c>
      <c r="CC142" s="88">
        <v>0</v>
      </c>
      <c r="CD142" s="88">
        <v>0</v>
      </c>
      <c r="CE142" s="100">
        <v>0</v>
      </c>
      <c r="CF142" s="88">
        <v>0</v>
      </c>
      <c r="CG142" s="88">
        <v>0</v>
      </c>
      <c r="CH142" s="88">
        <v>0</v>
      </c>
      <c r="CI142" s="88">
        <v>0</v>
      </c>
      <c r="CJ142" s="228">
        <v>0</v>
      </c>
      <c r="CK142" s="88">
        <v>0</v>
      </c>
      <c r="CL142" s="88">
        <v>0</v>
      </c>
      <c r="CM142" s="88">
        <v>0</v>
      </c>
      <c r="CN142" s="88">
        <v>0</v>
      </c>
      <c r="CO142" s="88">
        <v>0</v>
      </c>
      <c r="CP142" s="88">
        <v>0</v>
      </c>
      <c r="CQ142" s="229">
        <v>0</v>
      </c>
      <c r="CR142" s="91">
        <v>0</v>
      </c>
      <c r="CS142" s="91">
        <v>0</v>
      </c>
      <c r="CT142" s="91">
        <v>0</v>
      </c>
      <c r="CU142" s="91">
        <v>0</v>
      </c>
      <c r="CV142" s="91">
        <v>0</v>
      </c>
      <c r="CW142" s="91">
        <v>0</v>
      </c>
      <c r="CX142" s="225">
        <v>0</v>
      </c>
      <c r="CY142" s="1265">
        <v>7724.9287999999997</v>
      </c>
      <c r="CZ142" s="90">
        <v>0</v>
      </c>
      <c r="DA142" s="88">
        <v>0</v>
      </c>
      <c r="DB142" s="88">
        <v>0</v>
      </c>
      <c r="DC142" s="88">
        <v>0</v>
      </c>
      <c r="DD142" s="88">
        <v>0</v>
      </c>
      <c r="DE142" s="152">
        <v>0</v>
      </c>
      <c r="DF142" s="230">
        <v>0</v>
      </c>
      <c r="DG142" s="38">
        <v>0</v>
      </c>
      <c r="DH142" s="1237">
        <v>0</v>
      </c>
      <c r="DI142" s="956">
        <v>0</v>
      </c>
      <c r="DJ142" s="956">
        <v>0</v>
      </c>
      <c r="DK142" s="956">
        <v>0</v>
      </c>
      <c r="DL142" s="152">
        <v>0</v>
      </c>
      <c r="DM142" s="160">
        <v>0</v>
      </c>
      <c r="DN142" s="160">
        <v>0</v>
      </c>
      <c r="DO142" s="160">
        <v>0</v>
      </c>
      <c r="DP142" s="160">
        <v>0</v>
      </c>
      <c r="DQ142" s="160">
        <v>0</v>
      </c>
      <c r="DR142" s="230">
        <v>0</v>
      </c>
      <c r="DS142" s="88">
        <v>0</v>
      </c>
      <c r="DT142" s="88">
        <v>0</v>
      </c>
      <c r="DU142" s="88">
        <v>0</v>
      </c>
      <c r="DV142" s="88">
        <v>0</v>
      </c>
      <c r="DW142" s="88">
        <v>0</v>
      </c>
      <c r="DX142" s="88">
        <v>0</v>
      </c>
      <c r="DY142" s="88">
        <v>0</v>
      </c>
      <c r="DZ142" s="88">
        <v>0</v>
      </c>
      <c r="EA142" s="88">
        <v>0</v>
      </c>
      <c r="EB142" s="152">
        <v>0</v>
      </c>
      <c r="EC142" s="52">
        <f t="shared" si="95"/>
        <v>0</v>
      </c>
      <c r="ED142" s="52">
        <f t="shared" si="95"/>
        <v>0</v>
      </c>
      <c r="EE142" s="52">
        <f t="shared" si="95"/>
        <v>0</v>
      </c>
      <c r="EF142" s="52">
        <f t="shared" si="71"/>
        <v>0</v>
      </c>
      <c r="EG142" s="52">
        <f t="shared" si="96"/>
        <v>0</v>
      </c>
      <c r="EH142" s="238">
        <v>0</v>
      </c>
      <c r="EI142" s="211">
        <v>0</v>
      </c>
      <c r="EJ142" s="211">
        <v>0</v>
      </c>
      <c r="EK142" s="211">
        <v>0</v>
      </c>
      <c r="EL142" s="217">
        <f>IF(C142&gt;=Summary!$E$26,MAX(0,SUM(EH142:EK142)),0)</f>
        <v>0</v>
      </c>
      <c r="EM142" s="52">
        <f>IF(C142&gt;=Summary!$E$26,DX142*BL142,0)</f>
        <v>0</v>
      </c>
      <c r="EN142" s="52">
        <f>IF(C142&gt;=Summary!$E$26,DY142*BM142,0)</f>
        <v>0</v>
      </c>
      <c r="EO142" s="52">
        <f>IF(C142&gt;=Summary!$E$26,DZ142*BN142,0)</f>
        <v>0</v>
      </c>
      <c r="EP142" s="52">
        <f>IF(C142&gt;=Summary!$E$26,EA142*BO142,0)</f>
        <v>0</v>
      </c>
      <c r="EQ142" s="52">
        <f>IF(C142&gt;=Summary!$E$26,DX142*BL142+DY142*BM142+DZ142*BN142+EA142*BO142,0)</f>
        <v>0</v>
      </c>
      <c r="ER142" s="826">
        <v>0</v>
      </c>
      <c r="ES142" s="278">
        <v>0</v>
      </c>
      <c r="ET142" s="278">
        <v>0</v>
      </c>
      <c r="EU142" s="278">
        <v>0</v>
      </c>
      <c r="EV142" s="212">
        <f>IF(C142&gt;=Summary!$E$26,MAX(0,SUM(ER142:EU142)),0)</f>
        <v>0</v>
      </c>
      <c r="EW142" s="52"/>
      <c r="EX142" s="1049">
        <f t="shared" si="97"/>
        <v>0</v>
      </c>
      <c r="EY142" s="1045" t="str">
        <f t="shared" si="98"/>
        <v/>
      </c>
      <c r="EZ142" s="1684" t="s">
        <v>525</v>
      </c>
      <c r="FA142" s="1046">
        <f t="shared" si="111"/>
        <v>45</v>
      </c>
      <c r="FB142" s="256">
        <f t="shared" si="99"/>
        <v>11701.8</v>
      </c>
      <c r="FC142" s="194">
        <f t="shared" si="100"/>
        <v>0</v>
      </c>
      <c r="FD142" s="194">
        <f t="shared" si="101"/>
        <v>2127.6</v>
      </c>
      <c r="FE142" s="194">
        <f t="shared" si="102"/>
        <v>0</v>
      </c>
      <c r="FF142" s="194">
        <f t="shared" si="103"/>
        <v>2127.6</v>
      </c>
      <c r="FG142" s="194">
        <f t="shared" si="104"/>
        <v>0</v>
      </c>
      <c r="FH142" s="257">
        <f>IF(EZ142="No",IF((OR(MONTH(C142)=5,MONTH(C142)=6,MONTH(C142)=7,MONTH(C142)=8,MONTH(C142)=9)),Summary!$O$15*12*(AX142+AY142+AZ142+BA142)*(1-$BC142),Summary!$O$15*13*(AX142+AY142+AZ142+BA142)*(1-$BC142)+IF(Summary!$O$16="Yes",(CALC!FA142+Summary!$O$15)*6*(AX142+AY142+AZ142+BA142)*(1-$BC142),0)),0)</f>
        <v>0</v>
      </c>
      <c r="FI142" s="1412">
        <f>IF(MONTH(C142)=5,FI141*(IF(Summary!$E$70="no",(1+(Summary!$E$71*0.8)),1+HLOOKUP(YEAR(C142)-1,CCFMODEL!$I$127:$AF$128,2)*0.8)),+FI141)</f>
        <v>34.532116265437651</v>
      </c>
      <c r="FJ142" s="1411">
        <f>IF(MONTH(C142)=5,FJ141*(IF(Summary!$E$70="no",(1+(Summary!$E$71*0.8)),1+HLOOKUP(YEAR(CALC!C142)-1,CCFMODEL!$I$127:$AF$128,2)*0.8)),FJ141)</f>
        <v>30.181613428847083</v>
      </c>
      <c r="FK142" s="832">
        <f t="shared" si="72"/>
        <v>551028.97924758855</v>
      </c>
      <c r="FL142" s="1412">
        <f>IF(MONTH(C142)=5,FL141*(IF(Summary!$E$70="no",(1+(Summary!$E$71*0.8)),1+HLOOKUP(YEAR(CALC!C142)-1,CCFMODEL!$I$127:$AF$128,2)*0.8)),+FL141)</f>
        <v>72.624911935822922</v>
      </c>
      <c r="FM142" s="1411">
        <f>IF(MONTH(C142)=5,FM141*(IF(Summary!$E$70="no",(1+(Summary!$E$71*0.8)),1+HLOOKUP(YEAR(CALC!C142)-1,CCFMODEL!$I$127:$AF$128,2)*0.8)),+FM141)</f>
        <v>34.661595516526653</v>
      </c>
      <c r="FN142" s="832">
        <f t="shared" si="73"/>
        <v>1176523.5733603314</v>
      </c>
      <c r="FO142" s="194">
        <f t="shared" si="105"/>
        <v>1727552.55260792</v>
      </c>
      <c r="FP142" s="263">
        <f t="shared" si="125"/>
        <v>11701.8</v>
      </c>
      <c r="FQ142" s="194">
        <f t="shared" si="125"/>
        <v>0</v>
      </c>
      <c r="FR142" s="194">
        <f t="shared" si="125"/>
        <v>2127.6</v>
      </c>
      <c r="FS142" s="194">
        <f t="shared" si="125"/>
        <v>0</v>
      </c>
      <c r="FT142" s="194">
        <f t="shared" si="125"/>
        <v>2127.6</v>
      </c>
      <c r="FU142" s="194">
        <f t="shared" si="125"/>
        <v>0</v>
      </c>
      <c r="FV142" s="257">
        <f t="shared" si="124"/>
        <v>0</v>
      </c>
      <c r="FW142" s="189">
        <f t="shared" si="74"/>
        <v>0</v>
      </c>
      <c r="FX142" s="189">
        <f t="shared" si="75"/>
        <v>0</v>
      </c>
      <c r="FY142" s="189">
        <f t="shared" si="76"/>
        <v>0</v>
      </c>
      <c r="FZ142" s="258">
        <f t="shared" si="77"/>
        <v>0</v>
      </c>
      <c r="GA142" s="1294">
        <f>(SUM(FP142:FV142)+SUM(GU142:HB142)/(1-Summary!$O$25))*CY142/1000</f>
        <v>197226.70217855996</v>
      </c>
      <c r="GB142" s="1444">
        <f>IF($C142&lt;Summary!$M$81,+Summary!$O$81,VLOOKUP(C142,GasTable,19))</f>
        <v>2.9992457232965544</v>
      </c>
      <c r="GC142" s="1370">
        <f>IF(H142&lt;=Summary!$N$84,MIN(GA142,Summary!$O$75*(H142-G142+1)),0)</f>
        <v>0</v>
      </c>
      <c r="GD142" s="1371">
        <f>IF(C142&lt;Summary!$N$84,IF(Summary!$O$75*(H142-G142+1)*0.8&gt;GC142,1,0),0)</f>
        <v>0</v>
      </c>
      <c r="GE142" s="1372">
        <v>0</v>
      </c>
      <c r="GF142" s="1370">
        <f t="shared" si="106"/>
        <v>197226.70217855996</v>
      </c>
      <c r="GG142" s="1371">
        <f>GF142*(IF(Summary!$O$74=1,VLOOKUP($C142,GasTable,16)+Summary!$O$92+Summary!$O$93,VLOOKUP($C142,GasTable,19)+Summary!$O$92+Summary!$O$93))</f>
        <v>601806.85421243217</v>
      </c>
      <c r="GH142" s="1373">
        <v>4498.8685849448311</v>
      </c>
      <c r="GI142" s="1466">
        <v>0</v>
      </c>
      <c r="GJ142" s="1374">
        <f t="shared" si="107"/>
        <v>606305.72279737704</v>
      </c>
      <c r="GK142" s="189">
        <f t="shared" si="78"/>
        <v>25196.103000000006</v>
      </c>
      <c r="GL142" s="266">
        <v>0.5175702296000001</v>
      </c>
      <c r="GM142" s="255">
        <f t="shared" si="79"/>
        <v>0</v>
      </c>
      <c r="GN142" s="189">
        <f>IF(SUM(GU142:HB142)=0,0,IF(Summary!$O$16="Yes",SUM(GX142:HB142),IF(Summary!$O$17="Yes",SUM(GY142:HB142),SUM(GU142:HB142))))</f>
        <v>9239.1029999999992</v>
      </c>
      <c r="GO142" s="203">
        <v>3.1978833582794679</v>
      </c>
      <c r="GP142" s="258">
        <f t="shared" si="108"/>
        <v>29545.573729129905</v>
      </c>
      <c r="GQ142" s="189"/>
      <c r="GR142" s="189"/>
      <c r="GS142" s="189"/>
      <c r="GT142" s="189"/>
      <c r="GU142" s="268">
        <v>3764.0790000000002</v>
      </c>
      <c r="GV142" s="189">
        <v>684.37800000000027</v>
      </c>
      <c r="GW142" s="189">
        <v>684.37800000000027</v>
      </c>
      <c r="GX142" s="189"/>
      <c r="GY142" s="254">
        <v>3011.2631999999999</v>
      </c>
      <c r="GZ142" s="189">
        <v>547.50239999999997</v>
      </c>
      <c r="HA142" s="189">
        <v>547.50239999999997</v>
      </c>
      <c r="HB142" s="255"/>
      <c r="HC142" s="189">
        <v>9239.1029999999992</v>
      </c>
      <c r="HD142" s="189"/>
      <c r="HE142" s="189">
        <v>21557.906999999999</v>
      </c>
      <c r="HF142" s="189">
        <v>334545.80620495521</v>
      </c>
      <c r="HG142" s="189"/>
      <c r="HH142" s="203">
        <v>37.459495291037754</v>
      </c>
      <c r="HI142" s="189">
        <v>807548.31575112976</v>
      </c>
      <c r="HJ142" s="268">
        <f t="shared" si="80"/>
        <v>0</v>
      </c>
      <c r="HK142" s="189">
        <f t="shared" si="81"/>
        <v>0</v>
      </c>
      <c r="HL142" s="189">
        <f t="shared" si="82"/>
        <v>0</v>
      </c>
      <c r="HM142" s="255">
        <f t="shared" si="83"/>
        <v>0</v>
      </c>
      <c r="HN142" s="189">
        <f t="shared" si="84"/>
        <v>0</v>
      </c>
      <c r="HO142" s="203">
        <f t="shared" si="109"/>
        <v>0</v>
      </c>
      <c r="HP142" s="258">
        <f t="shared" si="85"/>
        <v>0</v>
      </c>
      <c r="HQ142" s="203"/>
      <c r="HR142" s="268"/>
      <c r="HS142" s="38"/>
      <c r="HT142" s="255"/>
      <c r="HU142" s="254"/>
      <c r="HV142" s="203"/>
      <c r="HW142" s="189"/>
      <c r="HX142" s="1020"/>
      <c r="HY142" s="258"/>
      <c r="HZ142" s="268"/>
      <c r="IA142" s="203"/>
      <c r="IB142" s="255"/>
      <c r="IC142" s="254"/>
      <c r="ID142" s="203"/>
      <c r="IE142" s="255"/>
      <c r="IF142" s="189"/>
      <c r="IG142" s="203"/>
      <c r="IH142" s="255"/>
      <c r="II142" s="189"/>
      <c r="IJ142" s="203"/>
      <c r="IK142" s="189"/>
      <c r="IL142" s="1182"/>
      <c r="IM142" s="1403"/>
      <c r="IN142" s="254"/>
      <c r="IO142" s="254"/>
      <c r="IP142" s="254"/>
      <c r="IQ142" s="254"/>
      <c r="IR142" s="223"/>
    </row>
    <row r="143" spans="1:252" ht="13.8" thickBot="1">
      <c r="A143" t="str">
        <f t="shared" si="86"/>
        <v>2010Q3</v>
      </c>
      <c r="B143">
        <f t="shared" si="87"/>
        <v>2010</v>
      </c>
      <c r="C143" s="49">
        <f t="shared" si="88"/>
        <v>40360</v>
      </c>
      <c r="D143" s="115">
        <f t="shared" si="89"/>
        <v>2010</v>
      </c>
      <c r="E143" s="10">
        <f t="shared" si="112"/>
        <v>7</v>
      </c>
      <c r="F143" s="248">
        <f t="shared" si="113"/>
        <v>40364</v>
      </c>
      <c r="G143" s="245">
        <v>40360</v>
      </c>
      <c r="H143" s="251">
        <v>40390</v>
      </c>
      <c r="I143" s="959">
        <f t="shared" si="110"/>
        <v>7.1499999999999994E-2</v>
      </c>
      <c r="J143" s="37">
        <f t="shared" si="90"/>
        <v>0.47221913399943377</v>
      </c>
      <c r="K143" s="1036"/>
      <c r="L143" s="37"/>
      <c r="M143" s="1004">
        <v>0</v>
      </c>
      <c r="N143" s="38">
        <f t="shared" si="122"/>
        <v>0</v>
      </c>
      <c r="O143" s="40">
        <f t="shared" si="122"/>
        <v>0</v>
      </c>
      <c r="P143" s="159">
        <f t="shared" si="117"/>
        <v>0</v>
      </c>
      <c r="Q143" s="38">
        <f t="shared" si="126"/>
        <v>0</v>
      </c>
      <c r="R143" s="40">
        <f t="shared" si="126"/>
        <v>0</v>
      </c>
      <c r="S143" s="38">
        <f t="shared" si="126"/>
        <v>0</v>
      </c>
      <c r="T143" s="38">
        <f t="shared" si="126"/>
        <v>0</v>
      </c>
      <c r="U143" s="38">
        <f t="shared" si="126"/>
        <v>0</v>
      </c>
      <c r="V143" s="159">
        <f t="shared" si="126"/>
        <v>0</v>
      </c>
      <c r="W143" s="38">
        <f t="shared" si="126"/>
        <v>0</v>
      </c>
      <c r="X143" s="39">
        <f t="shared" si="126"/>
        <v>0</v>
      </c>
      <c r="Y143" s="46">
        <v>0</v>
      </c>
      <c r="Z143" s="46">
        <v>0</v>
      </c>
      <c r="AA143" s="47">
        <v>0</v>
      </c>
      <c r="AB143" s="46">
        <v>0</v>
      </c>
      <c r="AC143" s="46">
        <v>0</v>
      </c>
      <c r="AD143" s="47">
        <v>0</v>
      </c>
      <c r="AE143" s="46">
        <v>0</v>
      </c>
      <c r="AF143" s="46">
        <v>0</v>
      </c>
      <c r="AG143" s="47">
        <v>0</v>
      </c>
      <c r="AH143" s="46">
        <v>0</v>
      </c>
      <c r="AI143" s="46">
        <v>0</v>
      </c>
      <c r="AJ143" s="47">
        <v>0</v>
      </c>
      <c r="AK143" s="46">
        <v>0</v>
      </c>
      <c r="AL143" s="46">
        <v>0</v>
      </c>
      <c r="AM143" s="47">
        <v>0</v>
      </c>
      <c r="AN143" s="46">
        <v>0</v>
      </c>
      <c r="AO143" s="46">
        <v>0</v>
      </c>
      <c r="AP143" s="47">
        <v>0</v>
      </c>
      <c r="AQ143" s="46">
        <v>0</v>
      </c>
      <c r="AR143" s="46">
        <v>0</v>
      </c>
      <c r="AS143" s="47">
        <v>0</v>
      </c>
      <c r="AT143" s="46">
        <v>0</v>
      </c>
      <c r="AU143" s="46">
        <v>0</v>
      </c>
      <c r="AV143" s="46">
        <v>0</v>
      </c>
      <c r="AW143" s="1545">
        <v>0</v>
      </c>
      <c r="AX143" s="10">
        <f t="shared" si="114"/>
        <v>21</v>
      </c>
      <c r="AY143" s="42">
        <f>IF(AND($E143=MONTH(Summary!$E$24),$D143=YEAR(Summary!$E$24)),Summary!$E$25,1)*IF(G143="",0,INT((H143-MOD(H143,7)-G143)/7)+1-IF(BA143,IF(WEEKDAY(F143)=7,1,0),0))</f>
        <v>5</v>
      </c>
      <c r="AZ143" s="42">
        <f>IF(AND($E143=MONTH(Summary!$E$24),$D143=YEAR(Summary!$E$24)),Summary!$E$25,1)*IF(G143="",0,INT((H143-MOD(H143-1,7)-G143)/7)+1-IF(BA143,IF(WEEKDAY(F143)=1,1,0),0))</f>
        <v>4</v>
      </c>
      <c r="BA143" s="42">
        <v>1</v>
      </c>
      <c r="BB143" s="10">
        <f>IF(AND($E143=MONTH(Summary!$E$24),$D143=YEAR(Summary!$E$24)),Summary!$E$25,1)*IF(G143="",0,H143-G143+1)</f>
        <v>31</v>
      </c>
      <c r="BC143" s="914">
        <f>Summary!$E$19</f>
        <v>1.4999999999999999E-2</v>
      </c>
      <c r="BD143" s="113">
        <v>14893.2</v>
      </c>
      <c r="BE143" s="171">
        <v>3546</v>
      </c>
      <c r="BF143" s="171">
        <v>3546</v>
      </c>
      <c r="BG143" s="174"/>
      <c r="BH143" s="1198">
        <v>1</v>
      </c>
      <c r="BI143" s="1198">
        <v>1</v>
      </c>
      <c r="BJ143" s="1198">
        <v>1</v>
      </c>
      <c r="BK143" s="1198">
        <v>1</v>
      </c>
      <c r="BL143" s="95">
        <v>2978.64</v>
      </c>
      <c r="BM143" s="171">
        <v>709.2</v>
      </c>
      <c r="BN143" s="171">
        <v>709.2</v>
      </c>
      <c r="BO143" s="174"/>
      <c r="BP143" s="1198">
        <v>1</v>
      </c>
      <c r="BQ143" s="1199">
        <v>1</v>
      </c>
      <c r="BR143" s="1199">
        <v>1</v>
      </c>
      <c r="BS143" s="1200">
        <v>1</v>
      </c>
      <c r="BT143" s="94">
        <f t="shared" si="91"/>
        <v>21985.200000000001</v>
      </c>
      <c r="BU143" s="233">
        <f t="shared" si="92"/>
        <v>21985.200000000001</v>
      </c>
      <c r="BV143" s="92">
        <f t="shared" si="93"/>
        <v>4397.04</v>
      </c>
      <c r="BW143" s="233">
        <f t="shared" si="94"/>
        <v>4397.04</v>
      </c>
      <c r="BX143" s="88">
        <v>10.543463381245722</v>
      </c>
      <c r="BY143" s="90">
        <v>0</v>
      </c>
      <c r="BZ143" s="88">
        <v>0</v>
      </c>
      <c r="CA143" s="88">
        <v>0</v>
      </c>
      <c r="CB143" s="88">
        <v>0</v>
      </c>
      <c r="CC143" s="88">
        <v>0</v>
      </c>
      <c r="CD143" s="88">
        <v>0</v>
      </c>
      <c r="CE143" s="100">
        <v>0</v>
      </c>
      <c r="CF143" s="88">
        <v>0</v>
      </c>
      <c r="CG143" s="88">
        <v>0</v>
      </c>
      <c r="CH143" s="88">
        <v>0</v>
      </c>
      <c r="CI143" s="88">
        <v>0</v>
      </c>
      <c r="CJ143" s="228">
        <v>0</v>
      </c>
      <c r="CK143" s="88">
        <v>0</v>
      </c>
      <c r="CL143" s="88">
        <v>0</v>
      </c>
      <c r="CM143" s="88">
        <v>0</v>
      </c>
      <c r="CN143" s="88">
        <v>0</v>
      </c>
      <c r="CO143" s="88">
        <v>0</v>
      </c>
      <c r="CP143" s="88">
        <v>0</v>
      </c>
      <c r="CQ143" s="229">
        <v>0</v>
      </c>
      <c r="CR143" s="91">
        <v>0</v>
      </c>
      <c r="CS143" s="91">
        <v>0</v>
      </c>
      <c r="CT143" s="91">
        <v>0</v>
      </c>
      <c r="CU143" s="91">
        <v>0</v>
      </c>
      <c r="CV143" s="91">
        <v>0</v>
      </c>
      <c r="CW143" s="91">
        <v>0</v>
      </c>
      <c r="CX143" s="225">
        <v>0</v>
      </c>
      <c r="CY143" s="1265">
        <v>7726.9597600000006</v>
      </c>
      <c r="CZ143" s="90">
        <v>0</v>
      </c>
      <c r="DA143" s="88">
        <v>0</v>
      </c>
      <c r="DB143" s="88">
        <v>0</v>
      </c>
      <c r="DC143" s="88">
        <v>0</v>
      </c>
      <c r="DD143" s="88">
        <v>0</v>
      </c>
      <c r="DE143" s="152">
        <v>0</v>
      </c>
      <c r="DF143" s="230">
        <v>0</v>
      </c>
      <c r="DG143" s="38">
        <v>0</v>
      </c>
      <c r="DH143" s="1237">
        <v>0</v>
      </c>
      <c r="DI143" s="956">
        <v>0</v>
      </c>
      <c r="DJ143" s="956">
        <v>0</v>
      </c>
      <c r="DK143" s="956">
        <v>0</v>
      </c>
      <c r="DL143" s="152">
        <v>0</v>
      </c>
      <c r="DM143" s="160">
        <v>0</v>
      </c>
      <c r="DN143" s="160">
        <v>0</v>
      </c>
      <c r="DO143" s="160">
        <v>0</v>
      </c>
      <c r="DP143" s="160">
        <v>0</v>
      </c>
      <c r="DQ143" s="160">
        <v>0</v>
      </c>
      <c r="DR143" s="230">
        <v>0</v>
      </c>
      <c r="DS143" s="88">
        <v>0</v>
      </c>
      <c r="DT143" s="88">
        <v>0</v>
      </c>
      <c r="DU143" s="88">
        <v>0</v>
      </c>
      <c r="DV143" s="88">
        <v>0</v>
      </c>
      <c r="DW143" s="88">
        <v>0</v>
      </c>
      <c r="DX143" s="88">
        <v>0</v>
      </c>
      <c r="DY143" s="88">
        <v>0</v>
      </c>
      <c r="DZ143" s="88">
        <v>0</v>
      </c>
      <c r="EA143" s="88">
        <v>0</v>
      </c>
      <c r="EB143" s="152">
        <v>0</v>
      </c>
      <c r="EC143" s="52">
        <f t="shared" si="95"/>
        <v>0</v>
      </c>
      <c r="ED143" s="52">
        <f t="shared" si="95"/>
        <v>0</v>
      </c>
      <c r="EE143" s="52">
        <f t="shared" si="95"/>
        <v>0</v>
      </c>
      <c r="EF143" s="52">
        <f t="shared" si="71"/>
        <v>0</v>
      </c>
      <c r="EG143" s="52">
        <f t="shared" si="96"/>
        <v>0</v>
      </c>
      <c r="EH143" s="238">
        <v>0</v>
      </c>
      <c r="EI143" s="211">
        <v>0</v>
      </c>
      <c r="EJ143" s="211">
        <v>0</v>
      </c>
      <c r="EK143" s="211">
        <v>0</v>
      </c>
      <c r="EL143" s="217">
        <f>IF(C143&gt;=Summary!$E$26,MAX(0,SUM(EH143:EK143)),0)</f>
        <v>0</v>
      </c>
      <c r="EM143" s="52">
        <f>IF(C143&gt;=Summary!$E$26,DX143*BL143,0)</f>
        <v>0</v>
      </c>
      <c r="EN143" s="52">
        <f>IF(C143&gt;=Summary!$E$26,DY143*BM143,0)</f>
        <v>0</v>
      </c>
      <c r="EO143" s="52">
        <f>IF(C143&gt;=Summary!$E$26,DZ143*BN143,0)</f>
        <v>0</v>
      </c>
      <c r="EP143" s="52">
        <f>IF(C143&gt;=Summary!$E$26,EA143*BO143,0)</f>
        <v>0</v>
      </c>
      <c r="EQ143" s="52">
        <f>IF(C143&gt;=Summary!$E$26,DX143*BL143+DY143*BM143+DZ143*BN143+EA143*BO143,0)</f>
        <v>0</v>
      </c>
      <c r="ER143" s="826">
        <v>0</v>
      </c>
      <c r="ES143" s="278">
        <v>0</v>
      </c>
      <c r="ET143" s="278">
        <v>0</v>
      </c>
      <c r="EU143" s="278">
        <v>0</v>
      </c>
      <c r="EV143" s="212">
        <f>IF(C143&gt;=Summary!$E$26,MAX(0,SUM(ER143:EU143)),0)</f>
        <v>0</v>
      </c>
      <c r="EW143" s="52"/>
      <c r="EX143" s="1049">
        <f t="shared" si="97"/>
        <v>0</v>
      </c>
      <c r="EY143" s="1045" t="str">
        <f t="shared" si="98"/>
        <v/>
      </c>
      <c r="EZ143" s="1684" t="s">
        <v>525</v>
      </c>
      <c r="FA143" s="1046">
        <f t="shared" si="111"/>
        <v>45</v>
      </c>
      <c r="FB143" s="256">
        <f t="shared" si="99"/>
        <v>11169.9</v>
      </c>
      <c r="FC143" s="194">
        <f t="shared" si="100"/>
        <v>0</v>
      </c>
      <c r="FD143" s="194">
        <f t="shared" si="101"/>
        <v>2659.5</v>
      </c>
      <c r="FE143" s="194">
        <f t="shared" si="102"/>
        <v>0</v>
      </c>
      <c r="FF143" s="194">
        <f t="shared" si="103"/>
        <v>2659.5</v>
      </c>
      <c r="FG143" s="194">
        <f t="shared" si="104"/>
        <v>0</v>
      </c>
      <c r="FH143" s="257">
        <f>IF(EZ143="No",IF((OR(MONTH(C143)=5,MONTH(C143)=6,MONTH(C143)=7,MONTH(C143)=8,MONTH(C143)=9)),Summary!$O$15*12*(AX143+AY143+AZ143+BA143)*(1-$BC143),Summary!$O$15*13*(AX143+AY143+AZ143+BA143)*(1-$BC143)+IF(Summary!$O$16="Yes",(CALC!FA143+Summary!$O$15)*6*(AX143+AY143+AZ143+BA143)*(1-$BC143),0)),0)</f>
        <v>0</v>
      </c>
      <c r="FI143" s="1412">
        <f>IF(MONTH(C143)=5,FI142*(IF(Summary!$E$70="no",(1+(Summary!$E$71*0.8)),1+HLOOKUP(YEAR(C143)-1,CCFMODEL!$I$127:$AF$128,2)*0.8)),+FI142)</f>
        <v>34.532116265437651</v>
      </c>
      <c r="FJ143" s="1411">
        <f>IF(MONTH(C143)=5,FJ142*(IF(Summary!$E$70="no",(1+(Summary!$E$71*0.8)),1+HLOOKUP(YEAR(CALC!C143)-1,CCFMODEL!$I$127:$AF$128,2)*0.8)),FJ142)</f>
        <v>30.181613428847083</v>
      </c>
      <c r="FK143" s="832">
        <f t="shared" si="72"/>
        <v>569396.61188917491</v>
      </c>
      <c r="FL143" s="1412">
        <f>IF(MONTH(C143)=5,FL142*(IF(Summary!$E$70="no",(1+(Summary!$E$71*0.8)),1+HLOOKUP(YEAR(CALC!C143)-1,CCFMODEL!$I$127:$AF$128,2)*0.8)),+FL142)</f>
        <v>72.624911935822922</v>
      </c>
      <c r="FM143" s="1411">
        <f>IF(MONTH(C143)=5,FM142*(IF(Summary!$E$70="no",(1+(Summary!$E$71*0.8)),1+HLOOKUP(YEAR(CALC!C143)-1,CCFMODEL!$I$127:$AF$128,2)*0.8)),+FM142)</f>
        <v>34.661595516526653</v>
      </c>
      <c r="FN143" s="832">
        <f t="shared" si="73"/>
        <v>1215741.0258056757</v>
      </c>
      <c r="FO143" s="194">
        <f t="shared" si="105"/>
        <v>1785137.6376948506</v>
      </c>
      <c r="FP143" s="263">
        <f t="shared" si="125"/>
        <v>11169.9</v>
      </c>
      <c r="FQ143" s="194">
        <f t="shared" si="125"/>
        <v>0</v>
      </c>
      <c r="FR143" s="194">
        <f t="shared" si="125"/>
        <v>2659.5</v>
      </c>
      <c r="FS143" s="194">
        <f t="shared" si="125"/>
        <v>0</v>
      </c>
      <c r="FT143" s="194">
        <f t="shared" si="125"/>
        <v>2659.5</v>
      </c>
      <c r="FU143" s="194">
        <f t="shared" si="125"/>
        <v>0</v>
      </c>
      <c r="FV143" s="257">
        <f t="shared" si="124"/>
        <v>0</v>
      </c>
      <c r="FW143" s="189">
        <f t="shared" si="74"/>
        <v>0</v>
      </c>
      <c r="FX143" s="189">
        <f t="shared" si="75"/>
        <v>0</v>
      </c>
      <c r="FY143" s="189">
        <f t="shared" si="76"/>
        <v>0</v>
      </c>
      <c r="FZ143" s="258">
        <f t="shared" si="77"/>
        <v>0</v>
      </c>
      <c r="GA143" s="1294">
        <f>(SUM(FP143:FV143)+SUM(GU143:HB143)/(1-Summary!$O$25))*CY143/1000</f>
        <v>203854.50685866247</v>
      </c>
      <c r="GB143" s="1444">
        <f>IF($C143&lt;Summary!$M$81,+Summary!$O$81,VLOOKUP(C143,GasTable,19))</f>
        <v>3.0811134056312843</v>
      </c>
      <c r="GC143" s="1370">
        <f>IF(H143&lt;=Summary!$N$84,MIN(GA143,Summary!$O$75*(H143-G143+1)),0)</f>
        <v>0</v>
      </c>
      <c r="GD143" s="1371">
        <f>IF(C143&lt;Summary!$N$84,IF(Summary!$O$75*(H143-G143+1)*0.8&gt;GC143,1,0),0)</f>
        <v>0</v>
      </c>
      <c r="GE143" s="1372">
        <v>0</v>
      </c>
      <c r="GF143" s="1370">
        <f t="shared" si="106"/>
        <v>203854.50685866247</v>
      </c>
      <c r="GG143" s="1371">
        <f>GF143*(IF(Summary!$O$74=1,VLOOKUP($C143,GasTable,16)+Summary!$O$92+Summary!$O$93,VLOOKUP($C143,GasTable,19)+Summary!$O$92+Summary!$O$93))</f>
        <v>638719.6736879159</v>
      </c>
      <c r="GH143" s="1373">
        <v>4775.7257787284907</v>
      </c>
      <c r="GI143" s="1466">
        <v>0</v>
      </c>
      <c r="GJ143" s="1374">
        <f t="shared" si="107"/>
        <v>643495.39946664439</v>
      </c>
      <c r="GK143" s="189">
        <f t="shared" si="78"/>
        <v>26035.973100000003</v>
      </c>
      <c r="GL143" s="266">
        <v>0.51770630392000005</v>
      </c>
      <c r="GM143" s="255">
        <f t="shared" si="79"/>
        <v>0</v>
      </c>
      <c r="GN143" s="189">
        <f>IF(SUM(GU143:HB143)=0,0,IF(Summary!$O$16="Yes",SUM(GX143:HB143),IF(Summary!$O$17="Yes",SUM(GY143:HB143),SUM(GU143:HB143))))</f>
        <v>9547.0731000000014</v>
      </c>
      <c r="GO143" s="203">
        <v>3.1978833582794679</v>
      </c>
      <c r="GP143" s="258">
        <f t="shared" si="108"/>
        <v>30530.426186767574</v>
      </c>
      <c r="GQ143" s="189"/>
      <c r="GR143" s="189"/>
      <c r="GS143" s="189"/>
      <c r="GT143" s="189"/>
      <c r="GU143" s="268">
        <v>3592.9845000000009</v>
      </c>
      <c r="GV143" s="189">
        <v>855.47249999999997</v>
      </c>
      <c r="GW143" s="189">
        <v>855.47249999999997</v>
      </c>
      <c r="GX143" s="189"/>
      <c r="GY143" s="254">
        <v>2874.3875999999996</v>
      </c>
      <c r="GZ143" s="189">
        <v>684.37800000000004</v>
      </c>
      <c r="HA143" s="189">
        <v>684.37800000000004</v>
      </c>
      <c r="HB143" s="255"/>
      <c r="HC143" s="189">
        <v>9547.0731000000014</v>
      </c>
      <c r="HD143" s="189"/>
      <c r="HE143" s="189">
        <v>22276.503900000003</v>
      </c>
      <c r="HF143" s="189">
        <v>456392.98957942217</v>
      </c>
      <c r="HG143" s="189"/>
      <c r="HH143" s="203">
        <v>50.623760546963879</v>
      </c>
      <c r="HI143" s="189">
        <v>1127720.3992571072</v>
      </c>
      <c r="HJ143" s="268">
        <f t="shared" si="80"/>
        <v>0</v>
      </c>
      <c r="HK143" s="189">
        <f t="shared" si="81"/>
        <v>0</v>
      </c>
      <c r="HL143" s="189">
        <f t="shared" si="82"/>
        <v>0</v>
      </c>
      <c r="HM143" s="255">
        <f t="shared" si="83"/>
        <v>0</v>
      </c>
      <c r="HN143" s="189">
        <f t="shared" si="84"/>
        <v>0</v>
      </c>
      <c r="HO143" s="203">
        <f t="shared" si="109"/>
        <v>0</v>
      </c>
      <c r="HP143" s="258">
        <f t="shared" si="85"/>
        <v>0</v>
      </c>
      <c r="HQ143" s="203"/>
      <c r="HR143" s="268"/>
      <c r="HS143" s="38"/>
      <c r="HT143" s="255"/>
      <c r="HU143" s="254"/>
      <c r="HV143" s="203"/>
      <c r="HW143" s="189"/>
      <c r="HX143" s="1020"/>
      <c r="HY143" s="258"/>
      <c r="HZ143" s="268"/>
      <c r="IA143" s="203"/>
      <c r="IB143" s="255"/>
      <c r="IC143" s="254"/>
      <c r="ID143" s="203"/>
      <c r="IE143" s="255"/>
      <c r="IF143" s="189"/>
      <c r="IG143" s="203"/>
      <c r="IH143" s="255"/>
      <c r="II143" s="189"/>
      <c r="IJ143" s="203"/>
      <c r="IK143" s="189"/>
      <c r="IL143" s="1182"/>
      <c r="IM143" s="1403"/>
      <c r="IN143" s="254"/>
      <c r="IO143" s="254"/>
      <c r="IP143" s="254"/>
      <c r="IQ143" s="254"/>
      <c r="IR143" s="223"/>
    </row>
    <row r="144" spans="1:252" ht="13.8" thickBot="1">
      <c r="A144" t="str">
        <f t="shared" si="86"/>
        <v>2010Q3</v>
      </c>
      <c r="B144">
        <f t="shared" si="87"/>
        <v>2010</v>
      </c>
      <c r="C144" s="49">
        <f t="shared" si="88"/>
        <v>40391</v>
      </c>
      <c r="D144" s="115">
        <f t="shared" si="89"/>
        <v>2010</v>
      </c>
      <c r="E144" s="10">
        <f t="shared" si="112"/>
        <v>8</v>
      </c>
      <c r="F144" s="248" t="str">
        <f t="shared" si="113"/>
        <v/>
      </c>
      <c r="G144" s="245">
        <v>40391</v>
      </c>
      <c r="H144" s="251">
        <v>40421</v>
      </c>
      <c r="I144" s="959">
        <f t="shared" si="110"/>
        <v>7.1499999999999994E-2</v>
      </c>
      <c r="J144" s="37">
        <f t="shared" si="90"/>
        <v>0.46941190915466646</v>
      </c>
      <c r="K144" s="1036"/>
      <c r="L144" s="37"/>
      <c r="M144" s="1004">
        <v>0</v>
      </c>
      <c r="N144" s="38">
        <f t="shared" si="122"/>
        <v>0</v>
      </c>
      <c r="O144" s="40">
        <f t="shared" si="122"/>
        <v>0</v>
      </c>
      <c r="P144" s="159">
        <f t="shared" si="117"/>
        <v>0</v>
      </c>
      <c r="Q144" s="38">
        <f t="shared" si="126"/>
        <v>0</v>
      </c>
      <c r="R144" s="40">
        <f t="shared" si="126"/>
        <v>0</v>
      </c>
      <c r="S144" s="38">
        <f t="shared" si="126"/>
        <v>0</v>
      </c>
      <c r="T144" s="38">
        <f t="shared" si="126"/>
        <v>0</v>
      </c>
      <c r="U144" s="38">
        <f t="shared" si="126"/>
        <v>0</v>
      </c>
      <c r="V144" s="159">
        <f t="shared" si="126"/>
        <v>0</v>
      </c>
      <c r="W144" s="38">
        <f t="shared" si="126"/>
        <v>0</v>
      </c>
      <c r="X144" s="39">
        <f t="shared" si="126"/>
        <v>0</v>
      </c>
      <c r="Y144" s="46">
        <v>0</v>
      </c>
      <c r="Z144" s="46">
        <v>0</v>
      </c>
      <c r="AA144" s="47">
        <v>0</v>
      </c>
      <c r="AB144" s="46">
        <v>0</v>
      </c>
      <c r="AC144" s="46">
        <v>0</v>
      </c>
      <c r="AD144" s="47">
        <v>0</v>
      </c>
      <c r="AE144" s="46">
        <v>0</v>
      </c>
      <c r="AF144" s="46">
        <v>0</v>
      </c>
      <c r="AG144" s="47">
        <v>0</v>
      </c>
      <c r="AH144" s="46">
        <v>0</v>
      </c>
      <c r="AI144" s="46">
        <v>0</v>
      </c>
      <c r="AJ144" s="47">
        <v>0</v>
      </c>
      <c r="AK144" s="46">
        <v>0</v>
      </c>
      <c r="AL144" s="46">
        <v>0</v>
      </c>
      <c r="AM144" s="47">
        <v>0</v>
      </c>
      <c r="AN144" s="46">
        <v>0</v>
      </c>
      <c r="AO144" s="46">
        <v>0</v>
      </c>
      <c r="AP144" s="47">
        <v>0</v>
      </c>
      <c r="AQ144" s="46">
        <v>0</v>
      </c>
      <c r="AR144" s="46">
        <v>0</v>
      </c>
      <c r="AS144" s="47">
        <v>0</v>
      </c>
      <c r="AT144" s="46">
        <v>0</v>
      </c>
      <c r="AU144" s="46">
        <v>0</v>
      </c>
      <c r="AV144" s="46">
        <v>0</v>
      </c>
      <c r="AW144" s="1545">
        <v>0</v>
      </c>
      <c r="AX144" s="10">
        <f t="shared" si="114"/>
        <v>22</v>
      </c>
      <c r="AY144" s="42">
        <f>IF(AND($E144=MONTH(Summary!$E$24),$D144=YEAR(Summary!$E$24)),Summary!$E$25,1)*IF(G144="",0,INT((H144-MOD(H144,7)-G144)/7)+1-IF(BA144,IF(WEEKDAY(F144)=7,1,0),0))</f>
        <v>4</v>
      </c>
      <c r="AZ144" s="42">
        <f>IF(AND($E144=MONTH(Summary!$E$24),$D144=YEAR(Summary!$E$24)),Summary!$E$25,1)*IF(G144="",0,INT((H144-MOD(H144-1,7)-G144)/7)+1-IF(BA144,IF(WEEKDAY(F144)=1,1,0),0))</f>
        <v>5</v>
      </c>
      <c r="BA144" s="42">
        <v>0</v>
      </c>
      <c r="BB144" s="10">
        <f>IF(AND($E144=MONTH(Summary!$E$24),$D144=YEAR(Summary!$E$24)),Summary!$E$25,1)*IF(G144="",0,H144-G144+1)</f>
        <v>31</v>
      </c>
      <c r="BC144" s="914">
        <f>Summary!$E$19</f>
        <v>1.4999999999999999E-2</v>
      </c>
      <c r="BD144" s="113">
        <v>15602.4</v>
      </c>
      <c r="BE144" s="171">
        <v>2836.8</v>
      </c>
      <c r="BF144" s="171">
        <v>3546</v>
      </c>
      <c r="BG144" s="174"/>
      <c r="BH144" s="1198">
        <v>1</v>
      </c>
      <c r="BI144" s="1198">
        <v>1</v>
      </c>
      <c r="BJ144" s="1198">
        <v>1</v>
      </c>
      <c r="BK144" s="1198">
        <v>1</v>
      </c>
      <c r="BL144" s="95">
        <v>3120.48</v>
      </c>
      <c r="BM144" s="171">
        <v>567.36</v>
      </c>
      <c r="BN144" s="171">
        <v>709.2</v>
      </c>
      <c r="BO144" s="174"/>
      <c r="BP144" s="1198">
        <v>1</v>
      </c>
      <c r="BQ144" s="1199">
        <v>1</v>
      </c>
      <c r="BR144" s="1199">
        <v>1</v>
      </c>
      <c r="BS144" s="1200">
        <v>1</v>
      </c>
      <c r="BT144" s="94">
        <f t="shared" si="91"/>
        <v>21985.200000000001</v>
      </c>
      <c r="BU144" s="233">
        <f t="shared" si="92"/>
        <v>21985.200000000001</v>
      </c>
      <c r="BV144" s="92">
        <f t="shared" si="93"/>
        <v>4397.04</v>
      </c>
      <c r="BW144" s="233">
        <f t="shared" si="94"/>
        <v>4397.04</v>
      </c>
      <c r="BX144" s="88">
        <v>10.628336755646817</v>
      </c>
      <c r="BY144" s="90">
        <v>0</v>
      </c>
      <c r="BZ144" s="88">
        <v>0</v>
      </c>
      <c r="CA144" s="88">
        <v>0</v>
      </c>
      <c r="CB144" s="88">
        <v>0</v>
      </c>
      <c r="CC144" s="88">
        <v>0</v>
      </c>
      <c r="CD144" s="88">
        <v>0</v>
      </c>
      <c r="CE144" s="100">
        <v>0</v>
      </c>
      <c r="CF144" s="88">
        <v>0</v>
      </c>
      <c r="CG144" s="88">
        <v>0</v>
      </c>
      <c r="CH144" s="88">
        <v>0</v>
      </c>
      <c r="CI144" s="88">
        <v>0</v>
      </c>
      <c r="CJ144" s="228">
        <v>0</v>
      </c>
      <c r="CK144" s="88">
        <v>0</v>
      </c>
      <c r="CL144" s="88">
        <v>0</v>
      </c>
      <c r="CM144" s="88">
        <v>0</v>
      </c>
      <c r="CN144" s="88">
        <v>0</v>
      </c>
      <c r="CO144" s="88">
        <v>0</v>
      </c>
      <c r="CP144" s="88">
        <v>0</v>
      </c>
      <c r="CQ144" s="229">
        <v>0</v>
      </c>
      <c r="CR144" s="91">
        <v>0</v>
      </c>
      <c r="CS144" s="91">
        <v>0</v>
      </c>
      <c r="CT144" s="91">
        <v>0</v>
      </c>
      <c r="CU144" s="91">
        <v>0</v>
      </c>
      <c r="CV144" s="91">
        <v>0</v>
      </c>
      <c r="CW144" s="91">
        <v>0</v>
      </c>
      <c r="CX144" s="225">
        <v>0</v>
      </c>
      <c r="CY144" s="1265">
        <v>7728.9907200000007</v>
      </c>
      <c r="CZ144" s="90">
        <v>0</v>
      </c>
      <c r="DA144" s="88">
        <v>0</v>
      </c>
      <c r="DB144" s="88">
        <v>0</v>
      </c>
      <c r="DC144" s="88">
        <v>0</v>
      </c>
      <c r="DD144" s="88">
        <v>0</v>
      </c>
      <c r="DE144" s="152">
        <v>0</v>
      </c>
      <c r="DF144" s="230">
        <v>0</v>
      </c>
      <c r="DG144" s="38">
        <v>0</v>
      </c>
      <c r="DH144" s="1237">
        <v>0</v>
      </c>
      <c r="DI144" s="956">
        <v>0</v>
      </c>
      <c r="DJ144" s="956">
        <v>0</v>
      </c>
      <c r="DK144" s="956">
        <v>0</v>
      </c>
      <c r="DL144" s="152">
        <v>0</v>
      </c>
      <c r="DM144" s="160">
        <v>0</v>
      </c>
      <c r="DN144" s="160">
        <v>0</v>
      </c>
      <c r="DO144" s="160">
        <v>0</v>
      </c>
      <c r="DP144" s="160">
        <v>0</v>
      </c>
      <c r="DQ144" s="160">
        <v>0</v>
      </c>
      <c r="DR144" s="230">
        <v>0</v>
      </c>
      <c r="DS144" s="88">
        <v>0</v>
      </c>
      <c r="DT144" s="88">
        <v>0</v>
      </c>
      <c r="DU144" s="88">
        <v>0</v>
      </c>
      <c r="DV144" s="88">
        <v>0</v>
      </c>
      <c r="DW144" s="88">
        <v>0</v>
      </c>
      <c r="DX144" s="88">
        <v>0</v>
      </c>
      <c r="DY144" s="88">
        <v>0</v>
      </c>
      <c r="DZ144" s="88">
        <v>0</v>
      </c>
      <c r="EA144" s="88">
        <v>0</v>
      </c>
      <c r="EB144" s="152">
        <v>0</v>
      </c>
      <c r="EC144" s="52">
        <f t="shared" si="95"/>
        <v>0</v>
      </c>
      <c r="ED144" s="52">
        <f t="shared" si="95"/>
        <v>0</v>
      </c>
      <c r="EE144" s="52">
        <f t="shared" si="95"/>
        <v>0</v>
      </c>
      <c r="EF144" s="52">
        <f t="shared" si="71"/>
        <v>0</v>
      </c>
      <c r="EG144" s="52">
        <f t="shared" si="96"/>
        <v>0</v>
      </c>
      <c r="EH144" s="238">
        <v>0</v>
      </c>
      <c r="EI144" s="211">
        <v>0</v>
      </c>
      <c r="EJ144" s="211">
        <v>0</v>
      </c>
      <c r="EK144" s="211">
        <v>0</v>
      </c>
      <c r="EL144" s="217">
        <f>IF(C144&gt;=Summary!$E$26,MAX(0,SUM(EH144:EK144)),0)</f>
        <v>0</v>
      </c>
      <c r="EM144" s="52">
        <f>IF(C144&gt;=Summary!$E$26,DX144*BL144,0)</f>
        <v>0</v>
      </c>
      <c r="EN144" s="52">
        <f>IF(C144&gt;=Summary!$E$26,DY144*BM144,0)</f>
        <v>0</v>
      </c>
      <c r="EO144" s="52">
        <f>IF(C144&gt;=Summary!$E$26,DZ144*BN144,0)</f>
        <v>0</v>
      </c>
      <c r="EP144" s="52">
        <f>IF(C144&gt;=Summary!$E$26,EA144*BO144,0)</f>
        <v>0</v>
      </c>
      <c r="EQ144" s="52">
        <f>IF(C144&gt;=Summary!$E$26,DX144*BL144+DY144*BM144+DZ144*BN144+EA144*BO144,0)</f>
        <v>0</v>
      </c>
      <c r="ER144" s="826">
        <v>0</v>
      </c>
      <c r="ES144" s="278">
        <v>0</v>
      </c>
      <c r="ET144" s="278">
        <v>0</v>
      </c>
      <c r="EU144" s="278">
        <v>0</v>
      </c>
      <c r="EV144" s="212">
        <f>IF(C144&gt;=Summary!$E$26,MAX(0,SUM(ER144:EU144)),0)</f>
        <v>0</v>
      </c>
      <c r="EW144" s="52"/>
      <c r="EX144" s="1049">
        <f t="shared" si="97"/>
        <v>0</v>
      </c>
      <c r="EY144" s="1045" t="str">
        <f t="shared" si="98"/>
        <v/>
      </c>
      <c r="EZ144" s="1684" t="s">
        <v>525</v>
      </c>
      <c r="FA144" s="1046">
        <f t="shared" si="111"/>
        <v>45</v>
      </c>
      <c r="FB144" s="256">
        <f t="shared" si="99"/>
        <v>11701.8</v>
      </c>
      <c r="FC144" s="194">
        <f t="shared" si="100"/>
        <v>0</v>
      </c>
      <c r="FD144" s="194">
        <f t="shared" si="101"/>
        <v>2127.6</v>
      </c>
      <c r="FE144" s="194">
        <f t="shared" si="102"/>
        <v>0</v>
      </c>
      <c r="FF144" s="194">
        <f t="shared" si="103"/>
        <v>2659.5</v>
      </c>
      <c r="FG144" s="194">
        <f t="shared" si="104"/>
        <v>0</v>
      </c>
      <c r="FH144" s="257">
        <f>IF(EZ144="No",IF((OR(MONTH(C144)=5,MONTH(C144)=6,MONTH(C144)=7,MONTH(C144)=8,MONTH(C144)=9)),Summary!$O$15*12*(AX144+AY144+AZ144+BA144)*(1-$BC144),Summary!$O$15*13*(AX144+AY144+AZ144+BA144)*(1-$BC144)+IF(Summary!$O$16="Yes",(CALC!FA144+Summary!$O$15)*6*(AX144+AY144+AZ144+BA144)*(1-$BC144),0)),0)</f>
        <v>0</v>
      </c>
      <c r="FI144" s="1412">
        <f>IF(MONTH(C144)=5,FI143*(IF(Summary!$E$70="no",(1+(Summary!$E$71*0.8)),1+HLOOKUP(YEAR(C144)-1,CCFMODEL!$I$127:$AF$128,2)*0.8)),+FI143)</f>
        <v>34.532116265437651</v>
      </c>
      <c r="FJ144" s="1411">
        <f>IF(MONTH(C144)=5,FJ143*(IF(Summary!$E$70="no",(1+(Summary!$E$71*0.8)),1+HLOOKUP(YEAR(CALC!C144)-1,CCFMODEL!$I$127:$AF$128,2)*0.8)),FJ143)</f>
        <v>30.181613428847083</v>
      </c>
      <c r="FK144" s="832">
        <f t="shared" si="72"/>
        <v>569396.61188917491</v>
      </c>
      <c r="FL144" s="1412">
        <f>IF(MONTH(C144)=5,FL143*(IF(Summary!$E$70="no",(1+(Summary!$E$71*0.8)),1+HLOOKUP(YEAR(CALC!C144)-1,CCFMODEL!$I$127:$AF$128,2)*0.8)),+FL143)</f>
        <v>72.624911935822922</v>
      </c>
      <c r="FM144" s="1411">
        <f>IF(MONTH(C144)=5,FM143*(IF(Summary!$E$70="no",(1+(Summary!$E$71*0.8)),1+HLOOKUP(YEAR(CALC!C144)-1,CCFMODEL!$I$127:$AF$128,2)*0.8)),+FM143)</f>
        <v>34.661595516526653</v>
      </c>
      <c r="FN144" s="832">
        <f t="shared" si="73"/>
        <v>1215741.0258056757</v>
      </c>
      <c r="FO144" s="194">
        <f t="shared" si="105"/>
        <v>1785137.6376948506</v>
      </c>
      <c r="FP144" s="263">
        <f t="shared" si="125"/>
        <v>11701.8</v>
      </c>
      <c r="FQ144" s="194">
        <f t="shared" si="125"/>
        <v>0</v>
      </c>
      <c r="FR144" s="194">
        <f t="shared" si="125"/>
        <v>2127.6</v>
      </c>
      <c r="FS144" s="194">
        <f t="shared" si="125"/>
        <v>0</v>
      </c>
      <c r="FT144" s="194">
        <f t="shared" si="125"/>
        <v>2659.5</v>
      </c>
      <c r="FU144" s="194">
        <f t="shared" si="125"/>
        <v>0</v>
      </c>
      <c r="FV144" s="257">
        <f t="shared" si="124"/>
        <v>0</v>
      </c>
      <c r="FW144" s="189">
        <f t="shared" si="74"/>
        <v>0</v>
      </c>
      <c r="FX144" s="189">
        <f t="shared" si="75"/>
        <v>0</v>
      </c>
      <c r="FY144" s="189">
        <f t="shared" si="76"/>
        <v>0</v>
      </c>
      <c r="FZ144" s="258">
        <f t="shared" si="77"/>
        <v>0</v>
      </c>
      <c r="GA144" s="1294">
        <f>(SUM(FP144:FV144)+SUM(GU144:HB144)/(1-Summary!$O$25))*CY144/1000</f>
        <v>203908.08813281282</v>
      </c>
      <c r="GB144" s="1444">
        <f>IF($C144&lt;Summary!$M$81,+Summary!$O$81,VLOOKUP(C144,GasTable,19))</f>
        <v>3.1973825175137618</v>
      </c>
      <c r="GC144" s="1370">
        <f>IF(H144&lt;=Summary!$N$84,MIN(GA144,Summary!$O$75*(H144-G144+1)),0)</f>
        <v>0</v>
      </c>
      <c r="GD144" s="1371">
        <f>IF(C144&lt;Summary!$N$84,IF(Summary!$O$75*(H144-G144+1)*0.8&gt;GC144,1,0),0)</f>
        <v>0</v>
      </c>
      <c r="GE144" s="1372">
        <v>0</v>
      </c>
      <c r="GF144" s="1370">
        <f t="shared" si="106"/>
        <v>203908.08813281282</v>
      </c>
      <c r="GG144" s="1371">
        <f>GF144*(IF(Summary!$O$74=1,VLOOKUP($C144,GasTable,16)+Summary!$O$92+Summary!$O$93,VLOOKUP($C144,GasTable,19)+Summary!$O$92+Summary!$O$93))</f>
        <v>662595.76756723062</v>
      </c>
      <c r="GH144" s="1373">
        <v>4955.9429021463311</v>
      </c>
      <c r="GI144" s="1466">
        <v>0</v>
      </c>
      <c r="GJ144" s="1374">
        <f t="shared" si="107"/>
        <v>667551.71046937699</v>
      </c>
      <c r="GK144" s="189">
        <f t="shared" si="78"/>
        <v>26035.973100000007</v>
      </c>
      <c r="GL144" s="266">
        <v>0.51784237824000012</v>
      </c>
      <c r="GM144" s="255">
        <f t="shared" si="79"/>
        <v>0</v>
      </c>
      <c r="GN144" s="189">
        <f>IF(SUM(GU144:HB144)=0,0,IF(Summary!$O$16="Yes",SUM(GX144:HB144),IF(Summary!$O$17="Yes",SUM(GY144:HB144),SUM(GU144:HB144))))</f>
        <v>9547.0730999999996</v>
      </c>
      <c r="GO144" s="203">
        <v>3.1978833582794679</v>
      </c>
      <c r="GP144" s="258">
        <f t="shared" si="108"/>
        <v>30530.42618676757</v>
      </c>
      <c r="GQ144" s="189"/>
      <c r="GR144" s="189"/>
      <c r="GS144" s="189"/>
      <c r="GT144" s="189"/>
      <c r="GU144" s="268">
        <v>3764.0790000000002</v>
      </c>
      <c r="GV144" s="189">
        <v>684.37800000000027</v>
      </c>
      <c r="GW144" s="189">
        <v>855.47249999999997</v>
      </c>
      <c r="GX144" s="189"/>
      <c r="GY144" s="254">
        <v>3011.2631999999999</v>
      </c>
      <c r="GZ144" s="189">
        <v>547.50239999999997</v>
      </c>
      <c r="HA144" s="189">
        <v>684.37800000000004</v>
      </c>
      <c r="HB144" s="255"/>
      <c r="HC144" s="189">
        <v>9547.0730999999996</v>
      </c>
      <c r="HD144" s="189"/>
      <c r="HE144" s="189">
        <v>22276.5039</v>
      </c>
      <c r="HF144" s="189">
        <v>651386.26744423807</v>
      </c>
      <c r="HG144" s="189"/>
      <c r="HH144" s="203">
        <v>71.838442376262719</v>
      </c>
      <c r="HI144" s="189">
        <v>1600309.3417647416</v>
      </c>
      <c r="HJ144" s="268">
        <f t="shared" si="80"/>
        <v>0</v>
      </c>
      <c r="HK144" s="189">
        <f t="shared" si="81"/>
        <v>0</v>
      </c>
      <c r="HL144" s="189">
        <f t="shared" si="82"/>
        <v>0</v>
      </c>
      <c r="HM144" s="255">
        <f t="shared" si="83"/>
        <v>0</v>
      </c>
      <c r="HN144" s="189">
        <f t="shared" si="84"/>
        <v>0</v>
      </c>
      <c r="HO144" s="203">
        <f t="shared" si="109"/>
        <v>0</v>
      </c>
      <c r="HP144" s="258">
        <f t="shared" si="85"/>
        <v>0</v>
      </c>
      <c r="HQ144" s="203"/>
      <c r="HR144" s="268"/>
      <c r="HS144" s="38"/>
      <c r="HT144" s="255"/>
      <c r="HU144" s="254"/>
      <c r="HV144" s="203"/>
      <c r="HW144" s="189"/>
      <c r="HX144" s="1020"/>
      <c r="HY144" s="258"/>
      <c r="HZ144" s="268"/>
      <c r="IA144" s="203"/>
      <c r="IB144" s="255"/>
      <c r="IC144" s="254"/>
      <c r="ID144" s="203"/>
      <c r="IE144" s="255"/>
      <c r="IF144" s="189"/>
      <c r="IG144" s="203"/>
      <c r="IH144" s="255"/>
      <c r="II144" s="189"/>
      <c r="IJ144" s="203"/>
      <c r="IK144" s="189"/>
      <c r="IL144" s="1182"/>
      <c r="IM144" s="1403"/>
      <c r="IN144" s="254"/>
      <c r="IO144" s="254"/>
      <c r="IP144" s="254"/>
      <c r="IQ144" s="254"/>
      <c r="IR144" s="223"/>
    </row>
    <row r="145" spans="1:252" ht="13.8" thickBot="1">
      <c r="A145" t="str">
        <f t="shared" si="86"/>
        <v>2010Q3</v>
      </c>
      <c r="B145">
        <f t="shared" si="87"/>
        <v>2010</v>
      </c>
      <c r="C145" s="49">
        <f t="shared" si="88"/>
        <v>40422</v>
      </c>
      <c r="D145" s="115">
        <f t="shared" si="89"/>
        <v>2010</v>
      </c>
      <c r="E145" s="10">
        <f t="shared" si="112"/>
        <v>9</v>
      </c>
      <c r="F145" s="248">
        <f t="shared" si="113"/>
        <v>40427</v>
      </c>
      <c r="G145" s="245">
        <v>40422</v>
      </c>
      <c r="H145" s="251">
        <v>40451</v>
      </c>
      <c r="I145" s="959">
        <f t="shared" si="110"/>
        <v>7.1499999999999994E-2</v>
      </c>
      <c r="J145" s="37">
        <f t="shared" si="90"/>
        <v>0.46671113040482287</v>
      </c>
      <c r="K145" s="1036"/>
      <c r="L145" s="37"/>
      <c r="M145" s="1004">
        <v>0</v>
      </c>
      <c r="N145" s="38">
        <f t="shared" si="122"/>
        <v>0</v>
      </c>
      <c r="O145" s="40">
        <f t="shared" si="122"/>
        <v>0</v>
      </c>
      <c r="P145" s="159">
        <f t="shared" si="117"/>
        <v>0</v>
      </c>
      <c r="Q145" s="38">
        <f t="shared" si="126"/>
        <v>0</v>
      </c>
      <c r="R145" s="40">
        <f t="shared" si="126"/>
        <v>0</v>
      </c>
      <c r="S145" s="38">
        <f t="shared" si="126"/>
        <v>0</v>
      </c>
      <c r="T145" s="38">
        <f t="shared" si="126"/>
        <v>0</v>
      </c>
      <c r="U145" s="38">
        <f t="shared" si="126"/>
        <v>0</v>
      </c>
      <c r="V145" s="159">
        <f t="shared" si="126"/>
        <v>0</v>
      </c>
      <c r="W145" s="38">
        <f t="shared" si="126"/>
        <v>0</v>
      </c>
      <c r="X145" s="39">
        <f t="shared" si="126"/>
        <v>0</v>
      </c>
      <c r="Y145" s="46">
        <v>0</v>
      </c>
      <c r="Z145" s="46">
        <v>0</v>
      </c>
      <c r="AA145" s="47">
        <v>0</v>
      </c>
      <c r="AB145" s="46">
        <v>0</v>
      </c>
      <c r="AC145" s="46">
        <v>0</v>
      </c>
      <c r="AD145" s="47">
        <v>0</v>
      </c>
      <c r="AE145" s="46">
        <v>0</v>
      </c>
      <c r="AF145" s="46">
        <v>0</v>
      </c>
      <c r="AG145" s="47">
        <v>0</v>
      </c>
      <c r="AH145" s="46">
        <v>0</v>
      </c>
      <c r="AI145" s="46">
        <v>0</v>
      </c>
      <c r="AJ145" s="47">
        <v>0</v>
      </c>
      <c r="AK145" s="46">
        <v>0</v>
      </c>
      <c r="AL145" s="46">
        <v>0</v>
      </c>
      <c r="AM145" s="47">
        <v>0</v>
      </c>
      <c r="AN145" s="46">
        <v>0</v>
      </c>
      <c r="AO145" s="46">
        <v>0</v>
      </c>
      <c r="AP145" s="47">
        <v>0</v>
      </c>
      <c r="AQ145" s="46">
        <v>0</v>
      </c>
      <c r="AR145" s="46">
        <v>0</v>
      </c>
      <c r="AS145" s="47">
        <v>0</v>
      </c>
      <c r="AT145" s="46">
        <v>0</v>
      </c>
      <c r="AU145" s="46">
        <v>0</v>
      </c>
      <c r="AV145" s="46">
        <v>0</v>
      </c>
      <c r="AW145" s="1545">
        <v>0</v>
      </c>
      <c r="AX145" s="10">
        <f t="shared" si="114"/>
        <v>21</v>
      </c>
      <c r="AY145" s="42">
        <f>IF(AND($E145=MONTH(Summary!$E$24),$D145=YEAR(Summary!$E$24)),Summary!$E$25,1)*IF(G145="",0,INT((H145-MOD(H145,7)-G145)/7)+1-IF(BA145,IF(WEEKDAY(F145)=7,1,0),0))</f>
        <v>4</v>
      </c>
      <c r="AZ145" s="42">
        <f>IF(AND($E145=MONTH(Summary!$E$24),$D145=YEAR(Summary!$E$24)),Summary!$E$25,1)*IF(G145="",0,INT((H145-MOD(H145-1,7)-G145)/7)+1-IF(BA145,IF(WEEKDAY(F145)=1,1,0),0))</f>
        <v>4</v>
      </c>
      <c r="BA145" s="42">
        <v>1</v>
      </c>
      <c r="BB145" s="10">
        <f>IF(AND($E145=MONTH(Summary!$E$24),$D145=YEAR(Summary!$E$24)),Summary!$E$25,1)*IF(G145="",0,H145-G145+1)</f>
        <v>30</v>
      </c>
      <c r="BC145" s="914">
        <f>Summary!$E$19</f>
        <v>1.4999999999999999E-2</v>
      </c>
      <c r="BD145" s="113">
        <v>14893.2</v>
      </c>
      <c r="BE145" s="171">
        <v>2836.8</v>
      </c>
      <c r="BF145" s="171">
        <v>3546</v>
      </c>
      <c r="BG145" s="174"/>
      <c r="BH145" s="1198">
        <v>1</v>
      </c>
      <c r="BI145" s="1198">
        <v>1</v>
      </c>
      <c r="BJ145" s="1198">
        <v>1</v>
      </c>
      <c r="BK145" s="1198">
        <v>1</v>
      </c>
      <c r="BL145" s="95">
        <v>2978.64</v>
      </c>
      <c r="BM145" s="171">
        <v>567.36</v>
      </c>
      <c r="BN145" s="171">
        <v>709.2</v>
      </c>
      <c r="BO145" s="174"/>
      <c r="BP145" s="1198">
        <v>1</v>
      </c>
      <c r="BQ145" s="1199">
        <v>1</v>
      </c>
      <c r="BR145" s="1199">
        <v>1</v>
      </c>
      <c r="BS145" s="1200">
        <v>1</v>
      </c>
      <c r="BT145" s="94">
        <f t="shared" si="91"/>
        <v>21276</v>
      </c>
      <c r="BU145" s="233">
        <f t="shared" si="92"/>
        <v>21276</v>
      </c>
      <c r="BV145" s="92">
        <f t="shared" si="93"/>
        <v>4255.2</v>
      </c>
      <c r="BW145" s="233">
        <f t="shared" si="94"/>
        <v>4255.2</v>
      </c>
      <c r="BX145" s="88">
        <v>10.713210130047912</v>
      </c>
      <c r="BY145" s="90">
        <v>0</v>
      </c>
      <c r="BZ145" s="88">
        <v>0</v>
      </c>
      <c r="CA145" s="88">
        <v>0</v>
      </c>
      <c r="CB145" s="88">
        <v>0</v>
      </c>
      <c r="CC145" s="88">
        <v>0</v>
      </c>
      <c r="CD145" s="88">
        <v>0</v>
      </c>
      <c r="CE145" s="100">
        <v>0</v>
      </c>
      <c r="CF145" s="88">
        <v>0</v>
      </c>
      <c r="CG145" s="88">
        <v>0</v>
      </c>
      <c r="CH145" s="88">
        <v>0</v>
      </c>
      <c r="CI145" s="88">
        <v>0</v>
      </c>
      <c r="CJ145" s="228">
        <v>0</v>
      </c>
      <c r="CK145" s="88">
        <v>0</v>
      </c>
      <c r="CL145" s="88">
        <v>0</v>
      </c>
      <c r="CM145" s="88">
        <v>0</v>
      </c>
      <c r="CN145" s="88">
        <v>0</v>
      </c>
      <c r="CO145" s="88">
        <v>0</v>
      </c>
      <c r="CP145" s="88">
        <v>0</v>
      </c>
      <c r="CQ145" s="229">
        <v>0</v>
      </c>
      <c r="CR145" s="91">
        <v>0</v>
      </c>
      <c r="CS145" s="91">
        <v>0</v>
      </c>
      <c r="CT145" s="91">
        <v>0</v>
      </c>
      <c r="CU145" s="91">
        <v>0</v>
      </c>
      <c r="CV145" s="91">
        <v>0</v>
      </c>
      <c r="CW145" s="91">
        <v>0</v>
      </c>
      <c r="CX145" s="225">
        <v>0</v>
      </c>
      <c r="CY145" s="1265">
        <v>7731.0216799999998</v>
      </c>
      <c r="CZ145" s="90">
        <v>0</v>
      </c>
      <c r="DA145" s="88">
        <v>0</v>
      </c>
      <c r="DB145" s="88">
        <v>0</v>
      </c>
      <c r="DC145" s="88">
        <v>0</v>
      </c>
      <c r="DD145" s="88">
        <v>0</v>
      </c>
      <c r="DE145" s="152">
        <v>0</v>
      </c>
      <c r="DF145" s="230">
        <v>0</v>
      </c>
      <c r="DG145" s="38">
        <v>0</v>
      </c>
      <c r="DH145" s="1237">
        <v>0</v>
      </c>
      <c r="DI145" s="956">
        <v>0</v>
      </c>
      <c r="DJ145" s="956">
        <v>0</v>
      </c>
      <c r="DK145" s="956">
        <v>0</v>
      </c>
      <c r="DL145" s="152">
        <v>0</v>
      </c>
      <c r="DM145" s="160">
        <v>0</v>
      </c>
      <c r="DN145" s="160">
        <v>0</v>
      </c>
      <c r="DO145" s="160">
        <v>0</v>
      </c>
      <c r="DP145" s="160">
        <v>0</v>
      </c>
      <c r="DQ145" s="160">
        <v>0</v>
      </c>
      <c r="DR145" s="230">
        <v>0</v>
      </c>
      <c r="DS145" s="88">
        <v>0</v>
      </c>
      <c r="DT145" s="88">
        <v>0</v>
      </c>
      <c r="DU145" s="88">
        <v>0</v>
      </c>
      <c r="DV145" s="88">
        <v>0</v>
      </c>
      <c r="DW145" s="88">
        <v>0</v>
      </c>
      <c r="DX145" s="88">
        <v>0</v>
      </c>
      <c r="DY145" s="88">
        <v>0</v>
      </c>
      <c r="DZ145" s="88">
        <v>0</v>
      </c>
      <c r="EA145" s="88">
        <v>0</v>
      </c>
      <c r="EB145" s="152">
        <v>0</v>
      </c>
      <c r="EC145" s="52">
        <f t="shared" si="95"/>
        <v>0</v>
      </c>
      <c r="ED145" s="52">
        <f t="shared" si="95"/>
        <v>0</v>
      </c>
      <c r="EE145" s="52">
        <f t="shared" si="95"/>
        <v>0</v>
      </c>
      <c r="EF145" s="52">
        <f t="shared" si="95"/>
        <v>0</v>
      </c>
      <c r="EG145" s="52">
        <f t="shared" si="96"/>
        <v>0</v>
      </c>
      <c r="EH145" s="238">
        <v>0</v>
      </c>
      <c r="EI145" s="211">
        <v>0</v>
      </c>
      <c r="EJ145" s="211">
        <v>0</v>
      </c>
      <c r="EK145" s="211">
        <v>0</v>
      </c>
      <c r="EL145" s="217">
        <f>IF(C145&gt;=Summary!$E$26,MAX(0,SUM(EH145:EK145)),0)</f>
        <v>0</v>
      </c>
      <c r="EM145" s="52">
        <f>IF(C145&gt;=Summary!$E$26,DX145*BL145,0)</f>
        <v>0</v>
      </c>
      <c r="EN145" s="52">
        <f>IF(C145&gt;=Summary!$E$26,DY145*BM145,0)</f>
        <v>0</v>
      </c>
      <c r="EO145" s="52">
        <f>IF(C145&gt;=Summary!$E$26,DZ145*BN145,0)</f>
        <v>0</v>
      </c>
      <c r="EP145" s="52">
        <f>IF(C145&gt;=Summary!$E$26,EA145*BO145,0)</f>
        <v>0</v>
      </c>
      <c r="EQ145" s="52">
        <f>IF(C145&gt;=Summary!$E$26,DX145*BL145+DY145*BM145+DZ145*BN145+EA145*BO145,0)</f>
        <v>0</v>
      </c>
      <c r="ER145" s="826">
        <v>0</v>
      </c>
      <c r="ES145" s="278">
        <v>0</v>
      </c>
      <c r="ET145" s="278">
        <v>0</v>
      </c>
      <c r="EU145" s="278">
        <v>0</v>
      </c>
      <c r="EV145" s="212">
        <f>IF(C145&gt;=Summary!$E$26,MAX(0,SUM(ER145:EU145)),0)</f>
        <v>0</v>
      </c>
      <c r="EW145" s="52"/>
      <c r="EX145" s="1049">
        <f t="shared" si="97"/>
        <v>0</v>
      </c>
      <c r="EY145" s="1045" t="str">
        <f t="shared" si="98"/>
        <v/>
      </c>
      <c r="EZ145" s="1684" t="s">
        <v>525</v>
      </c>
      <c r="FA145" s="1046">
        <f t="shared" si="111"/>
        <v>45</v>
      </c>
      <c r="FB145" s="256">
        <f t="shared" si="99"/>
        <v>11169.9</v>
      </c>
      <c r="FC145" s="194">
        <f t="shared" si="100"/>
        <v>0</v>
      </c>
      <c r="FD145" s="194">
        <f t="shared" si="101"/>
        <v>2127.6</v>
      </c>
      <c r="FE145" s="194">
        <f t="shared" si="102"/>
        <v>0</v>
      </c>
      <c r="FF145" s="194">
        <f t="shared" si="103"/>
        <v>2659.5</v>
      </c>
      <c r="FG145" s="194">
        <f t="shared" si="104"/>
        <v>0</v>
      </c>
      <c r="FH145" s="257">
        <f>IF(EZ145="No",IF((OR(MONTH(C145)=5,MONTH(C145)=6,MONTH(C145)=7,MONTH(C145)=8,MONTH(C145)=9)),Summary!$O$15*12*(AX145+AY145+AZ145+BA145)*(1-$BC145),Summary!$O$15*13*(AX145+AY145+AZ145+BA145)*(1-$BC145)+IF(Summary!$O$16="Yes",(CALC!FA145+Summary!$O$15)*6*(AX145+AY145+AZ145+BA145)*(1-$BC145),0)),0)</f>
        <v>0</v>
      </c>
      <c r="FI145" s="1412">
        <f>IF(MONTH(C145)=5,FI144*(IF(Summary!$E$70="no",(1+(Summary!$E$71*0.8)),1+HLOOKUP(YEAR(C145)-1,CCFMODEL!$I$127:$AF$128,2)*0.8)),+FI144)</f>
        <v>34.532116265437651</v>
      </c>
      <c r="FJ145" s="1411">
        <f>IF(MONTH(C145)=5,FJ144*(IF(Summary!$E$70="no",(1+(Summary!$E$71*0.8)),1+HLOOKUP(YEAR(CALC!C145)-1,CCFMODEL!$I$127:$AF$128,2)*0.8)),FJ144)</f>
        <v>30.181613428847083</v>
      </c>
      <c r="FK145" s="832">
        <f t="shared" ref="FK145:FK208" si="127">SUM(FB145:FG145)*FI145+FH145*FJ145</f>
        <v>551028.97924758855</v>
      </c>
      <c r="FL145" s="1412">
        <f>IF(MONTH(C145)=5,FL144*(IF(Summary!$E$70="no",(1+(Summary!$E$71*0.8)),1+HLOOKUP(YEAR(CALC!C145)-1,CCFMODEL!$I$127:$AF$128,2)*0.8)),+FL144)</f>
        <v>72.624911935822922</v>
      </c>
      <c r="FM145" s="1411">
        <f>IF(MONTH(C145)=5,FM144*(IF(Summary!$E$70="no",(1+(Summary!$E$71*0.8)),1+HLOOKUP(YEAR(CALC!C145)-1,CCFMODEL!$I$127:$AF$128,2)*0.8)),+FM144)</f>
        <v>34.661595516526653</v>
      </c>
      <c r="FN145" s="832">
        <f t="shared" ref="FN145:FN208" si="128">IF((OR(MONTH(C145)=5,MONTH(C145)=6,MONTH(C145)=7,MONTH(C145)=8,MONTH(C145)=9)),SUM(FB145:FG145)/(1-BC145)*FL145,SUM(FB145:FG145)/(1-BC145)*FM145)</f>
        <v>1176523.5733603314</v>
      </c>
      <c r="FO145" s="194">
        <f t="shared" si="105"/>
        <v>1727552.55260792</v>
      </c>
      <c r="FP145" s="263">
        <f t="shared" si="125"/>
        <v>11169.9</v>
      </c>
      <c r="FQ145" s="194">
        <f t="shared" si="125"/>
        <v>0</v>
      </c>
      <c r="FR145" s="194">
        <f t="shared" si="125"/>
        <v>2127.6</v>
      </c>
      <c r="FS145" s="194">
        <f t="shared" si="125"/>
        <v>0</v>
      </c>
      <c r="FT145" s="194">
        <f t="shared" si="125"/>
        <v>2659.5</v>
      </c>
      <c r="FU145" s="194">
        <f t="shared" si="125"/>
        <v>0</v>
      </c>
      <c r="FV145" s="257">
        <f t="shared" si="124"/>
        <v>0</v>
      </c>
      <c r="FW145" s="189">
        <f t="shared" ref="FW145:FW208" si="129">IF(ER145&gt;0,MIN(FB145-FP145,BL145),0)</f>
        <v>0</v>
      </c>
      <c r="FX145" s="189">
        <f t="shared" ref="FX145:FX208" si="130">IF(ES145&gt;0,MIN(FD145-FR145,BM145),0)</f>
        <v>0</v>
      </c>
      <c r="FY145" s="189">
        <f t="shared" ref="FY145:FY208" si="131">IF(ET145&gt;0,MIN(FF145-FT145,BN145),0)</f>
        <v>0</v>
      </c>
      <c r="FZ145" s="258">
        <f t="shared" ref="FZ145:FZ208" si="132">IF(EU145&gt;0,MIN(FH145-FV145,BO145),0)</f>
        <v>0</v>
      </c>
      <c r="GA145" s="1294">
        <f>(SUM(FP145:FV145)+SUM(GU145:HB145)/(1-Summary!$O$25))*CY145/1000</f>
        <v>197382.260716416</v>
      </c>
      <c r="GB145" s="1444">
        <f>IF($C145&lt;Summary!$M$81,+Summary!$O$81,VLOOKUP(C145,GasTable,19))</f>
        <v>3.3358123003462068</v>
      </c>
      <c r="GC145" s="1370">
        <f>IF(H145&lt;=Summary!$N$84,MIN(GA145,Summary!$O$75*(H145-G145+1)),0)</f>
        <v>0</v>
      </c>
      <c r="GD145" s="1371">
        <f>IF(C145&lt;Summary!$N$84,IF(Summary!$O$75*(H145-G145+1)*0.8&gt;GC145,1,0),0)</f>
        <v>0</v>
      </c>
      <c r="GE145" s="1372">
        <v>0</v>
      </c>
      <c r="GF145" s="1370">
        <f t="shared" si="106"/>
        <v>197382.260716416</v>
      </c>
      <c r="GG145" s="1371">
        <f>GF145*(IF(Summary!$O$74=1,VLOOKUP($C145,GasTable,16)+Summary!$O$92+Summary!$O$93,VLOOKUP($C145,GasTable,19)+Summary!$O$92+Summary!$O$93))</f>
        <v>668713.78895128763</v>
      </c>
      <c r="GH145" s="1373">
        <v>5003.71845051931</v>
      </c>
      <c r="GI145" s="1466">
        <v>0</v>
      </c>
      <c r="GJ145" s="1374">
        <f t="shared" si="107"/>
        <v>673717.50740180688</v>
      </c>
      <c r="GK145" s="189">
        <f t="shared" ref="GK145:GK208" si="133">SUM(FP145:FV145,GU145:GX145,GY145:HB145)</f>
        <v>25196.103000000003</v>
      </c>
      <c r="GL145" s="266">
        <v>0.51797845256000008</v>
      </c>
      <c r="GM145" s="255">
        <f t="shared" ref="GM145:GM208" si="134">IF(GK145&gt;GC145/(CY145/1000),GC145/(CY145/1000),+GK145)*GL145</f>
        <v>0</v>
      </c>
      <c r="GN145" s="189">
        <f>IF(SUM(GU145:HB145)=0,0,IF(Summary!$O$16="Yes",SUM(GX145:HB145),IF(Summary!$O$17="Yes",SUM(GY145:HB145),SUM(GU145:HB145))))</f>
        <v>9239.103000000001</v>
      </c>
      <c r="GO145" s="203">
        <v>3.1978833582794679</v>
      </c>
      <c r="GP145" s="258">
        <f t="shared" si="108"/>
        <v>29545.573729129908</v>
      </c>
      <c r="GQ145" s="189"/>
      <c r="GR145" s="189"/>
      <c r="GS145" s="189"/>
      <c r="GT145" s="189"/>
      <c r="GU145" s="268">
        <v>3592.9845000000009</v>
      </c>
      <c r="GV145" s="189">
        <v>684.37800000000027</v>
      </c>
      <c r="GW145" s="189">
        <v>855.47249999999997</v>
      </c>
      <c r="GX145" s="189"/>
      <c r="GY145" s="254">
        <v>2874.3875999999996</v>
      </c>
      <c r="GZ145" s="189">
        <v>547.50239999999997</v>
      </c>
      <c r="HA145" s="189">
        <v>684.37800000000004</v>
      </c>
      <c r="HB145" s="255"/>
      <c r="HC145" s="189">
        <v>9239.103000000001</v>
      </c>
      <c r="HD145" s="189"/>
      <c r="HE145" s="189">
        <v>21557.906999999999</v>
      </c>
      <c r="HF145" s="189">
        <v>517475.30463008501</v>
      </c>
      <c r="HG145" s="189"/>
      <c r="HH145" s="203">
        <v>58.134348333485427</v>
      </c>
      <c r="HI145" s="189">
        <v>1253254.8748788838</v>
      </c>
      <c r="HJ145" s="268">
        <f t="shared" ref="HJ145:HJ208" si="135">MAX(FB145-FP145-FW145,0)</f>
        <v>0</v>
      </c>
      <c r="HK145" s="189">
        <f t="shared" ref="HK145:HK208" si="136">MAX(FD145-FR145-FX145,0)</f>
        <v>0</v>
      </c>
      <c r="HL145" s="189">
        <f t="shared" ref="HL145:HL208" si="137">MAX(FF145-FT145-FY145,0)</f>
        <v>0</v>
      </c>
      <c r="HM145" s="255">
        <f t="shared" ref="HM145:HM208" si="138">MAX(FH145-FV145-FZ145,0)</f>
        <v>0</v>
      </c>
      <c r="HN145" s="189">
        <f t="shared" ref="HN145:HN208" si="139">SUM(HJ145:HM145)</f>
        <v>0</v>
      </c>
      <c r="HO145" s="203">
        <f t="shared" si="109"/>
        <v>0</v>
      </c>
      <c r="HP145" s="258">
        <f t="shared" ref="HP145:HP208" si="140">(HJ145*CE145+HK145*CF145+HL145*CG145+HM145*CH145)</f>
        <v>0</v>
      </c>
      <c r="HQ145" s="203"/>
      <c r="HR145" s="268"/>
      <c r="HS145" s="38"/>
      <c r="HT145" s="255"/>
      <c r="HU145" s="254"/>
      <c r="HV145" s="203"/>
      <c r="HW145" s="189"/>
      <c r="HX145" s="1020"/>
      <c r="HY145" s="258"/>
      <c r="HZ145" s="268"/>
      <c r="IA145" s="203"/>
      <c r="IB145" s="255"/>
      <c r="IC145" s="254"/>
      <c r="ID145" s="203"/>
      <c r="IE145" s="255"/>
      <c r="IF145" s="189"/>
      <c r="IG145" s="203"/>
      <c r="IH145" s="255"/>
      <c r="II145" s="189"/>
      <c r="IJ145" s="203"/>
      <c r="IK145" s="189"/>
      <c r="IL145" s="1182"/>
      <c r="IM145" s="1403"/>
      <c r="IN145" s="254"/>
      <c r="IO145" s="254"/>
      <c r="IP145" s="254"/>
      <c r="IQ145" s="254"/>
      <c r="IR145" s="223"/>
    </row>
    <row r="146" spans="1:252" ht="13.8" thickBot="1">
      <c r="A146" t="str">
        <f t="shared" ref="A146:A209" si="141">+D146&amp;"Q"&amp;ROUNDUP(E146/3,0)</f>
        <v>2010Q4</v>
      </c>
      <c r="B146">
        <f t="shared" ref="B146:B209" si="142">YEAR(C146)</f>
        <v>2010</v>
      </c>
      <c r="C146" s="49">
        <f t="shared" ref="C146:C209" si="143">EOMONTH(C145,0)+1</f>
        <v>40452</v>
      </c>
      <c r="D146" s="115">
        <f t="shared" ref="D146:D209" si="144">+YEAR(C146)</f>
        <v>2010</v>
      </c>
      <c r="E146" s="10">
        <f t="shared" si="112"/>
        <v>10</v>
      </c>
      <c r="F146" s="248" t="str">
        <f t="shared" si="113"/>
        <v/>
      </c>
      <c r="G146" s="245">
        <v>40452</v>
      </c>
      <c r="H146" s="251">
        <v>40482</v>
      </c>
      <c r="I146" s="959">
        <f t="shared" si="110"/>
        <v>7.1499999999999994E-2</v>
      </c>
      <c r="J146" s="37">
        <f t="shared" ref="J146:J209" si="145">(1+I146/2)^(-2*(DATE(D147,E147,20)-$H$7)/365.25)</f>
        <v>0.46393664926614997</v>
      </c>
      <c r="K146" s="1036"/>
      <c r="L146" s="37"/>
      <c r="M146" s="1004">
        <v>0</v>
      </c>
      <c r="N146" s="38">
        <f t="shared" si="122"/>
        <v>0</v>
      </c>
      <c r="O146" s="40">
        <f t="shared" si="122"/>
        <v>0</v>
      </c>
      <c r="P146" s="159">
        <f t="shared" si="117"/>
        <v>0</v>
      </c>
      <c r="Q146" s="38">
        <f t="shared" si="126"/>
        <v>0</v>
      </c>
      <c r="R146" s="40">
        <f t="shared" si="126"/>
        <v>0</v>
      </c>
      <c r="S146" s="38">
        <f t="shared" si="126"/>
        <v>0</v>
      </c>
      <c r="T146" s="38">
        <f t="shared" si="126"/>
        <v>0</v>
      </c>
      <c r="U146" s="38">
        <f t="shared" si="126"/>
        <v>0</v>
      </c>
      <c r="V146" s="159">
        <f t="shared" si="126"/>
        <v>0</v>
      </c>
      <c r="W146" s="38">
        <f t="shared" si="126"/>
        <v>0</v>
      </c>
      <c r="X146" s="39">
        <f t="shared" si="126"/>
        <v>0</v>
      </c>
      <c r="Y146" s="46">
        <v>0</v>
      </c>
      <c r="Z146" s="46">
        <v>0</v>
      </c>
      <c r="AA146" s="47">
        <v>0</v>
      </c>
      <c r="AB146" s="46">
        <v>0</v>
      </c>
      <c r="AC146" s="46">
        <v>0</v>
      </c>
      <c r="AD146" s="47">
        <v>0</v>
      </c>
      <c r="AE146" s="46">
        <v>0</v>
      </c>
      <c r="AF146" s="46">
        <v>0</v>
      </c>
      <c r="AG146" s="47">
        <v>0</v>
      </c>
      <c r="AH146" s="46">
        <v>0</v>
      </c>
      <c r="AI146" s="46">
        <v>0</v>
      </c>
      <c r="AJ146" s="47">
        <v>0</v>
      </c>
      <c r="AK146" s="46">
        <v>0</v>
      </c>
      <c r="AL146" s="46">
        <v>0</v>
      </c>
      <c r="AM146" s="47">
        <v>0</v>
      </c>
      <c r="AN146" s="46">
        <v>0</v>
      </c>
      <c r="AO146" s="46">
        <v>0</v>
      </c>
      <c r="AP146" s="47">
        <v>0</v>
      </c>
      <c r="AQ146" s="46">
        <v>0</v>
      </c>
      <c r="AR146" s="46">
        <v>0</v>
      </c>
      <c r="AS146" s="47">
        <v>0</v>
      </c>
      <c r="AT146" s="46">
        <v>0</v>
      </c>
      <c r="AU146" s="46">
        <v>0</v>
      </c>
      <c r="AV146" s="46">
        <v>0</v>
      </c>
      <c r="AW146" s="1545">
        <v>0</v>
      </c>
      <c r="AX146" s="10">
        <f t="shared" si="114"/>
        <v>21</v>
      </c>
      <c r="AY146" s="42">
        <f>IF(AND($E146=MONTH(Summary!$E$24),$D146=YEAR(Summary!$E$24)),Summary!$E$25,1)*IF(G146="",0,INT((H146-MOD(H146,7)-G146)/7)+1-IF(BA146,IF(WEEKDAY(F146)=7,1,0),0))</f>
        <v>5</v>
      </c>
      <c r="AZ146" s="42">
        <f>IF(AND($E146=MONTH(Summary!$E$24),$D146=YEAR(Summary!$E$24)),Summary!$E$25,1)*IF(G146="",0,INT((H146-MOD(H146-1,7)-G146)/7)+1-IF(BA146,IF(WEEKDAY(F146)=1,1,0),0))</f>
        <v>5</v>
      </c>
      <c r="BA146" s="42">
        <v>0</v>
      </c>
      <c r="BB146" s="10">
        <f>IF(AND($E146=MONTH(Summary!$E$24),$D146=YEAR(Summary!$E$24)),Summary!$E$25,1)*IF(G146="",0,H146-G146+1)</f>
        <v>31</v>
      </c>
      <c r="BC146" s="914">
        <f>Summary!$E$19</f>
        <v>1.4999999999999999E-2</v>
      </c>
      <c r="BD146" s="113">
        <v>14893.2</v>
      </c>
      <c r="BE146" s="171">
        <v>3546</v>
      </c>
      <c r="BF146" s="171">
        <v>3546</v>
      </c>
      <c r="BG146" s="174"/>
      <c r="BH146" s="1198">
        <v>1</v>
      </c>
      <c r="BI146" s="1198">
        <v>1</v>
      </c>
      <c r="BJ146" s="1198">
        <v>1</v>
      </c>
      <c r="BK146" s="1198">
        <v>1</v>
      </c>
      <c r="BL146" s="95">
        <v>2978.64</v>
      </c>
      <c r="BM146" s="171">
        <v>709.2</v>
      </c>
      <c r="BN146" s="171">
        <v>709.2</v>
      </c>
      <c r="BO146" s="174"/>
      <c r="BP146" s="1198">
        <v>1</v>
      </c>
      <c r="BQ146" s="1199">
        <v>1</v>
      </c>
      <c r="BR146" s="1199">
        <v>1</v>
      </c>
      <c r="BS146" s="1200">
        <v>1</v>
      </c>
      <c r="BT146" s="94">
        <f t="shared" ref="BT146:BT209" si="146">SUM(BD146:BF146)</f>
        <v>21985.200000000001</v>
      </c>
      <c r="BU146" s="233">
        <f t="shared" ref="BU146:BU209" si="147">SUM(BD146:BG146)</f>
        <v>21985.200000000001</v>
      </c>
      <c r="BV146" s="92">
        <f t="shared" ref="BV146:BV209" si="148">SUM(BL146:BN146)</f>
        <v>4397.04</v>
      </c>
      <c r="BW146" s="233">
        <f t="shared" ref="BW146:BW209" si="149">SUM(BL146:BO146)</f>
        <v>4397.04</v>
      </c>
      <c r="BX146" s="88">
        <v>10.795345653661876</v>
      </c>
      <c r="BY146" s="90">
        <v>0</v>
      </c>
      <c r="BZ146" s="88">
        <v>0</v>
      </c>
      <c r="CA146" s="88">
        <v>0</v>
      </c>
      <c r="CB146" s="88">
        <v>0</v>
      </c>
      <c r="CC146" s="88">
        <v>0</v>
      </c>
      <c r="CD146" s="88">
        <v>0</v>
      </c>
      <c r="CE146" s="100">
        <v>0</v>
      </c>
      <c r="CF146" s="88">
        <v>0</v>
      </c>
      <c r="CG146" s="88">
        <v>0</v>
      </c>
      <c r="CH146" s="88">
        <v>0</v>
      </c>
      <c r="CI146" s="88">
        <v>0</v>
      </c>
      <c r="CJ146" s="228">
        <v>0</v>
      </c>
      <c r="CK146" s="88">
        <v>0</v>
      </c>
      <c r="CL146" s="88">
        <v>0</v>
      </c>
      <c r="CM146" s="88">
        <v>0</v>
      </c>
      <c r="CN146" s="88">
        <v>0</v>
      </c>
      <c r="CO146" s="88">
        <v>0</v>
      </c>
      <c r="CP146" s="88">
        <v>0</v>
      </c>
      <c r="CQ146" s="229">
        <v>0</v>
      </c>
      <c r="CR146" s="91">
        <v>0</v>
      </c>
      <c r="CS146" s="91">
        <v>0</v>
      </c>
      <c r="CT146" s="91">
        <v>0</v>
      </c>
      <c r="CU146" s="91">
        <v>0</v>
      </c>
      <c r="CV146" s="91">
        <v>0</v>
      </c>
      <c r="CW146" s="91">
        <v>0</v>
      </c>
      <c r="CX146" s="225">
        <v>0</v>
      </c>
      <c r="CY146" s="1265">
        <v>7733.0526399999999</v>
      </c>
      <c r="CZ146" s="90">
        <v>0</v>
      </c>
      <c r="DA146" s="88">
        <v>0</v>
      </c>
      <c r="DB146" s="88">
        <v>0</v>
      </c>
      <c r="DC146" s="88">
        <v>0</v>
      </c>
      <c r="DD146" s="88">
        <v>0</v>
      </c>
      <c r="DE146" s="152">
        <v>0</v>
      </c>
      <c r="DF146" s="230">
        <v>0</v>
      </c>
      <c r="DG146" s="38">
        <v>0</v>
      </c>
      <c r="DH146" s="1237">
        <v>0</v>
      </c>
      <c r="DI146" s="956">
        <v>0</v>
      </c>
      <c r="DJ146" s="956">
        <v>0</v>
      </c>
      <c r="DK146" s="956">
        <v>0</v>
      </c>
      <c r="DL146" s="152">
        <v>0</v>
      </c>
      <c r="DM146" s="160">
        <v>0</v>
      </c>
      <c r="DN146" s="160">
        <v>0</v>
      </c>
      <c r="DO146" s="160">
        <v>0</v>
      </c>
      <c r="DP146" s="160">
        <v>0</v>
      </c>
      <c r="DQ146" s="160">
        <v>0</v>
      </c>
      <c r="DR146" s="230">
        <v>0</v>
      </c>
      <c r="DS146" s="88">
        <v>0</v>
      </c>
      <c r="DT146" s="88">
        <v>0</v>
      </c>
      <c r="DU146" s="88">
        <v>0</v>
      </c>
      <c r="DV146" s="88">
        <v>0</v>
      </c>
      <c r="DW146" s="88">
        <v>0</v>
      </c>
      <c r="DX146" s="88">
        <v>0</v>
      </c>
      <c r="DY146" s="88">
        <v>0</v>
      </c>
      <c r="DZ146" s="88">
        <v>0</v>
      </c>
      <c r="EA146" s="88">
        <v>0</v>
      </c>
      <c r="EB146" s="152">
        <v>0</v>
      </c>
      <c r="EC146" s="52">
        <f t="shared" ref="EC146:EF209" si="150">DS146*BD146</f>
        <v>0</v>
      </c>
      <c r="ED146" s="52">
        <f t="shared" si="150"/>
        <v>0</v>
      </c>
      <c r="EE146" s="52">
        <f t="shared" si="150"/>
        <v>0</v>
      </c>
      <c r="EF146" s="52">
        <f t="shared" si="150"/>
        <v>0</v>
      </c>
      <c r="EG146" s="52">
        <f t="shared" ref="EG146:EG209" si="151">DS146*BD146+DT146*BE146+DU146*BF146+DV146*BG146</f>
        <v>0</v>
      </c>
      <c r="EH146" s="238">
        <v>0</v>
      </c>
      <c r="EI146" s="211">
        <v>0</v>
      </c>
      <c r="EJ146" s="211">
        <v>0</v>
      </c>
      <c r="EK146" s="211">
        <v>0</v>
      </c>
      <c r="EL146" s="217">
        <f>IF(C146&gt;=Summary!$E$26,MAX(0,SUM(EH146:EK146)),0)</f>
        <v>0</v>
      </c>
      <c r="EM146" s="52">
        <f>IF(C146&gt;=Summary!$E$26,DX146*BL146,0)</f>
        <v>0</v>
      </c>
      <c r="EN146" s="52">
        <f>IF(C146&gt;=Summary!$E$26,DY146*BM146,0)</f>
        <v>0</v>
      </c>
      <c r="EO146" s="52">
        <f>IF(C146&gt;=Summary!$E$26,DZ146*BN146,0)</f>
        <v>0</v>
      </c>
      <c r="EP146" s="52">
        <f>IF(C146&gt;=Summary!$E$26,EA146*BO146,0)</f>
        <v>0</v>
      </c>
      <c r="EQ146" s="52">
        <f>IF(C146&gt;=Summary!$E$26,DX146*BL146+DY146*BM146+DZ146*BN146+EA146*BO146,0)</f>
        <v>0</v>
      </c>
      <c r="ER146" s="826">
        <v>0</v>
      </c>
      <c r="ES146" s="278">
        <v>0</v>
      </c>
      <c r="ET146" s="278">
        <v>0</v>
      </c>
      <c r="EU146" s="278">
        <v>0</v>
      </c>
      <c r="EV146" s="212">
        <f>IF(C146&gt;=Summary!$E$26,MAX(0,SUM(ER146:EU146)),0)</f>
        <v>0</v>
      </c>
      <c r="EW146" s="52"/>
      <c r="EX146" s="1049">
        <f t="shared" ref="EX146:EX209" si="152">(EQ146-EV146)+IF(EZ146="Yes",(EG146-EL146),0)</f>
        <v>0</v>
      </c>
      <c r="EY146" s="1045" t="str">
        <f t="shared" ref="EY146:EY209" si="153">IF(EX146,EX146/EQ146,"")</f>
        <v/>
      </c>
      <c r="EZ146" s="1684" t="s">
        <v>525</v>
      </c>
      <c r="FA146" s="1046">
        <f t="shared" si="111"/>
        <v>45</v>
      </c>
      <c r="FB146" s="256">
        <f t="shared" ref="FB146:FB209" si="154">IF(EZ146="No",IF((OR(MONTH(C146)=5,MONTH(C146)=6,MONTH(C146)=7,MONTH(C146)=8,MONTH(C146)=9)),$FA146*12*AX146*(1-$BC146),$FA146*10*AX146*(1-$BC146)),0)</f>
        <v>9308.25</v>
      </c>
      <c r="FC146" s="194">
        <f t="shared" ref="FC146:FC209" si="155">IF(EZ146="No",IF((OR(MONTH(C146)=5,MONTH(C146)=6,MONTH(C146)=7,MONTH(C146)=8,MONTH(C146)=9)),0,$FA146*3*AX146*(1-$BC146)),0)</f>
        <v>2792.4749999999999</v>
      </c>
      <c r="FD146" s="194">
        <f t="shared" ref="FD146:FD209" si="156">IF(EZ146="No",IF((OR(MONTH(C146)=5,MONTH(C146)=6,MONTH(C146)=7,MONTH(C146)=8,MONTH(C146)=9)),$FA146*12*AY146*(1-$BC146),$FA146*10*AY146*(1-$BC146)),0)</f>
        <v>2216.25</v>
      </c>
      <c r="FE146" s="194">
        <f t="shared" ref="FE146:FE209" si="157">IF(EZ146="No",IF((OR(MONTH(C146)=5,MONTH(C146)=6,MONTH(C146)=7,MONTH(C146)=8,MONTH(C146)=9)),0,$FA146*3*AY146*(1-$BC146)),0)</f>
        <v>664.875</v>
      </c>
      <c r="FF146" s="194">
        <f t="shared" ref="FF146:FF209" si="158">IF(EZ146="No",IF((OR(MONTH(C146)=5,MONTH(C146)=6,MONTH(C146)=7,MONTH(C146)=8,MONTH(C146)=9)),$FA146*12*(AZ146+BA146)*(1-$BC146),$FA146*10*(AZ146+BA146)*(1-$BC146)),0)</f>
        <v>2216.25</v>
      </c>
      <c r="FG146" s="194">
        <f t="shared" ref="FG146:FG209" si="159">IF(EZ146="No",IF((OR(MONTH(C146)=5,MONTH(C146)=6,MONTH(C146)=7,MONTH(C146)=8,MONTH(C146)=9)),0,$FA146*3*(AZ146+BA146)*(1-$BC146)),0)</f>
        <v>664.875</v>
      </c>
      <c r="FH146" s="257">
        <f>IF(EZ146="No",IF((OR(MONTH(C146)=5,MONTH(C146)=6,MONTH(C146)=7,MONTH(C146)=8,MONTH(C146)=9)),Summary!$O$15*12*(AX146+AY146+AZ146+BA146)*(1-$BC146),Summary!$O$15*13*(AX146+AY146+AZ146+BA146)*(1-$BC146)+IF(Summary!$O$16="Yes",(CALC!FA146+Summary!$O$15)*6*(AX146+AY146+AZ146+BA146)*(1-$BC146),0)),0)</f>
        <v>0</v>
      </c>
      <c r="FI146" s="1412">
        <f>IF(MONTH(C146)=5,FI145*(IF(Summary!$E$70="no",(1+(Summary!$E$71*0.8)),1+HLOOKUP(YEAR(C146)-1,CCFMODEL!$I$127:$AF$128,2)*0.8)),+FI145)</f>
        <v>34.532116265437651</v>
      </c>
      <c r="FJ146" s="1411">
        <f>IF(MONTH(C146)=5,FJ145*(IF(Summary!$E$70="no",(1+(Summary!$E$71*0.8)),1+HLOOKUP(YEAR(CALC!C146)-1,CCFMODEL!$I$127:$AF$128,2)*0.8)),FJ145)</f>
        <v>30.181613428847083</v>
      </c>
      <c r="FK146" s="832">
        <f t="shared" si="127"/>
        <v>616846.32954660605</v>
      </c>
      <c r="FL146" s="1412">
        <f>IF(MONTH(C146)=5,FL145*(IF(Summary!$E$70="no",(1+(Summary!$E$71*0.8)),1+HLOOKUP(YEAR(CALC!C146)-1,CCFMODEL!$I$127:$AF$128,2)*0.8)),+FL145)</f>
        <v>72.624911935822922</v>
      </c>
      <c r="FM146" s="1411">
        <f>IF(MONTH(C146)=5,FM145*(IF(Summary!$E$70="no",(1+(Summary!$E$71*0.8)),1+HLOOKUP(YEAR(CALC!C146)-1,CCFMODEL!$I$127:$AF$128,2)*0.8)),+FM145)</f>
        <v>34.661595516526653</v>
      </c>
      <c r="FN146" s="832">
        <f t="shared" si="128"/>
        <v>628588.03469221084</v>
      </c>
      <c r="FO146" s="194">
        <f t="shared" ref="FO146:FO209" si="160">FK146+FN146</f>
        <v>1245434.3642388168</v>
      </c>
      <c r="FP146" s="263">
        <f t="shared" si="125"/>
        <v>9308.25</v>
      </c>
      <c r="FQ146" s="194">
        <f t="shared" si="125"/>
        <v>2792.4749999999999</v>
      </c>
      <c r="FR146" s="194">
        <f t="shared" si="125"/>
        <v>2216.25</v>
      </c>
      <c r="FS146" s="194">
        <f t="shared" si="125"/>
        <v>664.875</v>
      </c>
      <c r="FT146" s="194">
        <f t="shared" si="125"/>
        <v>2216.25</v>
      </c>
      <c r="FU146" s="194">
        <f t="shared" si="125"/>
        <v>664.875</v>
      </c>
      <c r="FV146" s="257">
        <f t="shared" si="124"/>
        <v>0</v>
      </c>
      <c r="FW146" s="189">
        <f t="shared" si="129"/>
        <v>0</v>
      </c>
      <c r="FX146" s="189">
        <f t="shared" si="130"/>
        <v>0</v>
      </c>
      <c r="FY146" s="189">
        <f t="shared" si="131"/>
        <v>0</v>
      </c>
      <c r="FZ146" s="258">
        <f t="shared" si="132"/>
        <v>0</v>
      </c>
      <c r="GA146" s="1294">
        <f>(SUM(FP146:FV146)+SUM(GU146:HB146)/(1-Summary!$O$25))*CY146/1000</f>
        <v>235892.6336000376</v>
      </c>
      <c r="GB146" s="1444">
        <f>IF($C146&lt;Summary!$M$81,+Summary!$O$81,VLOOKUP(C146,GasTable,19))</f>
        <v>3.4840538535361425</v>
      </c>
      <c r="GC146" s="1370">
        <f>IF(H146&lt;=Summary!$N$84,MIN(GA146,Summary!$O$75*(H146-G146+1)),0)</f>
        <v>0</v>
      </c>
      <c r="GD146" s="1371">
        <f>IF(C146&lt;Summary!$N$84,IF(Summary!$O$75*(H146-G146+1)*0.8&gt;GC146,1,0),0)</f>
        <v>0</v>
      </c>
      <c r="GE146" s="1372">
        <v>0</v>
      </c>
      <c r="GF146" s="1370">
        <f t="shared" ref="GF146:GF209" si="161">ABS(MIN(0,GC146-$GA146))</f>
        <v>235892.6336000376</v>
      </c>
      <c r="GG146" s="1371">
        <f>GF146*(IF(Summary!$O$74=1,VLOOKUP($C146,GasTable,16)+Summary!$O$92+Summary!$O$93,VLOOKUP($C146,GasTable,19)+Summary!$O$92+Summary!$O$93))</f>
        <v>834152.64532556233</v>
      </c>
      <c r="GH146" s="1373">
        <v>5400.2834729810211</v>
      </c>
      <c r="GI146" s="1466">
        <v>0</v>
      </c>
      <c r="GJ146" s="1374">
        <f t="shared" ref="GJ146:GJ209" si="162">+GB146*GC146+GE146+GG146+GH146-GI146</f>
        <v>839552.92879854341</v>
      </c>
      <c r="GK146" s="189">
        <f t="shared" si="133"/>
        <v>30062.012850000003</v>
      </c>
      <c r="GL146" s="266">
        <v>0.51811452687999993</v>
      </c>
      <c r="GM146" s="255">
        <f t="shared" si="134"/>
        <v>0</v>
      </c>
      <c r="GN146" s="189">
        <f>IF(SUM(GU146:HB146)=0,0,IF(Summary!$O$16="Yes",SUM(GX146:HB146),IF(Summary!$O$17="Yes",SUM(GY146:HB146),SUM(GU146:HB146))))</f>
        <v>12199.037850000001</v>
      </c>
      <c r="GO146" s="203">
        <v>3.1978833582794679</v>
      </c>
      <c r="GP146" s="258">
        <f t="shared" ref="GP146:GP209" si="163">GN146*GO146</f>
        <v>39011.100127536345</v>
      </c>
      <c r="GQ146" s="189"/>
      <c r="GR146" s="189"/>
      <c r="GS146" s="189"/>
      <c r="GT146" s="189"/>
      <c r="GU146" s="268">
        <v>5389.4767500000007</v>
      </c>
      <c r="GV146" s="189">
        <v>1283.20875</v>
      </c>
      <c r="GW146" s="189">
        <v>1283.20875</v>
      </c>
      <c r="GX146" s="189"/>
      <c r="GY146" s="254">
        <v>2874.3875999999996</v>
      </c>
      <c r="GZ146" s="189">
        <v>684.37800000000004</v>
      </c>
      <c r="HA146" s="189">
        <v>684.37800000000004</v>
      </c>
      <c r="HB146" s="255"/>
      <c r="HC146" s="189">
        <v>12199.037850000001</v>
      </c>
      <c r="HD146" s="189"/>
      <c r="HE146" s="189">
        <v>20950.521525</v>
      </c>
      <c r="HF146" s="189">
        <v>608172.5541657838</v>
      </c>
      <c r="HG146" s="189"/>
      <c r="HH146" s="203">
        <v>49.065625278568533</v>
      </c>
      <c r="HI146" s="189">
        <v>1027950.4385362342</v>
      </c>
      <c r="HJ146" s="268">
        <f t="shared" si="135"/>
        <v>0</v>
      </c>
      <c r="HK146" s="189">
        <f t="shared" si="136"/>
        <v>0</v>
      </c>
      <c r="HL146" s="189">
        <f t="shared" si="137"/>
        <v>0</v>
      </c>
      <c r="HM146" s="255">
        <f t="shared" si="138"/>
        <v>0</v>
      </c>
      <c r="HN146" s="189">
        <f t="shared" si="139"/>
        <v>0</v>
      </c>
      <c r="HO146" s="203">
        <f t="shared" ref="HO146:HO209" si="164">IF(ISERROR(+HP146/HN146),0,+HP146/HN146)</f>
        <v>0</v>
      </c>
      <c r="HP146" s="258">
        <f t="shared" si="140"/>
        <v>0</v>
      </c>
      <c r="HQ146" s="203"/>
      <c r="HR146" s="268"/>
      <c r="HS146" s="38"/>
      <c r="HT146" s="255"/>
      <c r="HU146" s="254"/>
      <c r="HV146" s="203"/>
      <c r="HW146" s="189"/>
      <c r="HX146" s="1020"/>
      <c r="HY146" s="258"/>
      <c r="HZ146" s="268"/>
      <c r="IA146" s="203"/>
      <c r="IB146" s="255"/>
      <c r="IC146" s="254"/>
      <c r="ID146" s="203"/>
      <c r="IE146" s="255"/>
      <c r="IF146" s="189"/>
      <c r="IG146" s="203"/>
      <c r="IH146" s="255"/>
      <c r="II146" s="189"/>
      <c r="IJ146" s="203"/>
      <c r="IK146" s="189"/>
      <c r="IL146" s="1182"/>
      <c r="IM146" s="1403"/>
      <c r="IN146" s="254"/>
      <c r="IO146" s="254"/>
      <c r="IP146" s="254"/>
      <c r="IQ146" s="254"/>
      <c r="IR146" s="223"/>
    </row>
    <row r="147" spans="1:252" ht="13.8" thickBot="1">
      <c r="A147" t="str">
        <f t="shared" si="141"/>
        <v>2010Q4</v>
      </c>
      <c r="B147">
        <f t="shared" si="142"/>
        <v>2010</v>
      </c>
      <c r="C147" s="49">
        <f t="shared" si="143"/>
        <v>40483</v>
      </c>
      <c r="D147" s="115">
        <f t="shared" si="144"/>
        <v>2010</v>
      </c>
      <c r="E147" s="10">
        <f t="shared" si="112"/>
        <v>11</v>
      </c>
      <c r="F147" s="248">
        <f t="shared" si="113"/>
        <v>40507</v>
      </c>
      <c r="G147" s="245">
        <v>40483</v>
      </c>
      <c r="H147" s="251">
        <v>40512</v>
      </c>
      <c r="I147" s="959">
        <f t="shared" ref="I147:I210" si="165">I146</f>
        <v>7.1499999999999994E-2</v>
      </c>
      <c r="J147" s="37">
        <f t="shared" si="145"/>
        <v>0.4612673726262197</v>
      </c>
      <c r="K147" s="1036"/>
      <c r="L147" s="37"/>
      <c r="M147" s="1004">
        <v>0</v>
      </c>
      <c r="N147" s="38">
        <f t="shared" si="122"/>
        <v>0</v>
      </c>
      <c r="O147" s="40">
        <f t="shared" si="122"/>
        <v>0</v>
      </c>
      <c r="P147" s="159">
        <f t="shared" si="117"/>
        <v>0</v>
      </c>
      <c r="Q147" s="38">
        <f t="shared" si="126"/>
        <v>0</v>
      </c>
      <c r="R147" s="40">
        <f t="shared" si="126"/>
        <v>0</v>
      </c>
      <c r="S147" s="38">
        <f t="shared" si="126"/>
        <v>0</v>
      </c>
      <c r="T147" s="38">
        <f t="shared" si="126"/>
        <v>0</v>
      </c>
      <c r="U147" s="38">
        <f t="shared" si="126"/>
        <v>0</v>
      </c>
      <c r="V147" s="159">
        <f t="shared" si="126"/>
        <v>0</v>
      </c>
      <c r="W147" s="38">
        <f t="shared" si="126"/>
        <v>0</v>
      </c>
      <c r="X147" s="39">
        <f t="shared" si="126"/>
        <v>0</v>
      </c>
      <c r="Y147" s="46">
        <v>0</v>
      </c>
      <c r="Z147" s="46">
        <v>0</v>
      </c>
      <c r="AA147" s="47">
        <v>0</v>
      </c>
      <c r="AB147" s="46">
        <v>0</v>
      </c>
      <c r="AC147" s="46">
        <v>0</v>
      </c>
      <c r="AD147" s="47">
        <v>0</v>
      </c>
      <c r="AE147" s="46">
        <v>0</v>
      </c>
      <c r="AF147" s="46">
        <v>0</v>
      </c>
      <c r="AG147" s="47">
        <v>0</v>
      </c>
      <c r="AH147" s="46">
        <v>0</v>
      </c>
      <c r="AI147" s="46">
        <v>0</v>
      </c>
      <c r="AJ147" s="47">
        <v>0</v>
      </c>
      <c r="AK147" s="46">
        <v>0</v>
      </c>
      <c r="AL147" s="46">
        <v>0</v>
      </c>
      <c r="AM147" s="47">
        <v>0</v>
      </c>
      <c r="AN147" s="46">
        <v>0</v>
      </c>
      <c r="AO147" s="46">
        <v>0</v>
      </c>
      <c r="AP147" s="47">
        <v>0</v>
      </c>
      <c r="AQ147" s="46">
        <v>0</v>
      </c>
      <c r="AR147" s="46">
        <v>0</v>
      </c>
      <c r="AS147" s="47">
        <v>0</v>
      </c>
      <c r="AT147" s="46">
        <v>0</v>
      </c>
      <c r="AU147" s="46">
        <v>0</v>
      </c>
      <c r="AV147" s="46">
        <v>0</v>
      </c>
      <c r="AW147" s="1545">
        <v>0</v>
      </c>
      <c r="AX147" s="10">
        <f t="shared" si="114"/>
        <v>21</v>
      </c>
      <c r="AY147" s="42">
        <f>IF(AND($E147=MONTH(Summary!$E$24),$D147=YEAR(Summary!$E$24)),Summary!$E$25,1)*IF(G147="",0,INT((H147-MOD(H147,7)-G147)/7)+1-IF(BA147,IF(WEEKDAY(F147)=7,1,0),0))</f>
        <v>4</v>
      </c>
      <c r="AZ147" s="42">
        <f>IF(AND($E147=MONTH(Summary!$E$24),$D147=YEAR(Summary!$E$24)),Summary!$E$25,1)*IF(G147="",0,INT((H147-MOD(H147-1,7)-G147)/7)+1-IF(BA147,IF(WEEKDAY(F147)=1,1,0),0))</f>
        <v>4</v>
      </c>
      <c r="BA147" s="42">
        <v>1</v>
      </c>
      <c r="BB147" s="10">
        <f>IF(AND($E147=MONTH(Summary!$E$24),$D147=YEAR(Summary!$E$24)),Summary!$E$25,1)*IF(G147="",0,H147-G147+1)</f>
        <v>30</v>
      </c>
      <c r="BC147" s="914">
        <f>Summary!$E$19</f>
        <v>1.4999999999999999E-2</v>
      </c>
      <c r="BD147" s="113">
        <v>14893.2</v>
      </c>
      <c r="BE147" s="171">
        <v>2836.8</v>
      </c>
      <c r="BF147" s="171">
        <v>3546</v>
      </c>
      <c r="BG147" s="174"/>
      <c r="BH147" s="1198">
        <v>1</v>
      </c>
      <c r="BI147" s="1198">
        <v>1</v>
      </c>
      <c r="BJ147" s="1198">
        <v>1</v>
      </c>
      <c r="BK147" s="1198">
        <v>1</v>
      </c>
      <c r="BL147" s="95">
        <v>2978.64</v>
      </c>
      <c r="BM147" s="171">
        <v>567.36</v>
      </c>
      <c r="BN147" s="171">
        <v>709.2</v>
      </c>
      <c r="BO147" s="174"/>
      <c r="BP147" s="1198">
        <v>1</v>
      </c>
      <c r="BQ147" s="1199">
        <v>1</v>
      </c>
      <c r="BR147" s="1199">
        <v>1</v>
      </c>
      <c r="BS147" s="1200">
        <v>1</v>
      </c>
      <c r="BT147" s="94">
        <f t="shared" si="146"/>
        <v>21276</v>
      </c>
      <c r="BU147" s="233">
        <f t="shared" si="147"/>
        <v>21276</v>
      </c>
      <c r="BV147" s="92">
        <f t="shared" si="148"/>
        <v>4255.2</v>
      </c>
      <c r="BW147" s="233">
        <f t="shared" si="149"/>
        <v>4255.2</v>
      </c>
      <c r="BX147" s="88">
        <v>10.880219028062971</v>
      </c>
      <c r="BY147" s="90">
        <v>0</v>
      </c>
      <c r="BZ147" s="88">
        <v>0</v>
      </c>
      <c r="CA147" s="88">
        <v>0</v>
      </c>
      <c r="CB147" s="88">
        <v>0</v>
      </c>
      <c r="CC147" s="88">
        <v>0</v>
      </c>
      <c r="CD147" s="88">
        <v>0</v>
      </c>
      <c r="CE147" s="100">
        <v>0</v>
      </c>
      <c r="CF147" s="88">
        <v>0</v>
      </c>
      <c r="CG147" s="88">
        <v>0</v>
      </c>
      <c r="CH147" s="88">
        <v>0</v>
      </c>
      <c r="CI147" s="88">
        <v>0</v>
      </c>
      <c r="CJ147" s="228">
        <v>0</v>
      </c>
      <c r="CK147" s="88">
        <v>0</v>
      </c>
      <c r="CL147" s="88">
        <v>0</v>
      </c>
      <c r="CM147" s="88">
        <v>0</v>
      </c>
      <c r="CN147" s="88">
        <v>0</v>
      </c>
      <c r="CO147" s="88">
        <v>0</v>
      </c>
      <c r="CP147" s="88">
        <v>0</v>
      </c>
      <c r="CQ147" s="229">
        <v>0</v>
      </c>
      <c r="CR147" s="91">
        <v>0</v>
      </c>
      <c r="CS147" s="91">
        <v>0</v>
      </c>
      <c r="CT147" s="91">
        <v>0</v>
      </c>
      <c r="CU147" s="91">
        <v>0</v>
      </c>
      <c r="CV147" s="91">
        <v>0</v>
      </c>
      <c r="CW147" s="91">
        <v>0</v>
      </c>
      <c r="CX147" s="225">
        <v>0</v>
      </c>
      <c r="CY147" s="1265">
        <v>7735.083599999999</v>
      </c>
      <c r="CZ147" s="90">
        <v>0</v>
      </c>
      <c r="DA147" s="88">
        <v>0</v>
      </c>
      <c r="DB147" s="88">
        <v>0</v>
      </c>
      <c r="DC147" s="88">
        <v>0</v>
      </c>
      <c r="DD147" s="88">
        <v>0</v>
      </c>
      <c r="DE147" s="152">
        <v>0</v>
      </c>
      <c r="DF147" s="230">
        <v>0</v>
      </c>
      <c r="DG147" s="38">
        <v>0</v>
      </c>
      <c r="DH147" s="1237">
        <v>0</v>
      </c>
      <c r="DI147" s="956">
        <v>0</v>
      </c>
      <c r="DJ147" s="956">
        <v>0</v>
      </c>
      <c r="DK147" s="956">
        <v>0</v>
      </c>
      <c r="DL147" s="152">
        <v>0</v>
      </c>
      <c r="DM147" s="160">
        <v>0</v>
      </c>
      <c r="DN147" s="160">
        <v>0</v>
      </c>
      <c r="DO147" s="160">
        <v>0</v>
      </c>
      <c r="DP147" s="160">
        <v>0</v>
      </c>
      <c r="DQ147" s="160">
        <v>0</v>
      </c>
      <c r="DR147" s="230">
        <v>0</v>
      </c>
      <c r="DS147" s="88">
        <v>0</v>
      </c>
      <c r="DT147" s="88">
        <v>0</v>
      </c>
      <c r="DU147" s="88">
        <v>0</v>
      </c>
      <c r="DV147" s="88">
        <v>0</v>
      </c>
      <c r="DW147" s="88">
        <v>0</v>
      </c>
      <c r="DX147" s="88">
        <v>0</v>
      </c>
      <c r="DY147" s="88">
        <v>0</v>
      </c>
      <c r="DZ147" s="88">
        <v>0</v>
      </c>
      <c r="EA147" s="88">
        <v>0</v>
      </c>
      <c r="EB147" s="152">
        <v>0</v>
      </c>
      <c r="EC147" s="52">
        <f t="shared" si="150"/>
        <v>0</v>
      </c>
      <c r="ED147" s="52">
        <f t="shared" si="150"/>
        <v>0</v>
      </c>
      <c r="EE147" s="52">
        <f t="shared" si="150"/>
        <v>0</v>
      </c>
      <c r="EF147" s="52">
        <f t="shared" si="150"/>
        <v>0</v>
      </c>
      <c r="EG147" s="52">
        <f t="shared" si="151"/>
        <v>0</v>
      </c>
      <c r="EH147" s="238">
        <v>0</v>
      </c>
      <c r="EI147" s="211">
        <v>0</v>
      </c>
      <c r="EJ147" s="211">
        <v>0</v>
      </c>
      <c r="EK147" s="211">
        <v>0</v>
      </c>
      <c r="EL147" s="217">
        <f>IF(C147&gt;=Summary!$E$26,MAX(0,SUM(EH147:EK147)),0)</f>
        <v>0</v>
      </c>
      <c r="EM147" s="52">
        <f>IF(C147&gt;=Summary!$E$26,DX147*BL147,0)</f>
        <v>0</v>
      </c>
      <c r="EN147" s="52">
        <f>IF(C147&gt;=Summary!$E$26,DY147*BM147,0)</f>
        <v>0</v>
      </c>
      <c r="EO147" s="52">
        <f>IF(C147&gt;=Summary!$E$26,DZ147*BN147,0)</f>
        <v>0</v>
      </c>
      <c r="EP147" s="52">
        <f>IF(C147&gt;=Summary!$E$26,EA147*BO147,0)</f>
        <v>0</v>
      </c>
      <c r="EQ147" s="52">
        <f>IF(C147&gt;=Summary!$E$26,DX147*BL147+DY147*BM147+DZ147*BN147+EA147*BO147,0)</f>
        <v>0</v>
      </c>
      <c r="ER147" s="826">
        <v>0</v>
      </c>
      <c r="ES147" s="278">
        <v>0</v>
      </c>
      <c r="ET147" s="278">
        <v>0</v>
      </c>
      <c r="EU147" s="278">
        <v>0</v>
      </c>
      <c r="EV147" s="212">
        <f>IF(C147&gt;=Summary!$E$26,MAX(0,SUM(ER147:EU147)),0)</f>
        <v>0</v>
      </c>
      <c r="EW147" s="52"/>
      <c r="EX147" s="1049">
        <f t="shared" si="152"/>
        <v>0</v>
      </c>
      <c r="EY147" s="1045" t="str">
        <f t="shared" si="153"/>
        <v/>
      </c>
      <c r="EZ147" s="1684" t="s">
        <v>525</v>
      </c>
      <c r="FA147" s="1046">
        <f t="shared" ref="FA147:FA210" si="166">FA146</f>
        <v>45</v>
      </c>
      <c r="FB147" s="256">
        <f t="shared" si="154"/>
        <v>9308.25</v>
      </c>
      <c r="FC147" s="194">
        <f t="shared" si="155"/>
        <v>2792.4749999999999</v>
      </c>
      <c r="FD147" s="194">
        <f t="shared" si="156"/>
        <v>1773</v>
      </c>
      <c r="FE147" s="194">
        <f t="shared" si="157"/>
        <v>531.9</v>
      </c>
      <c r="FF147" s="194">
        <f t="shared" si="158"/>
        <v>2216.25</v>
      </c>
      <c r="FG147" s="194">
        <f t="shared" si="159"/>
        <v>664.875</v>
      </c>
      <c r="FH147" s="257">
        <f>IF(EZ147="No",IF((OR(MONTH(C147)=5,MONTH(C147)=6,MONTH(C147)=7,MONTH(C147)=8,MONTH(C147)=9)),Summary!$O$15*12*(AX147+AY147+AZ147+BA147)*(1-$BC147),Summary!$O$15*13*(AX147+AY147+AZ147+BA147)*(1-$BC147)+IF(Summary!$O$16="Yes",(CALC!FA147+Summary!$O$15)*6*(AX147+AY147+AZ147+BA147)*(1-$BC147),0)),0)</f>
        <v>0</v>
      </c>
      <c r="FI147" s="1412">
        <f>IF(MONTH(C147)=5,FI146*(IF(Summary!$E$70="no",(1+(Summary!$E$71*0.8)),1+HLOOKUP(YEAR(C147)-1,CCFMODEL!$I$127:$AF$128,2)*0.8)),+FI146)</f>
        <v>34.532116265437651</v>
      </c>
      <c r="FJ147" s="1411">
        <f>IF(MONTH(C147)=5,FJ146*(IF(Summary!$E$70="no",(1+(Summary!$E$71*0.8)),1+HLOOKUP(YEAR(CALC!C147)-1,CCFMODEL!$I$127:$AF$128,2)*0.8)),FJ146)</f>
        <v>30.181613428847083</v>
      </c>
      <c r="FK147" s="832">
        <f t="shared" si="127"/>
        <v>596948.06085155427</v>
      </c>
      <c r="FL147" s="1412">
        <f>IF(MONTH(C147)=5,FL146*(IF(Summary!$E$70="no",(1+(Summary!$E$71*0.8)),1+HLOOKUP(YEAR(CALC!C147)-1,CCFMODEL!$I$127:$AF$128,2)*0.8)),+FL146)</f>
        <v>72.624911935822922</v>
      </c>
      <c r="FM147" s="1411">
        <f>IF(MONTH(C147)=5,FM146*(IF(Summary!$E$70="no",(1+(Summary!$E$71*0.8)),1+HLOOKUP(YEAR(CALC!C147)-1,CCFMODEL!$I$127:$AF$128,2)*0.8)),+FM146)</f>
        <v>34.661595516526653</v>
      </c>
      <c r="FN147" s="832">
        <f t="shared" si="128"/>
        <v>608311.00131504273</v>
      </c>
      <c r="FO147" s="194">
        <f t="shared" si="160"/>
        <v>1205259.062166597</v>
      </c>
      <c r="FP147" s="263">
        <f t="shared" si="125"/>
        <v>9308.25</v>
      </c>
      <c r="FQ147" s="194">
        <f t="shared" si="125"/>
        <v>2792.4749999999999</v>
      </c>
      <c r="FR147" s="194">
        <f t="shared" si="125"/>
        <v>1773</v>
      </c>
      <c r="FS147" s="194">
        <f t="shared" si="125"/>
        <v>531.9</v>
      </c>
      <c r="FT147" s="194">
        <f t="shared" si="125"/>
        <v>2216.25</v>
      </c>
      <c r="FU147" s="194">
        <f t="shared" si="125"/>
        <v>664.875</v>
      </c>
      <c r="FV147" s="257">
        <f t="shared" si="124"/>
        <v>0</v>
      </c>
      <c r="FW147" s="189">
        <f t="shared" si="129"/>
        <v>0</v>
      </c>
      <c r="FX147" s="189">
        <f t="shared" si="130"/>
        <v>0</v>
      </c>
      <c r="FY147" s="189">
        <f t="shared" si="131"/>
        <v>0</v>
      </c>
      <c r="FZ147" s="258">
        <f t="shared" si="132"/>
        <v>0</v>
      </c>
      <c r="GA147" s="1294">
        <f>(SUM(FP147:FV147)+SUM(GU147:HB147)/(1-Summary!$O$25))*CY147/1000</f>
        <v>228343.14865962</v>
      </c>
      <c r="GB147" s="1444">
        <f>IF($C147&lt;Summary!$M$81,+Summary!$O$81,VLOOKUP(C147,GasTable,19))</f>
        <v>3.6302348544562659</v>
      </c>
      <c r="GC147" s="1370">
        <f>IF(H147&lt;=Summary!$N$84,MIN(GA147,Summary!$O$75*(H147-G147+1)),0)</f>
        <v>0</v>
      </c>
      <c r="GD147" s="1371">
        <f>IF(C147&lt;Summary!$N$84,IF(Summary!$O$75*(H147-G147+1)*0.8&gt;GC147,1,0),0)</f>
        <v>0</v>
      </c>
      <c r="GE147" s="1372">
        <v>0</v>
      </c>
      <c r="GF147" s="1370">
        <f t="shared" si="161"/>
        <v>228343.14865962</v>
      </c>
      <c r="GG147" s="1371">
        <f>GF147*(IF(Summary!$O$74=1,VLOOKUP($C147,GasTable,16)+Summary!$O$92+Summary!$O$93,VLOOKUP($C147,GasTable,19)+Summary!$O$92+Summary!$O$93))</f>
        <v>840835.93508560723</v>
      </c>
      <c r="GH147" s="1373">
        <v>5445.3522816843988</v>
      </c>
      <c r="GI147" s="1466">
        <v>0</v>
      </c>
      <c r="GJ147" s="1374">
        <f t="shared" si="162"/>
        <v>846281.28736729163</v>
      </c>
      <c r="GK147" s="189">
        <f t="shared" si="133"/>
        <v>29092.270500000002</v>
      </c>
      <c r="GL147" s="266">
        <v>0.51825060119999999</v>
      </c>
      <c r="GM147" s="255">
        <f t="shared" si="134"/>
        <v>0</v>
      </c>
      <c r="GN147" s="189">
        <f>IF(SUM(GU147:HB147)=0,0,IF(Summary!$O$16="Yes",SUM(GX147:HB147),IF(Summary!$O$17="Yes",SUM(GY147:HB147),SUM(GU147:HB147))))</f>
        <v>11805.520500000001</v>
      </c>
      <c r="GO147" s="203">
        <v>3.1978833582794679</v>
      </c>
      <c r="GP147" s="258">
        <f t="shared" si="163"/>
        <v>37752.677542777106</v>
      </c>
      <c r="GQ147" s="189"/>
      <c r="GR147" s="189"/>
      <c r="GS147" s="189"/>
      <c r="GT147" s="189"/>
      <c r="GU147" s="268">
        <v>5389.4767500000007</v>
      </c>
      <c r="GV147" s="189">
        <v>1026.5670000000002</v>
      </c>
      <c r="GW147" s="189">
        <v>1283.20875</v>
      </c>
      <c r="GX147" s="189"/>
      <c r="GY147" s="254">
        <v>2874.3875999999996</v>
      </c>
      <c r="GZ147" s="189">
        <v>547.50239999999997</v>
      </c>
      <c r="HA147" s="189">
        <v>684.37800000000004</v>
      </c>
      <c r="HB147" s="255"/>
      <c r="HC147" s="189">
        <v>11805.520500000001</v>
      </c>
      <c r="HD147" s="189"/>
      <c r="HE147" s="189">
        <v>20274.698250000001</v>
      </c>
      <c r="HF147" s="189">
        <v>580337.5286260905</v>
      </c>
      <c r="HG147" s="189"/>
      <c r="HH147" s="203">
        <v>48.868766961264633</v>
      </c>
      <c r="HI147" s="189">
        <v>990799.50398921</v>
      </c>
      <c r="HJ147" s="268">
        <f t="shared" si="135"/>
        <v>0</v>
      </c>
      <c r="HK147" s="189">
        <f t="shared" si="136"/>
        <v>0</v>
      </c>
      <c r="HL147" s="189">
        <f t="shared" si="137"/>
        <v>0</v>
      </c>
      <c r="HM147" s="255">
        <f t="shared" si="138"/>
        <v>0</v>
      </c>
      <c r="HN147" s="189">
        <f t="shared" si="139"/>
        <v>0</v>
      </c>
      <c r="HO147" s="203">
        <f t="shared" si="164"/>
        <v>0</v>
      </c>
      <c r="HP147" s="258">
        <f t="shared" si="140"/>
        <v>0</v>
      </c>
      <c r="HQ147" s="203"/>
      <c r="HR147" s="268"/>
      <c r="HS147" s="38"/>
      <c r="HT147" s="255"/>
      <c r="HU147" s="254"/>
      <c r="HV147" s="203"/>
      <c r="HW147" s="189"/>
      <c r="HX147" s="1020"/>
      <c r="HY147" s="258"/>
      <c r="HZ147" s="268"/>
      <c r="IA147" s="203"/>
      <c r="IB147" s="255"/>
      <c r="IC147" s="254"/>
      <c r="ID147" s="203"/>
      <c r="IE147" s="255"/>
      <c r="IF147" s="189"/>
      <c r="IG147" s="203"/>
      <c r="IH147" s="255"/>
      <c r="II147" s="189"/>
      <c r="IJ147" s="203"/>
      <c r="IK147" s="189"/>
      <c r="IL147" s="1182"/>
      <c r="IM147" s="1403"/>
      <c r="IN147" s="254"/>
      <c r="IO147" s="254"/>
      <c r="IP147" s="254"/>
      <c r="IQ147" s="254"/>
      <c r="IR147" s="223"/>
    </row>
    <row r="148" spans="1:252" ht="13.8" thickBot="1">
      <c r="A148" t="str">
        <f t="shared" si="141"/>
        <v>2010Q4</v>
      </c>
      <c r="B148">
        <f t="shared" si="142"/>
        <v>2010</v>
      </c>
      <c r="C148" s="49">
        <f t="shared" si="143"/>
        <v>40513</v>
      </c>
      <c r="D148" s="115">
        <f t="shared" si="144"/>
        <v>2010</v>
      </c>
      <c r="E148" s="10">
        <f t="shared" ref="E148:E211" si="167">MONTH(C148)</f>
        <v>12</v>
      </c>
      <c r="F148" s="248">
        <f t="shared" ref="F148:F211" si="168">IF(G148="","",Holiday(D148,E148))</f>
        <v>40537</v>
      </c>
      <c r="G148" s="245">
        <v>40513</v>
      </c>
      <c r="H148" s="251">
        <v>40543</v>
      </c>
      <c r="I148" s="959">
        <f t="shared" si="165"/>
        <v>7.1499999999999994E-2</v>
      </c>
      <c r="J148" s="37">
        <f t="shared" si="145"/>
        <v>0.4585252532683064</v>
      </c>
      <c r="K148" s="1036"/>
      <c r="L148" s="37"/>
      <c r="M148" s="1004">
        <v>0</v>
      </c>
      <c r="N148" s="38">
        <f t="shared" si="122"/>
        <v>0</v>
      </c>
      <c r="O148" s="40">
        <f t="shared" si="122"/>
        <v>0</v>
      </c>
      <c r="P148" s="159">
        <f t="shared" si="117"/>
        <v>0</v>
      </c>
      <c r="Q148" s="38">
        <f t="shared" si="126"/>
        <v>0</v>
      </c>
      <c r="R148" s="40">
        <f t="shared" si="126"/>
        <v>0</v>
      </c>
      <c r="S148" s="38">
        <f t="shared" si="126"/>
        <v>0</v>
      </c>
      <c r="T148" s="38">
        <f t="shared" si="126"/>
        <v>0</v>
      </c>
      <c r="U148" s="38">
        <f t="shared" si="126"/>
        <v>0</v>
      </c>
      <c r="V148" s="159">
        <f t="shared" si="126"/>
        <v>0</v>
      </c>
      <c r="W148" s="38">
        <f t="shared" si="126"/>
        <v>0</v>
      </c>
      <c r="X148" s="39">
        <f t="shared" si="126"/>
        <v>0</v>
      </c>
      <c r="Y148" s="46">
        <v>0</v>
      </c>
      <c r="Z148" s="46">
        <v>0</v>
      </c>
      <c r="AA148" s="47">
        <v>0</v>
      </c>
      <c r="AB148" s="46">
        <v>0</v>
      </c>
      <c r="AC148" s="46">
        <v>0</v>
      </c>
      <c r="AD148" s="47">
        <v>0</v>
      </c>
      <c r="AE148" s="46">
        <v>0</v>
      </c>
      <c r="AF148" s="46">
        <v>0</v>
      </c>
      <c r="AG148" s="47">
        <v>0</v>
      </c>
      <c r="AH148" s="46">
        <v>0</v>
      </c>
      <c r="AI148" s="46">
        <v>0</v>
      </c>
      <c r="AJ148" s="47">
        <v>0</v>
      </c>
      <c r="AK148" s="46">
        <v>0</v>
      </c>
      <c r="AL148" s="46">
        <v>0</v>
      </c>
      <c r="AM148" s="47">
        <v>0</v>
      </c>
      <c r="AN148" s="46">
        <v>0</v>
      </c>
      <c r="AO148" s="46">
        <v>0</v>
      </c>
      <c r="AP148" s="47">
        <v>0</v>
      </c>
      <c r="AQ148" s="46">
        <v>0</v>
      </c>
      <c r="AR148" s="46">
        <v>0</v>
      </c>
      <c r="AS148" s="47">
        <v>0</v>
      </c>
      <c r="AT148" s="46">
        <v>0</v>
      </c>
      <c r="AU148" s="46">
        <v>0</v>
      </c>
      <c r="AV148" s="46">
        <v>0</v>
      </c>
      <c r="AW148" s="1545">
        <v>0</v>
      </c>
      <c r="AX148" s="10">
        <f t="shared" ref="AX148:AX211" si="169">BB148-SUM(AY148:BA148)</f>
        <v>23</v>
      </c>
      <c r="AY148" s="42">
        <f>IF(AND($E148=MONTH(Summary!$E$24),$D148=YEAR(Summary!$E$24)),Summary!$E$25,1)*IF(G148="",0,INT((H148-MOD(H148,7)-G148)/7)+1-IF(BA148,IF(WEEKDAY(F148)=7,1,0),0))</f>
        <v>3</v>
      </c>
      <c r="AZ148" s="42">
        <f>IF(AND($E148=MONTH(Summary!$E$24),$D148=YEAR(Summary!$E$24)),Summary!$E$25,1)*IF(G148="",0,INT((H148-MOD(H148-1,7)-G148)/7)+1-IF(BA148,IF(WEEKDAY(F148)=1,1,0),0))</f>
        <v>4</v>
      </c>
      <c r="BA148" s="42">
        <v>1</v>
      </c>
      <c r="BB148" s="10">
        <f>IF(AND($E148=MONTH(Summary!$E$24),$D148=YEAR(Summary!$E$24)),Summary!$E$25,1)*IF(G148="",0,H148-G148+1)</f>
        <v>31</v>
      </c>
      <c r="BC148" s="914">
        <f>Summary!$E$19</f>
        <v>1.4999999999999999E-2</v>
      </c>
      <c r="BD148" s="113">
        <v>16311.6</v>
      </c>
      <c r="BE148" s="171">
        <v>2127.6</v>
      </c>
      <c r="BF148" s="171">
        <v>3546</v>
      </c>
      <c r="BG148" s="174"/>
      <c r="BH148" s="1198">
        <v>1</v>
      </c>
      <c r="BI148" s="1198">
        <v>1</v>
      </c>
      <c r="BJ148" s="1198">
        <v>1</v>
      </c>
      <c r="BK148" s="1198">
        <v>1</v>
      </c>
      <c r="BL148" s="95">
        <v>3262.32</v>
      </c>
      <c r="BM148" s="171">
        <v>425.52</v>
      </c>
      <c r="BN148" s="171">
        <v>709.2</v>
      </c>
      <c r="BO148" s="174"/>
      <c r="BP148" s="1198">
        <v>1</v>
      </c>
      <c r="BQ148" s="1199">
        <v>1</v>
      </c>
      <c r="BR148" s="1199">
        <v>1</v>
      </c>
      <c r="BS148" s="1200">
        <v>1</v>
      </c>
      <c r="BT148" s="94">
        <f t="shared" si="146"/>
        <v>21985.200000000001</v>
      </c>
      <c r="BU148" s="233">
        <f t="shared" si="147"/>
        <v>21985.200000000001</v>
      </c>
      <c r="BV148" s="92">
        <f t="shared" si="148"/>
        <v>4397.04</v>
      </c>
      <c r="BW148" s="233">
        <f t="shared" si="149"/>
        <v>4397.04</v>
      </c>
      <c r="BX148" s="88">
        <v>10.962354551676933</v>
      </c>
      <c r="BY148" s="90">
        <v>0</v>
      </c>
      <c r="BZ148" s="88">
        <v>0</v>
      </c>
      <c r="CA148" s="88">
        <v>0</v>
      </c>
      <c r="CB148" s="88">
        <v>0</v>
      </c>
      <c r="CC148" s="88">
        <v>0</v>
      </c>
      <c r="CD148" s="88">
        <v>0</v>
      </c>
      <c r="CE148" s="100">
        <v>0</v>
      </c>
      <c r="CF148" s="88">
        <v>0</v>
      </c>
      <c r="CG148" s="88">
        <v>0</v>
      </c>
      <c r="CH148" s="88">
        <v>0</v>
      </c>
      <c r="CI148" s="88">
        <v>0</v>
      </c>
      <c r="CJ148" s="228">
        <v>0</v>
      </c>
      <c r="CK148" s="88">
        <v>0</v>
      </c>
      <c r="CL148" s="88">
        <v>0</v>
      </c>
      <c r="CM148" s="88">
        <v>0</v>
      </c>
      <c r="CN148" s="88">
        <v>0</v>
      </c>
      <c r="CO148" s="88">
        <v>0</v>
      </c>
      <c r="CP148" s="88">
        <v>0</v>
      </c>
      <c r="CQ148" s="229">
        <v>0</v>
      </c>
      <c r="CR148" s="91">
        <v>0</v>
      </c>
      <c r="CS148" s="91">
        <v>0</v>
      </c>
      <c r="CT148" s="91">
        <v>0</v>
      </c>
      <c r="CU148" s="91">
        <v>0</v>
      </c>
      <c r="CV148" s="91">
        <v>0</v>
      </c>
      <c r="CW148" s="91">
        <v>0</v>
      </c>
      <c r="CX148" s="225">
        <v>0</v>
      </c>
      <c r="CY148" s="1265">
        <v>7737.1145599999991</v>
      </c>
      <c r="CZ148" s="90">
        <v>0</v>
      </c>
      <c r="DA148" s="88">
        <v>0</v>
      </c>
      <c r="DB148" s="88">
        <v>0</v>
      </c>
      <c r="DC148" s="88">
        <v>0</v>
      </c>
      <c r="DD148" s="88">
        <v>0</v>
      </c>
      <c r="DE148" s="152">
        <v>0</v>
      </c>
      <c r="DF148" s="230">
        <v>0</v>
      </c>
      <c r="DG148" s="38">
        <v>0</v>
      </c>
      <c r="DH148" s="1237">
        <v>0</v>
      </c>
      <c r="DI148" s="956">
        <v>0</v>
      </c>
      <c r="DJ148" s="956">
        <v>0</v>
      </c>
      <c r="DK148" s="956">
        <v>0</v>
      </c>
      <c r="DL148" s="152">
        <v>0</v>
      </c>
      <c r="DM148" s="160">
        <v>0</v>
      </c>
      <c r="DN148" s="160">
        <v>0</v>
      </c>
      <c r="DO148" s="160">
        <v>0</v>
      </c>
      <c r="DP148" s="160">
        <v>0</v>
      </c>
      <c r="DQ148" s="160">
        <v>0</v>
      </c>
      <c r="DR148" s="230">
        <v>0</v>
      </c>
      <c r="DS148" s="88">
        <v>0</v>
      </c>
      <c r="DT148" s="88">
        <v>0</v>
      </c>
      <c r="DU148" s="88">
        <v>0</v>
      </c>
      <c r="DV148" s="88">
        <v>0</v>
      </c>
      <c r="DW148" s="88">
        <v>0</v>
      </c>
      <c r="DX148" s="88">
        <v>0</v>
      </c>
      <c r="DY148" s="88">
        <v>0</v>
      </c>
      <c r="DZ148" s="88">
        <v>0</v>
      </c>
      <c r="EA148" s="88">
        <v>0</v>
      </c>
      <c r="EB148" s="152">
        <v>0</v>
      </c>
      <c r="EC148" s="52">
        <f t="shared" si="150"/>
        <v>0</v>
      </c>
      <c r="ED148" s="52">
        <f t="shared" si="150"/>
        <v>0</v>
      </c>
      <c r="EE148" s="52">
        <f t="shared" si="150"/>
        <v>0</v>
      </c>
      <c r="EF148" s="52">
        <f t="shared" si="150"/>
        <v>0</v>
      </c>
      <c r="EG148" s="52">
        <f t="shared" si="151"/>
        <v>0</v>
      </c>
      <c r="EH148" s="238">
        <v>0</v>
      </c>
      <c r="EI148" s="211">
        <v>0</v>
      </c>
      <c r="EJ148" s="211">
        <v>0</v>
      </c>
      <c r="EK148" s="211">
        <v>0</v>
      </c>
      <c r="EL148" s="217">
        <f>IF(C148&gt;=Summary!$E$26,MAX(0,SUM(EH148:EK148)),0)</f>
        <v>0</v>
      </c>
      <c r="EM148" s="52">
        <f>IF(C148&gt;=Summary!$E$26,DX148*BL148,0)</f>
        <v>0</v>
      </c>
      <c r="EN148" s="52">
        <f>IF(C148&gt;=Summary!$E$26,DY148*BM148,0)</f>
        <v>0</v>
      </c>
      <c r="EO148" s="52">
        <f>IF(C148&gt;=Summary!$E$26,DZ148*BN148,0)</f>
        <v>0</v>
      </c>
      <c r="EP148" s="52">
        <f>IF(C148&gt;=Summary!$E$26,EA148*BO148,0)</f>
        <v>0</v>
      </c>
      <c r="EQ148" s="52">
        <f>IF(C148&gt;=Summary!$E$26,DX148*BL148+DY148*BM148+DZ148*BN148+EA148*BO148,0)</f>
        <v>0</v>
      </c>
      <c r="ER148" s="826">
        <v>0</v>
      </c>
      <c r="ES148" s="278">
        <v>0</v>
      </c>
      <c r="ET148" s="278">
        <v>0</v>
      </c>
      <c r="EU148" s="278">
        <v>0</v>
      </c>
      <c r="EV148" s="212">
        <f>IF(C148&gt;=Summary!$E$26,MAX(0,SUM(ER148:EU148)),0)</f>
        <v>0</v>
      </c>
      <c r="EW148" s="52"/>
      <c r="EX148" s="1049">
        <f t="shared" si="152"/>
        <v>0</v>
      </c>
      <c r="EY148" s="1045" t="str">
        <f t="shared" si="153"/>
        <v/>
      </c>
      <c r="EZ148" s="1684" t="s">
        <v>525</v>
      </c>
      <c r="FA148" s="1046">
        <f t="shared" si="166"/>
        <v>45</v>
      </c>
      <c r="FB148" s="256">
        <f t="shared" si="154"/>
        <v>10194.75</v>
      </c>
      <c r="FC148" s="194">
        <f t="shared" si="155"/>
        <v>3058.4250000000002</v>
      </c>
      <c r="FD148" s="194">
        <f t="shared" si="156"/>
        <v>1329.75</v>
      </c>
      <c r="FE148" s="194">
        <f t="shared" si="157"/>
        <v>398.92500000000001</v>
      </c>
      <c r="FF148" s="194">
        <f t="shared" si="158"/>
        <v>2216.25</v>
      </c>
      <c r="FG148" s="194">
        <f t="shared" si="159"/>
        <v>664.875</v>
      </c>
      <c r="FH148" s="257">
        <f>IF(EZ148="No",IF((OR(MONTH(C148)=5,MONTH(C148)=6,MONTH(C148)=7,MONTH(C148)=8,MONTH(C148)=9)),Summary!$O$15*12*(AX148+AY148+AZ148+BA148)*(1-$BC148),Summary!$O$15*13*(AX148+AY148+AZ148+BA148)*(1-$BC148)+IF(Summary!$O$16="Yes",(CALC!FA148+Summary!$O$15)*6*(AX148+AY148+AZ148+BA148)*(1-$BC148),0)),0)</f>
        <v>0</v>
      </c>
      <c r="FI148" s="1412">
        <f>IF(MONTH(C148)=5,FI147*(IF(Summary!$E$70="no",(1+(Summary!$E$71*0.8)),1+HLOOKUP(YEAR(C148)-1,CCFMODEL!$I$127:$AF$128,2)*0.8)),+FI147)</f>
        <v>34.532116265437651</v>
      </c>
      <c r="FJ148" s="1411">
        <f>IF(MONTH(C148)=5,FJ147*(IF(Summary!$E$70="no",(1+(Summary!$E$71*0.8)),1+HLOOKUP(YEAR(CALC!C148)-1,CCFMODEL!$I$127:$AF$128,2)*0.8)),FJ147)</f>
        <v>30.181613428847083</v>
      </c>
      <c r="FK148" s="832">
        <f t="shared" si="127"/>
        <v>616846.32954660605</v>
      </c>
      <c r="FL148" s="1412">
        <f>IF(MONTH(C148)=5,FL147*(IF(Summary!$E$70="no",(1+(Summary!$E$71*0.8)),1+HLOOKUP(YEAR(CALC!C148)-1,CCFMODEL!$I$127:$AF$128,2)*0.8)),+FL147)</f>
        <v>72.624911935822922</v>
      </c>
      <c r="FM148" s="1411">
        <f>IF(MONTH(C148)=5,FM147*(IF(Summary!$E$70="no",(1+(Summary!$E$71*0.8)),1+HLOOKUP(YEAR(CALC!C148)-1,CCFMODEL!$I$127:$AF$128,2)*0.8)),+FM147)</f>
        <v>34.661595516526653</v>
      </c>
      <c r="FN148" s="832">
        <f t="shared" si="128"/>
        <v>628588.03469221084</v>
      </c>
      <c r="FO148" s="194">
        <f t="shared" si="160"/>
        <v>1245434.3642388168</v>
      </c>
      <c r="FP148" s="263">
        <f t="shared" si="125"/>
        <v>10194.75</v>
      </c>
      <c r="FQ148" s="194">
        <f t="shared" si="125"/>
        <v>3058.4250000000002</v>
      </c>
      <c r="FR148" s="194">
        <f t="shared" si="125"/>
        <v>1329.75</v>
      </c>
      <c r="FS148" s="194">
        <f t="shared" si="125"/>
        <v>398.92500000000001</v>
      </c>
      <c r="FT148" s="194">
        <f t="shared" si="125"/>
        <v>2216.25</v>
      </c>
      <c r="FU148" s="194">
        <f t="shared" si="125"/>
        <v>664.875</v>
      </c>
      <c r="FV148" s="257">
        <f t="shared" si="124"/>
        <v>0</v>
      </c>
      <c r="FW148" s="189">
        <f t="shared" si="129"/>
        <v>0</v>
      </c>
      <c r="FX148" s="189">
        <f t="shared" si="130"/>
        <v>0</v>
      </c>
      <c r="FY148" s="189">
        <f t="shared" si="131"/>
        <v>0</v>
      </c>
      <c r="FZ148" s="258">
        <f t="shared" si="132"/>
        <v>0</v>
      </c>
      <c r="GA148" s="1294">
        <f>(SUM(FP148:FV148)+SUM(GU148:HB148)/(1-Summary!$O$25))*CY148/1000</f>
        <v>236016.54029651036</v>
      </c>
      <c r="GB148" s="1444">
        <f>IF($C148&lt;Summary!$M$81,+Summary!$O$81,VLOOKUP(C148,GasTable,19))</f>
        <v>3.7846472616825606</v>
      </c>
      <c r="GC148" s="1370">
        <f>IF(H148&lt;=Summary!$N$84,MIN(GA148,Summary!$O$75*(H148-G148+1)),0)</f>
        <v>0</v>
      </c>
      <c r="GD148" s="1371">
        <f>IF(C148&lt;Summary!$N$84,IF(Summary!$O$75*(H148-G148+1)*0.8&gt;GC148,1,0),0)</f>
        <v>0</v>
      </c>
      <c r="GE148" s="1372">
        <v>0</v>
      </c>
      <c r="GF148" s="1370">
        <f t="shared" si="161"/>
        <v>236016.54029651036</v>
      </c>
      <c r="GG148" s="1371">
        <f>GF148*(IF(Summary!$O$74=1,VLOOKUP($C148,GasTable,16)+Summary!$O$92+Summary!$O$93,VLOOKUP($C148,GasTable,19)+Summary!$O$92+Summary!$O$93))</f>
        <v>905535.81469442789</v>
      </c>
      <c r="GH148" s="1373">
        <v>5866.2032556079694</v>
      </c>
      <c r="GI148" s="1466">
        <v>0</v>
      </c>
      <c r="GJ148" s="1374">
        <f t="shared" si="162"/>
        <v>911402.01795003586</v>
      </c>
      <c r="GK148" s="189">
        <f t="shared" si="133"/>
        <v>30062.012849999999</v>
      </c>
      <c r="GL148" s="266">
        <v>0.51838667551999995</v>
      </c>
      <c r="GM148" s="255">
        <f t="shared" si="134"/>
        <v>0</v>
      </c>
      <c r="GN148" s="189">
        <f>IF(SUM(GU148:HB148)=0,0,IF(Summary!$O$16="Yes",SUM(GX148:HB148),IF(Summary!$O$17="Yes",SUM(GY148:HB148),SUM(GU148:HB148))))</f>
        <v>12199.037850000001</v>
      </c>
      <c r="GO148" s="203">
        <v>3.1978833582794679</v>
      </c>
      <c r="GP148" s="258">
        <f t="shared" si="163"/>
        <v>39011.100127536345</v>
      </c>
      <c r="GQ148" s="189"/>
      <c r="GR148" s="189"/>
      <c r="GS148" s="189"/>
      <c r="GT148" s="189"/>
      <c r="GU148" s="268">
        <v>5902.7602500000003</v>
      </c>
      <c r="GV148" s="189">
        <v>769.92524999999989</v>
      </c>
      <c r="GW148" s="189">
        <v>1283.20875</v>
      </c>
      <c r="GX148" s="189"/>
      <c r="GY148" s="254">
        <v>3148.1388000000002</v>
      </c>
      <c r="GZ148" s="189">
        <v>410.62679999999995</v>
      </c>
      <c r="HA148" s="189">
        <v>684.37800000000004</v>
      </c>
      <c r="HB148" s="255"/>
      <c r="HC148" s="189">
        <v>12199.037850000001</v>
      </c>
      <c r="HD148" s="189"/>
      <c r="HE148" s="189">
        <v>20950.521525</v>
      </c>
      <c r="HF148" s="189">
        <v>572258.46170088486</v>
      </c>
      <c r="HG148" s="189"/>
      <c r="HH148" s="203">
        <v>46.607431114416904</v>
      </c>
      <c r="HI148" s="189">
        <v>976449.98878754606</v>
      </c>
      <c r="HJ148" s="268">
        <f t="shared" si="135"/>
        <v>0</v>
      </c>
      <c r="HK148" s="189">
        <f t="shared" si="136"/>
        <v>0</v>
      </c>
      <c r="HL148" s="189">
        <f t="shared" si="137"/>
        <v>0</v>
      </c>
      <c r="HM148" s="255">
        <f t="shared" si="138"/>
        <v>0</v>
      </c>
      <c r="HN148" s="189">
        <f t="shared" si="139"/>
        <v>0</v>
      </c>
      <c r="HO148" s="203">
        <f t="shared" si="164"/>
        <v>0</v>
      </c>
      <c r="HP148" s="258">
        <f t="shared" si="140"/>
        <v>0</v>
      </c>
      <c r="HQ148" s="203"/>
      <c r="HR148" s="268"/>
      <c r="HS148" s="38"/>
      <c r="HT148" s="255"/>
      <c r="HU148" s="254"/>
      <c r="HV148" s="203"/>
      <c r="HW148" s="189"/>
      <c r="HX148" s="1020"/>
      <c r="HY148" s="258"/>
      <c r="HZ148" s="268"/>
      <c r="IA148" s="203"/>
      <c r="IB148" s="255"/>
      <c r="IC148" s="254"/>
      <c r="ID148" s="203"/>
      <c r="IE148" s="255"/>
      <c r="IF148" s="189"/>
      <c r="IG148" s="203"/>
      <c r="IH148" s="255"/>
      <c r="II148" s="189"/>
      <c r="IJ148" s="203"/>
      <c r="IK148" s="189"/>
      <c r="IL148" s="1182"/>
      <c r="IM148" s="1403"/>
      <c r="IN148" s="254"/>
      <c r="IO148" s="254"/>
      <c r="IP148" s="254"/>
      <c r="IQ148" s="254"/>
      <c r="IR148" s="223"/>
    </row>
    <row r="149" spans="1:252" ht="13.8" thickBot="1">
      <c r="A149" t="str">
        <f t="shared" si="141"/>
        <v>2011Q1</v>
      </c>
      <c r="B149">
        <f t="shared" si="142"/>
        <v>2011</v>
      </c>
      <c r="C149" s="49">
        <f t="shared" si="143"/>
        <v>40544</v>
      </c>
      <c r="D149" s="115">
        <f t="shared" si="144"/>
        <v>2011</v>
      </c>
      <c r="E149" s="10">
        <f t="shared" si="167"/>
        <v>1</v>
      </c>
      <c r="F149" s="248">
        <f t="shared" si="168"/>
        <v>40544</v>
      </c>
      <c r="G149" s="245">
        <v>40544</v>
      </c>
      <c r="H149" s="251">
        <v>40574</v>
      </c>
      <c r="I149" s="959">
        <f t="shared" si="165"/>
        <v>7.1499999999999994E-2</v>
      </c>
      <c r="J149" s="37">
        <f t="shared" si="145"/>
        <v>0.45579943512530502</v>
      </c>
      <c r="K149" s="1036"/>
      <c r="L149" s="37"/>
      <c r="M149" s="1004">
        <v>0</v>
      </c>
      <c r="N149" s="38">
        <f t="shared" ref="N149:O168" si="170">M149</f>
        <v>0</v>
      </c>
      <c r="O149" s="40">
        <f t="shared" si="170"/>
        <v>0</v>
      </c>
      <c r="P149" s="159">
        <f t="shared" si="117"/>
        <v>0</v>
      </c>
      <c r="Q149" s="38">
        <f t="shared" ref="Q149:X158" si="171">P149</f>
        <v>0</v>
      </c>
      <c r="R149" s="40">
        <f t="shared" si="171"/>
        <v>0</v>
      </c>
      <c r="S149" s="38">
        <f t="shared" si="171"/>
        <v>0</v>
      </c>
      <c r="T149" s="38">
        <f t="shared" si="171"/>
        <v>0</v>
      </c>
      <c r="U149" s="38">
        <f t="shared" si="171"/>
        <v>0</v>
      </c>
      <c r="V149" s="159">
        <f t="shared" si="171"/>
        <v>0</v>
      </c>
      <c r="W149" s="38">
        <f t="shared" si="171"/>
        <v>0</v>
      </c>
      <c r="X149" s="39">
        <f t="shared" si="171"/>
        <v>0</v>
      </c>
      <c r="Y149" s="46">
        <v>0</v>
      </c>
      <c r="Z149" s="46">
        <v>0</v>
      </c>
      <c r="AA149" s="47">
        <v>0</v>
      </c>
      <c r="AB149" s="46">
        <v>0</v>
      </c>
      <c r="AC149" s="46">
        <v>0</v>
      </c>
      <c r="AD149" s="47">
        <v>0</v>
      </c>
      <c r="AE149" s="46">
        <v>0</v>
      </c>
      <c r="AF149" s="46">
        <v>0</v>
      </c>
      <c r="AG149" s="47">
        <v>0</v>
      </c>
      <c r="AH149" s="46">
        <v>0</v>
      </c>
      <c r="AI149" s="46">
        <v>0</v>
      </c>
      <c r="AJ149" s="47">
        <v>0</v>
      </c>
      <c r="AK149" s="46">
        <v>0</v>
      </c>
      <c r="AL149" s="46">
        <v>0</v>
      </c>
      <c r="AM149" s="47">
        <v>0</v>
      </c>
      <c r="AN149" s="46">
        <v>0</v>
      </c>
      <c r="AO149" s="46">
        <v>0</v>
      </c>
      <c r="AP149" s="47">
        <v>0</v>
      </c>
      <c r="AQ149" s="46">
        <v>0</v>
      </c>
      <c r="AR149" s="46">
        <v>0</v>
      </c>
      <c r="AS149" s="47">
        <v>0</v>
      </c>
      <c r="AT149" s="46">
        <v>0</v>
      </c>
      <c r="AU149" s="46">
        <v>0</v>
      </c>
      <c r="AV149" s="46">
        <v>0</v>
      </c>
      <c r="AW149" s="1545">
        <v>0</v>
      </c>
      <c r="AX149" s="10">
        <f t="shared" si="169"/>
        <v>21</v>
      </c>
      <c r="AY149" s="42">
        <f>IF(AND($E149=MONTH(Summary!$E$24),$D149=YEAR(Summary!$E$24)),Summary!$E$25,1)*IF(G149="",0,INT((H149-MOD(H149,7)-G149)/7)+1-IF(BA149,IF(WEEKDAY(F149)=7,1,0),0))</f>
        <v>4</v>
      </c>
      <c r="AZ149" s="42">
        <f>IF(AND($E149=MONTH(Summary!$E$24),$D149=YEAR(Summary!$E$24)),Summary!$E$25,1)*IF(G149="",0,INT((H149-MOD(H149-1,7)-G149)/7)+1-IF(BA149,IF(WEEKDAY(F149)=1,1,0),0))</f>
        <v>5</v>
      </c>
      <c r="BA149" s="42">
        <v>1</v>
      </c>
      <c r="BB149" s="10">
        <f>IF(AND($E149=MONTH(Summary!$E$24),$D149=YEAR(Summary!$E$24)),Summary!$E$25,1)*IF(G149="",0,H149-G149+1)</f>
        <v>31</v>
      </c>
      <c r="BC149" s="914">
        <f>Summary!$E$19</f>
        <v>1.4999999999999999E-2</v>
      </c>
      <c r="BD149" s="113">
        <v>14893.2</v>
      </c>
      <c r="BE149" s="171">
        <v>2836.8</v>
      </c>
      <c r="BF149" s="171">
        <v>4255.2</v>
      </c>
      <c r="BG149" s="174"/>
      <c r="BH149" s="1198">
        <v>1</v>
      </c>
      <c r="BI149" s="1198">
        <v>1</v>
      </c>
      <c r="BJ149" s="1198">
        <v>1</v>
      </c>
      <c r="BK149" s="1198">
        <v>1</v>
      </c>
      <c r="BL149" s="95">
        <v>2978.64</v>
      </c>
      <c r="BM149" s="171">
        <v>567.36</v>
      </c>
      <c r="BN149" s="171">
        <v>851.04</v>
      </c>
      <c r="BO149" s="174"/>
      <c r="BP149" s="1198">
        <v>1</v>
      </c>
      <c r="BQ149" s="1199">
        <v>1</v>
      </c>
      <c r="BR149" s="1199">
        <v>1</v>
      </c>
      <c r="BS149" s="1200">
        <v>1</v>
      </c>
      <c r="BT149" s="94">
        <f t="shared" si="146"/>
        <v>21985.200000000001</v>
      </c>
      <c r="BU149" s="233">
        <f t="shared" si="147"/>
        <v>21985.200000000001</v>
      </c>
      <c r="BV149" s="92">
        <f t="shared" si="148"/>
        <v>4397.04</v>
      </c>
      <c r="BW149" s="233">
        <f t="shared" si="149"/>
        <v>4397.04</v>
      </c>
      <c r="BX149" s="88">
        <v>11.047227926078028</v>
      </c>
      <c r="BY149" s="90">
        <v>0</v>
      </c>
      <c r="BZ149" s="88">
        <v>0</v>
      </c>
      <c r="CA149" s="88">
        <v>0</v>
      </c>
      <c r="CB149" s="88">
        <v>0</v>
      </c>
      <c r="CC149" s="88">
        <v>0</v>
      </c>
      <c r="CD149" s="88">
        <v>0</v>
      </c>
      <c r="CE149" s="100">
        <v>0</v>
      </c>
      <c r="CF149" s="88">
        <v>0</v>
      </c>
      <c r="CG149" s="88">
        <v>0</v>
      </c>
      <c r="CH149" s="88">
        <v>0</v>
      </c>
      <c r="CI149" s="88">
        <v>0</v>
      </c>
      <c r="CJ149" s="228">
        <v>0</v>
      </c>
      <c r="CK149" s="88">
        <v>0</v>
      </c>
      <c r="CL149" s="88">
        <v>0</v>
      </c>
      <c r="CM149" s="88">
        <v>0</v>
      </c>
      <c r="CN149" s="88">
        <v>0</v>
      </c>
      <c r="CO149" s="88">
        <v>0</v>
      </c>
      <c r="CP149" s="88">
        <v>0</v>
      </c>
      <c r="CQ149" s="229">
        <v>0</v>
      </c>
      <c r="CR149" s="91">
        <v>0</v>
      </c>
      <c r="CS149" s="91">
        <v>0</v>
      </c>
      <c r="CT149" s="91">
        <v>0</v>
      </c>
      <c r="CU149" s="91">
        <v>0</v>
      </c>
      <c r="CV149" s="91">
        <v>0</v>
      </c>
      <c r="CW149" s="91">
        <v>0</v>
      </c>
      <c r="CX149" s="225">
        <v>0</v>
      </c>
      <c r="CY149" s="1265">
        <v>7739.14552</v>
      </c>
      <c r="CZ149" s="90">
        <v>0</v>
      </c>
      <c r="DA149" s="88">
        <v>0</v>
      </c>
      <c r="DB149" s="88">
        <v>0</v>
      </c>
      <c r="DC149" s="88">
        <v>0</v>
      </c>
      <c r="DD149" s="88">
        <v>0</v>
      </c>
      <c r="DE149" s="152">
        <v>0</v>
      </c>
      <c r="DF149" s="230">
        <v>0</v>
      </c>
      <c r="DG149" s="38">
        <v>0</v>
      </c>
      <c r="DH149" s="1237">
        <v>0</v>
      </c>
      <c r="DI149" s="956">
        <v>0</v>
      </c>
      <c r="DJ149" s="956">
        <v>0</v>
      </c>
      <c r="DK149" s="956">
        <v>0</v>
      </c>
      <c r="DL149" s="152">
        <v>0</v>
      </c>
      <c r="DM149" s="160">
        <v>0</v>
      </c>
      <c r="DN149" s="160">
        <v>0</v>
      </c>
      <c r="DO149" s="160">
        <v>0</v>
      </c>
      <c r="DP149" s="160">
        <v>0</v>
      </c>
      <c r="DQ149" s="160">
        <v>0</v>
      </c>
      <c r="DR149" s="230">
        <v>0</v>
      </c>
      <c r="DS149" s="88">
        <v>0</v>
      </c>
      <c r="DT149" s="88">
        <v>0</v>
      </c>
      <c r="DU149" s="88">
        <v>0</v>
      </c>
      <c r="DV149" s="88">
        <v>0</v>
      </c>
      <c r="DW149" s="88">
        <v>0</v>
      </c>
      <c r="DX149" s="88">
        <v>0</v>
      </c>
      <c r="DY149" s="88">
        <v>0</v>
      </c>
      <c r="DZ149" s="88">
        <v>0</v>
      </c>
      <c r="EA149" s="88">
        <v>0</v>
      </c>
      <c r="EB149" s="152">
        <v>0</v>
      </c>
      <c r="EC149" s="52">
        <f t="shared" si="150"/>
        <v>0</v>
      </c>
      <c r="ED149" s="52">
        <f t="shared" si="150"/>
        <v>0</v>
      </c>
      <c r="EE149" s="52">
        <f t="shared" si="150"/>
        <v>0</v>
      </c>
      <c r="EF149" s="52">
        <f t="shared" si="150"/>
        <v>0</v>
      </c>
      <c r="EG149" s="52">
        <f t="shared" si="151"/>
        <v>0</v>
      </c>
      <c r="EH149" s="238">
        <v>0</v>
      </c>
      <c r="EI149" s="211">
        <v>0</v>
      </c>
      <c r="EJ149" s="211">
        <v>0</v>
      </c>
      <c r="EK149" s="211">
        <v>0</v>
      </c>
      <c r="EL149" s="217">
        <f>IF(C149&gt;=Summary!$E$26,MAX(0,SUM(EH149:EK149)),0)</f>
        <v>0</v>
      </c>
      <c r="EM149" s="52">
        <f>IF(C149&gt;=Summary!$E$26,DX149*BL149,0)</f>
        <v>0</v>
      </c>
      <c r="EN149" s="52">
        <f>IF(C149&gt;=Summary!$E$26,DY149*BM149,0)</f>
        <v>0</v>
      </c>
      <c r="EO149" s="52">
        <f>IF(C149&gt;=Summary!$E$26,DZ149*BN149,0)</f>
        <v>0</v>
      </c>
      <c r="EP149" s="52">
        <f>IF(C149&gt;=Summary!$E$26,EA149*BO149,0)</f>
        <v>0</v>
      </c>
      <c r="EQ149" s="52">
        <f>IF(C149&gt;=Summary!$E$26,DX149*BL149+DY149*BM149+DZ149*BN149+EA149*BO149,0)</f>
        <v>0</v>
      </c>
      <c r="ER149" s="826">
        <v>0</v>
      </c>
      <c r="ES149" s="278">
        <v>0</v>
      </c>
      <c r="ET149" s="278">
        <v>0</v>
      </c>
      <c r="EU149" s="278">
        <v>0</v>
      </c>
      <c r="EV149" s="212">
        <f>IF(C149&gt;=Summary!$E$26,MAX(0,SUM(ER149:EU149)),0)</f>
        <v>0</v>
      </c>
      <c r="EW149" s="52"/>
      <c r="EX149" s="1049">
        <f t="shared" si="152"/>
        <v>0</v>
      </c>
      <c r="EY149" s="1045" t="str">
        <f t="shared" si="153"/>
        <v/>
      </c>
      <c r="EZ149" s="1684" t="s">
        <v>525</v>
      </c>
      <c r="FA149" s="1046">
        <f t="shared" si="166"/>
        <v>45</v>
      </c>
      <c r="FB149" s="256">
        <f t="shared" si="154"/>
        <v>9308.25</v>
      </c>
      <c r="FC149" s="194">
        <f t="shared" si="155"/>
        <v>2792.4749999999999</v>
      </c>
      <c r="FD149" s="194">
        <f t="shared" si="156"/>
        <v>1773</v>
      </c>
      <c r="FE149" s="194">
        <f t="shared" si="157"/>
        <v>531.9</v>
      </c>
      <c r="FF149" s="194">
        <f t="shared" si="158"/>
        <v>2659.5</v>
      </c>
      <c r="FG149" s="194">
        <f t="shared" si="159"/>
        <v>797.85</v>
      </c>
      <c r="FH149" s="257">
        <f>IF(EZ149="No",IF((OR(MONTH(C149)=5,MONTH(C149)=6,MONTH(C149)=7,MONTH(C149)=8,MONTH(C149)=9)),Summary!$O$15*12*(AX149+AY149+AZ149+BA149)*(1-$BC149),Summary!$O$15*13*(AX149+AY149+AZ149+BA149)*(1-$BC149)+IF(Summary!$O$16="Yes",(CALC!FA149+Summary!$O$15)*6*(AX149+AY149+AZ149+BA149)*(1-$BC149),0)),0)</f>
        <v>0</v>
      </c>
      <c r="FI149" s="1412">
        <f>IF(MONTH(C149)=5,FI148*(IF(Summary!$E$70="no",(1+(Summary!$E$71*0.8)),1+HLOOKUP(YEAR(C149)-1,CCFMODEL!$I$127:$AF$128,2)*0.8)),+FI148)</f>
        <v>34.532116265437651</v>
      </c>
      <c r="FJ149" s="1411">
        <f>IF(MONTH(C149)=5,FJ148*(IF(Summary!$E$70="no",(1+(Summary!$E$71*0.8)),1+HLOOKUP(YEAR(CALC!C149)-1,CCFMODEL!$I$127:$AF$128,2)*0.8)),FJ148)</f>
        <v>30.181613428847083</v>
      </c>
      <c r="FK149" s="832">
        <f t="shared" si="127"/>
        <v>616846.32954660605</v>
      </c>
      <c r="FL149" s="1412">
        <f>IF(MONTH(C149)=5,FL148*(IF(Summary!$E$70="no",(1+(Summary!$E$71*0.8)),1+HLOOKUP(YEAR(CALC!C149)-1,CCFMODEL!$I$127:$AF$128,2)*0.8)),+FL148)</f>
        <v>72.624911935822922</v>
      </c>
      <c r="FM149" s="1411">
        <f>IF(MONTH(C149)=5,FM148*(IF(Summary!$E$70="no",(1+(Summary!$E$71*0.8)),1+HLOOKUP(YEAR(CALC!C149)-1,CCFMODEL!$I$127:$AF$128,2)*0.8)),+FM148)</f>
        <v>34.661595516526653</v>
      </c>
      <c r="FN149" s="832">
        <f t="shared" si="128"/>
        <v>628588.03469221084</v>
      </c>
      <c r="FO149" s="194">
        <f t="shared" si="160"/>
        <v>1245434.3642388168</v>
      </c>
      <c r="FP149" s="263">
        <f t="shared" si="125"/>
        <v>9308.25</v>
      </c>
      <c r="FQ149" s="194">
        <f t="shared" si="125"/>
        <v>2792.4749999999999</v>
      </c>
      <c r="FR149" s="194">
        <f t="shared" si="125"/>
        <v>1773</v>
      </c>
      <c r="FS149" s="194">
        <f t="shared" si="125"/>
        <v>531.9</v>
      </c>
      <c r="FT149" s="194">
        <f t="shared" si="125"/>
        <v>2659.5</v>
      </c>
      <c r="FU149" s="194">
        <f t="shared" si="125"/>
        <v>797.85</v>
      </c>
      <c r="FV149" s="257">
        <f t="shared" si="124"/>
        <v>0</v>
      </c>
      <c r="FW149" s="189">
        <f t="shared" si="129"/>
        <v>0</v>
      </c>
      <c r="FX149" s="189">
        <f t="shared" si="130"/>
        <v>0</v>
      </c>
      <c r="FY149" s="189">
        <f t="shared" si="131"/>
        <v>0</v>
      </c>
      <c r="FZ149" s="258">
        <f t="shared" si="132"/>
        <v>0</v>
      </c>
      <c r="GA149" s="1294">
        <f>(SUM(FP149:FV149)+SUM(GU149:HB149)/(1-Summary!$O$25))*CY149/1000</f>
        <v>236078.49364474678</v>
      </c>
      <c r="GB149" s="1444">
        <f>IF($C149&lt;Summary!$M$81,+Summary!$O$81,VLOOKUP(C149,GasTable,19))</f>
        <v>3.6077273017954457</v>
      </c>
      <c r="GC149" s="1370">
        <f>IF(H149&lt;=Summary!$N$84,MIN(GA149,Summary!$O$75*(H149-G149+1)),0)</f>
        <v>0</v>
      </c>
      <c r="GD149" s="1371">
        <f>IF(C149&lt;Summary!$N$84,IF(Summary!$O$75*(H149-G149+1)*0.8&gt;GC149,1,0),0)</f>
        <v>0</v>
      </c>
      <c r="GE149" s="1372">
        <v>0</v>
      </c>
      <c r="GF149" s="1370">
        <f t="shared" si="161"/>
        <v>236078.49364474678</v>
      </c>
      <c r="GG149" s="1371">
        <f>GF149*(IF(Summary!$O$74=1,VLOOKUP($C149,GasTable,16)+Summary!$O$92+Summary!$O$93,VLOOKUP($C149,GasTable,19)+Summary!$O$92+Summary!$O$93))</f>
        <v>864006.51640778687</v>
      </c>
      <c r="GH149" s="1373">
        <v>5591.9773177829411</v>
      </c>
      <c r="GI149" s="1466">
        <v>0</v>
      </c>
      <c r="GJ149" s="1374">
        <f t="shared" si="162"/>
        <v>869598.4937255698</v>
      </c>
      <c r="GK149" s="189">
        <f t="shared" si="133"/>
        <v>30062.012849999999</v>
      </c>
      <c r="GL149" s="266">
        <v>0.51852274984000002</v>
      </c>
      <c r="GM149" s="255">
        <f t="shared" si="134"/>
        <v>0</v>
      </c>
      <c r="GN149" s="189">
        <f>IF(SUM(GU149:HB149)=0,0,IF(Summary!$O$16="Yes",SUM(GX149:HB149),IF(Summary!$O$17="Yes",SUM(GY149:HB149),SUM(GU149:HB149))))</f>
        <v>12199.037849999999</v>
      </c>
      <c r="GO149" s="203">
        <v>3.2938198590278516</v>
      </c>
      <c r="GP149" s="258">
        <f t="shared" si="163"/>
        <v>40181.433131362421</v>
      </c>
      <c r="GQ149" s="189"/>
      <c r="GR149" s="189"/>
      <c r="GS149" s="189"/>
      <c r="GT149" s="189"/>
      <c r="GU149" s="268">
        <v>5389.4767500000007</v>
      </c>
      <c r="GV149" s="189">
        <v>1026.5670000000002</v>
      </c>
      <c r="GW149" s="189">
        <v>1539.8504999999998</v>
      </c>
      <c r="GX149" s="189"/>
      <c r="GY149" s="254">
        <v>2874.3875999999996</v>
      </c>
      <c r="GZ149" s="189">
        <v>547.50239999999997</v>
      </c>
      <c r="HA149" s="189">
        <v>821.25359999999989</v>
      </c>
      <c r="HB149" s="255"/>
      <c r="HC149" s="189">
        <v>12199.037849999999</v>
      </c>
      <c r="HD149" s="189"/>
      <c r="HE149" s="189">
        <v>20950.521524999996</v>
      </c>
      <c r="HF149" s="189">
        <v>571616.38416597946</v>
      </c>
      <c r="HG149" s="189"/>
      <c r="HH149" s="203">
        <v>46.498680089768527</v>
      </c>
      <c r="HI149" s="189">
        <v>974171.59810478427</v>
      </c>
      <c r="HJ149" s="268">
        <f t="shared" si="135"/>
        <v>0</v>
      </c>
      <c r="HK149" s="189">
        <f t="shared" si="136"/>
        <v>0</v>
      </c>
      <c r="HL149" s="189">
        <f t="shared" si="137"/>
        <v>0</v>
      </c>
      <c r="HM149" s="255">
        <f t="shared" si="138"/>
        <v>0</v>
      </c>
      <c r="HN149" s="189">
        <f t="shared" si="139"/>
        <v>0</v>
      </c>
      <c r="HO149" s="203">
        <f t="shared" si="164"/>
        <v>0</v>
      </c>
      <c r="HP149" s="258">
        <f t="shared" si="140"/>
        <v>0</v>
      </c>
      <c r="HQ149" s="203"/>
      <c r="HR149" s="268"/>
      <c r="HS149" s="38"/>
      <c r="HT149" s="255"/>
      <c r="HU149" s="254"/>
      <c r="HV149" s="203"/>
      <c r="HW149" s="189"/>
      <c r="HX149" s="1020"/>
      <c r="HY149" s="258"/>
      <c r="HZ149" s="268"/>
      <c r="IA149" s="203"/>
      <c r="IB149" s="255"/>
      <c r="IC149" s="254"/>
      <c r="ID149" s="203"/>
      <c r="IE149" s="255"/>
      <c r="IF149" s="189"/>
      <c r="IG149" s="203"/>
      <c r="IH149" s="255"/>
      <c r="II149" s="189"/>
      <c r="IJ149" s="203"/>
      <c r="IK149" s="189"/>
      <c r="IL149" s="1182"/>
      <c r="IM149" s="1403"/>
      <c r="IN149" s="254"/>
      <c r="IO149" s="254"/>
      <c r="IP149" s="254"/>
      <c r="IQ149" s="254"/>
      <c r="IR149" s="223"/>
    </row>
    <row r="150" spans="1:252" ht="13.8" thickBot="1">
      <c r="A150" t="str">
        <f t="shared" si="141"/>
        <v>2011Q1</v>
      </c>
      <c r="B150">
        <f t="shared" si="142"/>
        <v>2011</v>
      </c>
      <c r="C150" s="49">
        <f t="shared" si="143"/>
        <v>40575</v>
      </c>
      <c r="D150" s="115">
        <f t="shared" si="144"/>
        <v>2011</v>
      </c>
      <c r="E150" s="10">
        <f t="shared" si="167"/>
        <v>2</v>
      </c>
      <c r="F150" s="248" t="str">
        <f t="shared" si="168"/>
        <v/>
      </c>
      <c r="G150" s="245">
        <v>40575</v>
      </c>
      <c r="H150" s="251">
        <v>40602</v>
      </c>
      <c r="I150" s="959">
        <f t="shared" si="165"/>
        <v>7.1499999999999994E-2</v>
      </c>
      <c r="J150" s="37">
        <f t="shared" si="145"/>
        <v>0.45335133645874409</v>
      </c>
      <c r="K150" s="1036"/>
      <c r="L150" s="37"/>
      <c r="M150" s="1004">
        <v>0</v>
      </c>
      <c r="N150" s="38">
        <f t="shared" si="170"/>
        <v>0</v>
      </c>
      <c r="O150" s="40">
        <f t="shared" si="170"/>
        <v>0</v>
      </c>
      <c r="P150" s="159">
        <f t="shared" si="117"/>
        <v>0</v>
      </c>
      <c r="Q150" s="38">
        <f t="shared" si="171"/>
        <v>0</v>
      </c>
      <c r="R150" s="40">
        <f t="shared" si="171"/>
        <v>0</v>
      </c>
      <c r="S150" s="38">
        <f t="shared" si="171"/>
        <v>0</v>
      </c>
      <c r="T150" s="38">
        <f t="shared" si="171"/>
        <v>0</v>
      </c>
      <c r="U150" s="38">
        <f t="shared" si="171"/>
        <v>0</v>
      </c>
      <c r="V150" s="159">
        <f t="shared" si="171"/>
        <v>0</v>
      </c>
      <c r="W150" s="38">
        <f t="shared" si="171"/>
        <v>0</v>
      </c>
      <c r="X150" s="39">
        <f t="shared" si="171"/>
        <v>0</v>
      </c>
      <c r="Y150" s="46">
        <v>0</v>
      </c>
      <c r="Z150" s="46">
        <v>0</v>
      </c>
      <c r="AA150" s="47">
        <v>0</v>
      </c>
      <c r="AB150" s="46">
        <v>0</v>
      </c>
      <c r="AC150" s="46">
        <v>0</v>
      </c>
      <c r="AD150" s="47">
        <v>0</v>
      </c>
      <c r="AE150" s="46">
        <v>0</v>
      </c>
      <c r="AF150" s="46">
        <v>0</v>
      </c>
      <c r="AG150" s="47">
        <v>0</v>
      </c>
      <c r="AH150" s="46">
        <v>0</v>
      </c>
      <c r="AI150" s="46">
        <v>0</v>
      </c>
      <c r="AJ150" s="47">
        <v>0</v>
      </c>
      <c r="AK150" s="46">
        <v>0</v>
      </c>
      <c r="AL150" s="46">
        <v>0</v>
      </c>
      <c r="AM150" s="47">
        <v>0</v>
      </c>
      <c r="AN150" s="46">
        <v>0</v>
      </c>
      <c r="AO150" s="46">
        <v>0</v>
      </c>
      <c r="AP150" s="47">
        <v>0</v>
      </c>
      <c r="AQ150" s="46">
        <v>0</v>
      </c>
      <c r="AR150" s="46">
        <v>0</v>
      </c>
      <c r="AS150" s="47">
        <v>0</v>
      </c>
      <c r="AT150" s="46">
        <v>0</v>
      </c>
      <c r="AU150" s="46">
        <v>0</v>
      </c>
      <c r="AV150" s="46">
        <v>0</v>
      </c>
      <c r="AW150" s="1545">
        <v>0</v>
      </c>
      <c r="AX150" s="10">
        <f t="shared" si="169"/>
        <v>20</v>
      </c>
      <c r="AY150" s="42">
        <f>IF(AND($E150=MONTH(Summary!$E$24),$D150=YEAR(Summary!$E$24)),Summary!$E$25,1)*IF(G150="",0,INT((H150-MOD(H150,7)-G150)/7)+1-IF(BA150,IF(WEEKDAY(F150)=7,1,0),0))</f>
        <v>4</v>
      </c>
      <c r="AZ150" s="42">
        <f>IF(AND($E150=MONTH(Summary!$E$24),$D150=YEAR(Summary!$E$24)),Summary!$E$25,1)*IF(G150="",0,INT((H150-MOD(H150-1,7)-G150)/7)+1-IF(BA150,IF(WEEKDAY(F150)=1,1,0),0))</f>
        <v>4</v>
      </c>
      <c r="BA150" s="42">
        <v>0</v>
      </c>
      <c r="BB150" s="10">
        <f>IF(AND($E150=MONTH(Summary!$E$24),$D150=YEAR(Summary!$E$24)),Summary!$E$25,1)*IF(G150="",0,H150-G150+1)</f>
        <v>28</v>
      </c>
      <c r="BC150" s="914">
        <f>Summary!$E$19</f>
        <v>1.4999999999999999E-2</v>
      </c>
      <c r="BD150" s="113">
        <v>14184</v>
      </c>
      <c r="BE150" s="171">
        <v>2836.8</v>
      </c>
      <c r="BF150" s="171">
        <v>2836.8</v>
      </c>
      <c r="BG150" s="174"/>
      <c r="BH150" s="1198">
        <v>1</v>
      </c>
      <c r="BI150" s="1198">
        <v>1</v>
      </c>
      <c r="BJ150" s="1198">
        <v>1</v>
      </c>
      <c r="BK150" s="1198">
        <v>1</v>
      </c>
      <c r="BL150" s="95">
        <v>2836.8</v>
      </c>
      <c r="BM150" s="171">
        <v>567.36</v>
      </c>
      <c r="BN150" s="171">
        <v>567.36</v>
      </c>
      <c r="BO150" s="174"/>
      <c r="BP150" s="1198">
        <v>1</v>
      </c>
      <c r="BQ150" s="1199">
        <v>1</v>
      </c>
      <c r="BR150" s="1199">
        <v>1</v>
      </c>
      <c r="BS150" s="1200">
        <v>1</v>
      </c>
      <c r="BT150" s="94">
        <f t="shared" si="146"/>
        <v>19857.599999999999</v>
      </c>
      <c r="BU150" s="233">
        <f t="shared" si="147"/>
        <v>19857.599999999999</v>
      </c>
      <c r="BV150" s="92">
        <f t="shared" si="148"/>
        <v>3971.5200000000004</v>
      </c>
      <c r="BW150" s="233">
        <f t="shared" si="149"/>
        <v>3971.5200000000004</v>
      </c>
      <c r="BX150" s="88">
        <v>11.132101300479125</v>
      </c>
      <c r="BY150" s="90">
        <v>0</v>
      </c>
      <c r="BZ150" s="88">
        <v>0</v>
      </c>
      <c r="CA150" s="88">
        <v>0</v>
      </c>
      <c r="CB150" s="88">
        <v>0</v>
      </c>
      <c r="CC150" s="88">
        <v>0</v>
      </c>
      <c r="CD150" s="88">
        <v>0</v>
      </c>
      <c r="CE150" s="100">
        <v>0</v>
      </c>
      <c r="CF150" s="88">
        <v>0</v>
      </c>
      <c r="CG150" s="88">
        <v>0</v>
      </c>
      <c r="CH150" s="88">
        <v>0</v>
      </c>
      <c r="CI150" s="88">
        <v>0</v>
      </c>
      <c r="CJ150" s="228">
        <v>0</v>
      </c>
      <c r="CK150" s="88">
        <v>0</v>
      </c>
      <c r="CL150" s="88">
        <v>0</v>
      </c>
      <c r="CM150" s="88">
        <v>0</v>
      </c>
      <c r="CN150" s="88">
        <v>0</v>
      </c>
      <c r="CO150" s="88">
        <v>0</v>
      </c>
      <c r="CP150" s="88">
        <v>0</v>
      </c>
      <c r="CQ150" s="229">
        <v>0</v>
      </c>
      <c r="CR150" s="91">
        <v>0</v>
      </c>
      <c r="CS150" s="91">
        <v>0</v>
      </c>
      <c r="CT150" s="91">
        <v>0</v>
      </c>
      <c r="CU150" s="91">
        <v>0</v>
      </c>
      <c r="CV150" s="91">
        <v>0</v>
      </c>
      <c r="CW150" s="91">
        <v>0</v>
      </c>
      <c r="CX150" s="225">
        <v>0</v>
      </c>
      <c r="CY150" s="1265">
        <v>7741.1764800000001</v>
      </c>
      <c r="CZ150" s="90">
        <v>0</v>
      </c>
      <c r="DA150" s="88">
        <v>0</v>
      </c>
      <c r="DB150" s="88">
        <v>0</v>
      </c>
      <c r="DC150" s="88">
        <v>0</v>
      </c>
      <c r="DD150" s="88">
        <v>0</v>
      </c>
      <c r="DE150" s="152">
        <v>0</v>
      </c>
      <c r="DF150" s="230">
        <v>0</v>
      </c>
      <c r="DG150" s="38">
        <v>0</v>
      </c>
      <c r="DH150" s="1237">
        <v>0</v>
      </c>
      <c r="DI150" s="956">
        <v>0</v>
      </c>
      <c r="DJ150" s="956">
        <v>0</v>
      </c>
      <c r="DK150" s="956">
        <v>0</v>
      </c>
      <c r="DL150" s="152">
        <v>0</v>
      </c>
      <c r="DM150" s="160">
        <v>0</v>
      </c>
      <c r="DN150" s="160">
        <v>0</v>
      </c>
      <c r="DO150" s="160">
        <v>0</v>
      </c>
      <c r="DP150" s="160">
        <v>0</v>
      </c>
      <c r="DQ150" s="160">
        <v>0</v>
      </c>
      <c r="DR150" s="230">
        <v>0</v>
      </c>
      <c r="DS150" s="88">
        <v>0</v>
      </c>
      <c r="DT150" s="88">
        <v>0</v>
      </c>
      <c r="DU150" s="88">
        <v>0</v>
      </c>
      <c r="DV150" s="88">
        <v>0</v>
      </c>
      <c r="DW150" s="88">
        <v>0</v>
      </c>
      <c r="DX150" s="88">
        <v>0</v>
      </c>
      <c r="DY150" s="88">
        <v>0</v>
      </c>
      <c r="DZ150" s="88">
        <v>0</v>
      </c>
      <c r="EA150" s="88">
        <v>0</v>
      </c>
      <c r="EB150" s="152">
        <v>0</v>
      </c>
      <c r="EC150" s="52">
        <f t="shared" si="150"/>
        <v>0</v>
      </c>
      <c r="ED150" s="52">
        <f t="shared" si="150"/>
        <v>0</v>
      </c>
      <c r="EE150" s="52">
        <f t="shared" si="150"/>
        <v>0</v>
      </c>
      <c r="EF150" s="52">
        <f t="shared" si="150"/>
        <v>0</v>
      </c>
      <c r="EG150" s="52">
        <f t="shared" si="151"/>
        <v>0</v>
      </c>
      <c r="EH150" s="238">
        <v>0</v>
      </c>
      <c r="EI150" s="211">
        <v>0</v>
      </c>
      <c r="EJ150" s="211">
        <v>0</v>
      </c>
      <c r="EK150" s="211">
        <v>0</v>
      </c>
      <c r="EL150" s="217">
        <f>IF(C150&gt;=Summary!$E$26,MAX(0,SUM(EH150:EK150)),0)</f>
        <v>0</v>
      </c>
      <c r="EM150" s="52">
        <f>IF(C150&gt;=Summary!$E$26,DX150*BL150,0)</f>
        <v>0</v>
      </c>
      <c r="EN150" s="52">
        <f>IF(C150&gt;=Summary!$E$26,DY150*BM150,0)</f>
        <v>0</v>
      </c>
      <c r="EO150" s="52">
        <f>IF(C150&gt;=Summary!$E$26,DZ150*BN150,0)</f>
        <v>0</v>
      </c>
      <c r="EP150" s="52">
        <f>IF(C150&gt;=Summary!$E$26,EA150*BO150,0)</f>
        <v>0</v>
      </c>
      <c r="EQ150" s="52">
        <f>IF(C150&gt;=Summary!$E$26,DX150*BL150+DY150*BM150+DZ150*BN150+EA150*BO150,0)</f>
        <v>0</v>
      </c>
      <c r="ER150" s="826">
        <v>0</v>
      </c>
      <c r="ES150" s="278">
        <v>0</v>
      </c>
      <c r="ET150" s="278">
        <v>0</v>
      </c>
      <c r="EU150" s="278">
        <v>0</v>
      </c>
      <c r="EV150" s="212">
        <f>IF(C150&gt;=Summary!$E$26,MAX(0,SUM(ER150:EU150)),0)</f>
        <v>0</v>
      </c>
      <c r="EW150" s="52"/>
      <c r="EX150" s="1049">
        <f t="shared" si="152"/>
        <v>0</v>
      </c>
      <c r="EY150" s="1045" t="str">
        <f t="shared" si="153"/>
        <v/>
      </c>
      <c r="EZ150" s="1684" t="s">
        <v>525</v>
      </c>
      <c r="FA150" s="1046">
        <f t="shared" si="166"/>
        <v>45</v>
      </c>
      <c r="FB150" s="256">
        <f t="shared" si="154"/>
        <v>8865</v>
      </c>
      <c r="FC150" s="194">
        <f t="shared" si="155"/>
        <v>2659.5</v>
      </c>
      <c r="FD150" s="194">
        <f t="shared" si="156"/>
        <v>1773</v>
      </c>
      <c r="FE150" s="194">
        <f t="shared" si="157"/>
        <v>531.9</v>
      </c>
      <c r="FF150" s="194">
        <f t="shared" si="158"/>
        <v>1773</v>
      </c>
      <c r="FG150" s="194">
        <f t="shared" si="159"/>
        <v>531.9</v>
      </c>
      <c r="FH150" s="257">
        <f>IF(EZ150="No",IF((OR(MONTH(C150)=5,MONTH(C150)=6,MONTH(C150)=7,MONTH(C150)=8,MONTH(C150)=9)),Summary!$O$15*12*(AX150+AY150+AZ150+BA150)*(1-$BC150),Summary!$O$15*13*(AX150+AY150+AZ150+BA150)*(1-$BC150)+IF(Summary!$O$16="Yes",(CALC!FA150+Summary!$O$15)*6*(AX150+AY150+AZ150+BA150)*(1-$BC150),0)),0)</f>
        <v>0</v>
      </c>
      <c r="FI150" s="1412">
        <f>IF(MONTH(C150)=5,FI149*(IF(Summary!$E$70="no",(1+(Summary!$E$71*0.8)),1+HLOOKUP(YEAR(C150)-1,CCFMODEL!$I$127:$AF$128,2)*0.8)),+FI149)</f>
        <v>34.532116265437651</v>
      </c>
      <c r="FJ150" s="1411">
        <f>IF(MONTH(C150)=5,FJ149*(IF(Summary!$E$70="no",(1+(Summary!$E$71*0.8)),1+HLOOKUP(YEAR(CALC!C150)-1,CCFMODEL!$I$127:$AF$128,2)*0.8)),FJ149)</f>
        <v>30.181613428847083</v>
      </c>
      <c r="FK150" s="832">
        <f t="shared" si="127"/>
        <v>557151.52346145071</v>
      </c>
      <c r="FL150" s="1412">
        <f>IF(MONTH(C150)=5,FL149*(IF(Summary!$E$70="no",(1+(Summary!$E$71*0.8)),1+HLOOKUP(YEAR(CALC!C150)-1,CCFMODEL!$I$127:$AF$128,2)*0.8)),+FL149)</f>
        <v>72.624911935822922</v>
      </c>
      <c r="FM150" s="1411">
        <f>IF(MONTH(C150)=5,FM149*(IF(Summary!$E$70="no",(1+(Summary!$E$71*0.8)),1+HLOOKUP(YEAR(CALC!C150)-1,CCFMODEL!$I$127:$AF$128,2)*0.8)),+FM149)</f>
        <v>34.661595516526653</v>
      </c>
      <c r="FN150" s="832">
        <f t="shared" si="128"/>
        <v>567756.93456070661</v>
      </c>
      <c r="FO150" s="194">
        <f t="shared" si="160"/>
        <v>1124908.4580221572</v>
      </c>
      <c r="FP150" s="263">
        <f t="shared" si="125"/>
        <v>8865</v>
      </c>
      <c r="FQ150" s="194">
        <f t="shared" si="125"/>
        <v>2659.5</v>
      </c>
      <c r="FR150" s="194">
        <f t="shared" si="125"/>
        <v>1773</v>
      </c>
      <c r="FS150" s="194">
        <f t="shared" si="125"/>
        <v>531.9</v>
      </c>
      <c r="FT150" s="194">
        <f t="shared" si="125"/>
        <v>1773</v>
      </c>
      <c r="FU150" s="194">
        <f t="shared" si="125"/>
        <v>531.9</v>
      </c>
      <c r="FV150" s="257">
        <f t="shared" si="124"/>
        <v>0</v>
      </c>
      <c r="FW150" s="189">
        <f t="shared" si="129"/>
        <v>0</v>
      </c>
      <c r="FX150" s="189">
        <f t="shared" si="130"/>
        <v>0</v>
      </c>
      <c r="FY150" s="189">
        <f t="shared" si="131"/>
        <v>0</v>
      </c>
      <c r="FZ150" s="258">
        <f t="shared" si="132"/>
        <v>0</v>
      </c>
      <c r="GA150" s="1294">
        <f>(SUM(FP150:FV150)+SUM(GU150:HB150)/(1-Summary!$O$25))*CY150/1000</f>
        <v>213288.14567108161</v>
      </c>
      <c r="GB150" s="1444">
        <f>IF($C150&lt;Summary!$M$81,+Summary!$O$81,VLOOKUP(C150,GasTable,19))</f>
        <v>3.3321591096220655</v>
      </c>
      <c r="GC150" s="1370">
        <f>IF(H150&lt;=Summary!$N$84,MIN(GA150,Summary!$O$75*(H150-G150+1)),0)</f>
        <v>0</v>
      </c>
      <c r="GD150" s="1371">
        <f>IF(C150&lt;Summary!$N$84,IF(Summary!$O$75*(H150-G150+1)*0.8&gt;GC150,1,0),0)</f>
        <v>0</v>
      </c>
      <c r="GE150" s="1372">
        <v>0</v>
      </c>
      <c r="GF150" s="1370">
        <f t="shared" si="161"/>
        <v>213288.14567108161</v>
      </c>
      <c r="GG150" s="1371">
        <f>GF150*(IF(Summary!$O$74=1,VLOOKUP($C150,GasTable,16)+Summary!$O$92+Summary!$O$93,VLOOKUP($C150,GasTable,19)+Summary!$O$92+Summary!$O$93))</f>
        <v>721822.34996175603</v>
      </c>
      <c r="GH150" s="1373">
        <v>4665.022753470892</v>
      </c>
      <c r="GI150" s="1466">
        <v>0</v>
      </c>
      <c r="GJ150" s="1374">
        <f t="shared" si="162"/>
        <v>726487.37271522696</v>
      </c>
      <c r="GK150" s="189">
        <f t="shared" si="133"/>
        <v>27152.785799999998</v>
      </c>
      <c r="GL150" s="266">
        <v>0.51865882415999998</v>
      </c>
      <c r="GM150" s="255">
        <f t="shared" si="134"/>
        <v>0</v>
      </c>
      <c r="GN150" s="189">
        <f>IF(SUM(GU150:HB150)=0,0,IF(Summary!$O$16="Yes",SUM(GX150:HB150),IF(Summary!$O$17="Yes",SUM(GY150:HB150),SUM(GU150:HB150))))</f>
        <v>11018.485799999999</v>
      </c>
      <c r="GO150" s="203">
        <v>3.2938198590278516</v>
      </c>
      <c r="GP150" s="258">
        <f t="shared" si="163"/>
        <v>36292.907344456376</v>
      </c>
      <c r="GQ150" s="189"/>
      <c r="GR150" s="189"/>
      <c r="GS150" s="189"/>
      <c r="GT150" s="189"/>
      <c r="GU150" s="268">
        <v>5132.835</v>
      </c>
      <c r="GV150" s="189">
        <v>1026.5670000000002</v>
      </c>
      <c r="GW150" s="189">
        <v>1026.5670000000002</v>
      </c>
      <c r="GX150" s="189"/>
      <c r="GY150" s="254">
        <v>2737.5120000000002</v>
      </c>
      <c r="GZ150" s="189">
        <v>547.50239999999997</v>
      </c>
      <c r="HA150" s="189">
        <v>547.50239999999997</v>
      </c>
      <c r="HB150" s="255"/>
      <c r="HC150" s="189">
        <v>11018.485799999999</v>
      </c>
      <c r="HD150" s="189"/>
      <c r="HE150" s="189">
        <v>18923.051699999996</v>
      </c>
      <c r="HF150" s="189">
        <v>428230.59519396303</v>
      </c>
      <c r="HG150" s="189"/>
      <c r="HH150" s="203">
        <v>38.574580209112725</v>
      </c>
      <c r="HI150" s="189">
        <v>729948.77560283674</v>
      </c>
      <c r="HJ150" s="268">
        <f t="shared" si="135"/>
        <v>0</v>
      </c>
      <c r="HK150" s="189">
        <f t="shared" si="136"/>
        <v>0</v>
      </c>
      <c r="HL150" s="189">
        <f t="shared" si="137"/>
        <v>0</v>
      </c>
      <c r="HM150" s="255">
        <f t="shared" si="138"/>
        <v>0</v>
      </c>
      <c r="HN150" s="189">
        <f t="shared" si="139"/>
        <v>0</v>
      </c>
      <c r="HO150" s="203">
        <f t="shared" si="164"/>
        <v>0</v>
      </c>
      <c r="HP150" s="258">
        <f t="shared" si="140"/>
        <v>0</v>
      </c>
      <c r="HQ150" s="203"/>
      <c r="HR150" s="268"/>
      <c r="HS150" s="38"/>
      <c r="HT150" s="255"/>
      <c r="HU150" s="254"/>
      <c r="HV150" s="203"/>
      <c r="HW150" s="189"/>
      <c r="HX150" s="1020"/>
      <c r="HY150" s="258"/>
      <c r="HZ150" s="268"/>
      <c r="IA150" s="203"/>
      <c r="IB150" s="255"/>
      <c r="IC150" s="254"/>
      <c r="ID150" s="203"/>
      <c r="IE150" s="255"/>
      <c r="IF150" s="189"/>
      <c r="IG150" s="203"/>
      <c r="IH150" s="255"/>
      <c r="II150" s="189"/>
      <c r="IJ150" s="203"/>
      <c r="IK150" s="189"/>
      <c r="IL150" s="1182"/>
      <c r="IM150" s="1403"/>
      <c r="IN150" s="254"/>
      <c r="IO150" s="254"/>
      <c r="IP150" s="254"/>
      <c r="IQ150" s="254"/>
      <c r="IR150" s="223"/>
    </row>
    <row r="151" spans="1:252" ht="13.8" thickBot="1">
      <c r="A151" t="str">
        <f t="shared" si="141"/>
        <v>2011Q1</v>
      </c>
      <c r="B151">
        <f t="shared" si="142"/>
        <v>2011</v>
      </c>
      <c r="C151" s="49">
        <f t="shared" si="143"/>
        <v>40603</v>
      </c>
      <c r="D151" s="115">
        <f t="shared" si="144"/>
        <v>2011</v>
      </c>
      <c r="E151" s="10">
        <f t="shared" si="167"/>
        <v>3</v>
      </c>
      <c r="F151" s="248" t="str">
        <f t="shared" si="168"/>
        <v/>
      </c>
      <c r="G151" s="245">
        <v>40603</v>
      </c>
      <c r="H151" s="251">
        <v>40633</v>
      </c>
      <c r="I151" s="959">
        <f t="shared" si="165"/>
        <v>7.1499999999999994E-2</v>
      </c>
      <c r="J151" s="37">
        <f t="shared" si="145"/>
        <v>0.45065627595931712</v>
      </c>
      <c r="K151" s="1036"/>
      <c r="L151" s="37"/>
      <c r="M151" s="1004">
        <v>0</v>
      </c>
      <c r="N151" s="38">
        <f t="shared" si="170"/>
        <v>0</v>
      </c>
      <c r="O151" s="40">
        <f t="shared" si="170"/>
        <v>0</v>
      </c>
      <c r="P151" s="159">
        <f t="shared" si="117"/>
        <v>0</v>
      </c>
      <c r="Q151" s="38">
        <f t="shared" si="171"/>
        <v>0</v>
      </c>
      <c r="R151" s="40">
        <f t="shared" si="171"/>
        <v>0</v>
      </c>
      <c r="S151" s="38">
        <f t="shared" si="171"/>
        <v>0</v>
      </c>
      <c r="T151" s="38">
        <f t="shared" si="171"/>
        <v>0</v>
      </c>
      <c r="U151" s="38">
        <f t="shared" si="171"/>
        <v>0</v>
      </c>
      <c r="V151" s="159">
        <f t="shared" si="171"/>
        <v>0</v>
      </c>
      <c r="W151" s="38">
        <f t="shared" si="171"/>
        <v>0</v>
      </c>
      <c r="X151" s="39">
        <f t="shared" si="171"/>
        <v>0</v>
      </c>
      <c r="Y151" s="46">
        <v>0</v>
      </c>
      <c r="Z151" s="46">
        <v>0</v>
      </c>
      <c r="AA151" s="47">
        <v>0</v>
      </c>
      <c r="AB151" s="46">
        <v>0</v>
      </c>
      <c r="AC151" s="46">
        <v>0</v>
      </c>
      <c r="AD151" s="47">
        <v>0</v>
      </c>
      <c r="AE151" s="46">
        <v>0</v>
      </c>
      <c r="AF151" s="46">
        <v>0</v>
      </c>
      <c r="AG151" s="47">
        <v>0</v>
      </c>
      <c r="AH151" s="46">
        <v>0</v>
      </c>
      <c r="AI151" s="46">
        <v>0</v>
      </c>
      <c r="AJ151" s="47">
        <v>0</v>
      </c>
      <c r="AK151" s="46">
        <v>0</v>
      </c>
      <c r="AL151" s="46">
        <v>0</v>
      </c>
      <c r="AM151" s="47">
        <v>0</v>
      </c>
      <c r="AN151" s="46">
        <v>0</v>
      </c>
      <c r="AO151" s="46">
        <v>0</v>
      </c>
      <c r="AP151" s="47">
        <v>0</v>
      </c>
      <c r="AQ151" s="46">
        <v>0</v>
      </c>
      <c r="AR151" s="46">
        <v>0</v>
      </c>
      <c r="AS151" s="47">
        <v>0</v>
      </c>
      <c r="AT151" s="46">
        <v>0</v>
      </c>
      <c r="AU151" s="46">
        <v>0</v>
      </c>
      <c r="AV151" s="46">
        <v>0</v>
      </c>
      <c r="AW151" s="1545">
        <v>0</v>
      </c>
      <c r="AX151" s="10">
        <f t="shared" si="169"/>
        <v>23</v>
      </c>
      <c r="AY151" s="42">
        <f>IF(AND($E151=MONTH(Summary!$E$24),$D151=YEAR(Summary!$E$24)),Summary!$E$25,1)*IF(G151="",0,INT((H151-MOD(H151,7)-G151)/7)+1-IF(BA151,IF(WEEKDAY(F151)=7,1,0),0))</f>
        <v>4</v>
      </c>
      <c r="AZ151" s="42">
        <f>IF(AND($E151=MONTH(Summary!$E$24),$D151=YEAR(Summary!$E$24)),Summary!$E$25,1)*IF(G151="",0,INT((H151-MOD(H151-1,7)-G151)/7)+1-IF(BA151,IF(WEEKDAY(F151)=1,1,0),0))</f>
        <v>4</v>
      </c>
      <c r="BA151" s="42">
        <v>0</v>
      </c>
      <c r="BB151" s="10">
        <f>IF(AND($E151=MONTH(Summary!$E$24),$D151=YEAR(Summary!$E$24)),Summary!$E$25,1)*IF(G151="",0,H151-G151+1)</f>
        <v>31</v>
      </c>
      <c r="BC151" s="914">
        <f>Summary!$E$19</f>
        <v>1.4999999999999999E-2</v>
      </c>
      <c r="BD151" s="113">
        <v>16311.6</v>
      </c>
      <c r="BE151" s="171">
        <v>2836.8</v>
      </c>
      <c r="BF151" s="171">
        <v>2836.8</v>
      </c>
      <c r="BG151" s="174"/>
      <c r="BH151" s="1198">
        <v>1</v>
      </c>
      <c r="BI151" s="1198">
        <v>1</v>
      </c>
      <c r="BJ151" s="1198">
        <v>1</v>
      </c>
      <c r="BK151" s="1198">
        <v>1</v>
      </c>
      <c r="BL151" s="95">
        <v>3262.32</v>
      </c>
      <c r="BM151" s="171">
        <v>567.36</v>
      </c>
      <c r="BN151" s="171">
        <v>567.36</v>
      </c>
      <c r="BO151" s="174"/>
      <c r="BP151" s="1198">
        <v>1</v>
      </c>
      <c r="BQ151" s="1199">
        <v>1</v>
      </c>
      <c r="BR151" s="1199">
        <v>1</v>
      </c>
      <c r="BS151" s="1200">
        <v>1</v>
      </c>
      <c r="BT151" s="94">
        <f t="shared" si="146"/>
        <v>21985.200000000001</v>
      </c>
      <c r="BU151" s="233">
        <f t="shared" si="147"/>
        <v>21985.200000000001</v>
      </c>
      <c r="BV151" s="92">
        <f t="shared" si="148"/>
        <v>4397.04</v>
      </c>
      <c r="BW151" s="233">
        <f t="shared" si="149"/>
        <v>4397.04</v>
      </c>
      <c r="BX151" s="88">
        <v>11.208761122518823</v>
      </c>
      <c r="BY151" s="90">
        <v>0</v>
      </c>
      <c r="BZ151" s="88">
        <v>0</v>
      </c>
      <c r="CA151" s="88">
        <v>0</v>
      </c>
      <c r="CB151" s="88">
        <v>0</v>
      </c>
      <c r="CC151" s="88">
        <v>0</v>
      </c>
      <c r="CD151" s="88">
        <v>0</v>
      </c>
      <c r="CE151" s="100">
        <v>0</v>
      </c>
      <c r="CF151" s="88">
        <v>0</v>
      </c>
      <c r="CG151" s="88">
        <v>0</v>
      </c>
      <c r="CH151" s="88">
        <v>0</v>
      </c>
      <c r="CI151" s="88">
        <v>0</v>
      </c>
      <c r="CJ151" s="228">
        <v>0</v>
      </c>
      <c r="CK151" s="88">
        <v>0</v>
      </c>
      <c r="CL151" s="88">
        <v>0</v>
      </c>
      <c r="CM151" s="88">
        <v>0</v>
      </c>
      <c r="CN151" s="88">
        <v>0</v>
      </c>
      <c r="CO151" s="88">
        <v>0</v>
      </c>
      <c r="CP151" s="88">
        <v>0</v>
      </c>
      <c r="CQ151" s="229">
        <v>0</v>
      </c>
      <c r="CR151" s="91">
        <v>0</v>
      </c>
      <c r="CS151" s="91">
        <v>0</v>
      </c>
      <c r="CT151" s="91">
        <v>0</v>
      </c>
      <c r="CU151" s="91">
        <v>0</v>
      </c>
      <c r="CV151" s="91">
        <v>0</v>
      </c>
      <c r="CW151" s="91">
        <v>0</v>
      </c>
      <c r="CX151" s="225">
        <v>0</v>
      </c>
      <c r="CY151" s="1265">
        <v>7743.2074400000001</v>
      </c>
      <c r="CZ151" s="90">
        <v>0</v>
      </c>
      <c r="DA151" s="88">
        <v>0</v>
      </c>
      <c r="DB151" s="88">
        <v>0</v>
      </c>
      <c r="DC151" s="88">
        <v>0</v>
      </c>
      <c r="DD151" s="88">
        <v>0</v>
      </c>
      <c r="DE151" s="152">
        <v>0</v>
      </c>
      <c r="DF151" s="230">
        <v>0</v>
      </c>
      <c r="DG151" s="38">
        <v>0</v>
      </c>
      <c r="DH151" s="1237">
        <v>0</v>
      </c>
      <c r="DI151" s="956">
        <v>0</v>
      </c>
      <c r="DJ151" s="956">
        <v>0</v>
      </c>
      <c r="DK151" s="956">
        <v>0</v>
      </c>
      <c r="DL151" s="152">
        <v>0</v>
      </c>
      <c r="DM151" s="160">
        <v>0</v>
      </c>
      <c r="DN151" s="160">
        <v>0</v>
      </c>
      <c r="DO151" s="160">
        <v>0</v>
      </c>
      <c r="DP151" s="160">
        <v>0</v>
      </c>
      <c r="DQ151" s="160">
        <v>0</v>
      </c>
      <c r="DR151" s="230">
        <v>0</v>
      </c>
      <c r="DS151" s="88">
        <v>0</v>
      </c>
      <c r="DT151" s="88">
        <v>0</v>
      </c>
      <c r="DU151" s="88">
        <v>0</v>
      </c>
      <c r="DV151" s="88">
        <v>0</v>
      </c>
      <c r="DW151" s="88">
        <v>0</v>
      </c>
      <c r="DX151" s="88">
        <v>0</v>
      </c>
      <c r="DY151" s="88">
        <v>0</v>
      </c>
      <c r="DZ151" s="88">
        <v>0</v>
      </c>
      <c r="EA151" s="88">
        <v>0</v>
      </c>
      <c r="EB151" s="152">
        <v>0</v>
      </c>
      <c r="EC151" s="52">
        <f t="shared" si="150"/>
        <v>0</v>
      </c>
      <c r="ED151" s="52">
        <f t="shared" si="150"/>
        <v>0</v>
      </c>
      <c r="EE151" s="52">
        <f t="shared" si="150"/>
        <v>0</v>
      </c>
      <c r="EF151" s="52">
        <f t="shared" si="150"/>
        <v>0</v>
      </c>
      <c r="EG151" s="52">
        <f t="shared" si="151"/>
        <v>0</v>
      </c>
      <c r="EH151" s="238">
        <v>0</v>
      </c>
      <c r="EI151" s="211">
        <v>0</v>
      </c>
      <c r="EJ151" s="211">
        <v>0</v>
      </c>
      <c r="EK151" s="211">
        <v>0</v>
      </c>
      <c r="EL151" s="217">
        <f>IF(C151&gt;=Summary!$E$26,MAX(0,SUM(EH151:EK151)),0)</f>
        <v>0</v>
      </c>
      <c r="EM151" s="52">
        <f>IF(C151&gt;=Summary!$E$26,DX151*BL151,0)</f>
        <v>0</v>
      </c>
      <c r="EN151" s="52">
        <f>IF(C151&gt;=Summary!$E$26,DY151*BM151,0)</f>
        <v>0</v>
      </c>
      <c r="EO151" s="52">
        <f>IF(C151&gt;=Summary!$E$26,DZ151*BN151,0)</f>
        <v>0</v>
      </c>
      <c r="EP151" s="52">
        <f>IF(C151&gt;=Summary!$E$26,EA151*BO151,0)</f>
        <v>0</v>
      </c>
      <c r="EQ151" s="52">
        <f>IF(C151&gt;=Summary!$E$26,DX151*BL151+DY151*BM151+DZ151*BN151+EA151*BO151,0)</f>
        <v>0</v>
      </c>
      <c r="ER151" s="826">
        <v>0</v>
      </c>
      <c r="ES151" s="278">
        <v>0</v>
      </c>
      <c r="ET151" s="278">
        <v>0</v>
      </c>
      <c r="EU151" s="278">
        <v>0</v>
      </c>
      <c r="EV151" s="212">
        <f>IF(C151&gt;=Summary!$E$26,MAX(0,SUM(ER151:EU151)),0)</f>
        <v>0</v>
      </c>
      <c r="EW151" s="52"/>
      <c r="EX151" s="1049">
        <f t="shared" si="152"/>
        <v>0</v>
      </c>
      <c r="EY151" s="1045" t="str">
        <f t="shared" si="153"/>
        <v/>
      </c>
      <c r="EZ151" s="1684" t="s">
        <v>525</v>
      </c>
      <c r="FA151" s="1046">
        <f t="shared" si="166"/>
        <v>45</v>
      </c>
      <c r="FB151" s="256">
        <f t="shared" si="154"/>
        <v>10194.75</v>
      </c>
      <c r="FC151" s="194">
        <f t="shared" si="155"/>
        <v>3058.4250000000002</v>
      </c>
      <c r="FD151" s="194">
        <f t="shared" si="156"/>
        <v>1773</v>
      </c>
      <c r="FE151" s="194">
        <f t="shared" si="157"/>
        <v>531.9</v>
      </c>
      <c r="FF151" s="194">
        <f t="shared" si="158"/>
        <v>1773</v>
      </c>
      <c r="FG151" s="194">
        <f t="shared" si="159"/>
        <v>531.9</v>
      </c>
      <c r="FH151" s="257">
        <f>IF(EZ151="No",IF((OR(MONTH(C151)=5,MONTH(C151)=6,MONTH(C151)=7,MONTH(C151)=8,MONTH(C151)=9)),Summary!$O$15*12*(AX151+AY151+AZ151+BA151)*(1-$BC151),Summary!$O$15*13*(AX151+AY151+AZ151+BA151)*(1-$BC151)+IF(Summary!$O$16="Yes",(CALC!FA151+Summary!$O$15)*6*(AX151+AY151+AZ151+BA151)*(1-$BC151),0)),0)</f>
        <v>0</v>
      </c>
      <c r="FI151" s="1412">
        <f>IF(MONTH(C151)=5,FI150*(IF(Summary!$E$70="no",(1+(Summary!$E$71*0.8)),1+HLOOKUP(YEAR(C151)-1,CCFMODEL!$I$127:$AF$128,2)*0.8)),+FI150)</f>
        <v>34.532116265437651</v>
      </c>
      <c r="FJ151" s="1411">
        <f>IF(MONTH(C151)=5,FJ150*(IF(Summary!$E$70="no",(1+(Summary!$E$71*0.8)),1+HLOOKUP(YEAR(CALC!C151)-1,CCFMODEL!$I$127:$AF$128,2)*0.8)),FJ150)</f>
        <v>30.181613428847083</v>
      </c>
      <c r="FK151" s="832">
        <f t="shared" si="127"/>
        <v>616846.32954660605</v>
      </c>
      <c r="FL151" s="1412">
        <f>IF(MONTH(C151)=5,FL150*(IF(Summary!$E$70="no",(1+(Summary!$E$71*0.8)),1+HLOOKUP(YEAR(CALC!C151)-1,CCFMODEL!$I$127:$AF$128,2)*0.8)),+FL150)</f>
        <v>72.624911935822922</v>
      </c>
      <c r="FM151" s="1411">
        <f>IF(MONTH(C151)=5,FM150*(IF(Summary!$E$70="no",(1+(Summary!$E$71*0.8)),1+HLOOKUP(YEAR(CALC!C151)-1,CCFMODEL!$I$127:$AF$128,2)*0.8)),+FM150)</f>
        <v>34.661595516526653</v>
      </c>
      <c r="FN151" s="832">
        <f t="shared" si="128"/>
        <v>628588.03469221084</v>
      </c>
      <c r="FO151" s="194">
        <f t="shared" si="160"/>
        <v>1245434.3642388168</v>
      </c>
      <c r="FP151" s="263">
        <f t="shared" si="125"/>
        <v>10194.75</v>
      </c>
      <c r="FQ151" s="194">
        <f t="shared" si="125"/>
        <v>3058.4250000000002</v>
      </c>
      <c r="FR151" s="194">
        <f t="shared" si="125"/>
        <v>1773</v>
      </c>
      <c r="FS151" s="194">
        <f t="shared" si="125"/>
        <v>531.9</v>
      </c>
      <c r="FT151" s="194">
        <f t="shared" si="125"/>
        <v>1773</v>
      </c>
      <c r="FU151" s="194">
        <f t="shared" si="125"/>
        <v>531.9</v>
      </c>
      <c r="FV151" s="257">
        <f t="shared" si="124"/>
        <v>0</v>
      </c>
      <c r="FW151" s="189">
        <f t="shared" si="129"/>
        <v>0</v>
      </c>
      <c r="FX151" s="189">
        <f t="shared" si="130"/>
        <v>0</v>
      </c>
      <c r="FY151" s="189">
        <f t="shared" si="131"/>
        <v>0</v>
      </c>
      <c r="FZ151" s="258">
        <f t="shared" si="132"/>
        <v>0</v>
      </c>
      <c r="GA151" s="1294">
        <f>(SUM(FP151:FV151)+SUM(GU151:HB151)/(1-Summary!$O$25))*CY151/1000</f>
        <v>236202.40034121956</v>
      </c>
      <c r="GB151" s="1444">
        <f>IF($C151&lt;Summary!$M$81,+Summary!$O$81,VLOOKUP(C151,GasTable,19))</f>
        <v>3.1532773343892448</v>
      </c>
      <c r="GC151" s="1370">
        <f>IF(H151&lt;=Summary!$N$84,MIN(GA151,Summary!$O$75*(H151-G151+1)),0)</f>
        <v>0</v>
      </c>
      <c r="GD151" s="1371">
        <f>IF(C151&lt;Summary!$N$84,IF(Summary!$O$75*(H151-G151+1)*0.8&gt;GC151,1,0),0)</f>
        <v>0</v>
      </c>
      <c r="GE151" s="1372">
        <v>0</v>
      </c>
      <c r="GF151" s="1370">
        <f t="shared" si="161"/>
        <v>236202.40034121956</v>
      </c>
      <c r="GG151" s="1371">
        <f>GF151*(IF(Summary!$O$74=1,VLOOKUP($C151,GasTable,16)+Summary!$O$92+Summary!$O$93,VLOOKUP($C151,GasTable,19)+Summary!$O$92+Summary!$O$93))</f>
        <v>757117.82038207958</v>
      </c>
      <c r="GH151" s="1373">
        <v>4887.5798683033299</v>
      </c>
      <c r="GI151" s="1466">
        <v>0</v>
      </c>
      <c r="GJ151" s="1374">
        <f t="shared" si="162"/>
        <v>762005.40025038295</v>
      </c>
      <c r="GK151" s="189">
        <f t="shared" si="133"/>
        <v>30062.012849999999</v>
      </c>
      <c r="GL151" s="266">
        <v>0.51879489848000004</v>
      </c>
      <c r="GM151" s="255">
        <f t="shared" si="134"/>
        <v>0</v>
      </c>
      <c r="GN151" s="189">
        <f>IF(SUM(GU151:HB151)=0,0,IF(Summary!$O$16="Yes",SUM(GX151:HB151),IF(Summary!$O$17="Yes",SUM(GY151:HB151),SUM(GU151:HB151))))</f>
        <v>12199.037849999999</v>
      </c>
      <c r="GO151" s="203">
        <v>3.2938198590278516</v>
      </c>
      <c r="GP151" s="258">
        <f t="shared" si="163"/>
        <v>40181.433131362421</v>
      </c>
      <c r="GQ151" s="189"/>
      <c r="GR151" s="189"/>
      <c r="GS151" s="189"/>
      <c r="GT151" s="189"/>
      <c r="GU151" s="268">
        <v>5902.7602500000003</v>
      </c>
      <c r="GV151" s="189">
        <v>1026.5670000000002</v>
      </c>
      <c r="GW151" s="189">
        <v>1026.5670000000002</v>
      </c>
      <c r="GX151" s="189"/>
      <c r="GY151" s="254">
        <v>3148.1388000000002</v>
      </c>
      <c r="GZ151" s="189">
        <v>547.50239999999997</v>
      </c>
      <c r="HA151" s="189">
        <v>547.50239999999997</v>
      </c>
      <c r="HB151" s="255"/>
      <c r="HC151" s="189">
        <v>12199.037849999999</v>
      </c>
      <c r="HD151" s="189"/>
      <c r="HE151" s="189">
        <v>20950.521524999996</v>
      </c>
      <c r="HF151" s="189">
        <v>462727.39308041998</v>
      </c>
      <c r="HG151" s="189"/>
      <c r="HH151" s="203">
        <v>37.308995391427587</v>
      </c>
      <c r="HI151" s="189">
        <v>781642.91102422937</v>
      </c>
      <c r="HJ151" s="268">
        <f t="shared" si="135"/>
        <v>0</v>
      </c>
      <c r="HK151" s="189">
        <f t="shared" si="136"/>
        <v>0</v>
      </c>
      <c r="HL151" s="189">
        <f t="shared" si="137"/>
        <v>0</v>
      </c>
      <c r="HM151" s="255">
        <f t="shared" si="138"/>
        <v>0</v>
      </c>
      <c r="HN151" s="189">
        <f t="shared" si="139"/>
        <v>0</v>
      </c>
      <c r="HO151" s="203">
        <f t="shared" si="164"/>
        <v>0</v>
      </c>
      <c r="HP151" s="258">
        <f t="shared" si="140"/>
        <v>0</v>
      </c>
      <c r="HQ151" s="203"/>
      <c r="HR151" s="268"/>
      <c r="HS151" s="38"/>
      <c r="HT151" s="255"/>
      <c r="HU151" s="254"/>
      <c r="HV151" s="203"/>
      <c r="HW151" s="189"/>
      <c r="HX151" s="1020"/>
      <c r="HY151" s="258"/>
      <c r="HZ151" s="268"/>
      <c r="IA151" s="203"/>
      <c r="IB151" s="255"/>
      <c r="IC151" s="254"/>
      <c r="ID151" s="203"/>
      <c r="IE151" s="255"/>
      <c r="IF151" s="189"/>
      <c r="IG151" s="203"/>
      <c r="IH151" s="255"/>
      <c r="II151" s="189"/>
      <c r="IJ151" s="203"/>
      <c r="IK151" s="189"/>
      <c r="IL151" s="1182"/>
      <c r="IM151" s="1403"/>
      <c r="IN151" s="254"/>
      <c r="IO151" s="254"/>
      <c r="IP151" s="254"/>
      <c r="IQ151" s="254"/>
      <c r="IR151" s="223"/>
    </row>
    <row r="152" spans="1:252" ht="13.8" thickBot="1">
      <c r="A152" t="str">
        <f t="shared" si="141"/>
        <v>2011Q2</v>
      </c>
      <c r="B152">
        <f t="shared" si="142"/>
        <v>2011</v>
      </c>
      <c r="C152" s="49">
        <f t="shared" si="143"/>
        <v>40634</v>
      </c>
      <c r="D152" s="115">
        <f t="shared" si="144"/>
        <v>2011</v>
      </c>
      <c r="E152" s="10">
        <f t="shared" si="167"/>
        <v>4</v>
      </c>
      <c r="F152" s="248" t="str">
        <f t="shared" si="168"/>
        <v/>
      </c>
      <c r="G152" s="245">
        <v>40634</v>
      </c>
      <c r="H152" s="251">
        <v>40663</v>
      </c>
      <c r="I152" s="959">
        <f t="shared" si="165"/>
        <v>7.1499999999999994E-2</v>
      </c>
      <c r="J152" s="37">
        <f t="shared" si="145"/>
        <v>0.44806340843751441</v>
      </c>
      <c r="K152" s="1036"/>
      <c r="L152" s="37"/>
      <c r="M152" s="1004">
        <v>0</v>
      </c>
      <c r="N152" s="38">
        <f t="shared" si="170"/>
        <v>0</v>
      </c>
      <c r="O152" s="40">
        <f t="shared" si="170"/>
        <v>0</v>
      </c>
      <c r="P152" s="159">
        <f t="shared" si="117"/>
        <v>0</v>
      </c>
      <c r="Q152" s="38">
        <f t="shared" si="171"/>
        <v>0</v>
      </c>
      <c r="R152" s="40">
        <f t="shared" si="171"/>
        <v>0</v>
      </c>
      <c r="S152" s="38">
        <f t="shared" si="171"/>
        <v>0</v>
      </c>
      <c r="T152" s="38">
        <f t="shared" si="171"/>
        <v>0</v>
      </c>
      <c r="U152" s="38">
        <f t="shared" si="171"/>
        <v>0</v>
      </c>
      <c r="V152" s="159">
        <f t="shared" si="171"/>
        <v>0</v>
      </c>
      <c r="W152" s="38">
        <f t="shared" si="171"/>
        <v>0</v>
      </c>
      <c r="X152" s="39">
        <f t="shared" si="171"/>
        <v>0</v>
      </c>
      <c r="Y152" s="46">
        <v>0</v>
      </c>
      <c r="Z152" s="46">
        <v>0</v>
      </c>
      <c r="AA152" s="47">
        <v>0</v>
      </c>
      <c r="AB152" s="46">
        <v>0</v>
      </c>
      <c r="AC152" s="46">
        <v>0</v>
      </c>
      <c r="AD152" s="47">
        <v>0</v>
      </c>
      <c r="AE152" s="46">
        <v>0</v>
      </c>
      <c r="AF152" s="46">
        <v>0</v>
      </c>
      <c r="AG152" s="47">
        <v>0</v>
      </c>
      <c r="AH152" s="46">
        <v>0</v>
      </c>
      <c r="AI152" s="46">
        <v>0</v>
      </c>
      <c r="AJ152" s="47">
        <v>0</v>
      </c>
      <c r="AK152" s="46">
        <v>0</v>
      </c>
      <c r="AL152" s="46">
        <v>0</v>
      </c>
      <c r="AM152" s="47">
        <v>0</v>
      </c>
      <c r="AN152" s="46">
        <v>0</v>
      </c>
      <c r="AO152" s="46">
        <v>0</v>
      </c>
      <c r="AP152" s="47">
        <v>0</v>
      </c>
      <c r="AQ152" s="46">
        <v>0</v>
      </c>
      <c r="AR152" s="46">
        <v>0</v>
      </c>
      <c r="AS152" s="47">
        <v>0</v>
      </c>
      <c r="AT152" s="46">
        <v>0</v>
      </c>
      <c r="AU152" s="46">
        <v>0</v>
      </c>
      <c r="AV152" s="46">
        <v>0</v>
      </c>
      <c r="AW152" s="1545">
        <v>0</v>
      </c>
      <c r="AX152" s="10">
        <f t="shared" si="169"/>
        <v>21</v>
      </c>
      <c r="AY152" s="42">
        <f>IF(AND($E152=MONTH(Summary!$E$24),$D152=YEAR(Summary!$E$24)),Summary!$E$25,1)*IF(G152="",0,INT((H152-MOD(H152,7)-G152)/7)+1-IF(BA152,IF(WEEKDAY(F152)=7,1,0),0))</f>
        <v>5</v>
      </c>
      <c r="AZ152" s="42">
        <f>IF(AND($E152=MONTH(Summary!$E$24),$D152=YEAR(Summary!$E$24)),Summary!$E$25,1)*IF(G152="",0,INT((H152-MOD(H152-1,7)-G152)/7)+1-IF(BA152,IF(WEEKDAY(F152)=1,1,0),0))</f>
        <v>4</v>
      </c>
      <c r="BA152" s="42">
        <v>0</v>
      </c>
      <c r="BB152" s="10">
        <f>IF(AND($E152=MONTH(Summary!$E$24),$D152=YEAR(Summary!$E$24)),Summary!$E$25,1)*IF(G152="",0,H152-G152+1)</f>
        <v>30</v>
      </c>
      <c r="BC152" s="914">
        <f>Summary!$E$19</f>
        <v>1.4999999999999999E-2</v>
      </c>
      <c r="BD152" s="113">
        <v>14893.2</v>
      </c>
      <c r="BE152" s="171">
        <v>3546</v>
      </c>
      <c r="BF152" s="171">
        <v>2836.8</v>
      </c>
      <c r="BG152" s="174"/>
      <c r="BH152" s="1198">
        <v>1</v>
      </c>
      <c r="BI152" s="1198">
        <v>1</v>
      </c>
      <c r="BJ152" s="1198">
        <v>1</v>
      </c>
      <c r="BK152" s="1198">
        <v>1</v>
      </c>
      <c r="BL152" s="95">
        <v>2978.64</v>
      </c>
      <c r="BM152" s="171">
        <v>709.2</v>
      </c>
      <c r="BN152" s="171">
        <v>567.36</v>
      </c>
      <c r="BO152" s="174"/>
      <c r="BP152" s="1198">
        <v>1</v>
      </c>
      <c r="BQ152" s="1199">
        <v>1</v>
      </c>
      <c r="BR152" s="1199">
        <v>1</v>
      </c>
      <c r="BS152" s="1200">
        <v>1</v>
      </c>
      <c r="BT152" s="94">
        <f t="shared" si="146"/>
        <v>21276</v>
      </c>
      <c r="BU152" s="233">
        <f t="shared" si="147"/>
        <v>21276</v>
      </c>
      <c r="BV152" s="92">
        <f t="shared" si="148"/>
        <v>4255.2</v>
      </c>
      <c r="BW152" s="233">
        <f t="shared" si="149"/>
        <v>4255.2</v>
      </c>
      <c r="BX152" s="88">
        <v>11.293634496919918</v>
      </c>
      <c r="BY152" s="90">
        <v>0</v>
      </c>
      <c r="BZ152" s="88">
        <v>0</v>
      </c>
      <c r="CA152" s="88">
        <v>0</v>
      </c>
      <c r="CB152" s="88">
        <v>0</v>
      </c>
      <c r="CC152" s="88">
        <v>0</v>
      </c>
      <c r="CD152" s="88">
        <v>0</v>
      </c>
      <c r="CE152" s="100">
        <v>0</v>
      </c>
      <c r="CF152" s="88">
        <v>0</v>
      </c>
      <c r="CG152" s="88">
        <v>0</v>
      </c>
      <c r="CH152" s="88">
        <v>0</v>
      </c>
      <c r="CI152" s="88">
        <v>0</v>
      </c>
      <c r="CJ152" s="228">
        <v>0</v>
      </c>
      <c r="CK152" s="88">
        <v>0</v>
      </c>
      <c r="CL152" s="88">
        <v>0</v>
      </c>
      <c r="CM152" s="88">
        <v>0</v>
      </c>
      <c r="CN152" s="88">
        <v>0</v>
      </c>
      <c r="CO152" s="88">
        <v>0</v>
      </c>
      <c r="CP152" s="88">
        <v>0</v>
      </c>
      <c r="CQ152" s="229">
        <v>0</v>
      </c>
      <c r="CR152" s="91">
        <v>0</v>
      </c>
      <c r="CS152" s="91">
        <v>0</v>
      </c>
      <c r="CT152" s="91">
        <v>0</v>
      </c>
      <c r="CU152" s="91">
        <v>0</v>
      </c>
      <c r="CV152" s="91">
        <v>0</v>
      </c>
      <c r="CW152" s="91">
        <v>0</v>
      </c>
      <c r="CX152" s="225">
        <v>0</v>
      </c>
      <c r="CY152" s="1265">
        <v>7745.2383999999993</v>
      </c>
      <c r="CZ152" s="90">
        <v>0</v>
      </c>
      <c r="DA152" s="88">
        <v>0</v>
      </c>
      <c r="DB152" s="88">
        <v>0</v>
      </c>
      <c r="DC152" s="88">
        <v>0</v>
      </c>
      <c r="DD152" s="88">
        <v>0</v>
      </c>
      <c r="DE152" s="152">
        <v>0</v>
      </c>
      <c r="DF152" s="230">
        <v>0</v>
      </c>
      <c r="DG152" s="38">
        <v>0</v>
      </c>
      <c r="DH152" s="1237">
        <v>0</v>
      </c>
      <c r="DI152" s="956">
        <v>0</v>
      </c>
      <c r="DJ152" s="956">
        <v>0</v>
      </c>
      <c r="DK152" s="956">
        <v>0</v>
      </c>
      <c r="DL152" s="152">
        <v>0</v>
      </c>
      <c r="DM152" s="160">
        <v>0</v>
      </c>
      <c r="DN152" s="160">
        <v>0</v>
      </c>
      <c r="DO152" s="160">
        <v>0</v>
      </c>
      <c r="DP152" s="160">
        <v>0</v>
      </c>
      <c r="DQ152" s="160">
        <v>0</v>
      </c>
      <c r="DR152" s="230">
        <v>0</v>
      </c>
      <c r="DS152" s="88">
        <v>0</v>
      </c>
      <c r="DT152" s="88">
        <v>0</v>
      </c>
      <c r="DU152" s="88">
        <v>0</v>
      </c>
      <c r="DV152" s="88">
        <v>0</v>
      </c>
      <c r="DW152" s="88">
        <v>0</v>
      </c>
      <c r="DX152" s="88">
        <v>0</v>
      </c>
      <c r="DY152" s="88">
        <v>0</v>
      </c>
      <c r="DZ152" s="88">
        <v>0</v>
      </c>
      <c r="EA152" s="88">
        <v>0</v>
      </c>
      <c r="EB152" s="152">
        <v>0</v>
      </c>
      <c r="EC152" s="52">
        <f t="shared" si="150"/>
        <v>0</v>
      </c>
      <c r="ED152" s="52">
        <f t="shared" si="150"/>
        <v>0</v>
      </c>
      <c r="EE152" s="52">
        <f t="shared" si="150"/>
        <v>0</v>
      </c>
      <c r="EF152" s="52">
        <f t="shared" si="150"/>
        <v>0</v>
      </c>
      <c r="EG152" s="52">
        <f t="shared" si="151"/>
        <v>0</v>
      </c>
      <c r="EH152" s="238">
        <v>0</v>
      </c>
      <c r="EI152" s="211">
        <v>0</v>
      </c>
      <c r="EJ152" s="211">
        <v>0</v>
      </c>
      <c r="EK152" s="211">
        <v>0</v>
      </c>
      <c r="EL152" s="217">
        <f>IF(C152&gt;=Summary!$E$26,MAX(0,SUM(EH152:EK152)),0)</f>
        <v>0</v>
      </c>
      <c r="EM152" s="52">
        <f>IF(C152&gt;=Summary!$E$26,DX152*BL152,0)</f>
        <v>0</v>
      </c>
      <c r="EN152" s="52">
        <f>IF(C152&gt;=Summary!$E$26,DY152*BM152,0)</f>
        <v>0</v>
      </c>
      <c r="EO152" s="52">
        <f>IF(C152&gt;=Summary!$E$26,DZ152*BN152,0)</f>
        <v>0</v>
      </c>
      <c r="EP152" s="52">
        <f>IF(C152&gt;=Summary!$E$26,EA152*BO152,0)</f>
        <v>0</v>
      </c>
      <c r="EQ152" s="52">
        <f>IF(C152&gt;=Summary!$E$26,DX152*BL152+DY152*BM152+DZ152*BN152+EA152*BO152,0)</f>
        <v>0</v>
      </c>
      <c r="ER152" s="826">
        <v>0</v>
      </c>
      <c r="ES152" s="278">
        <v>0</v>
      </c>
      <c r="ET152" s="278">
        <v>0</v>
      </c>
      <c r="EU152" s="278">
        <v>0</v>
      </c>
      <c r="EV152" s="212">
        <f>IF(C152&gt;=Summary!$E$26,MAX(0,SUM(ER152:EU152)),0)</f>
        <v>0</v>
      </c>
      <c r="EW152" s="52"/>
      <c r="EX152" s="1049">
        <f t="shared" si="152"/>
        <v>0</v>
      </c>
      <c r="EY152" s="1045" t="str">
        <f t="shared" si="153"/>
        <v/>
      </c>
      <c r="EZ152" s="1684" t="s">
        <v>525</v>
      </c>
      <c r="FA152" s="1046">
        <f t="shared" si="166"/>
        <v>45</v>
      </c>
      <c r="FB152" s="256">
        <f t="shared" si="154"/>
        <v>9308.25</v>
      </c>
      <c r="FC152" s="194">
        <f t="shared" si="155"/>
        <v>2792.4749999999999</v>
      </c>
      <c r="FD152" s="194">
        <f t="shared" si="156"/>
        <v>2216.25</v>
      </c>
      <c r="FE152" s="194">
        <f t="shared" si="157"/>
        <v>664.875</v>
      </c>
      <c r="FF152" s="194">
        <f t="shared" si="158"/>
        <v>1773</v>
      </c>
      <c r="FG152" s="194">
        <f t="shared" si="159"/>
        <v>531.9</v>
      </c>
      <c r="FH152" s="257">
        <f>IF(EZ152="No",IF((OR(MONTH(C152)=5,MONTH(C152)=6,MONTH(C152)=7,MONTH(C152)=8,MONTH(C152)=9)),Summary!$O$15*12*(AX152+AY152+AZ152+BA152)*(1-$BC152),Summary!$O$15*13*(AX152+AY152+AZ152+BA152)*(1-$BC152)+IF(Summary!$O$16="Yes",(CALC!FA152+Summary!$O$15)*6*(AX152+AY152+AZ152+BA152)*(1-$BC152),0)),0)</f>
        <v>0</v>
      </c>
      <c r="FI152" s="1412">
        <f>IF(MONTH(C152)=5,FI151*(IF(Summary!$E$70="no",(1+(Summary!$E$71*0.8)),1+HLOOKUP(YEAR(C152)-1,CCFMODEL!$I$127:$AF$128,2)*0.8)),+FI151)</f>
        <v>34.532116265437651</v>
      </c>
      <c r="FJ152" s="1411">
        <f>IF(MONTH(C152)=5,FJ151*(IF(Summary!$E$70="no",(1+(Summary!$E$71*0.8)),1+HLOOKUP(YEAR(CALC!C152)-1,CCFMODEL!$I$127:$AF$128,2)*0.8)),FJ151)</f>
        <v>30.181613428847083</v>
      </c>
      <c r="FK152" s="832">
        <f t="shared" si="127"/>
        <v>596948.06085155427</v>
      </c>
      <c r="FL152" s="1412">
        <f>IF(MONTH(C152)=5,FL151*(IF(Summary!$E$70="no",(1+(Summary!$E$71*0.8)),1+HLOOKUP(YEAR(CALC!C152)-1,CCFMODEL!$I$127:$AF$128,2)*0.8)),+FL151)</f>
        <v>72.624911935822922</v>
      </c>
      <c r="FM152" s="1411">
        <f>IF(MONTH(C152)=5,FM151*(IF(Summary!$E$70="no",(1+(Summary!$E$71*0.8)),1+HLOOKUP(YEAR(CALC!C152)-1,CCFMODEL!$I$127:$AF$128,2)*0.8)),+FM151)</f>
        <v>34.661595516526653</v>
      </c>
      <c r="FN152" s="832">
        <f t="shared" si="128"/>
        <v>608311.00131504273</v>
      </c>
      <c r="FO152" s="194">
        <f t="shared" si="160"/>
        <v>1205259.062166597</v>
      </c>
      <c r="FP152" s="263">
        <f t="shared" si="125"/>
        <v>9308.25</v>
      </c>
      <c r="FQ152" s="194">
        <f t="shared" si="125"/>
        <v>2792.4749999999999</v>
      </c>
      <c r="FR152" s="194">
        <f t="shared" si="125"/>
        <v>2216.25</v>
      </c>
      <c r="FS152" s="194">
        <f t="shared" si="125"/>
        <v>664.875</v>
      </c>
      <c r="FT152" s="194">
        <f t="shared" si="125"/>
        <v>1773</v>
      </c>
      <c r="FU152" s="194">
        <f t="shared" si="125"/>
        <v>531.9</v>
      </c>
      <c r="FV152" s="257">
        <f t="shared" si="124"/>
        <v>0</v>
      </c>
      <c r="FW152" s="189">
        <f t="shared" si="129"/>
        <v>0</v>
      </c>
      <c r="FX152" s="189">
        <f t="shared" si="130"/>
        <v>0</v>
      </c>
      <c r="FY152" s="189">
        <f t="shared" si="131"/>
        <v>0</v>
      </c>
      <c r="FZ152" s="258">
        <f t="shared" si="132"/>
        <v>0</v>
      </c>
      <c r="GA152" s="1294">
        <f>(SUM(FP152:FV152)+SUM(GU152:HB152)/(1-Summary!$O$25))*CY152/1000</f>
        <v>228642.92292527997</v>
      </c>
      <c r="GB152" s="1369">
        <f>IF($C152&lt;Summary!$M$81,+Summary!$O$81,VLOOKUP(C152,GasTable,19))</f>
        <v>3.0586767633200207</v>
      </c>
      <c r="GC152" s="1370">
        <f>IF(H152&lt;=Summary!$N$84,MIN(GA152,Summary!$O$75*(H152-G152+1)),0)</f>
        <v>0</v>
      </c>
      <c r="GD152" s="1371">
        <f>IF(C152&lt;Summary!$N$84,IF(Summary!$O$75*(H152-G152+1)*0.8&gt;GC152,1,0),0)</f>
        <v>0</v>
      </c>
      <c r="GE152" s="1372">
        <v>0</v>
      </c>
      <c r="GF152" s="1370">
        <f t="shared" si="161"/>
        <v>228642.92292527997</v>
      </c>
      <c r="GG152" s="1371">
        <f>GF152*(IF(Summary!$O$74=1,VLOOKUP($C152,GasTable,16)+Summary!$O$92+Summary!$O$93,VLOOKUP($C152,GasTable,19)+Summary!$O$92+Summary!$O$93))</f>
        <v>711257.09173353144</v>
      </c>
      <c r="GH152" s="1373">
        <v>4588.0151449800314</v>
      </c>
      <c r="GI152" s="1466">
        <v>0</v>
      </c>
      <c r="GJ152" s="1374">
        <f t="shared" si="162"/>
        <v>715845.10687851149</v>
      </c>
      <c r="GK152" s="189">
        <f t="shared" si="133"/>
        <v>29092.270500000002</v>
      </c>
      <c r="GL152" s="266">
        <v>0.5189309728</v>
      </c>
      <c r="GM152" s="255">
        <f t="shared" si="134"/>
        <v>0</v>
      </c>
      <c r="GN152" s="189">
        <f>IF(SUM(GU152:HB152)=0,0,IF(Summary!$O$16="Yes",SUM(GX152:HB152),IF(Summary!$O$17="Yes",SUM(GY152:HB152),SUM(GU152:HB152))))</f>
        <v>11805.520500000001</v>
      </c>
      <c r="GO152" s="203">
        <v>3.2938198590278516</v>
      </c>
      <c r="GP152" s="258">
        <f t="shared" si="163"/>
        <v>38885.257869060413</v>
      </c>
      <c r="GQ152" s="189"/>
      <c r="GR152" s="189"/>
      <c r="GS152" s="189"/>
      <c r="GT152" s="189"/>
      <c r="GU152" s="268">
        <v>5389.4767500000007</v>
      </c>
      <c r="GV152" s="189">
        <v>1283.20875</v>
      </c>
      <c r="GW152" s="189">
        <v>1026.5670000000002</v>
      </c>
      <c r="GX152" s="189"/>
      <c r="GY152" s="254">
        <v>2874.3875999999996</v>
      </c>
      <c r="GZ152" s="189">
        <v>684.37800000000004</v>
      </c>
      <c r="HA152" s="189">
        <v>547.50239999999997</v>
      </c>
      <c r="HB152" s="255"/>
      <c r="HC152" s="189">
        <v>11805.520500000001</v>
      </c>
      <c r="HD152" s="189"/>
      <c r="HE152" s="189">
        <v>20274.698250000001</v>
      </c>
      <c r="HF152" s="189">
        <v>431624.30682679266</v>
      </c>
      <c r="HG152" s="189"/>
      <c r="HH152" s="203">
        <v>35.900578844481878</v>
      </c>
      <c r="HI152" s="189">
        <v>727873.40307220374</v>
      </c>
      <c r="HJ152" s="268">
        <f t="shared" si="135"/>
        <v>0</v>
      </c>
      <c r="HK152" s="189">
        <f t="shared" si="136"/>
        <v>0</v>
      </c>
      <c r="HL152" s="189">
        <f t="shared" si="137"/>
        <v>0</v>
      </c>
      <c r="HM152" s="255">
        <f t="shared" si="138"/>
        <v>0</v>
      </c>
      <c r="HN152" s="189">
        <f t="shared" si="139"/>
        <v>0</v>
      </c>
      <c r="HO152" s="203">
        <f t="shared" si="164"/>
        <v>0</v>
      </c>
      <c r="HP152" s="258">
        <f t="shared" si="140"/>
        <v>0</v>
      </c>
      <c r="HQ152" s="203"/>
      <c r="HR152" s="268"/>
      <c r="HS152" s="38"/>
      <c r="HT152" s="255"/>
      <c r="HU152" s="254"/>
      <c r="HV152" s="203"/>
      <c r="HW152" s="189"/>
      <c r="HX152" s="1020"/>
      <c r="HY152" s="258"/>
      <c r="HZ152" s="268"/>
      <c r="IA152" s="203"/>
      <c r="IB152" s="255"/>
      <c r="IC152" s="254"/>
      <c r="ID152" s="203"/>
      <c r="IE152" s="255"/>
      <c r="IF152" s="189"/>
      <c r="IG152" s="203"/>
      <c r="IH152" s="255"/>
      <c r="II152" s="189"/>
      <c r="IJ152" s="203"/>
      <c r="IK152" s="189"/>
      <c r="IL152" s="1182"/>
      <c r="IM152" s="1403"/>
      <c r="IN152" s="254"/>
      <c r="IO152" s="254"/>
      <c r="IP152" s="254"/>
      <c r="IQ152" s="254"/>
      <c r="IR152" s="223"/>
    </row>
    <row r="153" spans="1:252" ht="13.8" thickBot="1">
      <c r="A153" t="str">
        <f t="shared" si="141"/>
        <v>2011Q2</v>
      </c>
      <c r="B153">
        <f t="shared" si="142"/>
        <v>2011</v>
      </c>
      <c r="C153" s="49">
        <f t="shared" si="143"/>
        <v>40664</v>
      </c>
      <c r="D153" s="115">
        <f t="shared" si="144"/>
        <v>2011</v>
      </c>
      <c r="E153" s="10">
        <f t="shared" si="167"/>
        <v>5</v>
      </c>
      <c r="F153" s="248">
        <f t="shared" si="168"/>
        <v>40693</v>
      </c>
      <c r="G153" s="245">
        <v>40664</v>
      </c>
      <c r="H153" s="251">
        <v>40694</v>
      </c>
      <c r="I153" s="959">
        <f t="shared" si="165"/>
        <v>7.1499999999999994E-2</v>
      </c>
      <c r="J153" s="37">
        <f t="shared" si="145"/>
        <v>0.44539978334984814</v>
      </c>
      <c r="K153" s="1036"/>
      <c r="L153" s="37"/>
      <c r="M153" s="1004">
        <v>0</v>
      </c>
      <c r="N153" s="38">
        <f t="shared" si="170"/>
        <v>0</v>
      </c>
      <c r="O153" s="40">
        <f t="shared" si="170"/>
        <v>0</v>
      </c>
      <c r="P153" s="159">
        <f t="shared" si="117"/>
        <v>0</v>
      </c>
      <c r="Q153" s="38">
        <f t="shared" si="171"/>
        <v>0</v>
      </c>
      <c r="R153" s="40">
        <f t="shared" si="171"/>
        <v>0</v>
      </c>
      <c r="S153" s="38">
        <f t="shared" si="171"/>
        <v>0</v>
      </c>
      <c r="T153" s="38">
        <f t="shared" si="171"/>
        <v>0</v>
      </c>
      <c r="U153" s="38">
        <f t="shared" si="171"/>
        <v>0</v>
      </c>
      <c r="V153" s="159">
        <f t="shared" si="171"/>
        <v>0</v>
      </c>
      <c r="W153" s="38">
        <f t="shared" si="171"/>
        <v>0</v>
      </c>
      <c r="X153" s="39">
        <f t="shared" si="171"/>
        <v>0</v>
      </c>
      <c r="Y153" s="46">
        <v>0</v>
      </c>
      <c r="Z153" s="46">
        <v>0</v>
      </c>
      <c r="AA153" s="47">
        <v>0</v>
      </c>
      <c r="AB153" s="46">
        <v>0</v>
      </c>
      <c r="AC153" s="46">
        <v>0</v>
      </c>
      <c r="AD153" s="47">
        <v>0</v>
      </c>
      <c r="AE153" s="46">
        <v>0</v>
      </c>
      <c r="AF153" s="46">
        <v>0</v>
      </c>
      <c r="AG153" s="47">
        <v>0</v>
      </c>
      <c r="AH153" s="46">
        <v>0</v>
      </c>
      <c r="AI153" s="46">
        <v>0</v>
      </c>
      <c r="AJ153" s="47">
        <v>0</v>
      </c>
      <c r="AK153" s="46">
        <v>0</v>
      </c>
      <c r="AL153" s="46">
        <v>0</v>
      </c>
      <c r="AM153" s="47">
        <v>0</v>
      </c>
      <c r="AN153" s="46">
        <v>0</v>
      </c>
      <c r="AO153" s="46">
        <v>0</v>
      </c>
      <c r="AP153" s="47">
        <v>0</v>
      </c>
      <c r="AQ153" s="46">
        <v>0</v>
      </c>
      <c r="AR153" s="46">
        <v>0</v>
      </c>
      <c r="AS153" s="47">
        <v>0</v>
      </c>
      <c r="AT153" s="46">
        <v>0</v>
      </c>
      <c r="AU153" s="46">
        <v>0</v>
      </c>
      <c r="AV153" s="46">
        <v>0</v>
      </c>
      <c r="AW153" s="1545">
        <v>0</v>
      </c>
      <c r="AX153" s="10">
        <f t="shared" si="169"/>
        <v>21</v>
      </c>
      <c r="AY153" s="42">
        <f>IF(AND($E153=MONTH(Summary!$E$24),$D153=YEAR(Summary!$E$24)),Summary!$E$25,1)*IF(G153="",0,INT((H153-MOD(H153,7)-G153)/7)+1-IF(BA153,IF(WEEKDAY(F153)=7,1,0),0))</f>
        <v>4</v>
      </c>
      <c r="AZ153" s="42">
        <f>IF(AND($E153=MONTH(Summary!$E$24),$D153=YEAR(Summary!$E$24)),Summary!$E$25,1)*IF(G153="",0,INT((H153-MOD(H153-1,7)-G153)/7)+1-IF(BA153,IF(WEEKDAY(F153)=1,1,0),0))</f>
        <v>5</v>
      </c>
      <c r="BA153" s="42">
        <v>1</v>
      </c>
      <c r="BB153" s="10">
        <f>IF(AND($E153=MONTH(Summary!$E$24),$D153=YEAR(Summary!$E$24)),Summary!$E$25,1)*IF(G153="",0,H153-G153+1)</f>
        <v>31</v>
      </c>
      <c r="BC153" s="914">
        <f>Summary!$E$19</f>
        <v>1.4999999999999999E-2</v>
      </c>
      <c r="BD153" s="113">
        <v>14893.2</v>
      </c>
      <c r="BE153" s="171">
        <v>2836.8</v>
      </c>
      <c r="BF153" s="171">
        <v>4255.2</v>
      </c>
      <c r="BG153" s="174"/>
      <c r="BH153" s="1198">
        <v>1</v>
      </c>
      <c r="BI153" s="1198">
        <v>1</v>
      </c>
      <c r="BJ153" s="1198">
        <v>1</v>
      </c>
      <c r="BK153" s="1198">
        <v>1</v>
      </c>
      <c r="BL153" s="95">
        <v>2978.64</v>
      </c>
      <c r="BM153" s="171">
        <v>567.36</v>
      </c>
      <c r="BN153" s="171">
        <v>851.04</v>
      </c>
      <c r="BO153" s="174"/>
      <c r="BP153" s="1198">
        <v>1</v>
      </c>
      <c r="BQ153" s="1199">
        <v>1</v>
      </c>
      <c r="BR153" s="1199">
        <v>1</v>
      </c>
      <c r="BS153" s="1200">
        <v>1</v>
      </c>
      <c r="BT153" s="94">
        <f t="shared" si="146"/>
        <v>21985.200000000001</v>
      </c>
      <c r="BU153" s="233">
        <f t="shared" si="147"/>
        <v>21985.200000000001</v>
      </c>
      <c r="BV153" s="92">
        <f t="shared" si="148"/>
        <v>4397.04</v>
      </c>
      <c r="BW153" s="233">
        <f t="shared" si="149"/>
        <v>4397.04</v>
      </c>
      <c r="BX153" s="88">
        <v>11.375770020533881</v>
      </c>
      <c r="BY153" s="90">
        <v>0</v>
      </c>
      <c r="BZ153" s="88">
        <v>0</v>
      </c>
      <c r="CA153" s="88">
        <v>0</v>
      </c>
      <c r="CB153" s="88">
        <v>0</v>
      </c>
      <c r="CC153" s="88">
        <v>0</v>
      </c>
      <c r="CD153" s="88">
        <v>0</v>
      </c>
      <c r="CE153" s="100">
        <v>0</v>
      </c>
      <c r="CF153" s="88">
        <v>0</v>
      </c>
      <c r="CG153" s="88">
        <v>0</v>
      </c>
      <c r="CH153" s="88">
        <v>0</v>
      </c>
      <c r="CI153" s="88">
        <v>0</v>
      </c>
      <c r="CJ153" s="228">
        <v>0</v>
      </c>
      <c r="CK153" s="88">
        <v>0</v>
      </c>
      <c r="CL153" s="88">
        <v>0</v>
      </c>
      <c r="CM153" s="88">
        <v>0</v>
      </c>
      <c r="CN153" s="88">
        <v>0</v>
      </c>
      <c r="CO153" s="88">
        <v>0</v>
      </c>
      <c r="CP153" s="88">
        <v>0</v>
      </c>
      <c r="CQ153" s="229">
        <v>0</v>
      </c>
      <c r="CR153" s="91">
        <v>0</v>
      </c>
      <c r="CS153" s="91">
        <v>0</v>
      </c>
      <c r="CT153" s="91">
        <v>0</v>
      </c>
      <c r="CU153" s="91">
        <v>0</v>
      </c>
      <c r="CV153" s="91">
        <v>0</v>
      </c>
      <c r="CW153" s="91">
        <v>0</v>
      </c>
      <c r="CX153" s="225">
        <v>0</v>
      </c>
      <c r="CY153" s="1265">
        <v>7747.2693599999993</v>
      </c>
      <c r="CZ153" s="90">
        <v>0</v>
      </c>
      <c r="DA153" s="88">
        <v>0</v>
      </c>
      <c r="DB153" s="88">
        <v>0</v>
      </c>
      <c r="DC153" s="88">
        <v>0</v>
      </c>
      <c r="DD153" s="88">
        <v>0</v>
      </c>
      <c r="DE153" s="152">
        <v>0</v>
      </c>
      <c r="DF153" s="230">
        <v>0</v>
      </c>
      <c r="DG153" s="38">
        <v>0</v>
      </c>
      <c r="DH153" s="1237">
        <v>0</v>
      </c>
      <c r="DI153" s="956">
        <v>0</v>
      </c>
      <c r="DJ153" s="956">
        <v>0</v>
      </c>
      <c r="DK153" s="956">
        <v>0</v>
      </c>
      <c r="DL153" s="152">
        <v>0</v>
      </c>
      <c r="DM153" s="160">
        <v>0</v>
      </c>
      <c r="DN153" s="160">
        <v>0</v>
      </c>
      <c r="DO153" s="160">
        <v>0</v>
      </c>
      <c r="DP153" s="160">
        <v>0</v>
      </c>
      <c r="DQ153" s="160">
        <v>0</v>
      </c>
      <c r="DR153" s="230">
        <v>0</v>
      </c>
      <c r="DS153" s="88">
        <v>0</v>
      </c>
      <c r="DT153" s="88">
        <v>0</v>
      </c>
      <c r="DU153" s="88">
        <v>0</v>
      </c>
      <c r="DV153" s="88">
        <v>0</v>
      </c>
      <c r="DW153" s="88">
        <v>0</v>
      </c>
      <c r="DX153" s="88">
        <v>0</v>
      </c>
      <c r="DY153" s="88">
        <v>0</v>
      </c>
      <c r="DZ153" s="88">
        <v>0</v>
      </c>
      <c r="EA153" s="88">
        <v>0</v>
      </c>
      <c r="EB153" s="152">
        <v>0</v>
      </c>
      <c r="EC153" s="52">
        <f t="shared" si="150"/>
        <v>0</v>
      </c>
      <c r="ED153" s="52">
        <f t="shared" si="150"/>
        <v>0</v>
      </c>
      <c r="EE153" s="52">
        <f t="shared" si="150"/>
        <v>0</v>
      </c>
      <c r="EF153" s="52">
        <f t="shared" si="150"/>
        <v>0</v>
      </c>
      <c r="EG153" s="52">
        <f t="shared" si="151"/>
        <v>0</v>
      </c>
      <c r="EH153" s="238">
        <v>0</v>
      </c>
      <c r="EI153" s="211">
        <v>0</v>
      </c>
      <c r="EJ153" s="211">
        <v>0</v>
      </c>
      <c r="EK153" s="211">
        <v>0</v>
      </c>
      <c r="EL153" s="217">
        <f>IF(C153&gt;=Summary!$E$26,MAX(0,SUM(EH153:EK153)),0)</f>
        <v>0</v>
      </c>
      <c r="EM153" s="52">
        <f>IF(C153&gt;=Summary!$E$26,DX153*BL153,0)</f>
        <v>0</v>
      </c>
      <c r="EN153" s="52">
        <f>IF(C153&gt;=Summary!$E$26,DY153*BM153,0)</f>
        <v>0</v>
      </c>
      <c r="EO153" s="52">
        <f>IF(C153&gt;=Summary!$E$26,DZ153*BN153,0)</f>
        <v>0</v>
      </c>
      <c r="EP153" s="52">
        <f>IF(C153&gt;=Summary!$E$26,EA153*BO153,0)</f>
        <v>0</v>
      </c>
      <c r="EQ153" s="52">
        <f>IF(C153&gt;=Summary!$E$26,DX153*BL153+DY153*BM153+DZ153*BN153+EA153*BO153,0)</f>
        <v>0</v>
      </c>
      <c r="ER153" s="826">
        <v>0</v>
      </c>
      <c r="ES153" s="278">
        <v>0</v>
      </c>
      <c r="ET153" s="278">
        <v>0</v>
      </c>
      <c r="EU153" s="278">
        <v>0</v>
      </c>
      <c r="EV153" s="212">
        <f>IF(C153&gt;=Summary!$E$26,MAX(0,SUM(ER153:EU153)),0)</f>
        <v>0</v>
      </c>
      <c r="EW153" s="52"/>
      <c r="EX153" s="1049">
        <f t="shared" si="152"/>
        <v>0</v>
      </c>
      <c r="EY153" s="1045" t="str">
        <f t="shared" si="153"/>
        <v/>
      </c>
      <c r="EZ153" s="1684" t="s">
        <v>525</v>
      </c>
      <c r="FA153" s="1046">
        <f t="shared" si="166"/>
        <v>45</v>
      </c>
      <c r="FB153" s="256">
        <f t="shared" si="154"/>
        <v>11169.9</v>
      </c>
      <c r="FC153" s="194">
        <f t="shared" si="155"/>
        <v>0</v>
      </c>
      <c r="FD153" s="194">
        <f t="shared" si="156"/>
        <v>2127.6</v>
      </c>
      <c r="FE153" s="194">
        <f t="shared" si="157"/>
        <v>0</v>
      </c>
      <c r="FF153" s="194">
        <f t="shared" si="158"/>
        <v>3191.4</v>
      </c>
      <c r="FG153" s="194">
        <f t="shared" si="159"/>
        <v>0</v>
      </c>
      <c r="FH153" s="257">
        <f>IF(EZ153="No",IF((OR(MONTH(C153)=5,MONTH(C153)=6,MONTH(C153)=7,MONTH(C153)=8,MONTH(C153)=9)),Summary!$O$15*12*(AX153+AY153+AZ153+BA153)*(1-$BC153),Summary!$O$15*13*(AX153+AY153+AZ153+BA153)*(1-$BC153)+IF(Summary!$O$16="Yes",(CALC!FA153+Summary!$O$15)*6*(AX153+AY153+AZ153+BA153)*(1-$BC153),0)),0)</f>
        <v>0</v>
      </c>
      <c r="FI153" s="1412">
        <f>IF(MONTH(C153)=5,FI152*(IF(Summary!$E$70="no",(1+(Summary!$E$71*0.8)),1+HLOOKUP(YEAR(C153)-1,CCFMODEL!$I$127:$AF$128,2)*0.8)),+FI152)</f>
        <v>35.360887055808156</v>
      </c>
      <c r="FJ153" s="1411">
        <f>IF(MONTH(C153)=5,FJ152*(IF(Summary!$E$70="no",(1+(Summary!$E$71*0.8)),1+HLOOKUP(YEAR(CALC!C153)-1,CCFMODEL!$I$127:$AF$128,2)*0.8)),FJ152)</f>
        <v>30.905972151139412</v>
      </c>
      <c r="FK153" s="832">
        <f t="shared" si="127"/>
        <v>583062.13057451521</v>
      </c>
      <c r="FL153" s="1412">
        <f>IF(MONTH(C153)=5,FL152*(IF(Summary!$E$70="no",(1+(Summary!$E$71*0.8)),1+HLOOKUP(YEAR(CALC!C153)-1,CCFMODEL!$I$127:$AF$128,2)*0.8)),+FL152)</f>
        <v>74.36790982228267</v>
      </c>
      <c r="FM153" s="1411">
        <f>IF(MONTH(C153)=5,FM152*(IF(Summary!$E$70="no",(1+(Summary!$E$71*0.8)),1+HLOOKUP(YEAR(CALC!C153)-1,CCFMODEL!$I$127:$AF$128,2)*0.8)),+FM152)</f>
        <v>35.493473808923291</v>
      </c>
      <c r="FN153" s="832">
        <f t="shared" si="128"/>
        <v>1244918.8104250119</v>
      </c>
      <c r="FO153" s="194">
        <f t="shared" si="160"/>
        <v>1827980.940999527</v>
      </c>
      <c r="FP153" s="263">
        <f t="shared" si="125"/>
        <v>11169.9</v>
      </c>
      <c r="FQ153" s="194">
        <f t="shared" si="125"/>
        <v>0</v>
      </c>
      <c r="FR153" s="194">
        <f t="shared" si="125"/>
        <v>2127.6</v>
      </c>
      <c r="FS153" s="194">
        <f t="shared" si="125"/>
        <v>0</v>
      </c>
      <c r="FT153" s="194">
        <f t="shared" si="125"/>
        <v>3191.4</v>
      </c>
      <c r="FU153" s="194">
        <f t="shared" si="125"/>
        <v>0</v>
      </c>
      <c r="FV153" s="257">
        <f t="shared" si="124"/>
        <v>0</v>
      </c>
      <c r="FW153" s="189">
        <f t="shared" si="129"/>
        <v>0</v>
      </c>
      <c r="FX153" s="189">
        <f t="shared" si="130"/>
        <v>0</v>
      </c>
      <c r="FY153" s="189">
        <f t="shared" si="131"/>
        <v>0</v>
      </c>
      <c r="FZ153" s="258">
        <f t="shared" si="132"/>
        <v>0</v>
      </c>
      <c r="GA153" s="1294">
        <f>(SUM(FP153:FV153)+SUM(GU153:HB153)/(1-Summary!$O$25))*CY153/1000</f>
        <v>204390.31960016637</v>
      </c>
      <c r="GB153" s="1369">
        <f>IF($C153&lt;Summary!$M$81,+Summary!$O$81,VLOOKUP(C153,GasTable,19))</f>
        <v>3.035609169324526</v>
      </c>
      <c r="GC153" s="1370">
        <f>IF(H153&lt;=Summary!$N$84,MIN(GA153,Summary!$O$75*(H153-G153+1)),0)</f>
        <v>0</v>
      </c>
      <c r="GD153" s="1371">
        <f>IF(C153&lt;Summary!$N$84,IF(Summary!$O$75*(H153-G153+1)*0.8&gt;GC153,1,0),0)</f>
        <v>0</v>
      </c>
      <c r="GE153" s="1372">
        <v>0</v>
      </c>
      <c r="GF153" s="1370">
        <f t="shared" si="161"/>
        <v>204390.31960016637</v>
      </c>
      <c r="GG153" s="1371">
        <f>GF153*(IF(Summary!$O$74=1,VLOOKUP($C153,GasTable,16)+Summary!$O$92+Summary!$O$93,VLOOKUP($C153,GasTable,19)+Summary!$O$92+Summary!$O$93))</f>
        <v>631097.86395060411</v>
      </c>
      <c r="GH153" s="1373">
        <v>4705.1942124530151</v>
      </c>
      <c r="GI153" s="1466">
        <v>0</v>
      </c>
      <c r="GJ153" s="1374">
        <f t="shared" si="162"/>
        <v>635803.05816305708</v>
      </c>
      <c r="GK153" s="189">
        <f t="shared" si="133"/>
        <v>26035.973100000003</v>
      </c>
      <c r="GL153" s="266">
        <v>0.51906704711999996</v>
      </c>
      <c r="GM153" s="255">
        <f t="shared" si="134"/>
        <v>0</v>
      </c>
      <c r="GN153" s="189">
        <f>IF(SUM(GU153:HB153)=0,0,IF(Summary!$O$16="Yes",SUM(GX153:HB153),IF(Summary!$O$17="Yes",SUM(GY153:HB153),SUM(GU153:HB153))))</f>
        <v>9547.0730999999996</v>
      </c>
      <c r="GO153" s="203">
        <v>3.2938198590278516</v>
      </c>
      <c r="GP153" s="258">
        <f t="shared" si="163"/>
        <v>31446.338972370591</v>
      </c>
      <c r="GQ153" s="189"/>
      <c r="GR153" s="189"/>
      <c r="GS153" s="189"/>
      <c r="GT153" s="189"/>
      <c r="GU153" s="268">
        <v>3592.9845000000009</v>
      </c>
      <c r="GV153" s="189">
        <v>684.37800000000027</v>
      </c>
      <c r="GW153" s="189">
        <v>1026.5669999999998</v>
      </c>
      <c r="GX153" s="189"/>
      <c r="GY153" s="254">
        <v>2874.3875999999996</v>
      </c>
      <c r="GZ153" s="189">
        <v>547.50239999999997</v>
      </c>
      <c r="HA153" s="189">
        <v>821.25359999999989</v>
      </c>
      <c r="HB153" s="255"/>
      <c r="HC153" s="189">
        <v>9547.0730999999996</v>
      </c>
      <c r="HD153" s="189"/>
      <c r="HE153" s="189">
        <v>22276.5039</v>
      </c>
      <c r="HF153" s="189">
        <v>355470.65987330931</v>
      </c>
      <c r="HG153" s="189"/>
      <c r="HH153" s="203">
        <v>37.724751514073773</v>
      </c>
      <c r="HI153" s="189">
        <v>840375.57422979525</v>
      </c>
      <c r="HJ153" s="268">
        <f t="shared" si="135"/>
        <v>0</v>
      </c>
      <c r="HK153" s="189">
        <f t="shared" si="136"/>
        <v>0</v>
      </c>
      <c r="HL153" s="189">
        <f t="shared" si="137"/>
        <v>0</v>
      </c>
      <c r="HM153" s="255">
        <f t="shared" si="138"/>
        <v>0</v>
      </c>
      <c r="HN153" s="189">
        <f t="shared" si="139"/>
        <v>0</v>
      </c>
      <c r="HO153" s="203">
        <f t="shared" si="164"/>
        <v>0</v>
      </c>
      <c r="HP153" s="258">
        <f t="shared" si="140"/>
        <v>0</v>
      </c>
      <c r="HQ153" s="203"/>
      <c r="HR153" s="268"/>
      <c r="HS153" s="38"/>
      <c r="HT153" s="255"/>
      <c r="HU153" s="254"/>
      <c r="HV153" s="203"/>
      <c r="HW153" s="189"/>
      <c r="HX153" s="1020"/>
      <c r="HY153" s="258"/>
      <c r="HZ153" s="268"/>
      <c r="IA153" s="203"/>
      <c r="IB153" s="255"/>
      <c r="IC153" s="254"/>
      <c r="ID153" s="203"/>
      <c r="IE153" s="255"/>
      <c r="IF153" s="189"/>
      <c r="IG153" s="203"/>
      <c r="IH153" s="255"/>
      <c r="II153" s="189"/>
      <c r="IJ153" s="203"/>
      <c r="IK153" s="189"/>
      <c r="IL153" s="1182"/>
      <c r="IM153" s="1403"/>
      <c r="IN153" s="254"/>
      <c r="IO153" s="254"/>
      <c r="IP153" s="254"/>
      <c r="IQ153" s="254"/>
      <c r="IR153" s="223"/>
    </row>
    <row r="154" spans="1:252" ht="13.8" thickBot="1">
      <c r="A154" t="str">
        <f t="shared" si="141"/>
        <v>2011Q2</v>
      </c>
      <c r="B154">
        <f t="shared" si="142"/>
        <v>2011</v>
      </c>
      <c r="C154" s="49">
        <f t="shared" si="143"/>
        <v>40695</v>
      </c>
      <c r="D154" s="115">
        <f t="shared" si="144"/>
        <v>2011</v>
      </c>
      <c r="E154" s="10">
        <f t="shared" si="167"/>
        <v>6</v>
      </c>
      <c r="F154" s="248" t="str">
        <f t="shared" si="168"/>
        <v/>
      </c>
      <c r="G154" s="245">
        <v>40695</v>
      </c>
      <c r="H154" s="251">
        <v>40724</v>
      </c>
      <c r="I154" s="959">
        <f t="shared" si="165"/>
        <v>7.1499999999999994E-2</v>
      </c>
      <c r="J154" s="37">
        <f t="shared" si="145"/>
        <v>0.44283715925234191</v>
      </c>
      <c r="K154" s="1036"/>
      <c r="L154" s="37"/>
      <c r="M154" s="1004">
        <v>0</v>
      </c>
      <c r="N154" s="38">
        <f t="shared" si="170"/>
        <v>0</v>
      </c>
      <c r="O154" s="40">
        <f t="shared" si="170"/>
        <v>0</v>
      </c>
      <c r="P154" s="159">
        <f t="shared" si="117"/>
        <v>0</v>
      </c>
      <c r="Q154" s="38">
        <f t="shared" si="171"/>
        <v>0</v>
      </c>
      <c r="R154" s="40">
        <f t="shared" si="171"/>
        <v>0</v>
      </c>
      <c r="S154" s="38">
        <f t="shared" si="171"/>
        <v>0</v>
      </c>
      <c r="T154" s="38">
        <f t="shared" si="171"/>
        <v>0</v>
      </c>
      <c r="U154" s="38">
        <f t="shared" si="171"/>
        <v>0</v>
      </c>
      <c r="V154" s="159">
        <f t="shared" si="171"/>
        <v>0</v>
      </c>
      <c r="W154" s="38">
        <f t="shared" si="171"/>
        <v>0</v>
      </c>
      <c r="X154" s="39">
        <f t="shared" si="171"/>
        <v>0</v>
      </c>
      <c r="Y154" s="46">
        <v>0</v>
      </c>
      <c r="Z154" s="46">
        <v>0</v>
      </c>
      <c r="AA154" s="47">
        <v>0</v>
      </c>
      <c r="AB154" s="46">
        <v>0</v>
      </c>
      <c r="AC154" s="46">
        <v>0</v>
      </c>
      <c r="AD154" s="47">
        <v>0</v>
      </c>
      <c r="AE154" s="46">
        <v>0</v>
      </c>
      <c r="AF154" s="46">
        <v>0</v>
      </c>
      <c r="AG154" s="47">
        <v>0</v>
      </c>
      <c r="AH154" s="46">
        <v>0</v>
      </c>
      <c r="AI154" s="46">
        <v>0</v>
      </c>
      <c r="AJ154" s="47">
        <v>0</v>
      </c>
      <c r="AK154" s="46">
        <v>0</v>
      </c>
      <c r="AL154" s="46">
        <v>0</v>
      </c>
      <c r="AM154" s="47">
        <v>0</v>
      </c>
      <c r="AN154" s="46">
        <v>0</v>
      </c>
      <c r="AO154" s="46">
        <v>0</v>
      </c>
      <c r="AP154" s="47">
        <v>0</v>
      </c>
      <c r="AQ154" s="46">
        <v>0</v>
      </c>
      <c r="AR154" s="46">
        <v>0</v>
      </c>
      <c r="AS154" s="47">
        <v>0</v>
      </c>
      <c r="AT154" s="46">
        <v>0</v>
      </c>
      <c r="AU154" s="46">
        <v>0</v>
      </c>
      <c r="AV154" s="46">
        <v>0</v>
      </c>
      <c r="AW154" s="1545">
        <v>0</v>
      </c>
      <c r="AX154" s="10">
        <f t="shared" si="169"/>
        <v>22</v>
      </c>
      <c r="AY154" s="42">
        <f>IF(AND($E154=MONTH(Summary!$E$24),$D154=YEAR(Summary!$E$24)),Summary!$E$25,1)*IF(G154="",0,INT((H154-MOD(H154,7)-G154)/7)+1-IF(BA154,IF(WEEKDAY(F154)=7,1,0),0))</f>
        <v>4</v>
      </c>
      <c r="AZ154" s="42">
        <f>IF(AND($E154=MONTH(Summary!$E$24),$D154=YEAR(Summary!$E$24)),Summary!$E$25,1)*IF(G154="",0,INT((H154-MOD(H154-1,7)-G154)/7)+1-IF(BA154,IF(WEEKDAY(F154)=1,1,0),0))</f>
        <v>4</v>
      </c>
      <c r="BA154" s="42">
        <v>0</v>
      </c>
      <c r="BB154" s="10">
        <f>IF(AND($E154=MONTH(Summary!$E$24),$D154=YEAR(Summary!$E$24)),Summary!$E$25,1)*IF(G154="",0,H154-G154+1)</f>
        <v>30</v>
      </c>
      <c r="BC154" s="914">
        <f>Summary!$E$19</f>
        <v>1.4999999999999999E-2</v>
      </c>
      <c r="BD154" s="113">
        <v>15602.4</v>
      </c>
      <c r="BE154" s="171">
        <v>2836.8</v>
      </c>
      <c r="BF154" s="171">
        <v>2836.8</v>
      </c>
      <c r="BG154" s="174"/>
      <c r="BH154" s="1198">
        <v>1</v>
      </c>
      <c r="BI154" s="1198">
        <v>1</v>
      </c>
      <c r="BJ154" s="1198">
        <v>1</v>
      </c>
      <c r="BK154" s="1198">
        <v>1</v>
      </c>
      <c r="BL154" s="95">
        <v>3120.48</v>
      </c>
      <c r="BM154" s="171">
        <v>567.36</v>
      </c>
      <c r="BN154" s="171">
        <v>567.36</v>
      </c>
      <c r="BO154" s="174"/>
      <c r="BP154" s="1198">
        <v>1</v>
      </c>
      <c r="BQ154" s="1199">
        <v>1</v>
      </c>
      <c r="BR154" s="1199">
        <v>1</v>
      </c>
      <c r="BS154" s="1200">
        <v>1</v>
      </c>
      <c r="BT154" s="94">
        <f t="shared" si="146"/>
        <v>21276</v>
      </c>
      <c r="BU154" s="233">
        <f t="shared" si="147"/>
        <v>21276</v>
      </c>
      <c r="BV154" s="92">
        <f t="shared" si="148"/>
        <v>4255.2</v>
      </c>
      <c r="BW154" s="233">
        <f t="shared" si="149"/>
        <v>4255.2</v>
      </c>
      <c r="BX154" s="88">
        <v>11.460643394934976</v>
      </c>
      <c r="BY154" s="90">
        <v>0</v>
      </c>
      <c r="BZ154" s="88">
        <v>0</v>
      </c>
      <c r="CA154" s="88">
        <v>0</v>
      </c>
      <c r="CB154" s="88">
        <v>0</v>
      </c>
      <c r="CC154" s="88">
        <v>0</v>
      </c>
      <c r="CD154" s="88">
        <v>0</v>
      </c>
      <c r="CE154" s="100">
        <v>0</v>
      </c>
      <c r="CF154" s="88">
        <v>0</v>
      </c>
      <c r="CG154" s="88">
        <v>0</v>
      </c>
      <c r="CH154" s="88">
        <v>0</v>
      </c>
      <c r="CI154" s="88">
        <v>0</v>
      </c>
      <c r="CJ154" s="228">
        <v>0</v>
      </c>
      <c r="CK154" s="88">
        <v>0</v>
      </c>
      <c r="CL154" s="88">
        <v>0</v>
      </c>
      <c r="CM154" s="88">
        <v>0</v>
      </c>
      <c r="CN154" s="88">
        <v>0</v>
      </c>
      <c r="CO154" s="88">
        <v>0</v>
      </c>
      <c r="CP154" s="88">
        <v>0</v>
      </c>
      <c r="CQ154" s="229">
        <v>0</v>
      </c>
      <c r="CR154" s="91">
        <v>0</v>
      </c>
      <c r="CS154" s="91">
        <v>0</v>
      </c>
      <c r="CT154" s="91">
        <v>0</v>
      </c>
      <c r="CU154" s="91">
        <v>0</v>
      </c>
      <c r="CV154" s="91">
        <v>0</v>
      </c>
      <c r="CW154" s="91">
        <v>0</v>
      </c>
      <c r="CX154" s="225">
        <v>0</v>
      </c>
      <c r="CY154" s="1265">
        <v>7749.3003200000003</v>
      </c>
      <c r="CZ154" s="90">
        <v>0</v>
      </c>
      <c r="DA154" s="88">
        <v>0</v>
      </c>
      <c r="DB154" s="88">
        <v>0</v>
      </c>
      <c r="DC154" s="88">
        <v>0</v>
      </c>
      <c r="DD154" s="88">
        <v>0</v>
      </c>
      <c r="DE154" s="152">
        <v>0</v>
      </c>
      <c r="DF154" s="230">
        <v>0</v>
      </c>
      <c r="DG154" s="38">
        <v>0</v>
      </c>
      <c r="DH154" s="1237">
        <v>0</v>
      </c>
      <c r="DI154" s="956">
        <v>0</v>
      </c>
      <c r="DJ154" s="956">
        <v>0</v>
      </c>
      <c r="DK154" s="956">
        <v>0</v>
      </c>
      <c r="DL154" s="152">
        <v>0</v>
      </c>
      <c r="DM154" s="160">
        <v>0</v>
      </c>
      <c r="DN154" s="160">
        <v>0</v>
      </c>
      <c r="DO154" s="160">
        <v>0</v>
      </c>
      <c r="DP154" s="160">
        <v>0</v>
      </c>
      <c r="DQ154" s="160">
        <v>0</v>
      </c>
      <c r="DR154" s="230">
        <v>0</v>
      </c>
      <c r="DS154" s="88">
        <v>0</v>
      </c>
      <c r="DT154" s="88">
        <v>0</v>
      </c>
      <c r="DU154" s="88">
        <v>0</v>
      </c>
      <c r="DV154" s="88">
        <v>0</v>
      </c>
      <c r="DW154" s="88">
        <v>0</v>
      </c>
      <c r="DX154" s="88">
        <v>0</v>
      </c>
      <c r="DY154" s="88">
        <v>0</v>
      </c>
      <c r="DZ154" s="88">
        <v>0</v>
      </c>
      <c r="EA154" s="88">
        <v>0</v>
      </c>
      <c r="EB154" s="152">
        <v>0</v>
      </c>
      <c r="EC154" s="52">
        <f t="shared" si="150"/>
        <v>0</v>
      </c>
      <c r="ED154" s="52">
        <f t="shared" si="150"/>
        <v>0</v>
      </c>
      <c r="EE154" s="52">
        <f t="shared" si="150"/>
        <v>0</v>
      </c>
      <c r="EF154" s="52">
        <f t="shared" si="150"/>
        <v>0</v>
      </c>
      <c r="EG154" s="52">
        <f t="shared" si="151"/>
        <v>0</v>
      </c>
      <c r="EH154" s="238">
        <v>0</v>
      </c>
      <c r="EI154" s="211">
        <v>0</v>
      </c>
      <c r="EJ154" s="211">
        <v>0</v>
      </c>
      <c r="EK154" s="211">
        <v>0</v>
      </c>
      <c r="EL154" s="217">
        <f>IF(C154&gt;=Summary!$E$26,MAX(0,SUM(EH154:EK154)),0)</f>
        <v>0</v>
      </c>
      <c r="EM154" s="52">
        <f>IF(C154&gt;=Summary!$E$26,DX154*BL154,0)</f>
        <v>0</v>
      </c>
      <c r="EN154" s="52">
        <f>IF(C154&gt;=Summary!$E$26,DY154*BM154,0)</f>
        <v>0</v>
      </c>
      <c r="EO154" s="52">
        <f>IF(C154&gt;=Summary!$E$26,DZ154*BN154,0)</f>
        <v>0</v>
      </c>
      <c r="EP154" s="52">
        <f>IF(C154&gt;=Summary!$E$26,EA154*BO154,0)</f>
        <v>0</v>
      </c>
      <c r="EQ154" s="52">
        <f>IF(C154&gt;=Summary!$E$26,DX154*BL154+DY154*BM154+DZ154*BN154+EA154*BO154,0)</f>
        <v>0</v>
      </c>
      <c r="ER154" s="826">
        <v>0</v>
      </c>
      <c r="ES154" s="278">
        <v>0</v>
      </c>
      <c r="ET154" s="278">
        <v>0</v>
      </c>
      <c r="EU154" s="278">
        <v>0</v>
      </c>
      <c r="EV154" s="212">
        <f>IF(C154&gt;=Summary!$E$26,MAX(0,SUM(ER154:EU154)),0)</f>
        <v>0</v>
      </c>
      <c r="EW154" s="52"/>
      <c r="EX154" s="1049">
        <f t="shared" si="152"/>
        <v>0</v>
      </c>
      <c r="EY154" s="1045" t="str">
        <f t="shared" si="153"/>
        <v/>
      </c>
      <c r="EZ154" s="1684" t="s">
        <v>525</v>
      </c>
      <c r="FA154" s="1046">
        <f t="shared" si="166"/>
        <v>45</v>
      </c>
      <c r="FB154" s="256">
        <f t="shared" si="154"/>
        <v>11701.8</v>
      </c>
      <c r="FC154" s="194">
        <f t="shared" si="155"/>
        <v>0</v>
      </c>
      <c r="FD154" s="194">
        <f t="shared" si="156"/>
        <v>2127.6</v>
      </c>
      <c r="FE154" s="194">
        <f t="shared" si="157"/>
        <v>0</v>
      </c>
      <c r="FF154" s="194">
        <f t="shared" si="158"/>
        <v>2127.6</v>
      </c>
      <c r="FG154" s="194">
        <f t="shared" si="159"/>
        <v>0</v>
      </c>
      <c r="FH154" s="257">
        <f>IF(EZ154="No",IF((OR(MONTH(C154)=5,MONTH(C154)=6,MONTH(C154)=7,MONTH(C154)=8,MONTH(C154)=9)),Summary!$O$15*12*(AX154+AY154+AZ154+BA154)*(1-$BC154),Summary!$O$15*13*(AX154+AY154+AZ154+BA154)*(1-$BC154)+IF(Summary!$O$16="Yes",(CALC!FA154+Summary!$O$15)*6*(AX154+AY154+AZ154+BA154)*(1-$BC154),0)),0)</f>
        <v>0</v>
      </c>
      <c r="FI154" s="1412">
        <f>IF(MONTH(C154)=5,FI153*(IF(Summary!$E$70="no",(1+(Summary!$E$71*0.8)),1+HLOOKUP(YEAR(C154)-1,CCFMODEL!$I$127:$AF$128,2)*0.8)),+FI153)</f>
        <v>35.360887055808156</v>
      </c>
      <c r="FJ154" s="1411">
        <f>IF(MONTH(C154)=5,FJ153*(IF(Summary!$E$70="no",(1+(Summary!$E$71*0.8)),1+HLOOKUP(YEAR(CALC!C154)-1,CCFMODEL!$I$127:$AF$128,2)*0.8)),FJ153)</f>
        <v>30.905972151139412</v>
      </c>
      <c r="FK154" s="832">
        <f t="shared" si="127"/>
        <v>564253.67474953074</v>
      </c>
      <c r="FL154" s="1412">
        <f>IF(MONTH(C154)=5,FL153*(IF(Summary!$E$70="no",(1+(Summary!$E$71*0.8)),1+HLOOKUP(YEAR(CALC!C154)-1,CCFMODEL!$I$127:$AF$128,2)*0.8)),+FL153)</f>
        <v>74.36790982228267</v>
      </c>
      <c r="FM154" s="1411">
        <f>IF(MONTH(C154)=5,FM153*(IF(Summary!$E$70="no",(1+(Summary!$E$71*0.8)),1+HLOOKUP(YEAR(CALC!C154)-1,CCFMODEL!$I$127:$AF$128,2)*0.8)),+FM153)</f>
        <v>35.493473808923291</v>
      </c>
      <c r="FN154" s="832">
        <f t="shared" si="128"/>
        <v>1204760.1391209792</v>
      </c>
      <c r="FO154" s="194">
        <f t="shared" si="160"/>
        <v>1769013.8138705101</v>
      </c>
      <c r="FP154" s="263">
        <f t="shared" si="125"/>
        <v>11701.8</v>
      </c>
      <c r="FQ154" s="194">
        <f t="shared" si="125"/>
        <v>0</v>
      </c>
      <c r="FR154" s="194">
        <f t="shared" si="125"/>
        <v>2127.6</v>
      </c>
      <c r="FS154" s="194">
        <f t="shared" si="125"/>
        <v>0</v>
      </c>
      <c r="FT154" s="194">
        <f t="shared" si="125"/>
        <v>2127.6</v>
      </c>
      <c r="FU154" s="194">
        <f t="shared" si="125"/>
        <v>0</v>
      </c>
      <c r="FV154" s="257">
        <f t="shared" si="124"/>
        <v>0</v>
      </c>
      <c r="FW154" s="189">
        <f t="shared" si="129"/>
        <v>0</v>
      </c>
      <c r="FX154" s="189">
        <f t="shared" si="130"/>
        <v>0</v>
      </c>
      <c r="FY154" s="189">
        <f t="shared" si="131"/>
        <v>0</v>
      </c>
      <c r="FZ154" s="258">
        <f t="shared" si="132"/>
        <v>0</v>
      </c>
      <c r="GA154" s="1294">
        <f>(SUM(FP154:FV154)+SUM(GU154:HB154)/(1-Summary!$O$25))*CY154/1000</f>
        <v>197848.93632998399</v>
      </c>
      <c r="GB154" s="1369">
        <f>IF($C154&lt;Summary!$M$81,+Summary!$O$81,VLOOKUP(C154,GasTable,19))</f>
        <v>3.0722775755729788</v>
      </c>
      <c r="GC154" s="1370">
        <f>IF(H154&lt;=Summary!$N$84,MIN(GA154,Summary!$O$75*(H154-G154+1)),0)</f>
        <v>0</v>
      </c>
      <c r="GD154" s="1371">
        <f>IF(C154&lt;Summary!$N$84,IF(Summary!$O$75*(H154-G154+1)*0.8&gt;GC154,1,0),0)</f>
        <v>0</v>
      </c>
      <c r="GE154" s="1372">
        <v>0</v>
      </c>
      <c r="GF154" s="1370">
        <f t="shared" si="161"/>
        <v>197848.93632998399</v>
      </c>
      <c r="GG154" s="1371">
        <f>GF154*(IF(Summary!$O$74=1,VLOOKUP($C154,GasTable,16)+Summary!$O$92+Summary!$O$93,VLOOKUP($C154,GasTable,19)+Summary!$O$92+Summary!$O$93))</f>
        <v>618154.78002036794</v>
      </c>
      <c r="GH154" s="1373">
        <v>4608.4163633594681</v>
      </c>
      <c r="GI154" s="1466">
        <v>0</v>
      </c>
      <c r="GJ154" s="1374">
        <f t="shared" si="162"/>
        <v>622763.19638372737</v>
      </c>
      <c r="GK154" s="189">
        <f t="shared" si="133"/>
        <v>25196.103000000006</v>
      </c>
      <c r="GL154" s="266">
        <v>0.51920312144000003</v>
      </c>
      <c r="GM154" s="255">
        <f t="shared" si="134"/>
        <v>0</v>
      </c>
      <c r="GN154" s="189">
        <f>IF(SUM(GU154:HB154)=0,0,IF(Summary!$O$16="Yes",SUM(GX154:HB154),IF(Summary!$O$17="Yes",SUM(GY154:HB154),SUM(GU154:HB154))))</f>
        <v>9239.1029999999992</v>
      </c>
      <c r="GO154" s="203">
        <v>3.2938198590278516</v>
      </c>
      <c r="GP154" s="258">
        <f t="shared" si="163"/>
        <v>30431.940941003799</v>
      </c>
      <c r="GQ154" s="189"/>
      <c r="GR154" s="189"/>
      <c r="GS154" s="189"/>
      <c r="GT154" s="189"/>
      <c r="GU154" s="268">
        <v>3764.0790000000002</v>
      </c>
      <c r="GV154" s="189">
        <v>684.37800000000027</v>
      </c>
      <c r="GW154" s="189">
        <v>684.37800000000027</v>
      </c>
      <c r="GX154" s="189"/>
      <c r="GY154" s="254">
        <v>3011.2631999999999</v>
      </c>
      <c r="GZ154" s="189">
        <v>547.50239999999997</v>
      </c>
      <c r="HA154" s="189">
        <v>547.50239999999997</v>
      </c>
      <c r="HB154" s="255"/>
      <c r="HC154" s="189">
        <v>9239.1029999999992</v>
      </c>
      <c r="HD154" s="189"/>
      <c r="HE154" s="189">
        <v>21557.906999999999</v>
      </c>
      <c r="HF154" s="189">
        <v>338829.06199044513</v>
      </c>
      <c r="HG154" s="189"/>
      <c r="HH154" s="203">
        <v>37.939096580161582</v>
      </c>
      <c r="HI154" s="189">
        <v>817887.51573914138</v>
      </c>
      <c r="HJ154" s="268">
        <f t="shared" si="135"/>
        <v>0</v>
      </c>
      <c r="HK154" s="189">
        <f t="shared" si="136"/>
        <v>0</v>
      </c>
      <c r="HL154" s="189">
        <f t="shared" si="137"/>
        <v>0</v>
      </c>
      <c r="HM154" s="255">
        <f t="shared" si="138"/>
        <v>0</v>
      </c>
      <c r="HN154" s="189">
        <f t="shared" si="139"/>
        <v>0</v>
      </c>
      <c r="HO154" s="203">
        <f t="shared" si="164"/>
        <v>0</v>
      </c>
      <c r="HP154" s="258">
        <f t="shared" si="140"/>
        <v>0</v>
      </c>
      <c r="HQ154" s="203"/>
      <c r="HR154" s="268"/>
      <c r="HS154" s="38"/>
      <c r="HT154" s="255"/>
      <c r="HU154" s="254"/>
      <c r="HV154" s="203"/>
      <c r="HW154" s="189"/>
      <c r="HX154" s="1020"/>
      <c r="HY154" s="258"/>
      <c r="HZ154" s="268"/>
      <c r="IA154" s="203"/>
      <c r="IB154" s="255"/>
      <c r="IC154" s="254"/>
      <c r="ID154" s="203"/>
      <c r="IE154" s="255"/>
      <c r="IF154" s="189"/>
      <c r="IG154" s="203"/>
      <c r="IH154" s="255"/>
      <c r="II154" s="189"/>
      <c r="IJ154" s="203"/>
      <c r="IK154" s="189"/>
      <c r="IL154" s="1182"/>
      <c r="IM154" s="1403"/>
      <c r="IN154" s="254"/>
      <c r="IO154" s="254"/>
      <c r="IP154" s="254"/>
      <c r="IQ154" s="254"/>
      <c r="IR154" s="223"/>
    </row>
    <row r="155" spans="1:252" ht="13.8" thickBot="1">
      <c r="A155" t="str">
        <f t="shared" si="141"/>
        <v>2011Q3</v>
      </c>
      <c r="B155">
        <f t="shared" si="142"/>
        <v>2011</v>
      </c>
      <c r="C155" s="49">
        <f t="shared" si="143"/>
        <v>40725</v>
      </c>
      <c r="D155" s="115">
        <f t="shared" si="144"/>
        <v>2011</v>
      </c>
      <c r="E155" s="10">
        <f t="shared" si="167"/>
        <v>7</v>
      </c>
      <c r="F155" s="248">
        <f t="shared" si="168"/>
        <v>40728</v>
      </c>
      <c r="G155" s="245">
        <v>40725</v>
      </c>
      <c r="H155" s="251">
        <v>40755</v>
      </c>
      <c r="I155" s="959">
        <f t="shared" si="165"/>
        <v>7.1499999999999994E-2</v>
      </c>
      <c r="J155" s="37">
        <f t="shared" si="145"/>
        <v>0.44020460291115621</v>
      </c>
      <c r="K155" s="1036"/>
      <c r="L155" s="37"/>
      <c r="M155" s="1004">
        <v>0</v>
      </c>
      <c r="N155" s="38">
        <f t="shared" si="170"/>
        <v>0</v>
      </c>
      <c r="O155" s="40">
        <f t="shared" si="170"/>
        <v>0</v>
      </c>
      <c r="P155" s="159">
        <f t="shared" si="117"/>
        <v>0</v>
      </c>
      <c r="Q155" s="38">
        <f t="shared" si="171"/>
        <v>0</v>
      </c>
      <c r="R155" s="40">
        <f t="shared" si="171"/>
        <v>0</v>
      </c>
      <c r="S155" s="38">
        <f t="shared" si="171"/>
        <v>0</v>
      </c>
      <c r="T155" s="38">
        <f t="shared" si="171"/>
        <v>0</v>
      </c>
      <c r="U155" s="38">
        <f t="shared" si="171"/>
        <v>0</v>
      </c>
      <c r="V155" s="159">
        <f t="shared" si="171"/>
        <v>0</v>
      </c>
      <c r="W155" s="38">
        <f t="shared" si="171"/>
        <v>0</v>
      </c>
      <c r="X155" s="39">
        <f t="shared" si="171"/>
        <v>0</v>
      </c>
      <c r="Y155" s="46">
        <v>0</v>
      </c>
      <c r="Z155" s="46">
        <v>0</v>
      </c>
      <c r="AA155" s="47">
        <v>0</v>
      </c>
      <c r="AB155" s="46">
        <v>0</v>
      </c>
      <c r="AC155" s="46">
        <v>0</v>
      </c>
      <c r="AD155" s="47">
        <v>0</v>
      </c>
      <c r="AE155" s="46">
        <v>0</v>
      </c>
      <c r="AF155" s="46">
        <v>0</v>
      </c>
      <c r="AG155" s="47">
        <v>0</v>
      </c>
      <c r="AH155" s="46">
        <v>0</v>
      </c>
      <c r="AI155" s="46">
        <v>0</v>
      </c>
      <c r="AJ155" s="47">
        <v>0</v>
      </c>
      <c r="AK155" s="46">
        <v>0</v>
      </c>
      <c r="AL155" s="46">
        <v>0</v>
      </c>
      <c r="AM155" s="47">
        <v>0</v>
      </c>
      <c r="AN155" s="46">
        <v>0</v>
      </c>
      <c r="AO155" s="46">
        <v>0</v>
      </c>
      <c r="AP155" s="47">
        <v>0</v>
      </c>
      <c r="AQ155" s="46">
        <v>0</v>
      </c>
      <c r="AR155" s="46">
        <v>0</v>
      </c>
      <c r="AS155" s="47">
        <v>0</v>
      </c>
      <c r="AT155" s="46">
        <v>0</v>
      </c>
      <c r="AU155" s="46">
        <v>0</v>
      </c>
      <c r="AV155" s="46">
        <v>0</v>
      </c>
      <c r="AW155" s="1545">
        <v>0</v>
      </c>
      <c r="AX155" s="10">
        <f t="shared" si="169"/>
        <v>20</v>
      </c>
      <c r="AY155" s="42">
        <f>IF(AND($E155=MONTH(Summary!$E$24),$D155=YEAR(Summary!$E$24)),Summary!$E$25,1)*IF(G155="",0,INT((H155-MOD(H155,7)-G155)/7)+1-IF(BA155,IF(WEEKDAY(F155)=7,1,0),0))</f>
        <v>5</v>
      </c>
      <c r="AZ155" s="42">
        <f>IF(AND($E155=MONTH(Summary!$E$24),$D155=YEAR(Summary!$E$24)),Summary!$E$25,1)*IF(G155="",0,INT((H155-MOD(H155-1,7)-G155)/7)+1-IF(BA155,IF(WEEKDAY(F155)=1,1,0),0))</f>
        <v>5</v>
      </c>
      <c r="BA155" s="42">
        <v>1</v>
      </c>
      <c r="BB155" s="10">
        <f>IF(AND($E155=MONTH(Summary!$E$24),$D155=YEAR(Summary!$E$24)),Summary!$E$25,1)*IF(G155="",0,H155-G155+1)</f>
        <v>31</v>
      </c>
      <c r="BC155" s="914">
        <f>Summary!$E$19</f>
        <v>1.4999999999999999E-2</v>
      </c>
      <c r="BD155" s="113">
        <v>14184</v>
      </c>
      <c r="BE155" s="171">
        <v>3546</v>
      </c>
      <c r="BF155" s="171">
        <v>4255.2</v>
      </c>
      <c r="BG155" s="174"/>
      <c r="BH155" s="1198">
        <v>1</v>
      </c>
      <c r="BI155" s="1198">
        <v>1</v>
      </c>
      <c r="BJ155" s="1198">
        <v>1</v>
      </c>
      <c r="BK155" s="1198">
        <v>1</v>
      </c>
      <c r="BL155" s="95">
        <v>2836.8</v>
      </c>
      <c r="BM155" s="171">
        <v>709.2</v>
      </c>
      <c r="BN155" s="171">
        <v>851.04</v>
      </c>
      <c r="BO155" s="174"/>
      <c r="BP155" s="1198">
        <v>1</v>
      </c>
      <c r="BQ155" s="1199">
        <v>1</v>
      </c>
      <c r="BR155" s="1199">
        <v>1</v>
      </c>
      <c r="BS155" s="1200">
        <v>1</v>
      </c>
      <c r="BT155" s="94">
        <f t="shared" si="146"/>
        <v>21985.200000000001</v>
      </c>
      <c r="BU155" s="233">
        <f t="shared" si="147"/>
        <v>21985.200000000001</v>
      </c>
      <c r="BV155" s="92">
        <f t="shared" si="148"/>
        <v>4397.04</v>
      </c>
      <c r="BW155" s="233">
        <f t="shared" si="149"/>
        <v>4397.04</v>
      </c>
      <c r="BX155" s="88">
        <v>11.542778918548938</v>
      </c>
      <c r="BY155" s="90">
        <v>0</v>
      </c>
      <c r="BZ155" s="88">
        <v>0</v>
      </c>
      <c r="CA155" s="88">
        <v>0</v>
      </c>
      <c r="CB155" s="88">
        <v>0</v>
      </c>
      <c r="CC155" s="88">
        <v>0</v>
      </c>
      <c r="CD155" s="88">
        <v>0</v>
      </c>
      <c r="CE155" s="100">
        <v>0</v>
      </c>
      <c r="CF155" s="88">
        <v>0</v>
      </c>
      <c r="CG155" s="88">
        <v>0</v>
      </c>
      <c r="CH155" s="88">
        <v>0</v>
      </c>
      <c r="CI155" s="88">
        <v>0</v>
      </c>
      <c r="CJ155" s="228">
        <v>0</v>
      </c>
      <c r="CK155" s="88">
        <v>0</v>
      </c>
      <c r="CL155" s="88">
        <v>0</v>
      </c>
      <c r="CM155" s="88">
        <v>0</v>
      </c>
      <c r="CN155" s="88">
        <v>0</v>
      </c>
      <c r="CO155" s="88">
        <v>0</v>
      </c>
      <c r="CP155" s="88">
        <v>0</v>
      </c>
      <c r="CQ155" s="229">
        <v>0</v>
      </c>
      <c r="CR155" s="91">
        <v>0</v>
      </c>
      <c r="CS155" s="91">
        <v>0</v>
      </c>
      <c r="CT155" s="91">
        <v>0</v>
      </c>
      <c r="CU155" s="91">
        <v>0</v>
      </c>
      <c r="CV155" s="91">
        <v>0</v>
      </c>
      <c r="CW155" s="91">
        <v>0</v>
      </c>
      <c r="CX155" s="225">
        <v>0</v>
      </c>
      <c r="CY155" s="1265">
        <v>7751.3312800000003</v>
      </c>
      <c r="CZ155" s="90">
        <v>0</v>
      </c>
      <c r="DA155" s="88">
        <v>0</v>
      </c>
      <c r="DB155" s="88">
        <v>0</v>
      </c>
      <c r="DC155" s="88">
        <v>0</v>
      </c>
      <c r="DD155" s="88">
        <v>0</v>
      </c>
      <c r="DE155" s="152">
        <v>0</v>
      </c>
      <c r="DF155" s="230">
        <v>0</v>
      </c>
      <c r="DG155" s="38">
        <v>0</v>
      </c>
      <c r="DH155" s="1237">
        <v>0</v>
      </c>
      <c r="DI155" s="956">
        <v>0</v>
      </c>
      <c r="DJ155" s="956">
        <v>0</v>
      </c>
      <c r="DK155" s="956">
        <v>0</v>
      </c>
      <c r="DL155" s="152">
        <v>0</v>
      </c>
      <c r="DM155" s="160">
        <v>0</v>
      </c>
      <c r="DN155" s="160">
        <v>0</v>
      </c>
      <c r="DO155" s="160">
        <v>0</v>
      </c>
      <c r="DP155" s="160">
        <v>0</v>
      </c>
      <c r="DQ155" s="160">
        <v>0</v>
      </c>
      <c r="DR155" s="230">
        <v>0</v>
      </c>
      <c r="DS155" s="88">
        <v>0</v>
      </c>
      <c r="DT155" s="88">
        <v>0</v>
      </c>
      <c r="DU155" s="88">
        <v>0</v>
      </c>
      <c r="DV155" s="88">
        <v>0</v>
      </c>
      <c r="DW155" s="88">
        <v>0</v>
      </c>
      <c r="DX155" s="88">
        <v>0</v>
      </c>
      <c r="DY155" s="88">
        <v>0</v>
      </c>
      <c r="DZ155" s="88">
        <v>0</v>
      </c>
      <c r="EA155" s="88">
        <v>0</v>
      </c>
      <c r="EB155" s="152">
        <v>0</v>
      </c>
      <c r="EC155" s="52">
        <f t="shared" si="150"/>
        <v>0</v>
      </c>
      <c r="ED155" s="52">
        <f t="shared" si="150"/>
        <v>0</v>
      </c>
      <c r="EE155" s="52">
        <f t="shared" si="150"/>
        <v>0</v>
      </c>
      <c r="EF155" s="52">
        <f t="shared" si="150"/>
        <v>0</v>
      </c>
      <c r="EG155" s="52">
        <f t="shared" si="151"/>
        <v>0</v>
      </c>
      <c r="EH155" s="238">
        <v>0</v>
      </c>
      <c r="EI155" s="211">
        <v>0</v>
      </c>
      <c r="EJ155" s="211">
        <v>0</v>
      </c>
      <c r="EK155" s="211">
        <v>0</v>
      </c>
      <c r="EL155" s="217">
        <f>IF(C155&gt;=Summary!$E$26,MAX(0,SUM(EH155:EK155)),0)</f>
        <v>0</v>
      </c>
      <c r="EM155" s="52">
        <f>IF(C155&gt;=Summary!$E$26,DX155*BL155,0)</f>
        <v>0</v>
      </c>
      <c r="EN155" s="52">
        <f>IF(C155&gt;=Summary!$E$26,DY155*BM155,0)</f>
        <v>0</v>
      </c>
      <c r="EO155" s="52">
        <f>IF(C155&gt;=Summary!$E$26,DZ155*BN155,0)</f>
        <v>0</v>
      </c>
      <c r="EP155" s="52">
        <f>IF(C155&gt;=Summary!$E$26,EA155*BO155,0)</f>
        <v>0</v>
      </c>
      <c r="EQ155" s="52">
        <f>IF(C155&gt;=Summary!$E$26,DX155*BL155+DY155*BM155+DZ155*BN155+EA155*BO155,0)</f>
        <v>0</v>
      </c>
      <c r="ER155" s="826">
        <v>0</v>
      </c>
      <c r="ES155" s="278">
        <v>0</v>
      </c>
      <c r="ET155" s="278">
        <v>0</v>
      </c>
      <c r="EU155" s="278">
        <v>0</v>
      </c>
      <c r="EV155" s="212">
        <f>IF(C155&gt;=Summary!$E$26,MAX(0,SUM(ER155:EU155)),0)</f>
        <v>0</v>
      </c>
      <c r="EW155" s="52"/>
      <c r="EX155" s="1049">
        <f t="shared" si="152"/>
        <v>0</v>
      </c>
      <c r="EY155" s="1045" t="str">
        <f t="shared" si="153"/>
        <v/>
      </c>
      <c r="EZ155" s="1684" t="s">
        <v>525</v>
      </c>
      <c r="FA155" s="1046">
        <f t="shared" si="166"/>
        <v>45</v>
      </c>
      <c r="FB155" s="256">
        <f t="shared" si="154"/>
        <v>10638</v>
      </c>
      <c r="FC155" s="194">
        <f t="shared" si="155"/>
        <v>0</v>
      </c>
      <c r="FD155" s="194">
        <f t="shared" si="156"/>
        <v>2659.5</v>
      </c>
      <c r="FE155" s="194">
        <f t="shared" si="157"/>
        <v>0</v>
      </c>
      <c r="FF155" s="194">
        <f t="shared" si="158"/>
        <v>3191.4</v>
      </c>
      <c r="FG155" s="194">
        <f t="shared" si="159"/>
        <v>0</v>
      </c>
      <c r="FH155" s="257">
        <f>IF(EZ155="No",IF((OR(MONTH(C155)=5,MONTH(C155)=6,MONTH(C155)=7,MONTH(C155)=8,MONTH(C155)=9)),Summary!$O$15*12*(AX155+AY155+AZ155+BA155)*(1-$BC155),Summary!$O$15*13*(AX155+AY155+AZ155+BA155)*(1-$BC155)+IF(Summary!$O$16="Yes",(CALC!FA155+Summary!$O$15)*6*(AX155+AY155+AZ155+BA155)*(1-$BC155),0)),0)</f>
        <v>0</v>
      </c>
      <c r="FI155" s="1412">
        <f>IF(MONTH(C155)=5,FI154*(IF(Summary!$E$70="no",(1+(Summary!$E$71*0.8)),1+HLOOKUP(YEAR(C155)-1,CCFMODEL!$I$127:$AF$128,2)*0.8)),+FI154)</f>
        <v>35.360887055808156</v>
      </c>
      <c r="FJ155" s="1411">
        <f>IF(MONTH(C155)=5,FJ154*(IF(Summary!$E$70="no",(1+(Summary!$E$71*0.8)),1+HLOOKUP(YEAR(CALC!C155)-1,CCFMODEL!$I$127:$AF$128,2)*0.8)),FJ154)</f>
        <v>30.905972151139412</v>
      </c>
      <c r="FK155" s="832">
        <f t="shared" si="127"/>
        <v>583062.13057451521</v>
      </c>
      <c r="FL155" s="1412">
        <f>IF(MONTH(C155)=5,FL154*(IF(Summary!$E$70="no",(1+(Summary!$E$71*0.8)),1+HLOOKUP(YEAR(CALC!C155)-1,CCFMODEL!$I$127:$AF$128,2)*0.8)),+FL154)</f>
        <v>74.36790982228267</v>
      </c>
      <c r="FM155" s="1411">
        <f>IF(MONTH(C155)=5,FM154*(IF(Summary!$E$70="no",(1+(Summary!$E$71*0.8)),1+HLOOKUP(YEAR(CALC!C155)-1,CCFMODEL!$I$127:$AF$128,2)*0.8)),+FM154)</f>
        <v>35.493473808923291</v>
      </c>
      <c r="FN155" s="832">
        <f t="shared" si="128"/>
        <v>1244918.8104250119</v>
      </c>
      <c r="FO155" s="194">
        <f t="shared" si="160"/>
        <v>1827980.940999527</v>
      </c>
      <c r="FP155" s="263">
        <f t="shared" si="125"/>
        <v>10638</v>
      </c>
      <c r="FQ155" s="194">
        <f t="shared" si="125"/>
        <v>0</v>
      </c>
      <c r="FR155" s="194">
        <f t="shared" si="125"/>
        <v>2659.5</v>
      </c>
      <c r="FS155" s="194">
        <f t="shared" si="125"/>
        <v>0</v>
      </c>
      <c r="FT155" s="194">
        <f t="shared" si="125"/>
        <v>3191.4</v>
      </c>
      <c r="FU155" s="194">
        <f t="shared" si="125"/>
        <v>0</v>
      </c>
      <c r="FV155" s="257">
        <f t="shared" si="124"/>
        <v>0</v>
      </c>
      <c r="FW155" s="189">
        <f t="shared" si="129"/>
        <v>0</v>
      </c>
      <c r="FX155" s="189">
        <f t="shared" si="130"/>
        <v>0</v>
      </c>
      <c r="FY155" s="189">
        <f t="shared" si="131"/>
        <v>0</v>
      </c>
      <c r="FZ155" s="258">
        <f t="shared" si="132"/>
        <v>0</v>
      </c>
      <c r="GA155" s="1294">
        <f>(SUM(FP155:FV155)+SUM(GU155:HB155)/(1-Summary!$O$25))*CY155/1000</f>
        <v>204497.48214846724</v>
      </c>
      <c r="GB155" s="1369">
        <f>IF($C155&lt;Summary!$M$81,+Summary!$O$81,VLOOKUP(C155,GasTable,19))</f>
        <v>3.1561387419480607</v>
      </c>
      <c r="GC155" s="1370">
        <f>IF(H155&lt;=Summary!$N$84,MIN(GA155,Summary!$O$75*(H155-G155+1)),0)</f>
        <v>0</v>
      </c>
      <c r="GD155" s="1371">
        <f>IF(C155&lt;Summary!$N$84,IF(Summary!$O$75*(H155-G155+1)*0.8&gt;GC155,1,0),0)</f>
        <v>0</v>
      </c>
      <c r="GE155" s="1372">
        <v>0</v>
      </c>
      <c r="GF155" s="1370">
        <f t="shared" si="161"/>
        <v>204497.48214846724</v>
      </c>
      <c r="GG155" s="1371">
        <f>GF155*(IF(Summary!$O$74=1,VLOOKUP($C155,GasTable,16)+Summary!$O$92+Summary!$O$93,VLOOKUP($C155,GasTable,19)+Summary!$O$92+Summary!$O$93))</f>
        <v>656076.74485954456</v>
      </c>
      <c r="GH155" s="1373">
        <v>4892.0150500194941</v>
      </c>
      <c r="GI155" s="1466">
        <v>0</v>
      </c>
      <c r="GJ155" s="1374">
        <f t="shared" si="162"/>
        <v>660968.75990956405</v>
      </c>
      <c r="GK155" s="189">
        <f t="shared" si="133"/>
        <v>26035.973099999999</v>
      </c>
      <c r="GL155" s="266">
        <v>0.51933919576000009</v>
      </c>
      <c r="GM155" s="255">
        <f t="shared" si="134"/>
        <v>0</v>
      </c>
      <c r="GN155" s="189">
        <f>IF(SUM(GU155:HB155)=0,0,IF(Summary!$O$16="Yes",SUM(GX155:HB155),IF(Summary!$O$17="Yes",SUM(GY155:HB155),SUM(GU155:HB155))))</f>
        <v>9547.0731000000014</v>
      </c>
      <c r="GO155" s="203">
        <v>3.2938198590278516</v>
      </c>
      <c r="GP155" s="258">
        <f t="shared" si="163"/>
        <v>31446.338972370599</v>
      </c>
      <c r="GQ155" s="189"/>
      <c r="GR155" s="189"/>
      <c r="GS155" s="189"/>
      <c r="GT155" s="189"/>
      <c r="GU155" s="268">
        <v>3421.89</v>
      </c>
      <c r="GV155" s="189">
        <v>855.47249999999997</v>
      </c>
      <c r="GW155" s="189">
        <v>1026.5669999999998</v>
      </c>
      <c r="GX155" s="189"/>
      <c r="GY155" s="254">
        <v>2737.5120000000002</v>
      </c>
      <c r="GZ155" s="189">
        <v>684.37800000000004</v>
      </c>
      <c r="HA155" s="189">
        <v>821.25359999999989</v>
      </c>
      <c r="HB155" s="255"/>
      <c r="HC155" s="189">
        <v>9547.0731000000014</v>
      </c>
      <c r="HD155" s="189"/>
      <c r="HE155" s="189">
        <v>22276.503900000003</v>
      </c>
      <c r="HF155" s="189">
        <v>473902.20874747989</v>
      </c>
      <c r="HG155" s="189"/>
      <c r="HH155" s="203">
        <v>52.56590807938958</v>
      </c>
      <c r="HI155" s="189">
        <v>1170984.6563375636</v>
      </c>
      <c r="HJ155" s="268">
        <f t="shared" si="135"/>
        <v>0</v>
      </c>
      <c r="HK155" s="189">
        <f t="shared" si="136"/>
        <v>0</v>
      </c>
      <c r="HL155" s="189">
        <f t="shared" si="137"/>
        <v>0</v>
      </c>
      <c r="HM155" s="255">
        <f t="shared" si="138"/>
        <v>0</v>
      </c>
      <c r="HN155" s="189">
        <f t="shared" si="139"/>
        <v>0</v>
      </c>
      <c r="HO155" s="203">
        <f t="shared" si="164"/>
        <v>0</v>
      </c>
      <c r="HP155" s="258">
        <f t="shared" si="140"/>
        <v>0</v>
      </c>
      <c r="HQ155" s="203"/>
      <c r="HR155" s="268"/>
      <c r="HS155" s="38"/>
      <c r="HT155" s="255"/>
      <c r="HU155" s="254"/>
      <c r="HV155" s="203"/>
      <c r="HW155" s="189"/>
      <c r="HX155" s="1020"/>
      <c r="HY155" s="258"/>
      <c r="HZ155" s="268"/>
      <c r="IA155" s="203"/>
      <c r="IB155" s="255"/>
      <c r="IC155" s="254"/>
      <c r="ID155" s="203"/>
      <c r="IE155" s="255"/>
      <c r="IF155" s="189"/>
      <c r="IG155" s="203"/>
      <c r="IH155" s="255"/>
      <c r="II155" s="189"/>
      <c r="IJ155" s="203"/>
      <c r="IK155" s="189"/>
      <c r="IL155" s="1182"/>
      <c r="IM155" s="1403"/>
      <c r="IN155" s="254"/>
      <c r="IO155" s="254"/>
      <c r="IP155" s="254"/>
      <c r="IQ155" s="254"/>
      <c r="IR155" s="223"/>
    </row>
    <row r="156" spans="1:252" ht="13.8" thickBot="1">
      <c r="A156" t="str">
        <f t="shared" si="141"/>
        <v>2011Q3</v>
      </c>
      <c r="B156">
        <f t="shared" si="142"/>
        <v>2011</v>
      </c>
      <c r="C156" s="49">
        <f t="shared" si="143"/>
        <v>40756</v>
      </c>
      <c r="D156" s="115">
        <f t="shared" si="144"/>
        <v>2011</v>
      </c>
      <c r="E156" s="10">
        <f t="shared" si="167"/>
        <v>8</v>
      </c>
      <c r="F156" s="248" t="str">
        <f t="shared" si="168"/>
        <v/>
      </c>
      <c r="G156" s="245">
        <v>40756</v>
      </c>
      <c r="H156" s="251">
        <v>40786</v>
      </c>
      <c r="I156" s="959">
        <f t="shared" si="165"/>
        <v>7.1499999999999994E-2</v>
      </c>
      <c r="J156" s="37">
        <f t="shared" si="145"/>
        <v>0.43758769646010459</v>
      </c>
      <c r="K156" s="1036"/>
      <c r="L156" s="37"/>
      <c r="M156" s="1004">
        <v>0</v>
      </c>
      <c r="N156" s="38">
        <f t="shared" si="170"/>
        <v>0</v>
      </c>
      <c r="O156" s="40">
        <f t="shared" si="170"/>
        <v>0</v>
      </c>
      <c r="P156" s="159">
        <f t="shared" si="117"/>
        <v>0</v>
      </c>
      <c r="Q156" s="38">
        <f t="shared" si="171"/>
        <v>0</v>
      </c>
      <c r="R156" s="40">
        <f t="shared" si="171"/>
        <v>0</v>
      </c>
      <c r="S156" s="38">
        <f t="shared" si="171"/>
        <v>0</v>
      </c>
      <c r="T156" s="38">
        <f t="shared" si="171"/>
        <v>0</v>
      </c>
      <c r="U156" s="38">
        <f t="shared" si="171"/>
        <v>0</v>
      </c>
      <c r="V156" s="159">
        <f t="shared" si="171"/>
        <v>0</v>
      </c>
      <c r="W156" s="38">
        <f t="shared" si="171"/>
        <v>0</v>
      </c>
      <c r="X156" s="39">
        <f t="shared" si="171"/>
        <v>0</v>
      </c>
      <c r="Y156" s="46">
        <v>0</v>
      </c>
      <c r="Z156" s="46">
        <v>0</v>
      </c>
      <c r="AA156" s="47">
        <v>0</v>
      </c>
      <c r="AB156" s="46">
        <v>0</v>
      </c>
      <c r="AC156" s="46">
        <v>0</v>
      </c>
      <c r="AD156" s="47">
        <v>0</v>
      </c>
      <c r="AE156" s="46">
        <v>0</v>
      </c>
      <c r="AF156" s="46">
        <v>0</v>
      </c>
      <c r="AG156" s="47">
        <v>0</v>
      </c>
      <c r="AH156" s="46">
        <v>0</v>
      </c>
      <c r="AI156" s="46">
        <v>0</v>
      </c>
      <c r="AJ156" s="47">
        <v>0</v>
      </c>
      <c r="AK156" s="46">
        <v>0</v>
      </c>
      <c r="AL156" s="46">
        <v>0</v>
      </c>
      <c r="AM156" s="47">
        <v>0</v>
      </c>
      <c r="AN156" s="46">
        <v>0</v>
      </c>
      <c r="AO156" s="46">
        <v>0</v>
      </c>
      <c r="AP156" s="47">
        <v>0</v>
      </c>
      <c r="AQ156" s="46">
        <v>0</v>
      </c>
      <c r="AR156" s="46">
        <v>0</v>
      </c>
      <c r="AS156" s="47">
        <v>0</v>
      </c>
      <c r="AT156" s="46">
        <v>0</v>
      </c>
      <c r="AU156" s="46">
        <v>0</v>
      </c>
      <c r="AV156" s="46">
        <v>0</v>
      </c>
      <c r="AW156" s="1545">
        <v>0</v>
      </c>
      <c r="AX156" s="10">
        <f t="shared" si="169"/>
        <v>23</v>
      </c>
      <c r="AY156" s="42">
        <f>IF(AND($E156=MONTH(Summary!$E$24),$D156=YEAR(Summary!$E$24)),Summary!$E$25,1)*IF(G156="",0,INT((H156-MOD(H156,7)-G156)/7)+1-IF(BA156,IF(WEEKDAY(F156)=7,1,0),0))</f>
        <v>4</v>
      </c>
      <c r="AZ156" s="42">
        <f>IF(AND($E156=MONTH(Summary!$E$24),$D156=YEAR(Summary!$E$24)),Summary!$E$25,1)*IF(G156="",0,INT((H156-MOD(H156-1,7)-G156)/7)+1-IF(BA156,IF(WEEKDAY(F156)=1,1,0),0))</f>
        <v>4</v>
      </c>
      <c r="BA156" s="42">
        <v>0</v>
      </c>
      <c r="BB156" s="10">
        <f>IF(AND($E156=MONTH(Summary!$E$24),$D156=YEAR(Summary!$E$24)),Summary!$E$25,1)*IF(G156="",0,H156-G156+1)</f>
        <v>31</v>
      </c>
      <c r="BC156" s="914">
        <f>Summary!$E$19</f>
        <v>1.4999999999999999E-2</v>
      </c>
      <c r="BD156" s="113">
        <v>16311.6</v>
      </c>
      <c r="BE156" s="171">
        <v>2836.8</v>
      </c>
      <c r="BF156" s="171">
        <v>2836.8</v>
      </c>
      <c r="BG156" s="174"/>
      <c r="BH156" s="1198">
        <v>1</v>
      </c>
      <c r="BI156" s="1198">
        <v>1</v>
      </c>
      <c r="BJ156" s="1198">
        <v>1</v>
      </c>
      <c r="BK156" s="1198">
        <v>1</v>
      </c>
      <c r="BL156" s="95">
        <v>3262.32</v>
      </c>
      <c r="BM156" s="171">
        <v>567.36</v>
      </c>
      <c r="BN156" s="171">
        <v>567.36</v>
      </c>
      <c r="BO156" s="174"/>
      <c r="BP156" s="1198">
        <v>1</v>
      </c>
      <c r="BQ156" s="1199">
        <v>1</v>
      </c>
      <c r="BR156" s="1199">
        <v>1</v>
      </c>
      <c r="BS156" s="1200">
        <v>1</v>
      </c>
      <c r="BT156" s="94">
        <f t="shared" si="146"/>
        <v>21985.200000000001</v>
      </c>
      <c r="BU156" s="233">
        <f t="shared" si="147"/>
        <v>21985.200000000001</v>
      </c>
      <c r="BV156" s="92">
        <f t="shared" si="148"/>
        <v>4397.04</v>
      </c>
      <c r="BW156" s="233">
        <f t="shared" si="149"/>
        <v>4397.04</v>
      </c>
      <c r="BX156" s="88">
        <v>11.627652292950033</v>
      </c>
      <c r="BY156" s="90">
        <v>0</v>
      </c>
      <c r="BZ156" s="88">
        <v>0</v>
      </c>
      <c r="CA156" s="88">
        <v>0</v>
      </c>
      <c r="CB156" s="88">
        <v>0</v>
      </c>
      <c r="CC156" s="88">
        <v>0</v>
      </c>
      <c r="CD156" s="88">
        <v>0</v>
      </c>
      <c r="CE156" s="100">
        <v>0</v>
      </c>
      <c r="CF156" s="88">
        <v>0</v>
      </c>
      <c r="CG156" s="88">
        <v>0</v>
      </c>
      <c r="CH156" s="88">
        <v>0</v>
      </c>
      <c r="CI156" s="88">
        <v>0</v>
      </c>
      <c r="CJ156" s="228">
        <v>0</v>
      </c>
      <c r="CK156" s="88">
        <v>0</v>
      </c>
      <c r="CL156" s="88">
        <v>0</v>
      </c>
      <c r="CM156" s="88">
        <v>0</v>
      </c>
      <c r="CN156" s="88">
        <v>0</v>
      </c>
      <c r="CO156" s="88">
        <v>0</v>
      </c>
      <c r="CP156" s="88">
        <v>0</v>
      </c>
      <c r="CQ156" s="229">
        <v>0</v>
      </c>
      <c r="CR156" s="91">
        <v>0</v>
      </c>
      <c r="CS156" s="91">
        <v>0</v>
      </c>
      <c r="CT156" s="91">
        <v>0</v>
      </c>
      <c r="CU156" s="91">
        <v>0</v>
      </c>
      <c r="CV156" s="91">
        <v>0</v>
      </c>
      <c r="CW156" s="91">
        <v>0</v>
      </c>
      <c r="CX156" s="225">
        <v>0</v>
      </c>
      <c r="CY156" s="1265">
        <v>7753.3622400000004</v>
      </c>
      <c r="CZ156" s="90">
        <v>0</v>
      </c>
      <c r="DA156" s="88">
        <v>0</v>
      </c>
      <c r="DB156" s="88">
        <v>0</v>
      </c>
      <c r="DC156" s="88">
        <v>0</v>
      </c>
      <c r="DD156" s="88">
        <v>0</v>
      </c>
      <c r="DE156" s="152">
        <v>0</v>
      </c>
      <c r="DF156" s="230">
        <v>0</v>
      </c>
      <c r="DG156" s="38">
        <v>0</v>
      </c>
      <c r="DH156" s="1237">
        <v>0</v>
      </c>
      <c r="DI156" s="956">
        <v>0</v>
      </c>
      <c r="DJ156" s="956">
        <v>0</v>
      </c>
      <c r="DK156" s="956">
        <v>0</v>
      </c>
      <c r="DL156" s="152">
        <v>0</v>
      </c>
      <c r="DM156" s="160">
        <v>0</v>
      </c>
      <c r="DN156" s="160">
        <v>0</v>
      </c>
      <c r="DO156" s="160">
        <v>0</v>
      </c>
      <c r="DP156" s="160">
        <v>0</v>
      </c>
      <c r="DQ156" s="160">
        <v>0</v>
      </c>
      <c r="DR156" s="230">
        <v>0</v>
      </c>
      <c r="DS156" s="88">
        <v>0</v>
      </c>
      <c r="DT156" s="88">
        <v>0</v>
      </c>
      <c r="DU156" s="88">
        <v>0</v>
      </c>
      <c r="DV156" s="88">
        <v>0</v>
      </c>
      <c r="DW156" s="88">
        <v>0</v>
      </c>
      <c r="DX156" s="88">
        <v>0</v>
      </c>
      <c r="DY156" s="88">
        <v>0</v>
      </c>
      <c r="DZ156" s="88">
        <v>0</v>
      </c>
      <c r="EA156" s="88">
        <v>0</v>
      </c>
      <c r="EB156" s="152">
        <v>0</v>
      </c>
      <c r="EC156" s="52">
        <f t="shared" si="150"/>
        <v>0</v>
      </c>
      <c r="ED156" s="52">
        <f t="shared" si="150"/>
        <v>0</v>
      </c>
      <c r="EE156" s="52">
        <f t="shared" si="150"/>
        <v>0</v>
      </c>
      <c r="EF156" s="52">
        <f t="shared" si="150"/>
        <v>0</v>
      </c>
      <c r="EG156" s="52">
        <f t="shared" si="151"/>
        <v>0</v>
      </c>
      <c r="EH156" s="238">
        <v>0</v>
      </c>
      <c r="EI156" s="211">
        <v>0</v>
      </c>
      <c r="EJ156" s="211">
        <v>0</v>
      </c>
      <c r="EK156" s="211">
        <v>0</v>
      </c>
      <c r="EL156" s="217">
        <f>IF(C156&gt;=Summary!$E$26,MAX(0,SUM(EH156:EK156)),0)</f>
        <v>0</v>
      </c>
      <c r="EM156" s="52">
        <f>IF(C156&gt;=Summary!$E$26,DX156*BL156,0)</f>
        <v>0</v>
      </c>
      <c r="EN156" s="52">
        <f>IF(C156&gt;=Summary!$E$26,DY156*BM156,0)</f>
        <v>0</v>
      </c>
      <c r="EO156" s="52">
        <f>IF(C156&gt;=Summary!$E$26,DZ156*BN156,0)</f>
        <v>0</v>
      </c>
      <c r="EP156" s="52">
        <f>IF(C156&gt;=Summary!$E$26,EA156*BO156,0)</f>
        <v>0</v>
      </c>
      <c r="EQ156" s="52">
        <f>IF(C156&gt;=Summary!$E$26,DX156*BL156+DY156*BM156+DZ156*BN156+EA156*BO156,0)</f>
        <v>0</v>
      </c>
      <c r="ER156" s="826">
        <v>0</v>
      </c>
      <c r="ES156" s="278">
        <v>0</v>
      </c>
      <c r="ET156" s="278">
        <v>0</v>
      </c>
      <c r="EU156" s="278">
        <v>0</v>
      </c>
      <c r="EV156" s="212">
        <f>IF(C156&gt;=Summary!$E$26,MAX(0,SUM(ER156:EU156)),0)</f>
        <v>0</v>
      </c>
      <c r="EW156" s="52"/>
      <c r="EX156" s="1049">
        <f t="shared" si="152"/>
        <v>0</v>
      </c>
      <c r="EY156" s="1045" t="str">
        <f t="shared" si="153"/>
        <v/>
      </c>
      <c r="EZ156" s="1684" t="s">
        <v>525</v>
      </c>
      <c r="FA156" s="1046">
        <f t="shared" si="166"/>
        <v>45</v>
      </c>
      <c r="FB156" s="256">
        <f t="shared" si="154"/>
        <v>12233.7</v>
      </c>
      <c r="FC156" s="194">
        <f t="shared" si="155"/>
        <v>0</v>
      </c>
      <c r="FD156" s="194">
        <f t="shared" si="156"/>
        <v>2127.6</v>
      </c>
      <c r="FE156" s="194">
        <f t="shared" si="157"/>
        <v>0</v>
      </c>
      <c r="FF156" s="194">
        <f t="shared" si="158"/>
        <v>2127.6</v>
      </c>
      <c r="FG156" s="194">
        <f t="shared" si="159"/>
        <v>0</v>
      </c>
      <c r="FH156" s="257">
        <f>IF(EZ156="No",IF((OR(MONTH(C156)=5,MONTH(C156)=6,MONTH(C156)=7,MONTH(C156)=8,MONTH(C156)=9)),Summary!$O$15*12*(AX156+AY156+AZ156+BA156)*(1-$BC156),Summary!$O$15*13*(AX156+AY156+AZ156+BA156)*(1-$BC156)+IF(Summary!$O$16="Yes",(CALC!FA156+Summary!$O$15)*6*(AX156+AY156+AZ156+BA156)*(1-$BC156),0)),0)</f>
        <v>0</v>
      </c>
      <c r="FI156" s="1412">
        <f>IF(MONTH(C156)=5,FI155*(IF(Summary!$E$70="no",(1+(Summary!$E$71*0.8)),1+HLOOKUP(YEAR(C156)-1,CCFMODEL!$I$127:$AF$128,2)*0.8)),+FI155)</f>
        <v>35.360887055808156</v>
      </c>
      <c r="FJ156" s="1411">
        <f>IF(MONTH(C156)=5,FJ155*(IF(Summary!$E$70="no",(1+(Summary!$E$71*0.8)),1+HLOOKUP(YEAR(CALC!C156)-1,CCFMODEL!$I$127:$AF$128,2)*0.8)),FJ155)</f>
        <v>30.905972151139412</v>
      </c>
      <c r="FK156" s="832">
        <f t="shared" si="127"/>
        <v>583062.13057451521</v>
      </c>
      <c r="FL156" s="1412">
        <f>IF(MONTH(C156)=5,FL155*(IF(Summary!$E$70="no",(1+(Summary!$E$71*0.8)),1+HLOOKUP(YEAR(CALC!C156)-1,CCFMODEL!$I$127:$AF$128,2)*0.8)),+FL155)</f>
        <v>74.36790982228267</v>
      </c>
      <c r="FM156" s="1411">
        <f>IF(MONTH(C156)=5,FM155*(IF(Summary!$E$70="no",(1+(Summary!$E$71*0.8)),1+HLOOKUP(YEAR(CALC!C156)-1,CCFMODEL!$I$127:$AF$128,2)*0.8)),+FM155)</f>
        <v>35.493473808923291</v>
      </c>
      <c r="FN156" s="832">
        <f t="shared" si="128"/>
        <v>1244918.8104250119</v>
      </c>
      <c r="FO156" s="194">
        <f t="shared" si="160"/>
        <v>1827980.940999527</v>
      </c>
      <c r="FP156" s="263">
        <f t="shared" si="125"/>
        <v>12233.7</v>
      </c>
      <c r="FQ156" s="194">
        <f t="shared" si="125"/>
        <v>0</v>
      </c>
      <c r="FR156" s="194">
        <f t="shared" si="125"/>
        <v>2127.6</v>
      </c>
      <c r="FS156" s="194">
        <f t="shared" si="125"/>
        <v>0</v>
      </c>
      <c r="FT156" s="194">
        <f t="shared" si="125"/>
        <v>2127.6</v>
      </c>
      <c r="FU156" s="194">
        <f t="shared" si="125"/>
        <v>0</v>
      </c>
      <c r="FV156" s="257">
        <f t="shared" si="124"/>
        <v>0</v>
      </c>
      <c r="FW156" s="189">
        <f t="shared" si="129"/>
        <v>0</v>
      </c>
      <c r="FX156" s="189">
        <f t="shared" si="130"/>
        <v>0</v>
      </c>
      <c r="FY156" s="189">
        <f t="shared" si="131"/>
        <v>0</v>
      </c>
      <c r="FZ156" s="258">
        <f t="shared" si="132"/>
        <v>0</v>
      </c>
      <c r="GA156" s="1294">
        <f>(SUM(FP156:FV156)+SUM(GU156:HB156)/(1-Summary!$O$25))*CY156/1000</f>
        <v>204551.06342261762</v>
      </c>
      <c r="GB156" s="1369">
        <f>IF($C156&lt;Summary!$M$81,+Summary!$O$81,VLOOKUP(C156,GasTable,19))</f>
        <v>3.2752390151913282</v>
      </c>
      <c r="GC156" s="1370">
        <f>IF(H156&lt;=Summary!$N$84,MIN(GA156,Summary!$O$75*(H156-G156+1)),0)</f>
        <v>0</v>
      </c>
      <c r="GD156" s="1371">
        <f>IF(C156&lt;Summary!$N$84,IF(Summary!$O$75*(H156-G156+1)*0.8&gt;GC156,1,0),0)</f>
        <v>0</v>
      </c>
      <c r="GE156" s="1372">
        <v>0</v>
      </c>
      <c r="GF156" s="1370">
        <f t="shared" si="161"/>
        <v>204551.06342261762</v>
      </c>
      <c r="GG156" s="1371">
        <f>GF156*(IF(Summary!$O$74=1,VLOOKUP($C156,GasTable,16)+Summary!$O$92+Summary!$O$93,VLOOKUP($C156,GasTable,19)+Summary!$O$92+Summary!$O$93))</f>
        <v>680610.73392495152</v>
      </c>
      <c r="GH156" s="1373">
        <v>5076.620473546559</v>
      </c>
      <c r="GI156" s="1466">
        <v>0</v>
      </c>
      <c r="GJ156" s="1374">
        <f t="shared" si="162"/>
        <v>685687.35439849808</v>
      </c>
      <c r="GK156" s="189">
        <f t="shared" si="133"/>
        <v>26035.973100000007</v>
      </c>
      <c r="GL156" s="266">
        <v>0.51947527008000005</v>
      </c>
      <c r="GM156" s="255">
        <f t="shared" si="134"/>
        <v>0</v>
      </c>
      <c r="GN156" s="189">
        <f>IF(SUM(GU156:HB156)=0,0,IF(Summary!$O$16="Yes",SUM(GX156:HB156),IF(Summary!$O$17="Yes",SUM(GY156:HB156),SUM(GU156:HB156))))</f>
        <v>9547.0730999999996</v>
      </c>
      <c r="GO156" s="203">
        <v>3.2938198590278516</v>
      </c>
      <c r="GP156" s="258">
        <f t="shared" si="163"/>
        <v>31446.338972370591</v>
      </c>
      <c r="GQ156" s="189"/>
      <c r="GR156" s="189"/>
      <c r="GS156" s="189"/>
      <c r="GT156" s="189"/>
      <c r="GU156" s="268">
        <v>3935.1734999999994</v>
      </c>
      <c r="GV156" s="189">
        <v>684.37800000000027</v>
      </c>
      <c r="GW156" s="189">
        <v>684.37800000000027</v>
      </c>
      <c r="GX156" s="189"/>
      <c r="GY156" s="254">
        <v>3148.1388000000002</v>
      </c>
      <c r="GZ156" s="189">
        <v>547.50239999999997</v>
      </c>
      <c r="HA156" s="189">
        <v>547.50239999999997</v>
      </c>
      <c r="HB156" s="255"/>
      <c r="HC156" s="189">
        <v>9547.0730999999996</v>
      </c>
      <c r="HD156" s="189"/>
      <c r="HE156" s="189">
        <v>22276.5039</v>
      </c>
      <c r="HF156" s="189">
        <v>649530.8268478117</v>
      </c>
      <c r="HG156" s="189"/>
      <c r="HH156" s="203">
        <v>71.633814233130465</v>
      </c>
      <c r="HI156" s="189">
        <v>1595750.9421362062</v>
      </c>
      <c r="HJ156" s="268">
        <f t="shared" si="135"/>
        <v>0</v>
      </c>
      <c r="HK156" s="189">
        <f t="shared" si="136"/>
        <v>0</v>
      </c>
      <c r="HL156" s="189">
        <f t="shared" si="137"/>
        <v>0</v>
      </c>
      <c r="HM156" s="255">
        <f t="shared" si="138"/>
        <v>0</v>
      </c>
      <c r="HN156" s="189">
        <f t="shared" si="139"/>
        <v>0</v>
      </c>
      <c r="HO156" s="203">
        <f t="shared" si="164"/>
        <v>0</v>
      </c>
      <c r="HP156" s="258">
        <f t="shared" si="140"/>
        <v>0</v>
      </c>
      <c r="HQ156" s="203"/>
      <c r="HR156" s="268"/>
      <c r="HS156" s="38"/>
      <c r="HT156" s="255"/>
      <c r="HU156" s="254"/>
      <c r="HV156" s="203"/>
      <c r="HW156" s="189"/>
      <c r="HX156" s="1020"/>
      <c r="HY156" s="258"/>
      <c r="HZ156" s="268"/>
      <c r="IA156" s="203"/>
      <c r="IB156" s="255"/>
      <c r="IC156" s="254"/>
      <c r="ID156" s="203"/>
      <c r="IE156" s="255"/>
      <c r="IF156" s="189"/>
      <c r="IG156" s="203"/>
      <c r="IH156" s="255"/>
      <c r="II156" s="189"/>
      <c r="IJ156" s="203"/>
      <c r="IK156" s="189"/>
      <c r="IL156" s="1182"/>
      <c r="IM156" s="1403"/>
      <c r="IN156" s="254"/>
      <c r="IO156" s="254"/>
      <c r="IP156" s="254"/>
      <c r="IQ156" s="254"/>
      <c r="IR156" s="223"/>
    </row>
    <row r="157" spans="1:252" ht="13.8" thickBot="1">
      <c r="A157" t="str">
        <f t="shared" si="141"/>
        <v>2011Q3</v>
      </c>
      <c r="B157">
        <f t="shared" si="142"/>
        <v>2011</v>
      </c>
      <c r="C157" s="49">
        <f t="shared" si="143"/>
        <v>40787</v>
      </c>
      <c r="D157" s="115">
        <f t="shared" si="144"/>
        <v>2011</v>
      </c>
      <c r="E157" s="10">
        <f t="shared" si="167"/>
        <v>9</v>
      </c>
      <c r="F157" s="248">
        <f t="shared" si="168"/>
        <v>40791</v>
      </c>
      <c r="G157" s="245">
        <v>40787</v>
      </c>
      <c r="H157" s="251">
        <v>40816</v>
      </c>
      <c r="I157" s="959">
        <f t="shared" si="165"/>
        <v>7.1499999999999994E-2</v>
      </c>
      <c r="J157" s="37">
        <f t="shared" si="145"/>
        <v>0.43507001949293794</v>
      </c>
      <c r="K157" s="1036"/>
      <c r="L157" s="37"/>
      <c r="M157" s="1004">
        <v>0</v>
      </c>
      <c r="N157" s="38">
        <f t="shared" si="170"/>
        <v>0</v>
      </c>
      <c r="O157" s="40">
        <f t="shared" si="170"/>
        <v>0</v>
      </c>
      <c r="P157" s="159">
        <f t="shared" si="117"/>
        <v>0</v>
      </c>
      <c r="Q157" s="38">
        <f t="shared" si="171"/>
        <v>0</v>
      </c>
      <c r="R157" s="40">
        <f t="shared" si="171"/>
        <v>0</v>
      </c>
      <c r="S157" s="38">
        <f t="shared" si="171"/>
        <v>0</v>
      </c>
      <c r="T157" s="38">
        <f t="shared" si="171"/>
        <v>0</v>
      </c>
      <c r="U157" s="38">
        <f t="shared" si="171"/>
        <v>0</v>
      </c>
      <c r="V157" s="159">
        <f t="shared" si="171"/>
        <v>0</v>
      </c>
      <c r="W157" s="38">
        <f t="shared" si="171"/>
        <v>0</v>
      </c>
      <c r="X157" s="39">
        <f t="shared" si="171"/>
        <v>0</v>
      </c>
      <c r="Y157" s="46">
        <v>0</v>
      </c>
      <c r="Z157" s="46">
        <v>0</v>
      </c>
      <c r="AA157" s="47">
        <v>0</v>
      </c>
      <c r="AB157" s="46">
        <v>0</v>
      </c>
      <c r="AC157" s="46">
        <v>0</v>
      </c>
      <c r="AD157" s="47">
        <v>0</v>
      </c>
      <c r="AE157" s="46">
        <v>0</v>
      </c>
      <c r="AF157" s="46">
        <v>0</v>
      </c>
      <c r="AG157" s="47">
        <v>0</v>
      </c>
      <c r="AH157" s="46">
        <v>0</v>
      </c>
      <c r="AI157" s="46">
        <v>0</v>
      </c>
      <c r="AJ157" s="47">
        <v>0</v>
      </c>
      <c r="AK157" s="46">
        <v>0</v>
      </c>
      <c r="AL157" s="46">
        <v>0</v>
      </c>
      <c r="AM157" s="47">
        <v>0</v>
      </c>
      <c r="AN157" s="46">
        <v>0</v>
      </c>
      <c r="AO157" s="46">
        <v>0</v>
      </c>
      <c r="AP157" s="47">
        <v>0</v>
      </c>
      <c r="AQ157" s="46">
        <v>0</v>
      </c>
      <c r="AR157" s="46">
        <v>0</v>
      </c>
      <c r="AS157" s="47">
        <v>0</v>
      </c>
      <c r="AT157" s="46">
        <v>0</v>
      </c>
      <c r="AU157" s="46">
        <v>0</v>
      </c>
      <c r="AV157" s="46">
        <v>0</v>
      </c>
      <c r="AW157" s="1545">
        <v>0</v>
      </c>
      <c r="AX157" s="10">
        <f t="shared" si="169"/>
        <v>21</v>
      </c>
      <c r="AY157" s="42">
        <f>IF(AND($E157=MONTH(Summary!$E$24),$D157=YEAR(Summary!$E$24)),Summary!$E$25,1)*IF(G157="",0,INT((H157-MOD(H157,7)-G157)/7)+1-IF(BA157,IF(WEEKDAY(F157)=7,1,0),0))</f>
        <v>4</v>
      </c>
      <c r="AZ157" s="42">
        <f>IF(AND($E157=MONTH(Summary!$E$24),$D157=YEAR(Summary!$E$24)),Summary!$E$25,1)*IF(G157="",0,INT((H157-MOD(H157-1,7)-G157)/7)+1-IF(BA157,IF(WEEKDAY(F157)=1,1,0),0))</f>
        <v>4</v>
      </c>
      <c r="BA157" s="42">
        <v>1</v>
      </c>
      <c r="BB157" s="10">
        <f>IF(AND($E157=MONTH(Summary!$E$24),$D157=YEAR(Summary!$E$24)),Summary!$E$25,1)*IF(G157="",0,H157-G157+1)</f>
        <v>30</v>
      </c>
      <c r="BC157" s="914">
        <f>Summary!$E$19</f>
        <v>1.4999999999999999E-2</v>
      </c>
      <c r="BD157" s="113">
        <v>14893.2</v>
      </c>
      <c r="BE157" s="171">
        <v>2836.8</v>
      </c>
      <c r="BF157" s="171">
        <v>3546</v>
      </c>
      <c r="BG157" s="174"/>
      <c r="BH157" s="1198">
        <v>1</v>
      </c>
      <c r="BI157" s="1198">
        <v>1</v>
      </c>
      <c r="BJ157" s="1198">
        <v>1</v>
      </c>
      <c r="BK157" s="1198">
        <v>1</v>
      </c>
      <c r="BL157" s="95">
        <v>2978.64</v>
      </c>
      <c r="BM157" s="171">
        <v>567.36</v>
      </c>
      <c r="BN157" s="171">
        <v>709.2</v>
      </c>
      <c r="BO157" s="174"/>
      <c r="BP157" s="1198">
        <v>1</v>
      </c>
      <c r="BQ157" s="1199">
        <v>1</v>
      </c>
      <c r="BR157" s="1199">
        <v>1</v>
      </c>
      <c r="BS157" s="1200">
        <v>1</v>
      </c>
      <c r="BT157" s="94">
        <f t="shared" si="146"/>
        <v>21276</v>
      </c>
      <c r="BU157" s="233">
        <f t="shared" si="147"/>
        <v>21276</v>
      </c>
      <c r="BV157" s="92">
        <f t="shared" si="148"/>
        <v>4255.2</v>
      </c>
      <c r="BW157" s="233">
        <f t="shared" si="149"/>
        <v>4255.2</v>
      </c>
      <c r="BX157" s="88">
        <v>11.71252566735113</v>
      </c>
      <c r="BY157" s="90">
        <v>0</v>
      </c>
      <c r="BZ157" s="88">
        <v>0</v>
      </c>
      <c r="CA157" s="88">
        <v>0</v>
      </c>
      <c r="CB157" s="88">
        <v>0</v>
      </c>
      <c r="CC157" s="88">
        <v>0</v>
      </c>
      <c r="CD157" s="88">
        <v>0</v>
      </c>
      <c r="CE157" s="100">
        <v>0</v>
      </c>
      <c r="CF157" s="88">
        <v>0</v>
      </c>
      <c r="CG157" s="88">
        <v>0</v>
      </c>
      <c r="CH157" s="88">
        <v>0</v>
      </c>
      <c r="CI157" s="88">
        <v>0</v>
      </c>
      <c r="CJ157" s="228">
        <v>0</v>
      </c>
      <c r="CK157" s="88">
        <v>0</v>
      </c>
      <c r="CL157" s="88">
        <v>0</v>
      </c>
      <c r="CM157" s="88">
        <v>0</v>
      </c>
      <c r="CN157" s="88">
        <v>0</v>
      </c>
      <c r="CO157" s="88">
        <v>0</v>
      </c>
      <c r="CP157" s="88">
        <v>0</v>
      </c>
      <c r="CQ157" s="229">
        <v>0</v>
      </c>
      <c r="CR157" s="91">
        <v>0</v>
      </c>
      <c r="CS157" s="91">
        <v>0</v>
      </c>
      <c r="CT157" s="91">
        <v>0</v>
      </c>
      <c r="CU157" s="91">
        <v>0</v>
      </c>
      <c r="CV157" s="91">
        <v>0</v>
      </c>
      <c r="CW157" s="91">
        <v>0</v>
      </c>
      <c r="CX157" s="225">
        <v>0</v>
      </c>
      <c r="CY157" s="1265">
        <v>7755.3931999999995</v>
      </c>
      <c r="CZ157" s="90">
        <v>0</v>
      </c>
      <c r="DA157" s="88">
        <v>0</v>
      </c>
      <c r="DB157" s="88">
        <v>0</v>
      </c>
      <c r="DC157" s="88">
        <v>0</v>
      </c>
      <c r="DD157" s="88">
        <v>0</v>
      </c>
      <c r="DE157" s="152">
        <v>0</v>
      </c>
      <c r="DF157" s="230">
        <v>0</v>
      </c>
      <c r="DG157" s="38">
        <v>0</v>
      </c>
      <c r="DH157" s="1237">
        <v>0</v>
      </c>
      <c r="DI157" s="956">
        <v>0</v>
      </c>
      <c r="DJ157" s="956">
        <v>0</v>
      </c>
      <c r="DK157" s="956">
        <v>0</v>
      </c>
      <c r="DL157" s="152">
        <v>0</v>
      </c>
      <c r="DM157" s="160">
        <v>0</v>
      </c>
      <c r="DN157" s="160">
        <v>0</v>
      </c>
      <c r="DO157" s="160">
        <v>0</v>
      </c>
      <c r="DP157" s="160">
        <v>0</v>
      </c>
      <c r="DQ157" s="160">
        <v>0</v>
      </c>
      <c r="DR157" s="230">
        <v>0</v>
      </c>
      <c r="DS157" s="88">
        <v>0</v>
      </c>
      <c r="DT157" s="88">
        <v>0</v>
      </c>
      <c r="DU157" s="88">
        <v>0</v>
      </c>
      <c r="DV157" s="88">
        <v>0</v>
      </c>
      <c r="DW157" s="88">
        <v>0</v>
      </c>
      <c r="DX157" s="88">
        <v>0</v>
      </c>
      <c r="DY157" s="88">
        <v>0</v>
      </c>
      <c r="DZ157" s="88">
        <v>0</v>
      </c>
      <c r="EA157" s="88">
        <v>0</v>
      </c>
      <c r="EB157" s="152">
        <v>0</v>
      </c>
      <c r="EC157" s="52">
        <f t="shared" si="150"/>
        <v>0</v>
      </c>
      <c r="ED157" s="52">
        <f t="shared" si="150"/>
        <v>0</v>
      </c>
      <c r="EE157" s="52">
        <f t="shared" si="150"/>
        <v>0</v>
      </c>
      <c r="EF157" s="52">
        <f t="shared" si="150"/>
        <v>0</v>
      </c>
      <c r="EG157" s="52">
        <f t="shared" si="151"/>
        <v>0</v>
      </c>
      <c r="EH157" s="238">
        <v>0</v>
      </c>
      <c r="EI157" s="211">
        <v>0</v>
      </c>
      <c r="EJ157" s="211">
        <v>0</v>
      </c>
      <c r="EK157" s="211">
        <v>0</v>
      </c>
      <c r="EL157" s="217">
        <f>IF(C157&gt;=Summary!$E$26,MAX(0,SUM(EH157:EK157)),0)</f>
        <v>0</v>
      </c>
      <c r="EM157" s="52">
        <f>IF(C157&gt;=Summary!$E$26,DX157*BL157,0)</f>
        <v>0</v>
      </c>
      <c r="EN157" s="52">
        <f>IF(C157&gt;=Summary!$E$26,DY157*BM157,0)</f>
        <v>0</v>
      </c>
      <c r="EO157" s="52">
        <f>IF(C157&gt;=Summary!$E$26,DZ157*BN157,0)</f>
        <v>0</v>
      </c>
      <c r="EP157" s="52">
        <f>IF(C157&gt;=Summary!$E$26,EA157*BO157,0)</f>
        <v>0</v>
      </c>
      <c r="EQ157" s="52">
        <f>IF(C157&gt;=Summary!$E$26,DX157*BL157+DY157*BM157+DZ157*BN157+EA157*BO157,0)</f>
        <v>0</v>
      </c>
      <c r="ER157" s="826">
        <v>0</v>
      </c>
      <c r="ES157" s="278">
        <v>0</v>
      </c>
      <c r="ET157" s="278">
        <v>0</v>
      </c>
      <c r="EU157" s="278">
        <v>0</v>
      </c>
      <c r="EV157" s="212">
        <f>IF(C157&gt;=Summary!$E$26,MAX(0,SUM(ER157:EU157)),0)</f>
        <v>0</v>
      </c>
      <c r="EW157" s="52"/>
      <c r="EX157" s="1049">
        <f t="shared" si="152"/>
        <v>0</v>
      </c>
      <c r="EY157" s="1045" t="str">
        <f t="shared" si="153"/>
        <v/>
      </c>
      <c r="EZ157" s="1684" t="s">
        <v>525</v>
      </c>
      <c r="FA157" s="1046">
        <f t="shared" si="166"/>
        <v>45</v>
      </c>
      <c r="FB157" s="256">
        <f t="shared" si="154"/>
        <v>11169.9</v>
      </c>
      <c r="FC157" s="194">
        <f t="shared" si="155"/>
        <v>0</v>
      </c>
      <c r="FD157" s="194">
        <f t="shared" si="156"/>
        <v>2127.6</v>
      </c>
      <c r="FE157" s="194">
        <f t="shared" si="157"/>
        <v>0</v>
      </c>
      <c r="FF157" s="194">
        <f t="shared" si="158"/>
        <v>2659.5</v>
      </c>
      <c r="FG157" s="194">
        <f t="shared" si="159"/>
        <v>0</v>
      </c>
      <c r="FH157" s="257">
        <f>IF(EZ157="No",IF((OR(MONTH(C157)=5,MONTH(C157)=6,MONTH(C157)=7,MONTH(C157)=8,MONTH(C157)=9)),Summary!$O$15*12*(AX157+AY157+AZ157+BA157)*(1-$BC157),Summary!$O$15*13*(AX157+AY157+AZ157+BA157)*(1-$BC157)+IF(Summary!$O$16="Yes",(CALC!FA157+Summary!$O$15)*6*(AX157+AY157+AZ157+BA157)*(1-$BC157),0)),0)</f>
        <v>0</v>
      </c>
      <c r="FI157" s="1412">
        <f>IF(MONTH(C157)=5,FI156*(IF(Summary!$E$70="no",(1+(Summary!$E$71*0.8)),1+HLOOKUP(YEAR(C157)-1,CCFMODEL!$I$127:$AF$128,2)*0.8)),+FI156)</f>
        <v>35.360887055808156</v>
      </c>
      <c r="FJ157" s="1411">
        <f>IF(MONTH(C157)=5,FJ156*(IF(Summary!$E$70="no",(1+(Summary!$E$71*0.8)),1+HLOOKUP(YEAR(CALC!C157)-1,CCFMODEL!$I$127:$AF$128,2)*0.8)),FJ156)</f>
        <v>30.905972151139412</v>
      </c>
      <c r="FK157" s="832">
        <f t="shared" si="127"/>
        <v>564253.67474953074</v>
      </c>
      <c r="FL157" s="1412">
        <f>IF(MONTH(C157)=5,FL156*(IF(Summary!$E$70="no",(1+(Summary!$E$71*0.8)),1+HLOOKUP(YEAR(CALC!C157)-1,CCFMODEL!$I$127:$AF$128,2)*0.8)),+FL156)</f>
        <v>74.36790982228267</v>
      </c>
      <c r="FM157" s="1411">
        <f>IF(MONTH(C157)=5,FM156*(IF(Summary!$E$70="no",(1+(Summary!$E$71*0.8)),1+HLOOKUP(YEAR(CALC!C157)-1,CCFMODEL!$I$127:$AF$128,2)*0.8)),+FM156)</f>
        <v>35.493473808923291</v>
      </c>
      <c r="FN157" s="832">
        <f t="shared" si="128"/>
        <v>1204760.1391209792</v>
      </c>
      <c r="FO157" s="194">
        <f t="shared" si="160"/>
        <v>1769013.8138705101</v>
      </c>
      <c r="FP157" s="263">
        <f t="shared" si="125"/>
        <v>11169.9</v>
      </c>
      <c r="FQ157" s="194">
        <f t="shared" si="125"/>
        <v>0</v>
      </c>
      <c r="FR157" s="194">
        <f t="shared" si="125"/>
        <v>2127.6</v>
      </c>
      <c r="FS157" s="194">
        <f t="shared" si="125"/>
        <v>0</v>
      </c>
      <c r="FT157" s="194">
        <f t="shared" si="125"/>
        <v>2659.5</v>
      </c>
      <c r="FU157" s="194">
        <f t="shared" si="125"/>
        <v>0</v>
      </c>
      <c r="FV157" s="257">
        <f t="shared" si="124"/>
        <v>0</v>
      </c>
      <c r="FW157" s="189">
        <f t="shared" si="129"/>
        <v>0</v>
      </c>
      <c r="FX157" s="189">
        <f t="shared" si="130"/>
        <v>0</v>
      </c>
      <c r="FY157" s="189">
        <f t="shared" si="131"/>
        <v>0</v>
      </c>
      <c r="FZ157" s="258">
        <f t="shared" si="132"/>
        <v>0</v>
      </c>
      <c r="GA157" s="1294">
        <f>(SUM(FP157:FV157)+SUM(GU157:HB157)/(1-Summary!$O$25))*CY157/1000</f>
        <v>198004.49486784</v>
      </c>
      <c r="GB157" s="1369">
        <f>IF($C157&lt;Summary!$M$81,+Summary!$O$81,VLOOKUP(C157,GasTable,19))</f>
        <v>3.4170395733396965</v>
      </c>
      <c r="GC157" s="1370">
        <f>IF(H157&lt;=Summary!$N$84,MIN(GA157,Summary!$O$75*(H157-G157+1)),0)</f>
        <v>0</v>
      </c>
      <c r="GD157" s="1371">
        <f>IF(C157&lt;Summary!$N$84,IF(Summary!$O$75*(H157-G157+1)*0.8&gt;GC157,1,0),0)</f>
        <v>0</v>
      </c>
      <c r="GE157" s="1372">
        <v>0</v>
      </c>
      <c r="GF157" s="1370">
        <f t="shared" si="161"/>
        <v>198004.49486784</v>
      </c>
      <c r="GG157" s="1371">
        <f>GF157*(IF(Summary!$O$74=1,VLOOKUP($C157,GasTable,16)+Summary!$O$92+Summary!$O$93,VLOOKUP($C157,GasTable,19)+Summary!$O$92+Summary!$O$93))</f>
        <v>686905.22884516057</v>
      </c>
      <c r="GH157" s="1373">
        <v>5125.5593600095444</v>
      </c>
      <c r="GI157" s="1466">
        <v>0</v>
      </c>
      <c r="GJ157" s="1374">
        <f t="shared" si="162"/>
        <v>692030.78820517007</v>
      </c>
      <c r="GK157" s="189">
        <f t="shared" si="133"/>
        <v>25196.103000000003</v>
      </c>
      <c r="GL157" s="266">
        <v>0.51961134440000001</v>
      </c>
      <c r="GM157" s="255">
        <f t="shared" si="134"/>
        <v>0</v>
      </c>
      <c r="GN157" s="189">
        <f>IF(SUM(GU157:HB157)=0,0,IF(Summary!$O$16="Yes",SUM(GX157:HB157),IF(Summary!$O$17="Yes",SUM(GY157:HB157),SUM(GU157:HB157))))</f>
        <v>9239.103000000001</v>
      </c>
      <c r="GO157" s="203">
        <v>3.2938198590278516</v>
      </c>
      <c r="GP157" s="258">
        <f t="shared" si="163"/>
        <v>30431.940941003802</v>
      </c>
      <c r="GQ157" s="189"/>
      <c r="GR157" s="189"/>
      <c r="GS157" s="189"/>
      <c r="GT157" s="189"/>
      <c r="GU157" s="268">
        <v>3592.9845000000009</v>
      </c>
      <c r="GV157" s="189">
        <v>684.37800000000027</v>
      </c>
      <c r="GW157" s="189">
        <v>855.47249999999997</v>
      </c>
      <c r="GX157" s="189"/>
      <c r="GY157" s="254">
        <v>2874.3875999999996</v>
      </c>
      <c r="GZ157" s="189">
        <v>547.50239999999997</v>
      </c>
      <c r="HA157" s="189">
        <v>684.37800000000004</v>
      </c>
      <c r="HB157" s="255"/>
      <c r="HC157" s="189">
        <v>9239.103000000001</v>
      </c>
      <c r="HD157" s="189"/>
      <c r="HE157" s="189">
        <v>21557.906999999999</v>
      </c>
      <c r="HF157" s="189">
        <v>527134.03607057245</v>
      </c>
      <c r="HG157" s="189"/>
      <c r="HH157" s="203">
        <v>59.219432110424847</v>
      </c>
      <c r="HI157" s="189">
        <v>1276647.0100293525</v>
      </c>
      <c r="HJ157" s="268">
        <f t="shared" si="135"/>
        <v>0</v>
      </c>
      <c r="HK157" s="189">
        <f t="shared" si="136"/>
        <v>0</v>
      </c>
      <c r="HL157" s="189">
        <f t="shared" si="137"/>
        <v>0</v>
      </c>
      <c r="HM157" s="255">
        <f t="shared" si="138"/>
        <v>0</v>
      </c>
      <c r="HN157" s="189">
        <f t="shared" si="139"/>
        <v>0</v>
      </c>
      <c r="HO157" s="203">
        <f t="shared" si="164"/>
        <v>0</v>
      </c>
      <c r="HP157" s="258">
        <f t="shared" si="140"/>
        <v>0</v>
      </c>
      <c r="HQ157" s="203"/>
      <c r="HR157" s="268"/>
      <c r="HS157" s="38"/>
      <c r="HT157" s="255"/>
      <c r="HU157" s="254"/>
      <c r="HV157" s="203"/>
      <c r="HW157" s="189"/>
      <c r="HX157" s="1020"/>
      <c r="HY157" s="258"/>
      <c r="HZ157" s="268"/>
      <c r="IA157" s="203"/>
      <c r="IB157" s="255"/>
      <c r="IC157" s="254"/>
      <c r="ID157" s="203"/>
      <c r="IE157" s="255"/>
      <c r="IF157" s="189"/>
      <c r="IG157" s="203"/>
      <c r="IH157" s="255"/>
      <c r="II157" s="189"/>
      <c r="IJ157" s="203"/>
      <c r="IK157" s="189"/>
      <c r="IL157" s="1182"/>
      <c r="IM157" s="1403"/>
      <c r="IN157" s="254"/>
      <c r="IO157" s="254"/>
      <c r="IP157" s="254"/>
      <c r="IQ157" s="254"/>
      <c r="IR157" s="223"/>
    </row>
    <row r="158" spans="1:252" ht="13.8" thickBot="1">
      <c r="A158" t="str">
        <f t="shared" si="141"/>
        <v>2011Q4</v>
      </c>
      <c r="B158">
        <f t="shared" si="142"/>
        <v>2011</v>
      </c>
      <c r="C158" s="49">
        <f t="shared" si="143"/>
        <v>40817</v>
      </c>
      <c r="D158" s="115">
        <f t="shared" si="144"/>
        <v>2011</v>
      </c>
      <c r="E158" s="10">
        <f t="shared" si="167"/>
        <v>10</v>
      </c>
      <c r="F158" s="248" t="str">
        <f t="shared" si="168"/>
        <v/>
      </c>
      <c r="G158" s="245">
        <v>40817</v>
      </c>
      <c r="H158" s="251">
        <v>40847</v>
      </c>
      <c r="I158" s="959">
        <f t="shared" si="165"/>
        <v>7.1499999999999994E-2</v>
      </c>
      <c r="J158" s="37">
        <f t="shared" si="145"/>
        <v>0.43248363685827013</v>
      </c>
      <c r="K158" s="1036"/>
      <c r="L158" s="37"/>
      <c r="M158" s="1004">
        <v>0</v>
      </c>
      <c r="N158" s="38">
        <f t="shared" si="170"/>
        <v>0</v>
      </c>
      <c r="O158" s="40">
        <f t="shared" si="170"/>
        <v>0</v>
      </c>
      <c r="P158" s="159">
        <f t="shared" ref="P158:P221" si="172">M158</f>
        <v>0</v>
      </c>
      <c r="Q158" s="38">
        <f t="shared" si="171"/>
        <v>0</v>
      </c>
      <c r="R158" s="40">
        <f t="shared" si="171"/>
        <v>0</v>
      </c>
      <c r="S158" s="38">
        <f t="shared" si="171"/>
        <v>0</v>
      </c>
      <c r="T158" s="38">
        <f t="shared" si="171"/>
        <v>0</v>
      </c>
      <c r="U158" s="38">
        <f t="shared" si="171"/>
        <v>0</v>
      </c>
      <c r="V158" s="159">
        <f t="shared" si="171"/>
        <v>0</v>
      </c>
      <c r="W158" s="38">
        <f t="shared" si="171"/>
        <v>0</v>
      </c>
      <c r="X158" s="39">
        <f t="shared" si="171"/>
        <v>0</v>
      </c>
      <c r="Y158" s="46">
        <v>0</v>
      </c>
      <c r="Z158" s="46">
        <v>0</v>
      </c>
      <c r="AA158" s="47">
        <v>0</v>
      </c>
      <c r="AB158" s="46">
        <v>0</v>
      </c>
      <c r="AC158" s="46">
        <v>0</v>
      </c>
      <c r="AD158" s="47">
        <v>0</v>
      </c>
      <c r="AE158" s="46">
        <v>0</v>
      </c>
      <c r="AF158" s="46">
        <v>0</v>
      </c>
      <c r="AG158" s="47">
        <v>0</v>
      </c>
      <c r="AH158" s="46">
        <v>0</v>
      </c>
      <c r="AI158" s="46">
        <v>0</v>
      </c>
      <c r="AJ158" s="47">
        <v>0</v>
      </c>
      <c r="AK158" s="46">
        <v>0</v>
      </c>
      <c r="AL158" s="46">
        <v>0</v>
      </c>
      <c r="AM158" s="47">
        <v>0</v>
      </c>
      <c r="AN158" s="46">
        <v>0</v>
      </c>
      <c r="AO158" s="46">
        <v>0</v>
      </c>
      <c r="AP158" s="47">
        <v>0</v>
      </c>
      <c r="AQ158" s="46">
        <v>0</v>
      </c>
      <c r="AR158" s="46">
        <v>0</v>
      </c>
      <c r="AS158" s="47">
        <v>0</v>
      </c>
      <c r="AT158" s="46">
        <v>0</v>
      </c>
      <c r="AU158" s="46">
        <v>0</v>
      </c>
      <c r="AV158" s="46">
        <v>0</v>
      </c>
      <c r="AW158" s="1545">
        <v>0</v>
      </c>
      <c r="AX158" s="10">
        <f t="shared" si="169"/>
        <v>21</v>
      </c>
      <c r="AY158" s="42">
        <f>IF(AND($E158=MONTH(Summary!$E$24),$D158=YEAR(Summary!$E$24)),Summary!$E$25,1)*IF(G158="",0,INT((H158-MOD(H158,7)-G158)/7)+1-IF(BA158,IF(WEEKDAY(F158)=7,1,0),0))</f>
        <v>5</v>
      </c>
      <c r="AZ158" s="42">
        <f>IF(AND($E158=MONTH(Summary!$E$24),$D158=YEAR(Summary!$E$24)),Summary!$E$25,1)*IF(G158="",0,INT((H158-MOD(H158-1,7)-G158)/7)+1-IF(BA158,IF(WEEKDAY(F158)=1,1,0),0))</f>
        <v>5</v>
      </c>
      <c r="BA158" s="42">
        <v>0</v>
      </c>
      <c r="BB158" s="10">
        <f>IF(AND($E158=MONTH(Summary!$E$24),$D158=YEAR(Summary!$E$24)),Summary!$E$25,1)*IF(G158="",0,H158-G158+1)</f>
        <v>31</v>
      </c>
      <c r="BC158" s="914">
        <f>Summary!$E$19</f>
        <v>1.4999999999999999E-2</v>
      </c>
      <c r="BD158" s="113">
        <v>14893.2</v>
      </c>
      <c r="BE158" s="171">
        <v>3546</v>
      </c>
      <c r="BF158" s="171">
        <v>3546</v>
      </c>
      <c r="BG158" s="174"/>
      <c r="BH158" s="1198">
        <v>1</v>
      </c>
      <c r="BI158" s="1198">
        <v>1</v>
      </c>
      <c r="BJ158" s="1198">
        <v>1</v>
      </c>
      <c r="BK158" s="1198">
        <v>1</v>
      </c>
      <c r="BL158" s="95">
        <v>2978.64</v>
      </c>
      <c r="BM158" s="171">
        <v>709.2</v>
      </c>
      <c r="BN158" s="171">
        <v>709.2</v>
      </c>
      <c r="BO158" s="174"/>
      <c r="BP158" s="1198">
        <v>1</v>
      </c>
      <c r="BQ158" s="1199">
        <v>1</v>
      </c>
      <c r="BR158" s="1199">
        <v>1</v>
      </c>
      <c r="BS158" s="1200">
        <v>1</v>
      </c>
      <c r="BT158" s="94">
        <f t="shared" si="146"/>
        <v>21985.200000000001</v>
      </c>
      <c r="BU158" s="233">
        <f t="shared" si="147"/>
        <v>21985.200000000001</v>
      </c>
      <c r="BV158" s="92">
        <f t="shared" si="148"/>
        <v>4397.04</v>
      </c>
      <c r="BW158" s="233">
        <f t="shared" si="149"/>
        <v>4397.04</v>
      </c>
      <c r="BX158" s="88">
        <v>11.794661190965092</v>
      </c>
      <c r="BY158" s="90">
        <v>0</v>
      </c>
      <c r="BZ158" s="88">
        <v>0</v>
      </c>
      <c r="CA158" s="88">
        <v>0</v>
      </c>
      <c r="CB158" s="88">
        <v>0</v>
      </c>
      <c r="CC158" s="88">
        <v>0</v>
      </c>
      <c r="CD158" s="88">
        <v>0</v>
      </c>
      <c r="CE158" s="100">
        <v>0</v>
      </c>
      <c r="CF158" s="88">
        <v>0</v>
      </c>
      <c r="CG158" s="88">
        <v>0</v>
      </c>
      <c r="CH158" s="88">
        <v>0</v>
      </c>
      <c r="CI158" s="88">
        <v>0</v>
      </c>
      <c r="CJ158" s="228">
        <v>0</v>
      </c>
      <c r="CK158" s="88">
        <v>0</v>
      </c>
      <c r="CL158" s="88">
        <v>0</v>
      </c>
      <c r="CM158" s="88">
        <v>0</v>
      </c>
      <c r="CN158" s="88">
        <v>0</v>
      </c>
      <c r="CO158" s="88">
        <v>0</v>
      </c>
      <c r="CP158" s="88">
        <v>0</v>
      </c>
      <c r="CQ158" s="229">
        <v>0</v>
      </c>
      <c r="CR158" s="91">
        <v>0</v>
      </c>
      <c r="CS158" s="91">
        <v>0</v>
      </c>
      <c r="CT158" s="91">
        <v>0</v>
      </c>
      <c r="CU158" s="91">
        <v>0</v>
      </c>
      <c r="CV158" s="91">
        <v>0</v>
      </c>
      <c r="CW158" s="91">
        <v>0</v>
      </c>
      <c r="CX158" s="225">
        <v>0</v>
      </c>
      <c r="CY158" s="1265">
        <v>7757.4241599999996</v>
      </c>
      <c r="CZ158" s="90">
        <v>0</v>
      </c>
      <c r="DA158" s="88">
        <v>0</v>
      </c>
      <c r="DB158" s="88">
        <v>0</v>
      </c>
      <c r="DC158" s="88">
        <v>0</v>
      </c>
      <c r="DD158" s="88">
        <v>0</v>
      </c>
      <c r="DE158" s="152">
        <v>0</v>
      </c>
      <c r="DF158" s="230">
        <v>0</v>
      </c>
      <c r="DG158" s="38">
        <v>0</v>
      </c>
      <c r="DH158" s="1237">
        <v>0</v>
      </c>
      <c r="DI158" s="956">
        <v>0</v>
      </c>
      <c r="DJ158" s="956">
        <v>0</v>
      </c>
      <c r="DK158" s="956">
        <v>0</v>
      </c>
      <c r="DL158" s="152">
        <v>0</v>
      </c>
      <c r="DM158" s="160">
        <v>0</v>
      </c>
      <c r="DN158" s="160">
        <v>0</v>
      </c>
      <c r="DO158" s="160">
        <v>0</v>
      </c>
      <c r="DP158" s="160">
        <v>0</v>
      </c>
      <c r="DQ158" s="160">
        <v>0</v>
      </c>
      <c r="DR158" s="230">
        <v>0</v>
      </c>
      <c r="DS158" s="88">
        <v>0</v>
      </c>
      <c r="DT158" s="88">
        <v>0</v>
      </c>
      <c r="DU158" s="88">
        <v>0</v>
      </c>
      <c r="DV158" s="88">
        <v>0</v>
      </c>
      <c r="DW158" s="88">
        <v>0</v>
      </c>
      <c r="DX158" s="88">
        <v>0</v>
      </c>
      <c r="DY158" s="88">
        <v>0</v>
      </c>
      <c r="DZ158" s="88">
        <v>0</v>
      </c>
      <c r="EA158" s="88">
        <v>0</v>
      </c>
      <c r="EB158" s="152">
        <v>0</v>
      </c>
      <c r="EC158" s="52">
        <f t="shared" si="150"/>
        <v>0</v>
      </c>
      <c r="ED158" s="52">
        <f t="shared" si="150"/>
        <v>0</v>
      </c>
      <c r="EE158" s="52">
        <f t="shared" si="150"/>
        <v>0</v>
      </c>
      <c r="EF158" s="52">
        <f t="shared" si="150"/>
        <v>0</v>
      </c>
      <c r="EG158" s="52">
        <f t="shared" si="151"/>
        <v>0</v>
      </c>
      <c r="EH158" s="238">
        <v>0</v>
      </c>
      <c r="EI158" s="211">
        <v>0</v>
      </c>
      <c r="EJ158" s="211">
        <v>0</v>
      </c>
      <c r="EK158" s="211">
        <v>0</v>
      </c>
      <c r="EL158" s="217">
        <f>IF(C158&gt;=Summary!$E$26,MAX(0,SUM(EH158:EK158)),0)</f>
        <v>0</v>
      </c>
      <c r="EM158" s="52">
        <f>IF(C158&gt;=Summary!$E$26,DX158*BL158,0)</f>
        <v>0</v>
      </c>
      <c r="EN158" s="52">
        <f>IF(C158&gt;=Summary!$E$26,DY158*BM158,0)</f>
        <v>0</v>
      </c>
      <c r="EO158" s="52">
        <f>IF(C158&gt;=Summary!$E$26,DZ158*BN158,0)</f>
        <v>0</v>
      </c>
      <c r="EP158" s="52">
        <f>IF(C158&gt;=Summary!$E$26,EA158*BO158,0)</f>
        <v>0</v>
      </c>
      <c r="EQ158" s="52">
        <f>IF(C158&gt;=Summary!$E$26,DX158*BL158+DY158*BM158+DZ158*BN158+EA158*BO158,0)</f>
        <v>0</v>
      </c>
      <c r="ER158" s="826">
        <v>0</v>
      </c>
      <c r="ES158" s="278">
        <v>0</v>
      </c>
      <c r="ET158" s="278">
        <v>0</v>
      </c>
      <c r="EU158" s="278">
        <v>0</v>
      </c>
      <c r="EV158" s="212">
        <f>IF(C158&gt;=Summary!$E$26,MAX(0,SUM(ER158:EU158)),0)</f>
        <v>0</v>
      </c>
      <c r="EW158" s="52"/>
      <c r="EX158" s="1049">
        <f t="shared" si="152"/>
        <v>0</v>
      </c>
      <c r="EY158" s="1045" t="str">
        <f t="shared" si="153"/>
        <v/>
      </c>
      <c r="EZ158" s="1684" t="s">
        <v>525</v>
      </c>
      <c r="FA158" s="1046">
        <f t="shared" si="166"/>
        <v>45</v>
      </c>
      <c r="FB158" s="256">
        <f t="shared" si="154"/>
        <v>9308.25</v>
      </c>
      <c r="FC158" s="194">
        <f t="shared" si="155"/>
        <v>2792.4749999999999</v>
      </c>
      <c r="FD158" s="194">
        <f t="shared" si="156"/>
        <v>2216.25</v>
      </c>
      <c r="FE158" s="194">
        <f t="shared" si="157"/>
        <v>664.875</v>
      </c>
      <c r="FF158" s="194">
        <f t="shared" si="158"/>
        <v>2216.25</v>
      </c>
      <c r="FG158" s="194">
        <f t="shared" si="159"/>
        <v>664.875</v>
      </c>
      <c r="FH158" s="257">
        <f>IF(EZ158="No",IF((OR(MONTH(C158)=5,MONTH(C158)=6,MONTH(C158)=7,MONTH(C158)=8,MONTH(C158)=9)),Summary!$O$15*12*(AX158+AY158+AZ158+BA158)*(1-$BC158),Summary!$O$15*13*(AX158+AY158+AZ158+BA158)*(1-$BC158)+IF(Summary!$O$16="Yes",(CALC!FA158+Summary!$O$15)*6*(AX158+AY158+AZ158+BA158)*(1-$BC158),0)),0)</f>
        <v>0</v>
      </c>
      <c r="FI158" s="1412">
        <f>IF(MONTH(C158)=5,FI157*(IF(Summary!$E$70="no",(1+(Summary!$E$71*0.8)),1+HLOOKUP(YEAR(C158)-1,CCFMODEL!$I$127:$AF$128,2)*0.8)),+FI157)</f>
        <v>35.360887055808156</v>
      </c>
      <c r="FJ158" s="1411">
        <f>IF(MONTH(C158)=5,FJ157*(IF(Summary!$E$70="no",(1+(Summary!$E$71*0.8)),1+HLOOKUP(YEAR(CALC!C158)-1,CCFMODEL!$I$127:$AF$128,2)*0.8)),FJ157)</f>
        <v>30.905972151139412</v>
      </c>
      <c r="FK158" s="832">
        <f t="shared" si="127"/>
        <v>631650.6414557246</v>
      </c>
      <c r="FL158" s="1412">
        <f>IF(MONTH(C158)=5,FL157*(IF(Summary!$E$70="no",(1+(Summary!$E$71*0.8)),1+HLOOKUP(YEAR(CALC!C158)-1,CCFMODEL!$I$127:$AF$128,2)*0.8)),+FL157)</f>
        <v>74.36790982228267</v>
      </c>
      <c r="FM158" s="1411">
        <f>IF(MONTH(C158)=5,FM157*(IF(Summary!$E$70="no",(1+(Summary!$E$71*0.8)),1+HLOOKUP(YEAR(CALC!C158)-1,CCFMODEL!$I$127:$AF$128,2)*0.8)),+FM157)</f>
        <v>35.493473808923291</v>
      </c>
      <c r="FN158" s="832">
        <f t="shared" si="128"/>
        <v>643674.1475248239</v>
      </c>
      <c r="FO158" s="194">
        <f t="shared" si="160"/>
        <v>1275324.7889805485</v>
      </c>
      <c r="FP158" s="263">
        <f t="shared" si="125"/>
        <v>9308.25</v>
      </c>
      <c r="FQ158" s="194">
        <f t="shared" si="125"/>
        <v>2792.4749999999999</v>
      </c>
      <c r="FR158" s="194">
        <f t="shared" si="125"/>
        <v>2216.25</v>
      </c>
      <c r="FS158" s="194">
        <f t="shared" si="125"/>
        <v>664.875</v>
      </c>
      <c r="FT158" s="194">
        <f t="shared" si="125"/>
        <v>2216.25</v>
      </c>
      <c r="FU158" s="194">
        <f t="shared" si="125"/>
        <v>664.875</v>
      </c>
      <c r="FV158" s="257">
        <f t="shared" si="124"/>
        <v>0</v>
      </c>
      <c r="FW158" s="189">
        <f t="shared" si="129"/>
        <v>0</v>
      </c>
      <c r="FX158" s="189">
        <f t="shared" si="130"/>
        <v>0</v>
      </c>
      <c r="FY158" s="189">
        <f t="shared" si="131"/>
        <v>0</v>
      </c>
      <c r="FZ158" s="258">
        <f t="shared" si="132"/>
        <v>0</v>
      </c>
      <c r="GA158" s="1294">
        <f>(SUM(FP158:FV158)+SUM(GU158:HB158)/(1-Summary!$O$25))*CY158/1000</f>
        <v>236636.07377887439</v>
      </c>
      <c r="GB158" s="1369">
        <f>IF($C158&lt;Summary!$M$81,+Summary!$O$81,VLOOKUP(C158,GasTable,19))</f>
        <v>3.5688908191699191</v>
      </c>
      <c r="GC158" s="1370">
        <f>IF(H158&lt;=Summary!$N$84,MIN(GA158,Summary!$O$75*(H158-G158+1)),0)</f>
        <v>0</v>
      </c>
      <c r="GD158" s="1371">
        <f>IF(C158&lt;Summary!$N$84,IF(Summary!$O$75*(H158-G158+1)*0.8&gt;GC158,1,0),0)</f>
        <v>0</v>
      </c>
      <c r="GE158" s="1372">
        <v>0</v>
      </c>
      <c r="GF158" s="1370">
        <f t="shared" si="161"/>
        <v>236636.07377887439</v>
      </c>
      <c r="GG158" s="1371">
        <f>GF158*(IF(Summary!$O$74=1,VLOOKUP($C158,GasTable,16)+Summary!$O$92+Summary!$O$93,VLOOKUP($C158,GasTable,19)+Summary!$O$92+Summary!$O$93))</f>
        <v>856857.0506377198</v>
      </c>
      <c r="GH158" s="1373">
        <v>5531.7807697133749</v>
      </c>
      <c r="GI158" s="1466">
        <v>0</v>
      </c>
      <c r="GJ158" s="1374">
        <f t="shared" si="162"/>
        <v>862388.83140743314</v>
      </c>
      <c r="GK158" s="189">
        <f t="shared" si="133"/>
        <v>30062.012850000003</v>
      </c>
      <c r="GL158" s="266">
        <v>0.51974741872000008</v>
      </c>
      <c r="GM158" s="255">
        <f t="shared" si="134"/>
        <v>0</v>
      </c>
      <c r="GN158" s="189">
        <f>IF(SUM(GU158:HB158)=0,0,IF(Summary!$O$16="Yes",SUM(GX158:HB158),IF(Summary!$O$17="Yes",SUM(GY158:HB158),SUM(GU158:HB158))))</f>
        <v>12199.037850000001</v>
      </c>
      <c r="GO158" s="203">
        <v>3.2938198590278516</v>
      </c>
      <c r="GP158" s="258">
        <f t="shared" si="163"/>
        <v>40181.433131362428</v>
      </c>
      <c r="GQ158" s="189"/>
      <c r="GR158" s="189"/>
      <c r="GS158" s="189"/>
      <c r="GT158" s="189"/>
      <c r="GU158" s="268">
        <v>5389.4767500000007</v>
      </c>
      <c r="GV158" s="189">
        <v>1283.20875</v>
      </c>
      <c r="GW158" s="189">
        <v>1283.20875</v>
      </c>
      <c r="GX158" s="189"/>
      <c r="GY158" s="254">
        <v>2874.3875999999996</v>
      </c>
      <c r="GZ158" s="189">
        <v>684.37800000000004</v>
      </c>
      <c r="HA158" s="189">
        <v>684.37800000000004</v>
      </c>
      <c r="HB158" s="255"/>
      <c r="HC158" s="189">
        <v>12199.037850000001</v>
      </c>
      <c r="HD158" s="189"/>
      <c r="HE158" s="189">
        <v>20950.521525</v>
      </c>
      <c r="HF158" s="189">
        <v>598437.76682064822</v>
      </c>
      <c r="HG158" s="189"/>
      <c r="HH158" s="203">
        <v>48.280250429323409</v>
      </c>
      <c r="HI158" s="189">
        <v>1011496.4258519306</v>
      </c>
      <c r="HJ158" s="268">
        <f t="shared" si="135"/>
        <v>0</v>
      </c>
      <c r="HK158" s="189">
        <f t="shared" si="136"/>
        <v>0</v>
      </c>
      <c r="HL158" s="189">
        <f t="shared" si="137"/>
        <v>0</v>
      </c>
      <c r="HM158" s="255">
        <f t="shared" si="138"/>
        <v>0</v>
      </c>
      <c r="HN158" s="189">
        <f t="shared" si="139"/>
        <v>0</v>
      </c>
      <c r="HO158" s="203">
        <f t="shared" si="164"/>
        <v>0</v>
      </c>
      <c r="HP158" s="258">
        <f t="shared" si="140"/>
        <v>0</v>
      </c>
      <c r="HQ158" s="203"/>
      <c r="HR158" s="268"/>
      <c r="HS158" s="38"/>
      <c r="HT158" s="255"/>
      <c r="HU158" s="254"/>
      <c r="HV158" s="203"/>
      <c r="HW158" s="189"/>
      <c r="HX158" s="1020"/>
      <c r="HY158" s="258"/>
      <c r="HZ158" s="268"/>
      <c r="IA158" s="203"/>
      <c r="IB158" s="255"/>
      <c r="IC158" s="254"/>
      <c r="ID158" s="203"/>
      <c r="IE158" s="255"/>
      <c r="IF158" s="189"/>
      <c r="IG158" s="203"/>
      <c r="IH158" s="255"/>
      <c r="II158" s="189"/>
      <c r="IJ158" s="203"/>
      <c r="IK158" s="189"/>
      <c r="IL158" s="1182"/>
      <c r="IM158" s="1403"/>
      <c r="IN158" s="254"/>
      <c r="IO158" s="254"/>
      <c r="IP158" s="254"/>
      <c r="IQ158" s="254"/>
      <c r="IR158" s="223"/>
    </row>
    <row r="159" spans="1:252" ht="13.8" thickBot="1">
      <c r="A159" t="str">
        <f t="shared" si="141"/>
        <v>2011Q4</v>
      </c>
      <c r="B159">
        <f t="shared" si="142"/>
        <v>2011</v>
      </c>
      <c r="C159" s="49">
        <f t="shared" si="143"/>
        <v>40848</v>
      </c>
      <c r="D159" s="115">
        <f t="shared" si="144"/>
        <v>2011</v>
      </c>
      <c r="E159" s="10">
        <f t="shared" si="167"/>
        <v>11</v>
      </c>
      <c r="F159" s="248">
        <f t="shared" si="168"/>
        <v>40871</v>
      </c>
      <c r="G159" s="245">
        <v>40848</v>
      </c>
      <c r="H159" s="251">
        <v>40877</v>
      </c>
      <c r="I159" s="959">
        <f t="shared" si="165"/>
        <v>7.1499999999999994E-2</v>
      </c>
      <c r="J159" s="37">
        <f t="shared" si="145"/>
        <v>0.4299953262864627</v>
      </c>
      <c r="K159" s="1036"/>
      <c r="L159" s="37"/>
      <c r="M159" s="1004">
        <v>0</v>
      </c>
      <c r="N159" s="38">
        <f t="shared" si="170"/>
        <v>0</v>
      </c>
      <c r="O159" s="40">
        <f t="shared" si="170"/>
        <v>0</v>
      </c>
      <c r="P159" s="159">
        <f t="shared" si="172"/>
        <v>0</v>
      </c>
      <c r="Q159" s="38">
        <f t="shared" ref="Q159:X168" si="173">P159</f>
        <v>0</v>
      </c>
      <c r="R159" s="40">
        <f t="shared" si="173"/>
        <v>0</v>
      </c>
      <c r="S159" s="38">
        <f t="shared" si="173"/>
        <v>0</v>
      </c>
      <c r="T159" s="38">
        <f t="shared" si="173"/>
        <v>0</v>
      </c>
      <c r="U159" s="38">
        <f t="shared" si="173"/>
        <v>0</v>
      </c>
      <c r="V159" s="159">
        <f t="shared" si="173"/>
        <v>0</v>
      </c>
      <c r="W159" s="38">
        <f t="shared" si="173"/>
        <v>0</v>
      </c>
      <c r="X159" s="39">
        <f t="shared" si="173"/>
        <v>0</v>
      </c>
      <c r="Y159" s="46">
        <v>0</v>
      </c>
      <c r="Z159" s="46">
        <v>0</v>
      </c>
      <c r="AA159" s="47">
        <v>0</v>
      </c>
      <c r="AB159" s="46">
        <v>0</v>
      </c>
      <c r="AC159" s="46">
        <v>0</v>
      </c>
      <c r="AD159" s="47">
        <v>0</v>
      </c>
      <c r="AE159" s="46">
        <v>0</v>
      </c>
      <c r="AF159" s="46">
        <v>0</v>
      </c>
      <c r="AG159" s="47">
        <v>0</v>
      </c>
      <c r="AH159" s="46">
        <v>0</v>
      </c>
      <c r="AI159" s="46">
        <v>0</v>
      </c>
      <c r="AJ159" s="47">
        <v>0</v>
      </c>
      <c r="AK159" s="46">
        <v>0</v>
      </c>
      <c r="AL159" s="46">
        <v>0</v>
      </c>
      <c r="AM159" s="47">
        <v>0</v>
      </c>
      <c r="AN159" s="46">
        <v>0</v>
      </c>
      <c r="AO159" s="46">
        <v>0</v>
      </c>
      <c r="AP159" s="47">
        <v>0</v>
      </c>
      <c r="AQ159" s="46">
        <v>0</v>
      </c>
      <c r="AR159" s="46">
        <v>0</v>
      </c>
      <c r="AS159" s="47">
        <v>0</v>
      </c>
      <c r="AT159" s="46">
        <v>0</v>
      </c>
      <c r="AU159" s="46">
        <v>0</v>
      </c>
      <c r="AV159" s="46">
        <v>0</v>
      </c>
      <c r="AW159" s="1545">
        <v>0</v>
      </c>
      <c r="AX159" s="10">
        <f t="shared" si="169"/>
        <v>21</v>
      </c>
      <c r="AY159" s="42">
        <f>IF(AND($E159=MONTH(Summary!$E$24),$D159=YEAR(Summary!$E$24)),Summary!$E$25,1)*IF(G159="",0,INT((H159-MOD(H159,7)-G159)/7)+1-IF(BA159,IF(WEEKDAY(F159)=7,1,0),0))</f>
        <v>4</v>
      </c>
      <c r="AZ159" s="42">
        <f>IF(AND($E159=MONTH(Summary!$E$24),$D159=YEAR(Summary!$E$24)),Summary!$E$25,1)*IF(G159="",0,INT((H159-MOD(H159-1,7)-G159)/7)+1-IF(BA159,IF(WEEKDAY(F159)=1,1,0),0))</f>
        <v>4</v>
      </c>
      <c r="BA159" s="42">
        <v>1</v>
      </c>
      <c r="BB159" s="10">
        <f>IF(AND($E159=MONTH(Summary!$E$24),$D159=YEAR(Summary!$E$24)),Summary!$E$25,1)*IF(G159="",0,H159-G159+1)</f>
        <v>30</v>
      </c>
      <c r="BC159" s="914">
        <f>Summary!$E$19</f>
        <v>1.4999999999999999E-2</v>
      </c>
      <c r="BD159" s="113">
        <v>14893.2</v>
      </c>
      <c r="BE159" s="171">
        <v>2836.8</v>
      </c>
      <c r="BF159" s="171">
        <v>3546</v>
      </c>
      <c r="BG159" s="174"/>
      <c r="BH159" s="1198">
        <v>1</v>
      </c>
      <c r="BI159" s="1198">
        <v>1</v>
      </c>
      <c r="BJ159" s="1198">
        <v>1</v>
      </c>
      <c r="BK159" s="1198">
        <v>1</v>
      </c>
      <c r="BL159" s="95">
        <v>2978.64</v>
      </c>
      <c r="BM159" s="171">
        <v>567.36</v>
      </c>
      <c r="BN159" s="171">
        <v>709.2</v>
      </c>
      <c r="BO159" s="174"/>
      <c r="BP159" s="1198">
        <v>1</v>
      </c>
      <c r="BQ159" s="1199">
        <v>1</v>
      </c>
      <c r="BR159" s="1199">
        <v>1</v>
      </c>
      <c r="BS159" s="1200">
        <v>1</v>
      </c>
      <c r="BT159" s="94">
        <f t="shared" si="146"/>
        <v>21276</v>
      </c>
      <c r="BU159" s="233">
        <f t="shared" si="147"/>
        <v>21276</v>
      </c>
      <c r="BV159" s="92">
        <f t="shared" si="148"/>
        <v>4255.2</v>
      </c>
      <c r="BW159" s="233">
        <f t="shared" si="149"/>
        <v>4255.2</v>
      </c>
      <c r="BX159" s="88">
        <v>11.879534565366187</v>
      </c>
      <c r="BY159" s="90">
        <v>0</v>
      </c>
      <c r="BZ159" s="88">
        <v>0</v>
      </c>
      <c r="CA159" s="88">
        <v>0</v>
      </c>
      <c r="CB159" s="88">
        <v>0</v>
      </c>
      <c r="CC159" s="88">
        <v>0</v>
      </c>
      <c r="CD159" s="88">
        <v>0</v>
      </c>
      <c r="CE159" s="100">
        <v>0</v>
      </c>
      <c r="CF159" s="88">
        <v>0</v>
      </c>
      <c r="CG159" s="88">
        <v>0</v>
      </c>
      <c r="CH159" s="88">
        <v>0</v>
      </c>
      <c r="CI159" s="88">
        <v>0</v>
      </c>
      <c r="CJ159" s="228">
        <v>0</v>
      </c>
      <c r="CK159" s="88">
        <v>0</v>
      </c>
      <c r="CL159" s="88">
        <v>0</v>
      </c>
      <c r="CM159" s="88">
        <v>0</v>
      </c>
      <c r="CN159" s="88">
        <v>0</v>
      </c>
      <c r="CO159" s="88">
        <v>0</v>
      </c>
      <c r="CP159" s="88">
        <v>0</v>
      </c>
      <c r="CQ159" s="229">
        <v>0</v>
      </c>
      <c r="CR159" s="91">
        <v>0</v>
      </c>
      <c r="CS159" s="91">
        <v>0</v>
      </c>
      <c r="CT159" s="91">
        <v>0</v>
      </c>
      <c r="CU159" s="91">
        <v>0</v>
      </c>
      <c r="CV159" s="91">
        <v>0</v>
      </c>
      <c r="CW159" s="91">
        <v>0</v>
      </c>
      <c r="CX159" s="225">
        <v>0</v>
      </c>
      <c r="CY159" s="1265">
        <v>7759.4551199999987</v>
      </c>
      <c r="CZ159" s="90">
        <v>0</v>
      </c>
      <c r="DA159" s="88">
        <v>0</v>
      </c>
      <c r="DB159" s="88">
        <v>0</v>
      </c>
      <c r="DC159" s="88">
        <v>0</v>
      </c>
      <c r="DD159" s="88">
        <v>0</v>
      </c>
      <c r="DE159" s="152">
        <v>0</v>
      </c>
      <c r="DF159" s="230">
        <v>0</v>
      </c>
      <c r="DG159" s="38">
        <v>0</v>
      </c>
      <c r="DH159" s="1237">
        <v>0</v>
      </c>
      <c r="DI159" s="956">
        <v>0</v>
      </c>
      <c r="DJ159" s="956">
        <v>0</v>
      </c>
      <c r="DK159" s="956">
        <v>0</v>
      </c>
      <c r="DL159" s="152">
        <v>0</v>
      </c>
      <c r="DM159" s="160">
        <v>0</v>
      </c>
      <c r="DN159" s="160">
        <v>0</v>
      </c>
      <c r="DO159" s="160">
        <v>0</v>
      </c>
      <c r="DP159" s="160">
        <v>0</v>
      </c>
      <c r="DQ159" s="160">
        <v>0</v>
      </c>
      <c r="DR159" s="230">
        <v>0</v>
      </c>
      <c r="DS159" s="88">
        <v>0</v>
      </c>
      <c r="DT159" s="88">
        <v>0</v>
      </c>
      <c r="DU159" s="88">
        <v>0</v>
      </c>
      <c r="DV159" s="88">
        <v>0</v>
      </c>
      <c r="DW159" s="88">
        <v>0</v>
      </c>
      <c r="DX159" s="88">
        <v>0</v>
      </c>
      <c r="DY159" s="88">
        <v>0</v>
      </c>
      <c r="DZ159" s="88">
        <v>0</v>
      </c>
      <c r="EA159" s="88">
        <v>0</v>
      </c>
      <c r="EB159" s="152">
        <v>0</v>
      </c>
      <c r="EC159" s="52">
        <f t="shared" si="150"/>
        <v>0</v>
      </c>
      <c r="ED159" s="52">
        <f t="shared" si="150"/>
        <v>0</v>
      </c>
      <c r="EE159" s="52">
        <f t="shared" si="150"/>
        <v>0</v>
      </c>
      <c r="EF159" s="52">
        <f t="shared" si="150"/>
        <v>0</v>
      </c>
      <c r="EG159" s="52">
        <f t="shared" si="151"/>
        <v>0</v>
      </c>
      <c r="EH159" s="238">
        <v>0</v>
      </c>
      <c r="EI159" s="211">
        <v>0</v>
      </c>
      <c r="EJ159" s="211">
        <v>0</v>
      </c>
      <c r="EK159" s="211">
        <v>0</v>
      </c>
      <c r="EL159" s="217">
        <f>IF(C159&gt;=Summary!$E$26,MAX(0,SUM(EH159:EK159)),0)</f>
        <v>0</v>
      </c>
      <c r="EM159" s="52">
        <f>IF(C159&gt;=Summary!$E$26,DX159*BL159,0)</f>
        <v>0</v>
      </c>
      <c r="EN159" s="52">
        <f>IF(C159&gt;=Summary!$E$26,DY159*BM159,0)</f>
        <v>0</v>
      </c>
      <c r="EO159" s="52">
        <f>IF(C159&gt;=Summary!$E$26,DZ159*BN159,0)</f>
        <v>0</v>
      </c>
      <c r="EP159" s="52">
        <f>IF(C159&gt;=Summary!$E$26,EA159*BO159,0)</f>
        <v>0</v>
      </c>
      <c r="EQ159" s="52">
        <f>IF(C159&gt;=Summary!$E$26,DX159*BL159+DY159*BM159+DZ159*BN159+EA159*BO159,0)</f>
        <v>0</v>
      </c>
      <c r="ER159" s="826">
        <v>0</v>
      </c>
      <c r="ES159" s="278">
        <v>0</v>
      </c>
      <c r="ET159" s="278">
        <v>0</v>
      </c>
      <c r="EU159" s="278">
        <v>0</v>
      </c>
      <c r="EV159" s="212">
        <f>IF(C159&gt;=Summary!$E$26,MAX(0,SUM(ER159:EU159)),0)</f>
        <v>0</v>
      </c>
      <c r="EW159" s="52"/>
      <c r="EX159" s="1049">
        <f t="shared" si="152"/>
        <v>0</v>
      </c>
      <c r="EY159" s="1045" t="str">
        <f t="shared" si="153"/>
        <v/>
      </c>
      <c r="EZ159" s="1684" t="s">
        <v>525</v>
      </c>
      <c r="FA159" s="1046">
        <f t="shared" si="166"/>
        <v>45</v>
      </c>
      <c r="FB159" s="256">
        <f t="shared" si="154"/>
        <v>9308.25</v>
      </c>
      <c r="FC159" s="194">
        <f t="shared" si="155"/>
        <v>2792.4749999999999</v>
      </c>
      <c r="FD159" s="194">
        <f t="shared" si="156"/>
        <v>1773</v>
      </c>
      <c r="FE159" s="194">
        <f t="shared" si="157"/>
        <v>531.9</v>
      </c>
      <c r="FF159" s="194">
        <f t="shared" si="158"/>
        <v>2216.25</v>
      </c>
      <c r="FG159" s="194">
        <f t="shared" si="159"/>
        <v>664.875</v>
      </c>
      <c r="FH159" s="257">
        <f>IF(EZ159="No",IF((OR(MONTH(C159)=5,MONTH(C159)=6,MONTH(C159)=7,MONTH(C159)=8,MONTH(C159)=9)),Summary!$O$15*12*(AX159+AY159+AZ159+BA159)*(1-$BC159),Summary!$O$15*13*(AX159+AY159+AZ159+BA159)*(1-$BC159)+IF(Summary!$O$16="Yes",(CALC!FA159+Summary!$O$15)*6*(AX159+AY159+AZ159+BA159)*(1-$BC159),0)),0)</f>
        <v>0</v>
      </c>
      <c r="FI159" s="1412">
        <f>IF(MONTH(C159)=5,FI158*(IF(Summary!$E$70="no",(1+(Summary!$E$71*0.8)),1+HLOOKUP(YEAR(C159)-1,CCFMODEL!$I$127:$AF$128,2)*0.8)),+FI158)</f>
        <v>35.360887055808156</v>
      </c>
      <c r="FJ159" s="1411">
        <f>IF(MONTH(C159)=5,FJ158*(IF(Summary!$E$70="no",(1+(Summary!$E$71*0.8)),1+HLOOKUP(YEAR(CALC!C159)-1,CCFMODEL!$I$127:$AF$128,2)*0.8)),FJ158)</f>
        <v>30.905972151139412</v>
      </c>
      <c r="FK159" s="832">
        <f t="shared" si="127"/>
        <v>611274.81431199168</v>
      </c>
      <c r="FL159" s="1412">
        <f>IF(MONTH(C159)=5,FL158*(IF(Summary!$E$70="no",(1+(Summary!$E$71*0.8)),1+HLOOKUP(YEAR(CALC!C159)-1,CCFMODEL!$I$127:$AF$128,2)*0.8)),+FL158)</f>
        <v>74.36790982228267</v>
      </c>
      <c r="FM159" s="1411">
        <f>IF(MONTH(C159)=5,FM158*(IF(Summary!$E$70="no",(1+(Summary!$E$71*0.8)),1+HLOOKUP(YEAR(CALC!C159)-1,CCFMODEL!$I$127:$AF$128,2)*0.8)),+FM158)</f>
        <v>35.493473808923291</v>
      </c>
      <c r="FN159" s="832">
        <f t="shared" si="128"/>
        <v>622910.46534660377</v>
      </c>
      <c r="FO159" s="194">
        <f t="shared" si="160"/>
        <v>1234185.2796585956</v>
      </c>
      <c r="FP159" s="263">
        <f t="shared" si="125"/>
        <v>9308.25</v>
      </c>
      <c r="FQ159" s="194">
        <f t="shared" si="125"/>
        <v>2792.4749999999999</v>
      </c>
      <c r="FR159" s="194">
        <f t="shared" si="125"/>
        <v>1773</v>
      </c>
      <c r="FS159" s="194">
        <f t="shared" si="125"/>
        <v>531.9</v>
      </c>
      <c r="FT159" s="194">
        <f t="shared" si="125"/>
        <v>2216.25</v>
      </c>
      <c r="FU159" s="194">
        <f t="shared" si="125"/>
        <v>664.875</v>
      </c>
      <c r="FV159" s="257">
        <f t="shared" si="124"/>
        <v>0</v>
      </c>
      <c r="FW159" s="189">
        <f t="shared" si="129"/>
        <v>0</v>
      </c>
      <c r="FX159" s="189">
        <f t="shared" si="130"/>
        <v>0</v>
      </c>
      <c r="FY159" s="189">
        <f t="shared" si="131"/>
        <v>0</v>
      </c>
      <c r="FZ159" s="258">
        <f t="shared" si="132"/>
        <v>0</v>
      </c>
      <c r="GA159" s="1294">
        <f>(SUM(FP159:FV159)+SUM(GU159:HB159)/(1-Summary!$O$25))*CY159/1000</f>
        <v>229062.60689720398</v>
      </c>
      <c r="GB159" s="1369">
        <f>IF($C159&lt;Summary!$M$81,+Summary!$O$81,VLOOKUP(C159,GasTable,19))</f>
        <v>3.7186313381321603</v>
      </c>
      <c r="GC159" s="1370">
        <f>IF(H159&lt;=Summary!$N$84,MIN(GA159,Summary!$O$75*(H159-G159+1)),0)</f>
        <v>0</v>
      </c>
      <c r="GD159" s="1371">
        <f>IF(C159&lt;Summary!$N$84,IF(Summary!$O$75*(H159-G159+1)*0.8&gt;GC159,1,0),0)</f>
        <v>0</v>
      </c>
      <c r="GE159" s="1372">
        <v>0</v>
      </c>
      <c r="GF159" s="1370">
        <f t="shared" si="161"/>
        <v>229062.60689720398</v>
      </c>
      <c r="GG159" s="1371">
        <f>GF159*(IF(Summary!$O$74=1,VLOOKUP($C159,GasTable,16)+Summary!$O$92+Summary!$O$93,VLOOKUP($C159,GasTable,19)+Summary!$O$92+Summary!$O$93))</f>
        <v>863733.55022153491</v>
      </c>
      <c r="GH159" s="1373">
        <v>5577.9470071982405</v>
      </c>
      <c r="GI159" s="1466">
        <v>0</v>
      </c>
      <c r="GJ159" s="1374">
        <f t="shared" si="162"/>
        <v>869311.49722873315</v>
      </c>
      <c r="GK159" s="189">
        <f t="shared" si="133"/>
        <v>29092.270500000002</v>
      </c>
      <c r="GL159" s="266">
        <v>0.51988349303999992</v>
      </c>
      <c r="GM159" s="255">
        <f t="shared" si="134"/>
        <v>0</v>
      </c>
      <c r="GN159" s="189">
        <f>IF(SUM(GU159:HB159)=0,0,IF(Summary!$O$16="Yes",SUM(GX159:HB159),IF(Summary!$O$17="Yes",SUM(GY159:HB159),SUM(GU159:HB159))))</f>
        <v>11805.520500000001</v>
      </c>
      <c r="GO159" s="203">
        <v>3.2938198590278516</v>
      </c>
      <c r="GP159" s="258">
        <f t="shared" si="163"/>
        <v>38885.257869060413</v>
      </c>
      <c r="GQ159" s="189"/>
      <c r="GR159" s="189"/>
      <c r="GS159" s="189"/>
      <c r="GT159" s="189"/>
      <c r="GU159" s="268">
        <v>5389.4767500000007</v>
      </c>
      <c r="GV159" s="189">
        <v>1026.5670000000002</v>
      </c>
      <c r="GW159" s="189">
        <v>1283.20875</v>
      </c>
      <c r="GX159" s="189"/>
      <c r="GY159" s="254">
        <v>2874.3875999999996</v>
      </c>
      <c r="GZ159" s="189">
        <v>547.50239999999997</v>
      </c>
      <c r="HA159" s="189">
        <v>684.37800000000004</v>
      </c>
      <c r="HB159" s="255"/>
      <c r="HC159" s="189">
        <v>11805.520500000001</v>
      </c>
      <c r="HD159" s="189"/>
      <c r="HE159" s="189">
        <v>20274.698250000001</v>
      </c>
      <c r="HF159" s="189">
        <v>575823.24565896601</v>
      </c>
      <c r="HG159" s="189"/>
      <c r="HH159" s="203">
        <v>48.488630520941911</v>
      </c>
      <c r="HI159" s="189">
        <v>983092.35236783756</v>
      </c>
      <c r="HJ159" s="268">
        <f t="shared" si="135"/>
        <v>0</v>
      </c>
      <c r="HK159" s="189">
        <f t="shared" si="136"/>
        <v>0</v>
      </c>
      <c r="HL159" s="189">
        <f t="shared" si="137"/>
        <v>0</v>
      </c>
      <c r="HM159" s="255">
        <f t="shared" si="138"/>
        <v>0</v>
      </c>
      <c r="HN159" s="189">
        <f t="shared" si="139"/>
        <v>0</v>
      </c>
      <c r="HO159" s="203">
        <f t="shared" si="164"/>
        <v>0</v>
      </c>
      <c r="HP159" s="258">
        <f t="shared" si="140"/>
        <v>0</v>
      </c>
      <c r="HQ159" s="203"/>
      <c r="HR159" s="268"/>
      <c r="HS159" s="38"/>
      <c r="HT159" s="255"/>
      <c r="HU159" s="254"/>
      <c r="HV159" s="203"/>
      <c r="HW159" s="189"/>
      <c r="HX159" s="1020"/>
      <c r="HY159" s="258"/>
      <c r="HZ159" s="268"/>
      <c r="IA159" s="203"/>
      <c r="IB159" s="255"/>
      <c r="IC159" s="254"/>
      <c r="ID159" s="203"/>
      <c r="IE159" s="255"/>
      <c r="IF159" s="189"/>
      <c r="IG159" s="203"/>
      <c r="IH159" s="255"/>
      <c r="II159" s="189"/>
      <c r="IJ159" s="203"/>
      <c r="IK159" s="189"/>
      <c r="IL159" s="1182"/>
      <c r="IM159" s="1403"/>
      <c r="IN159" s="254"/>
      <c r="IO159" s="254"/>
      <c r="IP159" s="254"/>
      <c r="IQ159" s="254"/>
      <c r="IR159" s="223"/>
    </row>
    <row r="160" spans="1:252" ht="13.8" thickBot="1">
      <c r="A160" t="str">
        <f t="shared" si="141"/>
        <v>2011Q4</v>
      </c>
      <c r="B160">
        <f t="shared" si="142"/>
        <v>2011</v>
      </c>
      <c r="C160" s="49">
        <f t="shared" si="143"/>
        <v>40878</v>
      </c>
      <c r="D160" s="115">
        <f t="shared" si="144"/>
        <v>2011</v>
      </c>
      <c r="E160" s="10">
        <f t="shared" si="167"/>
        <v>12</v>
      </c>
      <c r="F160" s="248">
        <f t="shared" si="168"/>
        <v>40903</v>
      </c>
      <c r="G160" s="245">
        <v>40878</v>
      </c>
      <c r="H160" s="251">
        <v>40908</v>
      </c>
      <c r="I160" s="959">
        <f t="shared" si="165"/>
        <v>7.1499999999999994E-2</v>
      </c>
      <c r="J160" s="37">
        <f t="shared" si="145"/>
        <v>0.42743911143582375</v>
      </c>
      <c r="K160" s="1036"/>
      <c r="L160" s="37"/>
      <c r="M160" s="1004">
        <v>0</v>
      </c>
      <c r="N160" s="38">
        <f t="shared" si="170"/>
        <v>0</v>
      </c>
      <c r="O160" s="40">
        <f t="shared" si="170"/>
        <v>0</v>
      </c>
      <c r="P160" s="159">
        <f t="shared" si="172"/>
        <v>0</v>
      </c>
      <c r="Q160" s="38">
        <f t="shared" si="173"/>
        <v>0</v>
      </c>
      <c r="R160" s="40">
        <f t="shared" si="173"/>
        <v>0</v>
      </c>
      <c r="S160" s="38">
        <f t="shared" si="173"/>
        <v>0</v>
      </c>
      <c r="T160" s="38">
        <f t="shared" si="173"/>
        <v>0</v>
      </c>
      <c r="U160" s="38">
        <f t="shared" si="173"/>
        <v>0</v>
      </c>
      <c r="V160" s="159">
        <f t="shared" si="173"/>
        <v>0</v>
      </c>
      <c r="W160" s="38">
        <f t="shared" si="173"/>
        <v>0</v>
      </c>
      <c r="X160" s="39">
        <f t="shared" si="173"/>
        <v>0</v>
      </c>
      <c r="Y160" s="46">
        <v>0</v>
      </c>
      <c r="Z160" s="46">
        <v>0</v>
      </c>
      <c r="AA160" s="47">
        <v>0</v>
      </c>
      <c r="AB160" s="46">
        <v>0</v>
      </c>
      <c r="AC160" s="46">
        <v>0</v>
      </c>
      <c r="AD160" s="47">
        <v>0</v>
      </c>
      <c r="AE160" s="46">
        <v>0</v>
      </c>
      <c r="AF160" s="46">
        <v>0</v>
      </c>
      <c r="AG160" s="47">
        <v>0</v>
      </c>
      <c r="AH160" s="46">
        <v>0</v>
      </c>
      <c r="AI160" s="46">
        <v>0</v>
      </c>
      <c r="AJ160" s="47">
        <v>0</v>
      </c>
      <c r="AK160" s="46">
        <v>0</v>
      </c>
      <c r="AL160" s="46">
        <v>0</v>
      </c>
      <c r="AM160" s="47">
        <v>0</v>
      </c>
      <c r="AN160" s="46">
        <v>0</v>
      </c>
      <c r="AO160" s="46">
        <v>0</v>
      </c>
      <c r="AP160" s="47">
        <v>0</v>
      </c>
      <c r="AQ160" s="46">
        <v>0</v>
      </c>
      <c r="AR160" s="46">
        <v>0</v>
      </c>
      <c r="AS160" s="47">
        <v>0</v>
      </c>
      <c r="AT160" s="46">
        <v>0</v>
      </c>
      <c r="AU160" s="46">
        <v>0</v>
      </c>
      <c r="AV160" s="46">
        <v>0</v>
      </c>
      <c r="AW160" s="1545">
        <v>0</v>
      </c>
      <c r="AX160" s="10">
        <f t="shared" si="169"/>
        <v>21</v>
      </c>
      <c r="AY160" s="42">
        <f>IF(AND($E160=MONTH(Summary!$E$24),$D160=YEAR(Summary!$E$24)),Summary!$E$25,1)*IF(G160="",0,INT((H160-MOD(H160,7)-G160)/7)+1-IF(BA160,IF(WEEKDAY(F160)=7,1,0),0))</f>
        <v>5</v>
      </c>
      <c r="AZ160" s="42">
        <f>IF(AND($E160=MONTH(Summary!$E$24),$D160=YEAR(Summary!$E$24)),Summary!$E$25,1)*IF(G160="",0,INT((H160-MOD(H160-1,7)-G160)/7)+1-IF(BA160,IF(WEEKDAY(F160)=1,1,0),0))</f>
        <v>4</v>
      </c>
      <c r="BA160" s="42">
        <v>1</v>
      </c>
      <c r="BB160" s="10">
        <f>IF(AND($E160=MONTH(Summary!$E$24),$D160=YEAR(Summary!$E$24)),Summary!$E$25,1)*IF(G160="",0,H160-G160+1)</f>
        <v>31</v>
      </c>
      <c r="BC160" s="914">
        <f>Summary!$E$19</f>
        <v>1.4999999999999999E-2</v>
      </c>
      <c r="BD160" s="113">
        <v>14893.2</v>
      </c>
      <c r="BE160" s="171">
        <v>3546</v>
      </c>
      <c r="BF160" s="171">
        <v>3546</v>
      </c>
      <c r="BG160" s="174"/>
      <c r="BH160" s="1198">
        <v>1</v>
      </c>
      <c r="BI160" s="1198">
        <v>1</v>
      </c>
      <c r="BJ160" s="1198">
        <v>1</v>
      </c>
      <c r="BK160" s="1198">
        <v>1</v>
      </c>
      <c r="BL160" s="95">
        <v>2978.64</v>
      </c>
      <c r="BM160" s="171">
        <v>709.2</v>
      </c>
      <c r="BN160" s="171">
        <v>709.2</v>
      </c>
      <c r="BO160" s="174"/>
      <c r="BP160" s="1198">
        <v>1</v>
      </c>
      <c r="BQ160" s="1199">
        <v>1</v>
      </c>
      <c r="BR160" s="1199">
        <v>1</v>
      </c>
      <c r="BS160" s="1200">
        <v>1</v>
      </c>
      <c r="BT160" s="94">
        <f t="shared" si="146"/>
        <v>21985.200000000001</v>
      </c>
      <c r="BU160" s="233">
        <f t="shared" si="147"/>
        <v>21985.200000000001</v>
      </c>
      <c r="BV160" s="92">
        <f t="shared" si="148"/>
        <v>4397.04</v>
      </c>
      <c r="BW160" s="233">
        <f t="shared" si="149"/>
        <v>4397.04</v>
      </c>
      <c r="BX160" s="88">
        <v>11.961670088980151</v>
      </c>
      <c r="BY160" s="90">
        <v>0</v>
      </c>
      <c r="BZ160" s="88">
        <v>0</v>
      </c>
      <c r="CA160" s="88">
        <v>0</v>
      </c>
      <c r="CB160" s="88">
        <v>0</v>
      </c>
      <c r="CC160" s="88">
        <v>0</v>
      </c>
      <c r="CD160" s="88">
        <v>0</v>
      </c>
      <c r="CE160" s="100">
        <v>0</v>
      </c>
      <c r="CF160" s="88">
        <v>0</v>
      </c>
      <c r="CG160" s="88">
        <v>0</v>
      </c>
      <c r="CH160" s="88">
        <v>0</v>
      </c>
      <c r="CI160" s="88">
        <v>0</v>
      </c>
      <c r="CJ160" s="228">
        <v>0</v>
      </c>
      <c r="CK160" s="88">
        <v>0</v>
      </c>
      <c r="CL160" s="88">
        <v>0</v>
      </c>
      <c r="CM160" s="88">
        <v>0</v>
      </c>
      <c r="CN160" s="88">
        <v>0</v>
      </c>
      <c r="CO160" s="88">
        <v>0</v>
      </c>
      <c r="CP160" s="88">
        <v>0</v>
      </c>
      <c r="CQ160" s="229">
        <v>0</v>
      </c>
      <c r="CR160" s="91">
        <v>0</v>
      </c>
      <c r="CS160" s="91">
        <v>0</v>
      </c>
      <c r="CT160" s="91">
        <v>0</v>
      </c>
      <c r="CU160" s="91">
        <v>0</v>
      </c>
      <c r="CV160" s="91">
        <v>0</v>
      </c>
      <c r="CW160" s="91">
        <v>0</v>
      </c>
      <c r="CX160" s="225">
        <v>0</v>
      </c>
      <c r="CY160" s="1265">
        <v>7717.6479999999992</v>
      </c>
      <c r="CZ160" s="90">
        <v>0</v>
      </c>
      <c r="DA160" s="88">
        <v>0</v>
      </c>
      <c r="DB160" s="88">
        <v>0</v>
      </c>
      <c r="DC160" s="88">
        <v>0</v>
      </c>
      <c r="DD160" s="88">
        <v>0</v>
      </c>
      <c r="DE160" s="152">
        <v>0</v>
      </c>
      <c r="DF160" s="230">
        <v>0</v>
      </c>
      <c r="DG160" s="38">
        <v>0</v>
      </c>
      <c r="DH160" s="1237">
        <v>0</v>
      </c>
      <c r="DI160" s="956">
        <v>0</v>
      </c>
      <c r="DJ160" s="956">
        <v>0</v>
      </c>
      <c r="DK160" s="956">
        <v>0</v>
      </c>
      <c r="DL160" s="152">
        <v>0</v>
      </c>
      <c r="DM160" s="160">
        <v>0</v>
      </c>
      <c r="DN160" s="160">
        <v>0</v>
      </c>
      <c r="DO160" s="160">
        <v>0</v>
      </c>
      <c r="DP160" s="160">
        <v>0</v>
      </c>
      <c r="DQ160" s="160">
        <v>0</v>
      </c>
      <c r="DR160" s="230">
        <v>0</v>
      </c>
      <c r="DS160" s="88">
        <v>0</v>
      </c>
      <c r="DT160" s="88">
        <v>0</v>
      </c>
      <c r="DU160" s="88">
        <v>0</v>
      </c>
      <c r="DV160" s="88">
        <v>0</v>
      </c>
      <c r="DW160" s="88">
        <v>0</v>
      </c>
      <c r="DX160" s="88">
        <v>0</v>
      </c>
      <c r="DY160" s="88">
        <v>0</v>
      </c>
      <c r="DZ160" s="88">
        <v>0</v>
      </c>
      <c r="EA160" s="88">
        <v>0</v>
      </c>
      <c r="EB160" s="152">
        <v>0</v>
      </c>
      <c r="EC160" s="52">
        <f t="shared" si="150"/>
        <v>0</v>
      </c>
      <c r="ED160" s="52">
        <f t="shared" si="150"/>
        <v>0</v>
      </c>
      <c r="EE160" s="52">
        <f t="shared" si="150"/>
        <v>0</v>
      </c>
      <c r="EF160" s="52">
        <f t="shared" si="150"/>
        <v>0</v>
      </c>
      <c r="EG160" s="52">
        <f t="shared" si="151"/>
        <v>0</v>
      </c>
      <c r="EH160" s="238">
        <v>0</v>
      </c>
      <c r="EI160" s="211">
        <v>0</v>
      </c>
      <c r="EJ160" s="211">
        <v>0</v>
      </c>
      <c r="EK160" s="211">
        <v>0</v>
      </c>
      <c r="EL160" s="217">
        <f>IF(C160&gt;=Summary!$E$26,MAX(0,SUM(EH160:EK160)),0)</f>
        <v>0</v>
      </c>
      <c r="EM160" s="52">
        <f>IF(C160&gt;=Summary!$E$26,DX160*BL160,0)</f>
        <v>0</v>
      </c>
      <c r="EN160" s="52">
        <f>IF(C160&gt;=Summary!$E$26,DY160*BM160,0)</f>
        <v>0</v>
      </c>
      <c r="EO160" s="52">
        <f>IF(C160&gt;=Summary!$E$26,DZ160*BN160,0)</f>
        <v>0</v>
      </c>
      <c r="EP160" s="52">
        <f>IF(C160&gt;=Summary!$E$26,EA160*BO160,0)</f>
        <v>0</v>
      </c>
      <c r="EQ160" s="52">
        <f>IF(C160&gt;=Summary!$E$26,DX160*BL160+DY160*BM160+DZ160*BN160+EA160*BO160,0)</f>
        <v>0</v>
      </c>
      <c r="ER160" s="826">
        <v>0</v>
      </c>
      <c r="ES160" s="278">
        <v>0</v>
      </c>
      <c r="ET160" s="278">
        <v>0</v>
      </c>
      <c r="EU160" s="278">
        <v>0</v>
      </c>
      <c r="EV160" s="212">
        <f>IF(C160&gt;=Summary!$E$26,MAX(0,SUM(ER160:EU160)),0)</f>
        <v>0</v>
      </c>
      <c r="EW160" s="52"/>
      <c r="EX160" s="1049">
        <f t="shared" si="152"/>
        <v>0</v>
      </c>
      <c r="EY160" s="1045" t="str">
        <f t="shared" si="153"/>
        <v/>
      </c>
      <c r="EZ160" s="1684" t="s">
        <v>525</v>
      </c>
      <c r="FA160" s="1046">
        <f t="shared" si="166"/>
        <v>45</v>
      </c>
      <c r="FB160" s="256">
        <f t="shared" si="154"/>
        <v>9308.25</v>
      </c>
      <c r="FC160" s="194">
        <f t="shared" si="155"/>
        <v>2792.4749999999999</v>
      </c>
      <c r="FD160" s="194">
        <f t="shared" si="156"/>
        <v>2216.25</v>
      </c>
      <c r="FE160" s="194">
        <f t="shared" si="157"/>
        <v>664.875</v>
      </c>
      <c r="FF160" s="194">
        <f t="shared" si="158"/>
        <v>2216.25</v>
      </c>
      <c r="FG160" s="194">
        <f t="shared" si="159"/>
        <v>664.875</v>
      </c>
      <c r="FH160" s="257">
        <f>IF(EZ160="No",IF((OR(MONTH(C160)=5,MONTH(C160)=6,MONTH(C160)=7,MONTH(C160)=8,MONTH(C160)=9)),Summary!$O$15*12*(AX160+AY160+AZ160+BA160)*(1-$BC160),Summary!$O$15*13*(AX160+AY160+AZ160+BA160)*(1-$BC160)+IF(Summary!$O$16="Yes",(CALC!FA160+Summary!$O$15)*6*(AX160+AY160+AZ160+BA160)*(1-$BC160),0)),0)</f>
        <v>0</v>
      </c>
      <c r="FI160" s="1412">
        <f>IF(MONTH(C160)=5,FI159*(IF(Summary!$E$70="no",(1+(Summary!$E$71*0.8)),1+HLOOKUP(YEAR(C160)-1,CCFMODEL!$I$127:$AF$128,2)*0.8)),+FI159)</f>
        <v>35.360887055808156</v>
      </c>
      <c r="FJ160" s="1411">
        <f>IF(MONTH(C160)=5,FJ159*(IF(Summary!$E$70="no",(1+(Summary!$E$71*0.8)),1+HLOOKUP(YEAR(CALC!C160)-1,CCFMODEL!$I$127:$AF$128,2)*0.8)),FJ159)</f>
        <v>30.905972151139412</v>
      </c>
      <c r="FK160" s="832">
        <f t="shared" si="127"/>
        <v>631650.6414557246</v>
      </c>
      <c r="FL160" s="1412">
        <f>IF(MONTH(C160)=5,FL159*(IF(Summary!$E$70="no",(1+(Summary!$E$71*0.8)),1+HLOOKUP(YEAR(CALC!C160)-1,CCFMODEL!$I$127:$AF$128,2)*0.8)),+FL159)</f>
        <v>74.36790982228267</v>
      </c>
      <c r="FM160" s="1411">
        <f>IF(MONTH(C160)=5,FM159*(IF(Summary!$E$70="no",(1+(Summary!$E$71*0.8)),1+HLOOKUP(YEAR(CALC!C160)-1,CCFMODEL!$I$127:$AF$128,2)*0.8)),+FM159)</f>
        <v>35.493473808923291</v>
      </c>
      <c r="FN160" s="832">
        <f t="shared" si="128"/>
        <v>643674.1475248239</v>
      </c>
      <c r="FO160" s="194">
        <f t="shared" si="160"/>
        <v>1275324.7889805485</v>
      </c>
      <c r="FP160" s="263">
        <f t="shared" si="125"/>
        <v>9308.25</v>
      </c>
      <c r="FQ160" s="194">
        <f t="shared" si="125"/>
        <v>2792.4749999999999</v>
      </c>
      <c r="FR160" s="194">
        <f t="shared" si="125"/>
        <v>2216.25</v>
      </c>
      <c r="FS160" s="194">
        <f t="shared" si="125"/>
        <v>664.875</v>
      </c>
      <c r="FT160" s="194">
        <f t="shared" si="125"/>
        <v>2216.25</v>
      </c>
      <c r="FU160" s="194">
        <f t="shared" si="125"/>
        <v>664.875</v>
      </c>
      <c r="FV160" s="257">
        <f t="shared" si="124"/>
        <v>0</v>
      </c>
      <c r="FW160" s="189">
        <f t="shared" si="129"/>
        <v>0</v>
      </c>
      <c r="FX160" s="189">
        <f t="shared" si="130"/>
        <v>0</v>
      </c>
      <c r="FY160" s="189">
        <f t="shared" si="131"/>
        <v>0</v>
      </c>
      <c r="FZ160" s="258">
        <f t="shared" si="132"/>
        <v>0</v>
      </c>
      <c r="GA160" s="1294">
        <f>(SUM(FP160:FV160)+SUM(GU160:HB160)/(1-Summary!$O$25))*CY160/1000</f>
        <v>235422.72329831996</v>
      </c>
      <c r="GB160" s="1369">
        <f>IF($C160&lt;Summary!$M$81,+Summary!$O$81,VLOOKUP(C160,GasTable,19))</f>
        <v>3.8768036987449364</v>
      </c>
      <c r="GC160" s="1370">
        <f>IF(H160&lt;=Summary!$N$84,MIN(GA160,Summary!$O$75*(H160-G160+1)),0)</f>
        <v>0</v>
      </c>
      <c r="GD160" s="1371">
        <f>IF(C160&lt;Summary!$N$84,IF(Summary!$O$75*(H160-G160+1)*0.8&gt;GC160,1,0),0)</f>
        <v>0</v>
      </c>
      <c r="GE160" s="1372">
        <v>0</v>
      </c>
      <c r="GF160" s="1370">
        <f t="shared" si="161"/>
        <v>235422.72329831996</v>
      </c>
      <c r="GG160" s="1371">
        <f>GF160*(IF(Summary!$O$74=1,VLOOKUP($C160,GasTable,16)+Summary!$O$92+Summary!$O$93,VLOOKUP($C160,GasTable,19)+Summary!$O$92+Summary!$O$93))</f>
        <v>924953.20833537506</v>
      </c>
      <c r="GH160" s="1373">
        <v>6009.0457330546515</v>
      </c>
      <c r="GI160" s="1466">
        <v>0</v>
      </c>
      <c r="GJ160" s="1374">
        <f t="shared" si="162"/>
        <v>930962.2540684297</v>
      </c>
      <c r="GK160" s="189">
        <f t="shared" si="133"/>
        <v>30062.012850000003</v>
      </c>
      <c r="GL160" s="266">
        <v>0.51708241599999993</v>
      </c>
      <c r="GM160" s="255">
        <f t="shared" si="134"/>
        <v>0</v>
      </c>
      <c r="GN160" s="189">
        <f>IF(SUM(GU160:HB160)=0,0,IF(Summary!$O$16="Yes",SUM(GX160:HB160),IF(Summary!$O$17="Yes",SUM(GY160:HB160),SUM(GU160:HB160))))</f>
        <v>12199.037850000001</v>
      </c>
      <c r="GO160" s="203">
        <v>3.2938198590278516</v>
      </c>
      <c r="GP160" s="258">
        <f t="shared" si="163"/>
        <v>40181.433131362428</v>
      </c>
      <c r="GQ160" s="189"/>
      <c r="GR160" s="189"/>
      <c r="GS160" s="189"/>
      <c r="GT160" s="189"/>
      <c r="GU160" s="268">
        <v>5389.4767500000007</v>
      </c>
      <c r="GV160" s="189">
        <v>1283.20875</v>
      </c>
      <c r="GW160" s="189">
        <v>1283.20875</v>
      </c>
      <c r="GX160" s="189"/>
      <c r="GY160" s="254">
        <v>2874.3875999999996</v>
      </c>
      <c r="GZ160" s="189">
        <v>684.37800000000004</v>
      </c>
      <c r="HA160" s="189">
        <v>684.37800000000004</v>
      </c>
      <c r="HB160" s="255"/>
      <c r="HC160" s="189">
        <v>12199.037850000001</v>
      </c>
      <c r="HD160" s="189"/>
      <c r="HE160" s="189">
        <v>20950.521525</v>
      </c>
      <c r="HF160" s="189">
        <v>589594.96807770198</v>
      </c>
      <c r="HG160" s="189"/>
      <c r="HH160" s="203">
        <v>48.019398050337017</v>
      </c>
      <c r="HI160" s="189">
        <v>1006031.4324711288</v>
      </c>
      <c r="HJ160" s="268">
        <f t="shared" si="135"/>
        <v>0</v>
      </c>
      <c r="HK160" s="189">
        <f t="shared" si="136"/>
        <v>0</v>
      </c>
      <c r="HL160" s="189">
        <f t="shared" si="137"/>
        <v>0</v>
      </c>
      <c r="HM160" s="255">
        <f t="shared" si="138"/>
        <v>0</v>
      </c>
      <c r="HN160" s="189">
        <f t="shared" si="139"/>
        <v>0</v>
      </c>
      <c r="HO160" s="203">
        <f t="shared" si="164"/>
        <v>0</v>
      </c>
      <c r="HP160" s="258">
        <f t="shared" si="140"/>
        <v>0</v>
      </c>
      <c r="HQ160" s="203"/>
      <c r="HR160" s="268"/>
      <c r="HS160" s="38"/>
      <c r="HT160" s="255"/>
      <c r="HU160" s="254"/>
      <c r="HV160" s="203"/>
      <c r="HW160" s="189"/>
      <c r="HX160" s="1020"/>
      <c r="HY160" s="258"/>
      <c r="HZ160" s="268"/>
      <c r="IA160" s="203"/>
      <c r="IB160" s="255"/>
      <c r="IC160" s="254"/>
      <c r="ID160" s="203"/>
      <c r="IE160" s="255"/>
      <c r="IF160" s="189"/>
      <c r="IG160" s="203"/>
      <c r="IH160" s="255"/>
      <c r="II160" s="189"/>
      <c r="IJ160" s="203"/>
      <c r="IK160" s="189"/>
      <c r="IL160" s="1182"/>
      <c r="IM160" s="1403"/>
      <c r="IN160" s="254"/>
      <c r="IO160" s="254"/>
      <c r="IP160" s="254"/>
      <c r="IQ160" s="254"/>
      <c r="IR160" s="223"/>
    </row>
    <row r="161" spans="1:252" ht="13.8" thickBot="1">
      <c r="A161" t="str">
        <f t="shared" si="141"/>
        <v>2012Q1</v>
      </c>
      <c r="B161">
        <f t="shared" si="142"/>
        <v>2012</v>
      </c>
      <c r="C161" s="49">
        <f t="shared" si="143"/>
        <v>40909</v>
      </c>
      <c r="D161" s="115">
        <f t="shared" si="144"/>
        <v>2012</v>
      </c>
      <c r="E161" s="10">
        <f t="shared" si="167"/>
        <v>1</v>
      </c>
      <c r="F161" s="248">
        <f t="shared" si="168"/>
        <v>40910</v>
      </c>
      <c r="G161" s="245">
        <v>40909</v>
      </c>
      <c r="H161" s="251">
        <v>40939</v>
      </c>
      <c r="I161" s="959">
        <f t="shared" si="165"/>
        <v>7.1499999999999994E-2</v>
      </c>
      <c r="J161" s="37">
        <f t="shared" si="145"/>
        <v>0.42489809264421891</v>
      </c>
      <c r="K161" s="1036"/>
      <c r="L161" s="37"/>
      <c r="M161" s="1004">
        <v>0</v>
      </c>
      <c r="N161" s="38">
        <f t="shared" si="170"/>
        <v>0</v>
      </c>
      <c r="O161" s="40">
        <f t="shared" si="170"/>
        <v>0</v>
      </c>
      <c r="P161" s="159">
        <f t="shared" si="172"/>
        <v>0</v>
      </c>
      <c r="Q161" s="38">
        <f t="shared" si="173"/>
        <v>0</v>
      </c>
      <c r="R161" s="40">
        <f t="shared" si="173"/>
        <v>0</v>
      </c>
      <c r="S161" s="38">
        <f t="shared" si="173"/>
        <v>0</v>
      </c>
      <c r="T161" s="38">
        <f t="shared" si="173"/>
        <v>0</v>
      </c>
      <c r="U161" s="38">
        <f t="shared" si="173"/>
        <v>0</v>
      </c>
      <c r="V161" s="159">
        <f t="shared" si="173"/>
        <v>0</v>
      </c>
      <c r="W161" s="38">
        <f t="shared" si="173"/>
        <v>0</v>
      </c>
      <c r="X161" s="39">
        <f t="shared" si="173"/>
        <v>0</v>
      </c>
      <c r="Y161" s="46">
        <v>0</v>
      </c>
      <c r="Z161" s="46">
        <v>0</v>
      </c>
      <c r="AA161" s="47">
        <v>0</v>
      </c>
      <c r="AB161" s="46">
        <v>0</v>
      </c>
      <c r="AC161" s="46">
        <v>0</v>
      </c>
      <c r="AD161" s="47">
        <v>0</v>
      </c>
      <c r="AE161" s="46">
        <v>0</v>
      </c>
      <c r="AF161" s="46">
        <v>0</v>
      </c>
      <c r="AG161" s="47">
        <v>0</v>
      </c>
      <c r="AH161" s="46">
        <v>0</v>
      </c>
      <c r="AI161" s="46">
        <v>0</v>
      </c>
      <c r="AJ161" s="47">
        <v>0</v>
      </c>
      <c r="AK161" s="46">
        <v>0</v>
      </c>
      <c r="AL161" s="46">
        <v>0</v>
      </c>
      <c r="AM161" s="47">
        <v>0</v>
      </c>
      <c r="AN161" s="46">
        <v>0</v>
      </c>
      <c r="AO161" s="46">
        <v>0</v>
      </c>
      <c r="AP161" s="47">
        <v>0</v>
      </c>
      <c r="AQ161" s="46">
        <v>0</v>
      </c>
      <c r="AR161" s="46">
        <v>0</v>
      </c>
      <c r="AS161" s="47">
        <v>0</v>
      </c>
      <c r="AT161" s="46">
        <v>0</v>
      </c>
      <c r="AU161" s="46">
        <v>0</v>
      </c>
      <c r="AV161" s="46">
        <v>0</v>
      </c>
      <c r="AW161" s="1545">
        <v>0</v>
      </c>
      <c r="AX161" s="10">
        <f t="shared" si="169"/>
        <v>21</v>
      </c>
      <c r="AY161" s="42">
        <f>IF(AND($E161=MONTH(Summary!$E$24),$D161=YEAR(Summary!$E$24)),Summary!$E$25,1)*IF(G161="",0,INT((H161-MOD(H161,7)-G161)/7)+1-IF(BA161,IF(WEEKDAY(F161)=7,1,0),0))</f>
        <v>4</v>
      </c>
      <c r="AZ161" s="42">
        <f>IF(AND($E161=MONTH(Summary!$E$24),$D161=YEAR(Summary!$E$24)),Summary!$E$25,1)*IF(G161="",0,INT((H161-MOD(H161-1,7)-G161)/7)+1-IF(BA161,IF(WEEKDAY(F161)=1,1,0),0))</f>
        <v>5</v>
      </c>
      <c r="BA161" s="42">
        <v>1</v>
      </c>
      <c r="BB161" s="10">
        <f>IF(AND($E161=MONTH(Summary!$E$24),$D161=YEAR(Summary!$E$24)),Summary!$E$25,1)*IF(G161="",0,H161-G161+1)</f>
        <v>31</v>
      </c>
      <c r="BC161" s="914">
        <f>Summary!$E$19</f>
        <v>1.4999999999999999E-2</v>
      </c>
      <c r="BD161" s="113">
        <v>14893.2</v>
      </c>
      <c r="BE161" s="171">
        <v>2836.8</v>
      </c>
      <c r="BF161" s="171">
        <v>4255.2</v>
      </c>
      <c r="BG161" s="174"/>
      <c r="BH161" s="1198">
        <v>1</v>
      </c>
      <c r="BI161" s="1198">
        <v>1</v>
      </c>
      <c r="BJ161" s="1198">
        <v>1</v>
      </c>
      <c r="BK161" s="1198">
        <v>1</v>
      </c>
      <c r="BL161" s="95">
        <v>2978.64</v>
      </c>
      <c r="BM161" s="171">
        <v>567.36</v>
      </c>
      <c r="BN161" s="171">
        <v>851.04</v>
      </c>
      <c r="BO161" s="174"/>
      <c r="BP161" s="1198">
        <v>1</v>
      </c>
      <c r="BQ161" s="1199">
        <v>1</v>
      </c>
      <c r="BR161" s="1199">
        <v>1</v>
      </c>
      <c r="BS161" s="1200">
        <v>1</v>
      </c>
      <c r="BT161" s="94">
        <f t="shared" si="146"/>
        <v>21985.200000000001</v>
      </c>
      <c r="BU161" s="233">
        <f t="shared" si="147"/>
        <v>21985.200000000001</v>
      </c>
      <c r="BV161" s="92">
        <f t="shared" si="148"/>
        <v>4397.04</v>
      </c>
      <c r="BW161" s="233">
        <f t="shared" si="149"/>
        <v>4397.04</v>
      </c>
      <c r="BX161" s="88">
        <v>12.046543463381246</v>
      </c>
      <c r="BY161" s="90">
        <v>0</v>
      </c>
      <c r="BZ161" s="88">
        <v>0</v>
      </c>
      <c r="CA161" s="88">
        <v>0</v>
      </c>
      <c r="CB161" s="88">
        <v>0</v>
      </c>
      <c r="CC161" s="88">
        <v>0</v>
      </c>
      <c r="CD161" s="88">
        <v>0</v>
      </c>
      <c r="CE161" s="100">
        <v>0</v>
      </c>
      <c r="CF161" s="88">
        <v>0</v>
      </c>
      <c r="CG161" s="88">
        <v>0</v>
      </c>
      <c r="CH161" s="88">
        <v>0</v>
      </c>
      <c r="CI161" s="88">
        <v>0</v>
      </c>
      <c r="CJ161" s="228">
        <v>0</v>
      </c>
      <c r="CK161" s="88">
        <v>0</v>
      </c>
      <c r="CL161" s="88">
        <v>0</v>
      </c>
      <c r="CM161" s="88">
        <v>0</v>
      </c>
      <c r="CN161" s="88">
        <v>0</v>
      </c>
      <c r="CO161" s="88">
        <v>0</v>
      </c>
      <c r="CP161" s="88">
        <v>0</v>
      </c>
      <c r="CQ161" s="229">
        <v>0</v>
      </c>
      <c r="CR161" s="91">
        <v>0</v>
      </c>
      <c r="CS161" s="91">
        <v>0</v>
      </c>
      <c r="CT161" s="91">
        <v>0</v>
      </c>
      <c r="CU161" s="91">
        <v>0</v>
      </c>
      <c r="CV161" s="91">
        <v>0</v>
      </c>
      <c r="CW161" s="91">
        <v>0</v>
      </c>
      <c r="CX161" s="225">
        <v>0</v>
      </c>
      <c r="CY161" s="1265">
        <v>7718.9508799999994</v>
      </c>
      <c r="CZ161" s="90">
        <v>0</v>
      </c>
      <c r="DA161" s="88">
        <v>0</v>
      </c>
      <c r="DB161" s="88">
        <v>0</v>
      </c>
      <c r="DC161" s="88">
        <v>0</v>
      </c>
      <c r="DD161" s="88">
        <v>0</v>
      </c>
      <c r="DE161" s="152">
        <v>0</v>
      </c>
      <c r="DF161" s="230">
        <v>0</v>
      </c>
      <c r="DG161" s="38">
        <v>0</v>
      </c>
      <c r="DH161" s="1237">
        <v>0</v>
      </c>
      <c r="DI161" s="956">
        <v>0</v>
      </c>
      <c r="DJ161" s="956">
        <v>0</v>
      </c>
      <c r="DK161" s="956">
        <v>0</v>
      </c>
      <c r="DL161" s="152">
        <v>0</v>
      </c>
      <c r="DM161" s="160">
        <v>0</v>
      </c>
      <c r="DN161" s="160">
        <v>0</v>
      </c>
      <c r="DO161" s="160">
        <v>0</v>
      </c>
      <c r="DP161" s="160">
        <v>0</v>
      </c>
      <c r="DQ161" s="160">
        <v>0</v>
      </c>
      <c r="DR161" s="230">
        <v>0</v>
      </c>
      <c r="DS161" s="88">
        <v>0</v>
      </c>
      <c r="DT161" s="88">
        <v>0</v>
      </c>
      <c r="DU161" s="88">
        <v>0</v>
      </c>
      <c r="DV161" s="88">
        <v>0</v>
      </c>
      <c r="DW161" s="88">
        <v>0</v>
      </c>
      <c r="DX161" s="88">
        <v>0</v>
      </c>
      <c r="DY161" s="88">
        <v>0</v>
      </c>
      <c r="DZ161" s="88">
        <v>0</v>
      </c>
      <c r="EA161" s="88">
        <v>0</v>
      </c>
      <c r="EB161" s="152">
        <v>0</v>
      </c>
      <c r="EC161" s="52">
        <f t="shared" si="150"/>
        <v>0</v>
      </c>
      <c r="ED161" s="52">
        <f t="shared" si="150"/>
        <v>0</v>
      </c>
      <c r="EE161" s="52">
        <f t="shared" si="150"/>
        <v>0</v>
      </c>
      <c r="EF161" s="52">
        <f t="shared" si="150"/>
        <v>0</v>
      </c>
      <c r="EG161" s="52">
        <f t="shared" si="151"/>
        <v>0</v>
      </c>
      <c r="EH161" s="238">
        <v>0</v>
      </c>
      <c r="EI161" s="211">
        <v>0</v>
      </c>
      <c r="EJ161" s="211">
        <v>0</v>
      </c>
      <c r="EK161" s="211">
        <v>0</v>
      </c>
      <c r="EL161" s="217">
        <f>IF(C161&gt;=Summary!$E$26,MAX(0,SUM(EH161:EK161)),0)</f>
        <v>0</v>
      </c>
      <c r="EM161" s="52">
        <f>IF(C161&gt;=Summary!$E$26,DX161*BL161,0)</f>
        <v>0</v>
      </c>
      <c r="EN161" s="52">
        <f>IF(C161&gt;=Summary!$E$26,DY161*BM161,0)</f>
        <v>0</v>
      </c>
      <c r="EO161" s="52">
        <f>IF(C161&gt;=Summary!$E$26,DZ161*BN161,0)</f>
        <v>0</v>
      </c>
      <c r="EP161" s="52">
        <f>IF(C161&gt;=Summary!$E$26,EA161*BO161,0)</f>
        <v>0</v>
      </c>
      <c r="EQ161" s="52">
        <f>IF(C161&gt;=Summary!$E$26,DX161*BL161+DY161*BM161+DZ161*BN161+EA161*BO161,0)</f>
        <v>0</v>
      </c>
      <c r="ER161" s="826">
        <v>0</v>
      </c>
      <c r="ES161" s="278">
        <v>0</v>
      </c>
      <c r="ET161" s="278">
        <v>0</v>
      </c>
      <c r="EU161" s="278">
        <v>0</v>
      </c>
      <c r="EV161" s="212">
        <f>IF(C161&gt;=Summary!$E$26,MAX(0,SUM(ER161:EU161)),0)</f>
        <v>0</v>
      </c>
      <c r="EW161" s="52"/>
      <c r="EX161" s="1049">
        <f t="shared" si="152"/>
        <v>0</v>
      </c>
      <c r="EY161" s="1045" t="str">
        <f t="shared" si="153"/>
        <v/>
      </c>
      <c r="EZ161" s="1684" t="s">
        <v>525</v>
      </c>
      <c r="FA161" s="1046">
        <f t="shared" si="166"/>
        <v>45</v>
      </c>
      <c r="FB161" s="256">
        <f t="shared" si="154"/>
        <v>9308.25</v>
      </c>
      <c r="FC161" s="194">
        <f t="shared" si="155"/>
        <v>2792.4749999999999</v>
      </c>
      <c r="FD161" s="194">
        <f t="shared" si="156"/>
        <v>1773</v>
      </c>
      <c r="FE161" s="194">
        <f t="shared" si="157"/>
        <v>531.9</v>
      </c>
      <c r="FF161" s="194">
        <f t="shared" si="158"/>
        <v>2659.5</v>
      </c>
      <c r="FG161" s="194">
        <f t="shared" si="159"/>
        <v>797.85</v>
      </c>
      <c r="FH161" s="257">
        <f>IF(EZ161="No",IF((OR(MONTH(C161)=5,MONTH(C161)=6,MONTH(C161)=7,MONTH(C161)=8,MONTH(C161)=9)),Summary!$O$15*12*(AX161+AY161+AZ161+BA161)*(1-$BC161),Summary!$O$15*13*(AX161+AY161+AZ161+BA161)*(1-$BC161)+IF(Summary!$O$16="Yes",(CALC!FA161+Summary!$O$15)*6*(AX161+AY161+AZ161+BA161)*(1-$BC161),0)),0)</f>
        <v>0</v>
      </c>
      <c r="FI161" s="1412">
        <f>IF(MONTH(C161)=5,FI160*(IF(Summary!$E$70="no",(1+(Summary!$E$71*0.8)),1+HLOOKUP(YEAR(C161)-1,CCFMODEL!$I$127:$AF$128,2)*0.8)),+FI160)</f>
        <v>35.360887055808156</v>
      </c>
      <c r="FJ161" s="1411">
        <f>IF(MONTH(C161)=5,FJ160*(IF(Summary!$E$70="no",(1+(Summary!$E$71*0.8)),1+HLOOKUP(YEAR(CALC!C161)-1,CCFMODEL!$I$127:$AF$128,2)*0.8)),FJ160)</f>
        <v>30.905972151139412</v>
      </c>
      <c r="FK161" s="832">
        <f t="shared" si="127"/>
        <v>631650.6414557246</v>
      </c>
      <c r="FL161" s="1412">
        <f>IF(MONTH(C161)=5,FL160*(IF(Summary!$E$70="no",(1+(Summary!$E$71*0.8)),1+HLOOKUP(YEAR(CALC!C161)-1,CCFMODEL!$I$127:$AF$128,2)*0.8)),+FL160)</f>
        <v>74.36790982228267</v>
      </c>
      <c r="FM161" s="1411">
        <f>IF(MONTH(C161)=5,FM160*(IF(Summary!$E$70="no",(1+(Summary!$E$71*0.8)),1+HLOOKUP(YEAR(CALC!C161)-1,CCFMODEL!$I$127:$AF$128,2)*0.8)),+FM160)</f>
        <v>35.493473808923291</v>
      </c>
      <c r="FN161" s="832">
        <f t="shared" si="128"/>
        <v>643674.1475248239</v>
      </c>
      <c r="FO161" s="194">
        <f t="shared" si="160"/>
        <v>1275324.7889805485</v>
      </c>
      <c r="FP161" s="263">
        <f t="shared" si="125"/>
        <v>9308.25</v>
      </c>
      <c r="FQ161" s="194">
        <f t="shared" si="125"/>
        <v>2792.4749999999999</v>
      </c>
      <c r="FR161" s="194">
        <f t="shared" si="125"/>
        <v>1773</v>
      </c>
      <c r="FS161" s="194">
        <f t="shared" si="125"/>
        <v>531.9</v>
      </c>
      <c r="FT161" s="194">
        <f t="shared" si="125"/>
        <v>2659.5</v>
      </c>
      <c r="FU161" s="194">
        <f t="shared" si="125"/>
        <v>797.85</v>
      </c>
      <c r="FV161" s="257">
        <f t="shared" si="124"/>
        <v>0</v>
      </c>
      <c r="FW161" s="189">
        <f t="shared" si="129"/>
        <v>0</v>
      </c>
      <c r="FX161" s="189">
        <f t="shared" si="130"/>
        <v>0</v>
      </c>
      <c r="FY161" s="189">
        <f t="shared" si="131"/>
        <v>0</v>
      </c>
      <c r="FZ161" s="258">
        <f t="shared" si="132"/>
        <v>0</v>
      </c>
      <c r="GA161" s="1294">
        <f>(SUM(FP161:FV161)+SUM(GU161:HB161)/(1-Summary!$O$25))*CY161/1000</f>
        <v>235462.46695567915</v>
      </c>
      <c r="GB161" s="1369">
        <f>IF($C161&lt;Summary!$M$81,+Summary!$O$81,VLOOKUP(C161,GasTable,19))</f>
        <v>3.69328518608478</v>
      </c>
      <c r="GC161" s="1370">
        <f>IF(H161&lt;=Summary!$N$84,MIN(GA161,Summary!$O$75*(H161-G161+1)),0)</f>
        <v>0</v>
      </c>
      <c r="GD161" s="1371">
        <f>IF(C161&lt;Summary!$N$84,IF(Summary!$O$75*(H161-G161+1)*0.8&gt;GC161,1,0),0)</f>
        <v>0</v>
      </c>
      <c r="GE161" s="1372">
        <v>0</v>
      </c>
      <c r="GF161" s="1370">
        <f t="shared" si="161"/>
        <v>235462.46695567915</v>
      </c>
      <c r="GG161" s="1371">
        <f>GF161*(IF(Summary!$O$74=1,VLOOKUP($C161,GasTable,16)+Summary!$O$92+Summary!$O$93,VLOOKUP($C161,GasTable,19)+Summary!$O$92+Summary!$O$93))</f>
        <v>881897.6356147778</v>
      </c>
      <c r="GH161" s="1373">
        <v>5724.5920384314086</v>
      </c>
      <c r="GI161" s="1466">
        <v>0</v>
      </c>
      <c r="GJ161" s="1374">
        <f t="shared" si="162"/>
        <v>887622.22765320924</v>
      </c>
      <c r="GK161" s="189">
        <f t="shared" si="133"/>
        <v>30062.012849999999</v>
      </c>
      <c r="GL161" s="266">
        <v>0.51716970896000003</v>
      </c>
      <c r="GM161" s="255">
        <f t="shared" si="134"/>
        <v>0</v>
      </c>
      <c r="GN161" s="189">
        <f>IF(SUM(GU161:HB161)=0,0,IF(Summary!$O$16="Yes",SUM(GX161:HB161),IF(Summary!$O$17="Yes",SUM(GY161:HB161),SUM(GU161:HB161))))</f>
        <v>12199.037849999999</v>
      </c>
      <c r="GO161" s="203">
        <v>3.3926344547986877</v>
      </c>
      <c r="GP161" s="258">
        <f t="shared" si="163"/>
        <v>41386.876125303301</v>
      </c>
      <c r="GQ161" s="189"/>
      <c r="GR161" s="189"/>
      <c r="GS161" s="189"/>
      <c r="GT161" s="189"/>
      <c r="GU161" s="268">
        <v>5389.4767500000007</v>
      </c>
      <c r="GV161" s="189">
        <v>1026.5670000000002</v>
      </c>
      <c r="GW161" s="189">
        <v>1539.8504999999998</v>
      </c>
      <c r="GX161" s="189"/>
      <c r="GY161" s="254">
        <v>2874.3875999999996</v>
      </c>
      <c r="GZ161" s="189">
        <v>547.50239999999997</v>
      </c>
      <c r="HA161" s="189">
        <v>821.25359999999989</v>
      </c>
      <c r="HB161" s="255"/>
      <c r="HC161" s="189">
        <v>12199.037849999999</v>
      </c>
      <c r="HD161" s="189"/>
      <c r="HE161" s="189">
        <v>20950.521524999996</v>
      </c>
      <c r="HF161" s="189">
        <v>584321.56539938459</v>
      </c>
      <c r="HG161" s="189"/>
      <c r="HH161" s="203">
        <v>47.532195177892895</v>
      </c>
      <c r="HI161" s="189">
        <v>995824.2782049462</v>
      </c>
      <c r="HJ161" s="268">
        <f t="shared" si="135"/>
        <v>0</v>
      </c>
      <c r="HK161" s="189">
        <f t="shared" si="136"/>
        <v>0</v>
      </c>
      <c r="HL161" s="189">
        <f t="shared" si="137"/>
        <v>0</v>
      </c>
      <c r="HM161" s="255">
        <f t="shared" si="138"/>
        <v>0</v>
      </c>
      <c r="HN161" s="189">
        <f t="shared" si="139"/>
        <v>0</v>
      </c>
      <c r="HO161" s="203">
        <f t="shared" si="164"/>
        <v>0</v>
      </c>
      <c r="HP161" s="258">
        <f t="shared" si="140"/>
        <v>0</v>
      </c>
      <c r="HQ161" s="203"/>
      <c r="HR161" s="268"/>
      <c r="HS161" s="38"/>
      <c r="HT161" s="255"/>
      <c r="HU161" s="254"/>
      <c r="HV161" s="203"/>
      <c r="HW161" s="189"/>
      <c r="HX161" s="1020"/>
      <c r="HY161" s="258"/>
      <c r="HZ161" s="268"/>
      <c r="IA161" s="203"/>
      <c r="IB161" s="255"/>
      <c r="IC161" s="254"/>
      <c r="ID161" s="203"/>
      <c r="IE161" s="255"/>
      <c r="IF161" s="189"/>
      <c r="IG161" s="203"/>
      <c r="IH161" s="255"/>
      <c r="II161" s="189"/>
      <c r="IJ161" s="203"/>
      <c r="IK161" s="189"/>
      <c r="IL161" s="1182"/>
      <c r="IM161" s="1403"/>
      <c r="IN161" s="254"/>
      <c r="IO161" s="254"/>
      <c r="IP161" s="254"/>
      <c r="IQ161" s="254"/>
      <c r="IR161" s="223"/>
    </row>
    <row r="162" spans="1:252" ht="13.8" thickBot="1">
      <c r="A162" t="str">
        <f t="shared" si="141"/>
        <v>2012Q1</v>
      </c>
      <c r="B162">
        <f t="shared" si="142"/>
        <v>2012</v>
      </c>
      <c r="C162" s="49">
        <f t="shared" si="143"/>
        <v>40940</v>
      </c>
      <c r="D162" s="115">
        <f t="shared" si="144"/>
        <v>2012</v>
      </c>
      <c r="E162" s="10">
        <f t="shared" si="167"/>
        <v>2</v>
      </c>
      <c r="F162" s="248" t="str">
        <f t="shared" si="168"/>
        <v/>
      </c>
      <c r="G162" s="245">
        <v>40940</v>
      </c>
      <c r="H162" s="251">
        <v>40968</v>
      </c>
      <c r="I162" s="959">
        <f t="shared" si="165"/>
        <v>7.1499999999999994E-2</v>
      </c>
      <c r="J162" s="37">
        <f t="shared" si="145"/>
        <v>0.42253468761560292</v>
      </c>
      <c r="K162" s="1036"/>
      <c r="L162" s="37"/>
      <c r="M162" s="1004">
        <v>0</v>
      </c>
      <c r="N162" s="38">
        <f t="shared" si="170"/>
        <v>0</v>
      </c>
      <c r="O162" s="40">
        <f t="shared" si="170"/>
        <v>0</v>
      </c>
      <c r="P162" s="159">
        <f t="shared" si="172"/>
        <v>0</v>
      </c>
      <c r="Q162" s="38">
        <f t="shared" si="173"/>
        <v>0</v>
      </c>
      <c r="R162" s="40">
        <f t="shared" si="173"/>
        <v>0</v>
      </c>
      <c r="S162" s="38">
        <f t="shared" si="173"/>
        <v>0</v>
      </c>
      <c r="T162" s="38">
        <f t="shared" si="173"/>
        <v>0</v>
      </c>
      <c r="U162" s="38">
        <f t="shared" si="173"/>
        <v>0</v>
      </c>
      <c r="V162" s="159">
        <f t="shared" si="173"/>
        <v>0</v>
      </c>
      <c r="W162" s="38">
        <f t="shared" si="173"/>
        <v>0</v>
      </c>
      <c r="X162" s="39">
        <f t="shared" si="173"/>
        <v>0</v>
      </c>
      <c r="Y162" s="46">
        <v>0</v>
      </c>
      <c r="Z162" s="46">
        <v>0</v>
      </c>
      <c r="AA162" s="47">
        <v>0</v>
      </c>
      <c r="AB162" s="46">
        <v>0</v>
      </c>
      <c r="AC162" s="46">
        <v>0</v>
      </c>
      <c r="AD162" s="47">
        <v>0</v>
      </c>
      <c r="AE162" s="46">
        <v>0</v>
      </c>
      <c r="AF162" s="46">
        <v>0</v>
      </c>
      <c r="AG162" s="47">
        <v>0</v>
      </c>
      <c r="AH162" s="46">
        <v>0</v>
      </c>
      <c r="AI162" s="46">
        <v>0</v>
      </c>
      <c r="AJ162" s="47">
        <v>0</v>
      </c>
      <c r="AK162" s="46">
        <v>0</v>
      </c>
      <c r="AL162" s="46">
        <v>0</v>
      </c>
      <c r="AM162" s="47">
        <v>0</v>
      </c>
      <c r="AN162" s="46">
        <v>0</v>
      </c>
      <c r="AO162" s="46">
        <v>0</v>
      </c>
      <c r="AP162" s="47">
        <v>0</v>
      </c>
      <c r="AQ162" s="46">
        <v>0</v>
      </c>
      <c r="AR162" s="46">
        <v>0</v>
      </c>
      <c r="AS162" s="47">
        <v>0</v>
      </c>
      <c r="AT162" s="46">
        <v>0</v>
      </c>
      <c r="AU162" s="46">
        <v>0</v>
      </c>
      <c r="AV162" s="46">
        <v>0</v>
      </c>
      <c r="AW162" s="1545">
        <v>0</v>
      </c>
      <c r="AX162" s="10">
        <f t="shared" si="169"/>
        <v>21</v>
      </c>
      <c r="AY162" s="42">
        <f>IF(AND($E162=MONTH(Summary!$E$24),$D162=YEAR(Summary!$E$24)),Summary!$E$25,1)*IF(G162="",0,INT((H162-MOD(H162,7)-G162)/7)+1-IF(BA162,IF(WEEKDAY(F162)=7,1,0),0))</f>
        <v>4</v>
      </c>
      <c r="AZ162" s="42">
        <f>IF(AND($E162=MONTH(Summary!$E$24),$D162=YEAR(Summary!$E$24)),Summary!$E$25,1)*IF(G162="",0,INT((H162-MOD(H162-1,7)-G162)/7)+1-IF(BA162,IF(WEEKDAY(F162)=1,1,0),0))</f>
        <v>4</v>
      </c>
      <c r="BA162" s="42">
        <v>0</v>
      </c>
      <c r="BB162" s="10">
        <f>IF(AND($E162=MONTH(Summary!$E$24),$D162=YEAR(Summary!$E$24)),Summary!$E$25,1)*IF(G162="",0,H162-G162+1)</f>
        <v>29</v>
      </c>
      <c r="BC162" s="914">
        <f>Summary!$E$19</f>
        <v>1.4999999999999999E-2</v>
      </c>
      <c r="BD162" s="113">
        <v>14893.2</v>
      </c>
      <c r="BE162" s="171">
        <v>2836.8</v>
      </c>
      <c r="BF162" s="171">
        <v>2836.8</v>
      </c>
      <c r="BG162" s="174"/>
      <c r="BH162" s="1198">
        <v>1</v>
      </c>
      <c r="BI162" s="1198">
        <v>1</v>
      </c>
      <c r="BJ162" s="1198">
        <v>1</v>
      </c>
      <c r="BK162" s="1198">
        <v>1</v>
      </c>
      <c r="BL162" s="95">
        <v>2978.64</v>
      </c>
      <c r="BM162" s="171">
        <v>567.36</v>
      </c>
      <c r="BN162" s="171">
        <v>567.36</v>
      </c>
      <c r="BO162" s="174"/>
      <c r="BP162" s="1198">
        <v>1</v>
      </c>
      <c r="BQ162" s="1199">
        <v>1</v>
      </c>
      <c r="BR162" s="1199">
        <v>1</v>
      </c>
      <c r="BS162" s="1200">
        <v>1</v>
      </c>
      <c r="BT162" s="94">
        <f t="shared" si="146"/>
        <v>20566.8</v>
      </c>
      <c r="BU162" s="233">
        <f t="shared" si="147"/>
        <v>20566.8</v>
      </c>
      <c r="BV162" s="92">
        <f t="shared" si="148"/>
        <v>4113.3599999999997</v>
      </c>
      <c r="BW162" s="233">
        <f t="shared" si="149"/>
        <v>4113.3599999999997</v>
      </c>
      <c r="BX162" s="88">
        <v>12.131416837782341</v>
      </c>
      <c r="BY162" s="90">
        <v>0</v>
      </c>
      <c r="BZ162" s="88">
        <v>0</v>
      </c>
      <c r="CA162" s="88">
        <v>0</v>
      </c>
      <c r="CB162" s="88">
        <v>0</v>
      </c>
      <c r="CC162" s="88">
        <v>0</v>
      </c>
      <c r="CD162" s="88">
        <v>0</v>
      </c>
      <c r="CE162" s="100">
        <v>0</v>
      </c>
      <c r="CF162" s="88">
        <v>0</v>
      </c>
      <c r="CG162" s="88">
        <v>0</v>
      </c>
      <c r="CH162" s="88">
        <v>0</v>
      </c>
      <c r="CI162" s="88">
        <v>0</v>
      </c>
      <c r="CJ162" s="228">
        <v>0</v>
      </c>
      <c r="CK162" s="88">
        <v>0</v>
      </c>
      <c r="CL162" s="88">
        <v>0</v>
      </c>
      <c r="CM162" s="88">
        <v>0</v>
      </c>
      <c r="CN162" s="88">
        <v>0</v>
      </c>
      <c r="CO162" s="88">
        <v>0</v>
      </c>
      <c r="CP162" s="88">
        <v>0</v>
      </c>
      <c r="CQ162" s="229">
        <v>0</v>
      </c>
      <c r="CR162" s="91">
        <v>0</v>
      </c>
      <c r="CS162" s="91">
        <v>0</v>
      </c>
      <c r="CT162" s="91">
        <v>0</v>
      </c>
      <c r="CU162" s="91">
        <v>0</v>
      </c>
      <c r="CV162" s="91">
        <v>0</v>
      </c>
      <c r="CW162" s="91">
        <v>0</v>
      </c>
      <c r="CX162" s="225">
        <v>0</v>
      </c>
      <c r="CY162" s="1265">
        <v>7720.2537599999996</v>
      </c>
      <c r="CZ162" s="90">
        <v>0</v>
      </c>
      <c r="DA162" s="88">
        <v>0</v>
      </c>
      <c r="DB162" s="88">
        <v>0</v>
      </c>
      <c r="DC162" s="88">
        <v>0</v>
      </c>
      <c r="DD162" s="88">
        <v>0</v>
      </c>
      <c r="DE162" s="152">
        <v>0</v>
      </c>
      <c r="DF162" s="230">
        <v>0</v>
      </c>
      <c r="DG162" s="38">
        <v>0</v>
      </c>
      <c r="DH162" s="1237">
        <v>0</v>
      </c>
      <c r="DI162" s="956">
        <v>0</v>
      </c>
      <c r="DJ162" s="956">
        <v>0</v>
      </c>
      <c r="DK162" s="956">
        <v>0</v>
      </c>
      <c r="DL162" s="152">
        <v>0</v>
      </c>
      <c r="DM162" s="160">
        <v>0</v>
      </c>
      <c r="DN162" s="160">
        <v>0</v>
      </c>
      <c r="DO162" s="160">
        <v>0</v>
      </c>
      <c r="DP162" s="160">
        <v>0</v>
      </c>
      <c r="DQ162" s="160">
        <v>0</v>
      </c>
      <c r="DR162" s="230">
        <v>0</v>
      </c>
      <c r="DS162" s="88">
        <v>0</v>
      </c>
      <c r="DT162" s="88">
        <v>0</v>
      </c>
      <c r="DU162" s="88">
        <v>0</v>
      </c>
      <c r="DV162" s="88">
        <v>0</v>
      </c>
      <c r="DW162" s="88">
        <v>0</v>
      </c>
      <c r="DX162" s="88">
        <v>0</v>
      </c>
      <c r="DY162" s="88">
        <v>0</v>
      </c>
      <c r="DZ162" s="88">
        <v>0</v>
      </c>
      <c r="EA162" s="88">
        <v>0</v>
      </c>
      <c r="EB162" s="152">
        <v>0</v>
      </c>
      <c r="EC162" s="52">
        <f t="shared" si="150"/>
        <v>0</v>
      </c>
      <c r="ED162" s="52">
        <f t="shared" si="150"/>
        <v>0</v>
      </c>
      <c r="EE162" s="52">
        <f t="shared" si="150"/>
        <v>0</v>
      </c>
      <c r="EF162" s="52">
        <f t="shared" si="150"/>
        <v>0</v>
      </c>
      <c r="EG162" s="52">
        <f t="shared" si="151"/>
        <v>0</v>
      </c>
      <c r="EH162" s="238">
        <v>0</v>
      </c>
      <c r="EI162" s="211">
        <v>0</v>
      </c>
      <c r="EJ162" s="211">
        <v>0</v>
      </c>
      <c r="EK162" s="211">
        <v>0</v>
      </c>
      <c r="EL162" s="217">
        <f>IF(C162&gt;=Summary!$E$26,MAX(0,SUM(EH162:EK162)),0)</f>
        <v>0</v>
      </c>
      <c r="EM162" s="52">
        <f>IF(C162&gt;=Summary!$E$26,DX162*BL162,0)</f>
        <v>0</v>
      </c>
      <c r="EN162" s="52">
        <f>IF(C162&gt;=Summary!$E$26,DY162*BM162,0)</f>
        <v>0</v>
      </c>
      <c r="EO162" s="52">
        <f>IF(C162&gt;=Summary!$E$26,DZ162*BN162,0)</f>
        <v>0</v>
      </c>
      <c r="EP162" s="52">
        <f>IF(C162&gt;=Summary!$E$26,EA162*BO162,0)</f>
        <v>0</v>
      </c>
      <c r="EQ162" s="52">
        <f>IF(C162&gt;=Summary!$E$26,DX162*BL162+DY162*BM162+DZ162*BN162+EA162*BO162,0)</f>
        <v>0</v>
      </c>
      <c r="ER162" s="826">
        <v>0</v>
      </c>
      <c r="ES162" s="278">
        <v>0</v>
      </c>
      <c r="ET162" s="278">
        <v>0</v>
      </c>
      <c r="EU162" s="278">
        <v>0</v>
      </c>
      <c r="EV162" s="212">
        <f>IF(C162&gt;=Summary!$E$26,MAX(0,SUM(ER162:EU162)),0)</f>
        <v>0</v>
      </c>
      <c r="EW162" s="52"/>
      <c r="EX162" s="1049">
        <f t="shared" si="152"/>
        <v>0</v>
      </c>
      <c r="EY162" s="1045" t="str">
        <f t="shared" si="153"/>
        <v/>
      </c>
      <c r="EZ162" s="1684" t="s">
        <v>525</v>
      </c>
      <c r="FA162" s="1046">
        <f t="shared" si="166"/>
        <v>45</v>
      </c>
      <c r="FB162" s="256">
        <f t="shared" si="154"/>
        <v>9308.25</v>
      </c>
      <c r="FC162" s="194">
        <f t="shared" si="155"/>
        <v>2792.4749999999999</v>
      </c>
      <c r="FD162" s="194">
        <f t="shared" si="156"/>
        <v>1773</v>
      </c>
      <c r="FE162" s="194">
        <f t="shared" si="157"/>
        <v>531.9</v>
      </c>
      <c r="FF162" s="194">
        <f t="shared" si="158"/>
        <v>1773</v>
      </c>
      <c r="FG162" s="194">
        <f t="shared" si="159"/>
        <v>531.9</v>
      </c>
      <c r="FH162" s="257">
        <f>IF(EZ162="No",IF((OR(MONTH(C162)=5,MONTH(C162)=6,MONTH(C162)=7,MONTH(C162)=8,MONTH(C162)=9)),Summary!$O$15*12*(AX162+AY162+AZ162+BA162)*(1-$BC162),Summary!$O$15*13*(AX162+AY162+AZ162+BA162)*(1-$BC162)+IF(Summary!$O$16="Yes",(CALC!FA162+Summary!$O$15)*6*(AX162+AY162+AZ162+BA162)*(1-$BC162),0)),0)</f>
        <v>0</v>
      </c>
      <c r="FI162" s="1412">
        <f>IF(MONTH(C162)=5,FI161*(IF(Summary!$E$70="no",(1+(Summary!$E$71*0.8)),1+HLOOKUP(YEAR(C162)-1,CCFMODEL!$I$127:$AF$128,2)*0.8)),+FI161)</f>
        <v>35.360887055808156</v>
      </c>
      <c r="FJ162" s="1411">
        <f>IF(MONTH(C162)=5,FJ161*(IF(Summary!$E$70="no",(1+(Summary!$E$71*0.8)),1+HLOOKUP(YEAR(CALC!C162)-1,CCFMODEL!$I$127:$AF$128,2)*0.8)),FJ161)</f>
        <v>30.905972151139412</v>
      </c>
      <c r="FK162" s="832">
        <f t="shared" si="127"/>
        <v>590898.98716825864</v>
      </c>
      <c r="FL162" s="1412">
        <f>IF(MONTH(C162)=5,FL161*(IF(Summary!$E$70="no",(1+(Summary!$E$71*0.8)),1+HLOOKUP(YEAR(CALC!C162)-1,CCFMODEL!$I$127:$AF$128,2)*0.8)),+FL161)</f>
        <v>74.36790982228267</v>
      </c>
      <c r="FM162" s="1411">
        <f>IF(MONTH(C162)=5,FM161*(IF(Summary!$E$70="no",(1+(Summary!$E$71*0.8)),1+HLOOKUP(YEAR(CALC!C162)-1,CCFMODEL!$I$127:$AF$128,2)*0.8)),+FM161)</f>
        <v>35.493473808923291</v>
      </c>
      <c r="FN162" s="832">
        <f t="shared" si="128"/>
        <v>602146.78316838364</v>
      </c>
      <c r="FO162" s="194">
        <f t="shared" si="160"/>
        <v>1193045.7703366424</v>
      </c>
      <c r="FP162" s="263">
        <f t="shared" si="125"/>
        <v>9308.25</v>
      </c>
      <c r="FQ162" s="194">
        <f t="shared" si="125"/>
        <v>2792.4749999999999</v>
      </c>
      <c r="FR162" s="194">
        <f t="shared" si="125"/>
        <v>1773</v>
      </c>
      <c r="FS162" s="194">
        <f t="shared" si="125"/>
        <v>531.9</v>
      </c>
      <c r="FT162" s="194">
        <f t="shared" si="125"/>
        <v>1773</v>
      </c>
      <c r="FU162" s="194">
        <f t="shared" si="125"/>
        <v>531.9</v>
      </c>
      <c r="FV162" s="257">
        <f t="shared" si="124"/>
        <v>0</v>
      </c>
      <c r="FW162" s="189">
        <f t="shared" si="129"/>
        <v>0</v>
      </c>
      <c r="FX162" s="189">
        <f t="shared" si="130"/>
        <v>0</v>
      </c>
      <c r="FY162" s="189">
        <f t="shared" si="131"/>
        <v>0</v>
      </c>
      <c r="FZ162" s="258">
        <f t="shared" si="132"/>
        <v>0</v>
      </c>
      <c r="GA162" s="1294">
        <f>(SUM(FP162:FV162)+SUM(GU162:HB162)/(1-Summary!$O$25))*CY162/1000</f>
        <v>220308.51960574562</v>
      </c>
      <c r="GB162" s="1369">
        <f>IF($C162&lt;Summary!$M$81,+Summary!$O$81,VLOOKUP(C162,GasTable,19))</f>
        <v>3.4111818460114867</v>
      </c>
      <c r="GC162" s="1370">
        <f>IF(H162&lt;=Summary!$N$84,MIN(GA162,Summary!$O$75*(H162-G162+1)),0)</f>
        <v>0</v>
      </c>
      <c r="GD162" s="1371">
        <f>IF(C162&lt;Summary!$N$84,IF(Summary!$O$75*(H162-G162+1)*0.8&gt;GC162,1,0),0)</f>
        <v>0</v>
      </c>
      <c r="GE162" s="1372">
        <v>0</v>
      </c>
      <c r="GF162" s="1370">
        <f t="shared" si="161"/>
        <v>220308.51960574562</v>
      </c>
      <c r="GG162" s="1371">
        <f>GF162*(IF(Summary!$O$74=1,VLOOKUP($C162,GasTable,16)+Summary!$O$92+Summary!$O$93,VLOOKUP($C162,GasTable,19)+Summary!$O$92+Summary!$O$93))</f>
        <v>762990.4964722445</v>
      </c>
      <c r="GH162" s="1373">
        <v>4946.2136767166558</v>
      </c>
      <c r="GI162" s="1466">
        <v>0</v>
      </c>
      <c r="GJ162" s="1374">
        <f t="shared" si="162"/>
        <v>767936.71014896117</v>
      </c>
      <c r="GK162" s="189">
        <f t="shared" si="133"/>
        <v>28122.528150000002</v>
      </c>
      <c r="GL162" s="266">
        <v>0.51725700192000001</v>
      </c>
      <c r="GM162" s="255">
        <f t="shared" si="134"/>
        <v>0</v>
      </c>
      <c r="GN162" s="189">
        <f>IF(SUM(GU162:HB162)=0,0,IF(Summary!$O$16="Yes",SUM(GX162:HB162),IF(Summary!$O$17="Yes",SUM(GY162:HB162),SUM(GU162:HB162))))</f>
        <v>11412.003149999999</v>
      </c>
      <c r="GO162" s="203">
        <v>3.3926344547986877</v>
      </c>
      <c r="GP162" s="258">
        <f t="shared" si="163"/>
        <v>38716.755084961151</v>
      </c>
      <c r="GQ162" s="189"/>
      <c r="GR162" s="189"/>
      <c r="GS162" s="189"/>
      <c r="GT162" s="189"/>
      <c r="GU162" s="268">
        <v>5389.4767500000007</v>
      </c>
      <c r="GV162" s="189">
        <v>1026.5670000000002</v>
      </c>
      <c r="GW162" s="189">
        <v>1026.5670000000002</v>
      </c>
      <c r="GX162" s="189"/>
      <c r="GY162" s="254">
        <v>2874.3875999999996</v>
      </c>
      <c r="GZ162" s="189">
        <v>547.50239999999997</v>
      </c>
      <c r="HA162" s="189">
        <v>547.50239999999997</v>
      </c>
      <c r="HB162" s="255"/>
      <c r="HC162" s="189">
        <v>11412.003149999999</v>
      </c>
      <c r="HD162" s="189"/>
      <c r="HE162" s="189">
        <v>19598.874974999999</v>
      </c>
      <c r="HF162" s="189">
        <v>447130.62422266905</v>
      </c>
      <c r="HG162" s="189"/>
      <c r="HH162" s="203">
        <v>38.888211084597458</v>
      </c>
      <c r="HI162" s="189">
        <v>762165.18704843475</v>
      </c>
      <c r="HJ162" s="268">
        <f t="shared" si="135"/>
        <v>0</v>
      </c>
      <c r="HK162" s="189">
        <f t="shared" si="136"/>
        <v>0</v>
      </c>
      <c r="HL162" s="189">
        <f t="shared" si="137"/>
        <v>0</v>
      </c>
      <c r="HM162" s="255">
        <f t="shared" si="138"/>
        <v>0</v>
      </c>
      <c r="HN162" s="189">
        <f t="shared" si="139"/>
        <v>0</v>
      </c>
      <c r="HO162" s="203">
        <f t="shared" si="164"/>
        <v>0</v>
      </c>
      <c r="HP162" s="258">
        <f t="shared" si="140"/>
        <v>0</v>
      </c>
      <c r="HQ162" s="203"/>
      <c r="HR162" s="268"/>
      <c r="HS162" s="38"/>
      <c r="HT162" s="255"/>
      <c r="HU162" s="254"/>
      <c r="HV162" s="203"/>
      <c r="HW162" s="189"/>
      <c r="HX162" s="1020"/>
      <c r="HY162" s="258"/>
      <c r="HZ162" s="268"/>
      <c r="IA162" s="203"/>
      <c r="IB162" s="255"/>
      <c r="IC162" s="254"/>
      <c r="ID162" s="203"/>
      <c r="IE162" s="255"/>
      <c r="IF162" s="189"/>
      <c r="IG162" s="203"/>
      <c r="IH162" s="255"/>
      <c r="II162" s="189"/>
      <c r="IJ162" s="203"/>
      <c r="IK162" s="189"/>
      <c r="IL162" s="1182"/>
      <c r="IM162" s="1403"/>
      <c r="IN162" s="254"/>
      <c r="IO162" s="254"/>
      <c r="IP162" s="254"/>
      <c r="IQ162" s="254"/>
      <c r="IR162" s="223"/>
    </row>
    <row r="163" spans="1:252" ht="13.8" thickBot="1">
      <c r="A163" t="str">
        <f t="shared" si="141"/>
        <v>2012Q1</v>
      </c>
      <c r="B163">
        <f t="shared" si="142"/>
        <v>2012</v>
      </c>
      <c r="C163" s="49">
        <f t="shared" si="143"/>
        <v>40969</v>
      </c>
      <c r="D163" s="115">
        <f t="shared" si="144"/>
        <v>2012</v>
      </c>
      <c r="E163" s="10">
        <f t="shared" si="167"/>
        <v>3</v>
      </c>
      <c r="F163" s="248" t="str">
        <f t="shared" si="168"/>
        <v/>
      </c>
      <c r="G163" s="245">
        <v>40969</v>
      </c>
      <c r="H163" s="251">
        <v>40999</v>
      </c>
      <c r="I163" s="959">
        <f t="shared" si="165"/>
        <v>7.1499999999999994E-2</v>
      </c>
      <c r="J163" s="37">
        <f t="shared" si="145"/>
        <v>0.42002282439903965</v>
      </c>
      <c r="K163" s="1036"/>
      <c r="L163" s="37"/>
      <c r="M163" s="1004">
        <v>0</v>
      </c>
      <c r="N163" s="38">
        <f t="shared" si="170"/>
        <v>0</v>
      </c>
      <c r="O163" s="40">
        <f t="shared" si="170"/>
        <v>0</v>
      </c>
      <c r="P163" s="159">
        <f t="shared" si="172"/>
        <v>0</v>
      </c>
      <c r="Q163" s="38">
        <f t="shared" si="173"/>
        <v>0</v>
      </c>
      <c r="R163" s="40">
        <f t="shared" si="173"/>
        <v>0</v>
      </c>
      <c r="S163" s="38">
        <f t="shared" si="173"/>
        <v>0</v>
      </c>
      <c r="T163" s="38">
        <f t="shared" si="173"/>
        <v>0</v>
      </c>
      <c r="U163" s="38">
        <f t="shared" si="173"/>
        <v>0</v>
      </c>
      <c r="V163" s="159">
        <f t="shared" si="173"/>
        <v>0</v>
      </c>
      <c r="W163" s="38">
        <f t="shared" si="173"/>
        <v>0</v>
      </c>
      <c r="X163" s="39">
        <f t="shared" si="173"/>
        <v>0</v>
      </c>
      <c r="Y163" s="46">
        <v>0</v>
      </c>
      <c r="Z163" s="46">
        <v>0</v>
      </c>
      <c r="AA163" s="47">
        <v>0</v>
      </c>
      <c r="AB163" s="46">
        <v>0</v>
      </c>
      <c r="AC163" s="46">
        <v>0</v>
      </c>
      <c r="AD163" s="47">
        <v>0</v>
      </c>
      <c r="AE163" s="46">
        <v>0</v>
      </c>
      <c r="AF163" s="46">
        <v>0</v>
      </c>
      <c r="AG163" s="47">
        <v>0</v>
      </c>
      <c r="AH163" s="46">
        <v>0</v>
      </c>
      <c r="AI163" s="46">
        <v>0</v>
      </c>
      <c r="AJ163" s="47">
        <v>0</v>
      </c>
      <c r="AK163" s="46">
        <v>0</v>
      </c>
      <c r="AL163" s="46">
        <v>0</v>
      </c>
      <c r="AM163" s="47">
        <v>0</v>
      </c>
      <c r="AN163" s="46">
        <v>0</v>
      </c>
      <c r="AO163" s="46">
        <v>0</v>
      </c>
      <c r="AP163" s="47">
        <v>0</v>
      </c>
      <c r="AQ163" s="46">
        <v>0</v>
      </c>
      <c r="AR163" s="46">
        <v>0</v>
      </c>
      <c r="AS163" s="47">
        <v>0</v>
      </c>
      <c r="AT163" s="46">
        <v>0</v>
      </c>
      <c r="AU163" s="46">
        <v>0</v>
      </c>
      <c r="AV163" s="46">
        <v>0</v>
      </c>
      <c r="AW163" s="1545">
        <v>0</v>
      </c>
      <c r="AX163" s="10">
        <f t="shared" si="169"/>
        <v>22</v>
      </c>
      <c r="AY163" s="42">
        <f>IF(AND($E163=MONTH(Summary!$E$24),$D163=YEAR(Summary!$E$24)),Summary!$E$25,1)*IF(G163="",0,INT((H163-MOD(H163,7)-G163)/7)+1-IF(BA163,IF(WEEKDAY(F163)=7,1,0),0))</f>
        <v>5</v>
      </c>
      <c r="AZ163" s="42">
        <f>IF(AND($E163=MONTH(Summary!$E$24),$D163=YEAR(Summary!$E$24)),Summary!$E$25,1)*IF(G163="",0,INT((H163-MOD(H163-1,7)-G163)/7)+1-IF(BA163,IF(WEEKDAY(F163)=1,1,0),0))</f>
        <v>4</v>
      </c>
      <c r="BA163" s="42">
        <v>0</v>
      </c>
      <c r="BB163" s="10">
        <f>IF(AND($E163=MONTH(Summary!$E$24),$D163=YEAR(Summary!$E$24)),Summary!$E$25,1)*IF(G163="",0,H163-G163+1)</f>
        <v>31</v>
      </c>
      <c r="BC163" s="914">
        <f>Summary!$E$19</f>
        <v>1.4999999999999999E-2</v>
      </c>
      <c r="BD163" s="113">
        <v>15602.4</v>
      </c>
      <c r="BE163" s="171">
        <v>3546</v>
      </c>
      <c r="BF163" s="171">
        <v>2836.8</v>
      </c>
      <c r="BG163" s="174"/>
      <c r="BH163" s="1198">
        <v>1</v>
      </c>
      <c r="BI163" s="1198">
        <v>1</v>
      </c>
      <c r="BJ163" s="1198">
        <v>1</v>
      </c>
      <c r="BK163" s="1198">
        <v>1</v>
      </c>
      <c r="BL163" s="95">
        <v>3120.48</v>
      </c>
      <c r="BM163" s="171">
        <v>709.2</v>
      </c>
      <c r="BN163" s="171">
        <v>567.36</v>
      </c>
      <c r="BO163" s="174"/>
      <c r="BP163" s="1198">
        <v>1</v>
      </c>
      <c r="BQ163" s="1199">
        <v>1</v>
      </c>
      <c r="BR163" s="1199">
        <v>1</v>
      </c>
      <c r="BS163" s="1200">
        <v>1</v>
      </c>
      <c r="BT163" s="94">
        <f t="shared" si="146"/>
        <v>21985.200000000001</v>
      </c>
      <c r="BU163" s="233">
        <f t="shared" si="147"/>
        <v>21985.200000000001</v>
      </c>
      <c r="BV163" s="92">
        <f t="shared" si="148"/>
        <v>4397.04</v>
      </c>
      <c r="BW163" s="233">
        <f t="shared" si="149"/>
        <v>4397.04</v>
      </c>
      <c r="BX163" s="88">
        <v>12.210814510609172</v>
      </c>
      <c r="BY163" s="90">
        <v>0</v>
      </c>
      <c r="BZ163" s="88">
        <v>0</v>
      </c>
      <c r="CA163" s="88">
        <v>0</v>
      </c>
      <c r="CB163" s="88">
        <v>0</v>
      </c>
      <c r="CC163" s="88">
        <v>0</v>
      </c>
      <c r="CD163" s="88">
        <v>0</v>
      </c>
      <c r="CE163" s="100">
        <v>0</v>
      </c>
      <c r="CF163" s="88">
        <v>0</v>
      </c>
      <c r="CG163" s="88">
        <v>0</v>
      </c>
      <c r="CH163" s="88">
        <v>0</v>
      </c>
      <c r="CI163" s="88">
        <v>0</v>
      </c>
      <c r="CJ163" s="228">
        <v>0</v>
      </c>
      <c r="CK163" s="88">
        <v>0</v>
      </c>
      <c r="CL163" s="88">
        <v>0</v>
      </c>
      <c r="CM163" s="88">
        <v>0</v>
      </c>
      <c r="CN163" s="88">
        <v>0</v>
      </c>
      <c r="CO163" s="88">
        <v>0</v>
      </c>
      <c r="CP163" s="88">
        <v>0</v>
      </c>
      <c r="CQ163" s="229">
        <v>0</v>
      </c>
      <c r="CR163" s="91">
        <v>0</v>
      </c>
      <c r="CS163" s="91">
        <v>0</v>
      </c>
      <c r="CT163" s="91">
        <v>0</v>
      </c>
      <c r="CU163" s="91">
        <v>0</v>
      </c>
      <c r="CV163" s="91">
        <v>0</v>
      </c>
      <c r="CW163" s="91">
        <v>0</v>
      </c>
      <c r="CX163" s="225">
        <v>0</v>
      </c>
      <c r="CY163" s="1265">
        <v>7721.5566399999989</v>
      </c>
      <c r="CZ163" s="90">
        <v>0</v>
      </c>
      <c r="DA163" s="88">
        <v>0</v>
      </c>
      <c r="DB163" s="88">
        <v>0</v>
      </c>
      <c r="DC163" s="88">
        <v>0</v>
      </c>
      <c r="DD163" s="88">
        <v>0</v>
      </c>
      <c r="DE163" s="152">
        <v>0</v>
      </c>
      <c r="DF163" s="230">
        <v>0</v>
      </c>
      <c r="DG163" s="38">
        <v>0</v>
      </c>
      <c r="DH163" s="1237">
        <v>0</v>
      </c>
      <c r="DI163" s="956">
        <v>0</v>
      </c>
      <c r="DJ163" s="956">
        <v>0</v>
      </c>
      <c r="DK163" s="956">
        <v>0</v>
      </c>
      <c r="DL163" s="152">
        <v>0</v>
      </c>
      <c r="DM163" s="160">
        <v>0</v>
      </c>
      <c r="DN163" s="160">
        <v>0</v>
      </c>
      <c r="DO163" s="160">
        <v>0</v>
      </c>
      <c r="DP163" s="160">
        <v>0</v>
      </c>
      <c r="DQ163" s="160">
        <v>0</v>
      </c>
      <c r="DR163" s="230">
        <v>0</v>
      </c>
      <c r="DS163" s="88">
        <v>0</v>
      </c>
      <c r="DT163" s="88">
        <v>0</v>
      </c>
      <c r="DU163" s="88">
        <v>0</v>
      </c>
      <c r="DV163" s="88">
        <v>0</v>
      </c>
      <c r="DW163" s="88">
        <v>0</v>
      </c>
      <c r="DX163" s="88">
        <v>0</v>
      </c>
      <c r="DY163" s="88">
        <v>0</v>
      </c>
      <c r="DZ163" s="88">
        <v>0</v>
      </c>
      <c r="EA163" s="88">
        <v>0</v>
      </c>
      <c r="EB163" s="152">
        <v>0</v>
      </c>
      <c r="EC163" s="52">
        <f t="shared" si="150"/>
        <v>0</v>
      </c>
      <c r="ED163" s="52">
        <f t="shared" si="150"/>
        <v>0</v>
      </c>
      <c r="EE163" s="52">
        <f t="shared" si="150"/>
        <v>0</v>
      </c>
      <c r="EF163" s="52">
        <f t="shared" si="150"/>
        <v>0</v>
      </c>
      <c r="EG163" s="52">
        <f t="shared" si="151"/>
        <v>0</v>
      </c>
      <c r="EH163" s="238">
        <v>0</v>
      </c>
      <c r="EI163" s="211">
        <v>0</v>
      </c>
      <c r="EJ163" s="211">
        <v>0</v>
      </c>
      <c r="EK163" s="211">
        <v>0</v>
      </c>
      <c r="EL163" s="217">
        <f>IF(C163&gt;=Summary!$E$26,MAX(0,SUM(EH163:EK163)),0)</f>
        <v>0</v>
      </c>
      <c r="EM163" s="52">
        <f>IF(C163&gt;=Summary!$E$26,DX163*BL163,0)</f>
        <v>0</v>
      </c>
      <c r="EN163" s="52">
        <f>IF(C163&gt;=Summary!$E$26,DY163*BM163,0)</f>
        <v>0</v>
      </c>
      <c r="EO163" s="52">
        <f>IF(C163&gt;=Summary!$E$26,DZ163*BN163,0)</f>
        <v>0</v>
      </c>
      <c r="EP163" s="52">
        <f>IF(C163&gt;=Summary!$E$26,EA163*BO163,0)</f>
        <v>0</v>
      </c>
      <c r="EQ163" s="52">
        <f>IF(C163&gt;=Summary!$E$26,DX163*BL163+DY163*BM163+DZ163*BN163+EA163*BO163,0)</f>
        <v>0</v>
      </c>
      <c r="ER163" s="826">
        <v>0</v>
      </c>
      <c r="ES163" s="278">
        <v>0</v>
      </c>
      <c r="ET163" s="278">
        <v>0</v>
      </c>
      <c r="EU163" s="278">
        <v>0</v>
      </c>
      <c r="EV163" s="212">
        <f>IF(C163&gt;=Summary!$E$26,MAX(0,SUM(ER163:EU163)),0)</f>
        <v>0</v>
      </c>
      <c r="EW163" s="52"/>
      <c r="EX163" s="1049">
        <f t="shared" si="152"/>
        <v>0</v>
      </c>
      <c r="EY163" s="1045" t="str">
        <f t="shared" si="153"/>
        <v/>
      </c>
      <c r="EZ163" s="1684" t="s">
        <v>525</v>
      </c>
      <c r="FA163" s="1046">
        <f t="shared" si="166"/>
        <v>45</v>
      </c>
      <c r="FB163" s="256">
        <f t="shared" si="154"/>
        <v>9751.5</v>
      </c>
      <c r="FC163" s="194">
        <f t="shared" si="155"/>
        <v>2925.45</v>
      </c>
      <c r="FD163" s="194">
        <f t="shared" si="156"/>
        <v>2216.25</v>
      </c>
      <c r="FE163" s="194">
        <f t="shared" si="157"/>
        <v>664.875</v>
      </c>
      <c r="FF163" s="194">
        <f t="shared" si="158"/>
        <v>1773</v>
      </c>
      <c r="FG163" s="194">
        <f t="shared" si="159"/>
        <v>531.9</v>
      </c>
      <c r="FH163" s="257">
        <f>IF(EZ163="No",IF((OR(MONTH(C163)=5,MONTH(C163)=6,MONTH(C163)=7,MONTH(C163)=8,MONTH(C163)=9)),Summary!$O$15*12*(AX163+AY163+AZ163+BA163)*(1-$BC163),Summary!$O$15*13*(AX163+AY163+AZ163+BA163)*(1-$BC163)+IF(Summary!$O$16="Yes",(CALC!FA163+Summary!$O$15)*6*(AX163+AY163+AZ163+BA163)*(1-$BC163),0)),0)</f>
        <v>0</v>
      </c>
      <c r="FI163" s="1412">
        <f>IF(MONTH(C163)=5,FI162*(IF(Summary!$E$70="no",(1+(Summary!$E$71*0.8)),1+HLOOKUP(YEAR(C163)-1,CCFMODEL!$I$127:$AF$128,2)*0.8)),+FI162)</f>
        <v>35.360887055808156</v>
      </c>
      <c r="FJ163" s="1411">
        <f>IF(MONTH(C163)=5,FJ162*(IF(Summary!$E$70="no",(1+(Summary!$E$71*0.8)),1+HLOOKUP(YEAR(CALC!C163)-1,CCFMODEL!$I$127:$AF$128,2)*0.8)),FJ162)</f>
        <v>30.905972151139412</v>
      </c>
      <c r="FK163" s="832">
        <f t="shared" si="127"/>
        <v>631650.64145572484</v>
      </c>
      <c r="FL163" s="1412">
        <f>IF(MONTH(C163)=5,FL162*(IF(Summary!$E$70="no",(1+(Summary!$E$71*0.8)),1+HLOOKUP(YEAR(CALC!C163)-1,CCFMODEL!$I$127:$AF$128,2)*0.8)),+FL162)</f>
        <v>74.36790982228267</v>
      </c>
      <c r="FM163" s="1411">
        <f>IF(MONTH(C163)=5,FM162*(IF(Summary!$E$70="no",(1+(Summary!$E$71*0.8)),1+HLOOKUP(YEAR(CALC!C163)-1,CCFMODEL!$I$127:$AF$128,2)*0.8)),+FM162)</f>
        <v>35.493473808923291</v>
      </c>
      <c r="FN163" s="832">
        <f t="shared" si="128"/>
        <v>643674.14752482402</v>
      </c>
      <c r="FO163" s="194">
        <f t="shared" si="160"/>
        <v>1275324.7889805487</v>
      </c>
      <c r="FP163" s="263">
        <f t="shared" si="125"/>
        <v>9751.5</v>
      </c>
      <c r="FQ163" s="194">
        <f t="shared" si="125"/>
        <v>2925.45</v>
      </c>
      <c r="FR163" s="194">
        <f t="shared" si="125"/>
        <v>2216.25</v>
      </c>
      <c r="FS163" s="194">
        <f t="shared" si="125"/>
        <v>664.875</v>
      </c>
      <c r="FT163" s="194">
        <f t="shared" si="125"/>
        <v>1773</v>
      </c>
      <c r="FU163" s="194">
        <f t="shared" si="125"/>
        <v>531.9</v>
      </c>
      <c r="FV163" s="257">
        <f t="shared" si="124"/>
        <v>0</v>
      </c>
      <c r="FW163" s="189">
        <f t="shared" si="129"/>
        <v>0</v>
      </c>
      <c r="FX163" s="189">
        <f t="shared" si="130"/>
        <v>0</v>
      </c>
      <c r="FY163" s="189">
        <f t="shared" si="131"/>
        <v>0</v>
      </c>
      <c r="FZ163" s="258">
        <f t="shared" si="132"/>
        <v>0</v>
      </c>
      <c r="GA163" s="1294">
        <f>(SUM(FP163:FV163)+SUM(GU163:HB163)/(1-Summary!$O$25))*CY163/1000</f>
        <v>235541.9542703976</v>
      </c>
      <c r="GB163" s="1369">
        <f>IF($C163&lt;Summary!$M$81,+Summary!$O$81,VLOOKUP(C163,GasTable,19))</f>
        <v>3.2282328773670788</v>
      </c>
      <c r="GC163" s="1370">
        <f>IF(H163&lt;=Summary!$N$84,MIN(GA163,Summary!$O$75*(H163-G163+1)),0)</f>
        <v>0</v>
      </c>
      <c r="GD163" s="1371">
        <f>IF(C163&lt;Summary!$N$84,IF(Summary!$O$75*(H163-G163+1)*0.8&gt;GC163,1,0),0)</f>
        <v>0</v>
      </c>
      <c r="GE163" s="1372">
        <v>0</v>
      </c>
      <c r="GF163" s="1370">
        <f t="shared" si="161"/>
        <v>235541.9542703976</v>
      </c>
      <c r="GG163" s="1371">
        <f>GF163*(IF(Summary!$O$74=1,VLOOKUP($C163,GasTable,16)+Summary!$O$92+Summary!$O$93,VLOOKUP($C163,GasTable,19)+Summary!$O$92+Summary!$O$93))</f>
        <v>772656.01659247826</v>
      </c>
      <c r="GH163" s="1373">
        <v>5003.7609599189718</v>
      </c>
      <c r="GI163" s="1466">
        <v>0</v>
      </c>
      <c r="GJ163" s="1374">
        <f t="shared" si="162"/>
        <v>777659.77755239722</v>
      </c>
      <c r="GK163" s="189">
        <f t="shared" si="133"/>
        <v>30062.012850000006</v>
      </c>
      <c r="GL163" s="266">
        <v>0.51734429488</v>
      </c>
      <c r="GM163" s="255">
        <f t="shared" si="134"/>
        <v>0</v>
      </c>
      <c r="GN163" s="189">
        <f>IF(SUM(GU163:HB163)=0,0,IF(Summary!$O$16="Yes",SUM(GX163:HB163),IF(Summary!$O$17="Yes",SUM(GY163:HB163),SUM(GU163:HB163))))</f>
        <v>12199.037849999999</v>
      </c>
      <c r="GO163" s="203">
        <v>3.3926344547986877</v>
      </c>
      <c r="GP163" s="258">
        <f t="shared" si="163"/>
        <v>41386.876125303301</v>
      </c>
      <c r="GQ163" s="189"/>
      <c r="GR163" s="189"/>
      <c r="GS163" s="189"/>
      <c r="GT163" s="189"/>
      <c r="GU163" s="268">
        <v>5646.1184999999996</v>
      </c>
      <c r="GV163" s="189">
        <v>1283.20875</v>
      </c>
      <c r="GW163" s="189">
        <v>1026.5670000000002</v>
      </c>
      <c r="GX163" s="189"/>
      <c r="GY163" s="254">
        <v>3011.2631999999999</v>
      </c>
      <c r="GZ163" s="189">
        <v>684.37800000000004</v>
      </c>
      <c r="HA163" s="189">
        <v>547.50239999999997</v>
      </c>
      <c r="HB163" s="255"/>
      <c r="HC163" s="189">
        <v>12199.037849999999</v>
      </c>
      <c r="HD163" s="189"/>
      <c r="HE163" s="189">
        <v>20950.521524999996</v>
      </c>
      <c r="HF163" s="189">
        <v>464211.54437080811</v>
      </c>
      <c r="HG163" s="189"/>
      <c r="HH163" s="203">
        <v>37.428660218886051</v>
      </c>
      <c r="HI163" s="189">
        <v>784149.95156768337</v>
      </c>
      <c r="HJ163" s="268">
        <f t="shared" si="135"/>
        <v>0</v>
      </c>
      <c r="HK163" s="189">
        <f t="shared" si="136"/>
        <v>0</v>
      </c>
      <c r="HL163" s="189">
        <f t="shared" si="137"/>
        <v>0</v>
      </c>
      <c r="HM163" s="255">
        <f t="shared" si="138"/>
        <v>0</v>
      </c>
      <c r="HN163" s="189">
        <f t="shared" si="139"/>
        <v>0</v>
      </c>
      <c r="HO163" s="203">
        <f t="shared" si="164"/>
        <v>0</v>
      </c>
      <c r="HP163" s="258">
        <f t="shared" si="140"/>
        <v>0</v>
      </c>
      <c r="HQ163" s="203"/>
      <c r="HR163" s="268"/>
      <c r="HS163" s="38"/>
      <c r="HT163" s="255"/>
      <c r="HU163" s="254"/>
      <c r="HV163" s="203"/>
      <c r="HW163" s="189"/>
      <c r="HX163" s="1020"/>
      <c r="HY163" s="258"/>
      <c r="HZ163" s="268"/>
      <c r="IA163" s="203"/>
      <c r="IB163" s="255"/>
      <c r="IC163" s="254"/>
      <c r="ID163" s="203"/>
      <c r="IE163" s="255"/>
      <c r="IF163" s="189"/>
      <c r="IG163" s="203"/>
      <c r="IH163" s="255"/>
      <c r="II163" s="189"/>
      <c r="IJ163" s="203"/>
      <c r="IK163" s="189"/>
      <c r="IL163" s="1182"/>
      <c r="IM163" s="1403"/>
      <c r="IN163" s="254"/>
      <c r="IO163" s="254"/>
      <c r="IP163" s="254"/>
      <c r="IQ163" s="254"/>
      <c r="IR163" s="223"/>
    </row>
    <row r="164" spans="1:252" ht="13.8" thickBot="1">
      <c r="A164" t="str">
        <f t="shared" si="141"/>
        <v>2012Q2</v>
      </c>
      <c r="B164">
        <f t="shared" si="142"/>
        <v>2012</v>
      </c>
      <c r="C164" s="49">
        <f t="shared" si="143"/>
        <v>41000</v>
      </c>
      <c r="D164" s="115">
        <f t="shared" si="144"/>
        <v>2012</v>
      </c>
      <c r="E164" s="10">
        <f t="shared" si="167"/>
        <v>4</v>
      </c>
      <c r="F164" s="248" t="str">
        <f t="shared" si="168"/>
        <v/>
      </c>
      <c r="G164" s="245">
        <v>41000</v>
      </c>
      <c r="H164" s="251">
        <v>41029</v>
      </c>
      <c r="I164" s="959">
        <f t="shared" si="165"/>
        <v>7.1499999999999994E-2</v>
      </c>
      <c r="J164" s="37">
        <f t="shared" si="145"/>
        <v>0.41760620757176525</v>
      </c>
      <c r="K164" s="1036"/>
      <c r="L164" s="37"/>
      <c r="M164" s="1004">
        <v>0</v>
      </c>
      <c r="N164" s="38">
        <f t="shared" si="170"/>
        <v>0</v>
      </c>
      <c r="O164" s="40">
        <f t="shared" si="170"/>
        <v>0</v>
      </c>
      <c r="P164" s="159">
        <f t="shared" si="172"/>
        <v>0</v>
      </c>
      <c r="Q164" s="38">
        <f t="shared" si="173"/>
        <v>0</v>
      </c>
      <c r="R164" s="40">
        <f t="shared" si="173"/>
        <v>0</v>
      </c>
      <c r="S164" s="38">
        <f t="shared" si="173"/>
        <v>0</v>
      </c>
      <c r="T164" s="38">
        <f t="shared" si="173"/>
        <v>0</v>
      </c>
      <c r="U164" s="38">
        <f t="shared" si="173"/>
        <v>0</v>
      </c>
      <c r="V164" s="159">
        <f t="shared" si="173"/>
        <v>0</v>
      </c>
      <c r="W164" s="38">
        <f t="shared" si="173"/>
        <v>0</v>
      </c>
      <c r="X164" s="39">
        <f t="shared" si="173"/>
        <v>0</v>
      </c>
      <c r="Y164" s="46">
        <v>0</v>
      </c>
      <c r="Z164" s="46">
        <v>0</v>
      </c>
      <c r="AA164" s="47">
        <v>0</v>
      </c>
      <c r="AB164" s="46">
        <v>0</v>
      </c>
      <c r="AC164" s="46">
        <v>0</v>
      </c>
      <c r="AD164" s="47">
        <v>0</v>
      </c>
      <c r="AE164" s="46">
        <v>0</v>
      </c>
      <c r="AF164" s="46">
        <v>0</v>
      </c>
      <c r="AG164" s="47">
        <v>0</v>
      </c>
      <c r="AH164" s="46">
        <v>0</v>
      </c>
      <c r="AI164" s="46">
        <v>0</v>
      </c>
      <c r="AJ164" s="47">
        <v>0</v>
      </c>
      <c r="AK164" s="46">
        <v>0</v>
      </c>
      <c r="AL164" s="46">
        <v>0</v>
      </c>
      <c r="AM164" s="47">
        <v>0</v>
      </c>
      <c r="AN164" s="46">
        <v>0</v>
      </c>
      <c r="AO164" s="46">
        <v>0</v>
      </c>
      <c r="AP164" s="47">
        <v>0</v>
      </c>
      <c r="AQ164" s="46">
        <v>0</v>
      </c>
      <c r="AR164" s="46">
        <v>0</v>
      </c>
      <c r="AS164" s="47">
        <v>0</v>
      </c>
      <c r="AT164" s="46">
        <v>0</v>
      </c>
      <c r="AU164" s="46">
        <v>0</v>
      </c>
      <c r="AV164" s="46">
        <v>0</v>
      </c>
      <c r="AW164" s="1545">
        <v>0</v>
      </c>
      <c r="AX164" s="10">
        <f t="shared" si="169"/>
        <v>21</v>
      </c>
      <c r="AY164" s="42">
        <f>IF(AND($E164=MONTH(Summary!$E$24),$D164=YEAR(Summary!$E$24)),Summary!$E$25,1)*IF(G164="",0,INT((H164-MOD(H164,7)-G164)/7)+1-IF(BA164,IF(WEEKDAY(F164)=7,1,0),0))</f>
        <v>4</v>
      </c>
      <c r="AZ164" s="42">
        <f>IF(AND($E164=MONTH(Summary!$E$24),$D164=YEAR(Summary!$E$24)),Summary!$E$25,1)*IF(G164="",0,INT((H164-MOD(H164-1,7)-G164)/7)+1-IF(BA164,IF(WEEKDAY(F164)=1,1,0),0))</f>
        <v>5</v>
      </c>
      <c r="BA164" s="42">
        <v>0</v>
      </c>
      <c r="BB164" s="10">
        <f>IF(AND($E164=MONTH(Summary!$E$24),$D164=YEAR(Summary!$E$24)),Summary!$E$25,1)*IF(G164="",0,H164-G164+1)</f>
        <v>30</v>
      </c>
      <c r="BC164" s="914">
        <f>Summary!$E$19</f>
        <v>1.4999999999999999E-2</v>
      </c>
      <c r="BD164" s="113">
        <v>14893.2</v>
      </c>
      <c r="BE164" s="171">
        <v>2836.8</v>
      </c>
      <c r="BF164" s="171">
        <v>3546</v>
      </c>
      <c r="BG164" s="174"/>
      <c r="BH164" s="1198">
        <v>1</v>
      </c>
      <c r="BI164" s="1198">
        <v>1</v>
      </c>
      <c r="BJ164" s="1198">
        <v>1</v>
      </c>
      <c r="BK164" s="1198">
        <v>1</v>
      </c>
      <c r="BL164" s="95">
        <v>2978.64</v>
      </c>
      <c r="BM164" s="171">
        <v>567.36</v>
      </c>
      <c r="BN164" s="171">
        <v>709.2</v>
      </c>
      <c r="BO164" s="174"/>
      <c r="BP164" s="1198">
        <v>1</v>
      </c>
      <c r="BQ164" s="1199">
        <v>1</v>
      </c>
      <c r="BR164" s="1199">
        <v>1</v>
      </c>
      <c r="BS164" s="1200">
        <v>1</v>
      </c>
      <c r="BT164" s="94">
        <f t="shared" si="146"/>
        <v>21276</v>
      </c>
      <c r="BU164" s="233">
        <f t="shared" si="147"/>
        <v>21276</v>
      </c>
      <c r="BV164" s="92">
        <f t="shared" si="148"/>
        <v>4255.2</v>
      </c>
      <c r="BW164" s="233">
        <f t="shared" si="149"/>
        <v>4255.2</v>
      </c>
      <c r="BX164" s="88">
        <v>12.295687885010267</v>
      </c>
      <c r="BY164" s="90">
        <v>0</v>
      </c>
      <c r="BZ164" s="88">
        <v>0</v>
      </c>
      <c r="CA164" s="88">
        <v>0</v>
      </c>
      <c r="CB164" s="88">
        <v>0</v>
      </c>
      <c r="CC164" s="88">
        <v>0</v>
      </c>
      <c r="CD164" s="88">
        <v>0</v>
      </c>
      <c r="CE164" s="100">
        <v>0</v>
      </c>
      <c r="CF164" s="88">
        <v>0</v>
      </c>
      <c r="CG164" s="88">
        <v>0</v>
      </c>
      <c r="CH164" s="88">
        <v>0</v>
      </c>
      <c r="CI164" s="88">
        <v>0</v>
      </c>
      <c r="CJ164" s="228">
        <v>0</v>
      </c>
      <c r="CK164" s="88">
        <v>0</v>
      </c>
      <c r="CL164" s="88">
        <v>0</v>
      </c>
      <c r="CM164" s="88">
        <v>0</v>
      </c>
      <c r="CN164" s="88">
        <v>0</v>
      </c>
      <c r="CO164" s="88">
        <v>0</v>
      </c>
      <c r="CP164" s="88">
        <v>0</v>
      </c>
      <c r="CQ164" s="229">
        <v>0</v>
      </c>
      <c r="CR164" s="91">
        <v>0</v>
      </c>
      <c r="CS164" s="91">
        <v>0</v>
      </c>
      <c r="CT164" s="91">
        <v>0</v>
      </c>
      <c r="CU164" s="91">
        <v>0</v>
      </c>
      <c r="CV164" s="91">
        <v>0</v>
      </c>
      <c r="CW164" s="91">
        <v>0</v>
      </c>
      <c r="CX164" s="225">
        <v>0</v>
      </c>
      <c r="CY164" s="1265">
        <v>7722.8595199999991</v>
      </c>
      <c r="CZ164" s="90">
        <v>0</v>
      </c>
      <c r="DA164" s="88">
        <v>0</v>
      </c>
      <c r="DB164" s="88">
        <v>0</v>
      </c>
      <c r="DC164" s="88">
        <v>0</v>
      </c>
      <c r="DD164" s="88">
        <v>0</v>
      </c>
      <c r="DE164" s="152">
        <v>0</v>
      </c>
      <c r="DF164" s="230">
        <v>0</v>
      </c>
      <c r="DG164" s="38">
        <v>0</v>
      </c>
      <c r="DH164" s="1237">
        <v>0</v>
      </c>
      <c r="DI164" s="956">
        <v>0</v>
      </c>
      <c r="DJ164" s="956">
        <v>0</v>
      </c>
      <c r="DK164" s="956">
        <v>0</v>
      </c>
      <c r="DL164" s="152">
        <v>0</v>
      </c>
      <c r="DM164" s="160">
        <v>0</v>
      </c>
      <c r="DN164" s="160">
        <v>0</v>
      </c>
      <c r="DO164" s="160">
        <v>0</v>
      </c>
      <c r="DP164" s="160">
        <v>0</v>
      </c>
      <c r="DQ164" s="160">
        <v>0</v>
      </c>
      <c r="DR164" s="230">
        <v>0</v>
      </c>
      <c r="DS164" s="88">
        <v>0</v>
      </c>
      <c r="DT164" s="88">
        <v>0</v>
      </c>
      <c r="DU164" s="88">
        <v>0</v>
      </c>
      <c r="DV164" s="88">
        <v>0</v>
      </c>
      <c r="DW164" s="88">
        <v>0</v>
      </c>
      <c r="DX164" s="88">
        <v>0</v>
      </c>
      <c r="DY164" s="88">
        <v>0</v>
      </c>
      <c r="DZ164" s="88">
        <v>0</v>
      </c>
      <c r="EA164" s="88">
        <v>0</v>
      </c>
      <c r="EB164" s="152">
        <v>0</v>
      </c>
      <c r="EC164" s="52">
        <f t="shared" si="150"/>
        <v>0</v>
      </c>
      <c r="ED164" s="52">
        <f t="shared" si="150"/>
        <v>0</v>
      </c>
      <c r="EE164" s="52">
        <f t="shared" si="150"/>
        <v>0</v>
      </c>
      <c r="EF164" s="52">
        <f t="shared" si="150"/>
        <v>0</v>
      </c>
      <c r="EG164" s="52">
        <f t="shared" si="151"/>
        <v>0</v>
      </c>
      <c r="EH164" s="238">
        <v>0</v>
      </c>
      <c r="EI164" s="211">
        <v>0</v>
      </c>
      <c r="EJ164" s="211">
        <v>0</v>
      </c>
      <c r="EK164" s="211">
        <v>0</v>
      </c>
      <c r="EL164" s="217">
        <f>IF(C164&gt;=Summary!$E$26,MAX(0,SUM(EH164:EK164)),0)</f>
        <v>0</v>
      </c>
      <c r="EM164" s="52">
        <f>IF(C164&gt;=Summary!$E$26,DX164*BL164,0)</f>
        <v>0</v>
      </c>
      <c r="EN164" s="52">
        <f>IF(C164&gt;=Summary!$E$26,DY164*BM164,0)</f>
        <v>0</v>
      </c>
      <c r="EO164" s="52">
        <f>IF(C164&gt;=Summary!$E$26,DZ164*BN164,0)</f>
        <v>0</v>
      </c>
      <c r="EP164" s="52">
        <f>IF(C164&gt;=Summary!$E$26,EA164*BO164,0)</f>
        <v>0</v>
      </c>
      <c r="EQ164" s="52">
        <f>IF(C164&gt;=Summary!$E$26,DX164*BL164+DY164*BM164+DZ164*BN164+EA164*BO164,0)</f>
        <v>0</v>
      </c>
      <c r="ER164" s="826">
        <v>0</v>
      </c>
      <c r="ES164" s="278">
        <v>0</v>
      </c>
      <c r="ET164" s="278">
        <v>0</v>
      </c>
      <c r="EU164" s="278">
        <v>0</v>
      </c>
      <c r="EV164" s="212">
        <f>IF(C164&gt;=Summary!$E$26,MAX(0,SUM(ER164:EU164)),0)</f>
        <v>0</v>
      </c>
      <c r="EW164" s="52"/>
      <c r="EX164" s="1049">
        <f t="shared" si="152"/>
        <v>0</v>
      </c>
      <c r="EY164" s="1045" t="str">
        <f t="shared" si="153"/>
        <v/>
      </c>
      <c r="EZ164" s="1684" t="s">
        <v>525</v>
      </c>
      <c r="FA164" s="1046">
        <f t="shared" si="166"/>
        <v>45</v>
      </c>
      <c r="FB164" s="256">
        <f t="shared" si="154"/>
        <v>9308.25</v>
      </c>
      <c r="FC164" s="194">
        <f t="shared" si="155"/>
        <v>2792.4749999999999</v>
      </c>
      <c r="FD164" s="194">
        <f t="shared" si="156"/>
        <v>1773</v>
      </c>
      <c r="FE164" s="194">
        <f t="shared" si="157"/>
        <v>531.9</v>
      </c>
      <c r="FF164" s="194">
        <f t="shared" si="158"/>
        <v>2216.25</v>
      </c>
      <c r="FG164" s="194">
        <f t="shared" si="159"/>
        <v>664.875</v>
      </c>
      <c r="FH164" s="257">
        <f>IF(EZ164="No",IF((OR(MONTH(C164)=5,MONTH(C164)=6,MONTH(C164)=7,MONTH(C164)=8,MONTH(C164)=9)),Summary!$O$15*12*(AX164+AY164+AZ164+BA164)*(1-$BC164),Summary!$O$15*13*(AX164+AY164+AZ164+BA164)*(1-$BC164)+IF(Summary!$O$16="Yes",(CALC!FA164+Summary!$O$15)*6*(AX164+AY164+AZ164+BA164)*(1-$BC164),0)),0)</f>
        <v>0</v>
      </c>
      <c r="FI164" s="1412">
        <f>IF(MONTH(C164)=5,FI163*(IF(Summary!$E$70="no",(1+(Summary!$E$71*0.8)),1+HLOOKUP(YEAR(C164)-1,CCFMODEL!$I$127:$AF$128,2)*0.8)),+FI163)</f>
        <v>35.360887055808156</v>
      </c>
      <c r="FJ164" s="1411">
        <f>IF(MONTH(C164)=5,FJ163*(IF(Summary!$E$70="no",(1+(Summary!$E$71*0.8)),1+HLOOKUP(YEAR(CALC!C164)-1,CCFMODEL!$I$127:$AF$128,2)*0.8)),FJ163)</f>
        <v>30.905972151139412</v>
      </c>
      <c r="FK164" s="832">
        <f t="shared" si="127"/>
        <v>611274.81431199168</v>
      </c>
      <c r="FL164" s="1412">
        <f>IF(MONTH(C164)=5,FL163*(IF(Summary!$E$70="no",(1+(Summary!$E$71*0.8)),1+HLOOKUP(YEAR(CALC!C164)-1,CCFMODEL!$I$127:$AF$128,2)*0.8)),+FL163)</f>
        <v>74.36790982228267</v>
      </c>
      <c r="FM164" s="1411">
        <f>IF(MONTH(C164)=5,FM163*(IF(Summary!$E$70="no",(1+(Summary!$E$71*0.8)),1+HLOOKUP(YEAR(CALC!C164)-1,CCFMODEL!$I$127:$AF$128,2)*0.8)),+FM163)</f>
        <v>35.493473808923291</v>
      </c>
      <c r="FN164" s="832">
        <f t="shared" si="128"/>
        <v>622910.46534660377</v>
      </c>
      <c r="FO164" s="194">
        <f t="shared" si="160"/>
        <v>1234185.2796585956</v>
      </c>
      <c r="FP164" s="263">
        <f t="shared" si="125"/>
        <v>9308.25</v>
      </c>
      <c r="FQ164" s="194">
        <f t="shared" si="125"/>
        <v>2792.4749999999999</v>
      </c>
      <c r="FR164" s="194">
        <f t="shared" si="125"/>
        <v>1773</v>
      </c>
      <c r="FS164" s="194">
        <f t="shared" si="125"/>
        <v>531.9</v>
      </c>
      <c r="FT164" s="194">
        <f t="shared" si="125"/>
        <v>2216.25</v>
      </c>
      <c r="FU164" s="194">
        <f t="shared" si="125"/>
        <v>664.875</v>
      </c>
      <c r="FV164" s="257">
        <f t="shared" si="124"/>
        <v>0</v>
      </c>
      <c r="FW164" s="189">
        <f t="shared" si="129"/>
        <v>0</v>
      </c>
      <c r="FX164" s="189">
        <f t="shared" si="130"/>
        <v>0</v>
      </c>
      <c r="FY164" s="189">
        <f t="shared" si="131"/>
        <v>0</v>
      </c>
      <c r="FZ164" s="258">
        <f t="shared" si="132"/>
        <v>0</v>
      </c>
      <c r="GA164" s="1294">
        <f>(SUM(FP164:FV164)+SUM(GU164:HB164)/(1-Summary!$O$25))*CY164/1000</f>
        <v>227982.28831718396</v>
      </c>
      <c r="GB164" s="1369">
        <f>IF($C164&lt;Summary!$M$81,+Summary!$O$81,VLOOKUP(C164,GasTable,19))</f>
        <v>3.1313835864998292</v>
      </c>
      <c r="GC164" s="1370">
        <f>IF(H164&lt;=Summary!$N$84,MIN(GA164,Summary!$O$75*(H164-G164+1)),0)</f>
        <v>0</v>
      </c>
      <c r="GD164" s="1371">
        <f>IF(C164&lt;Summary!$N$84,IF(Summary!$O$75*(H164-G164+1)*0.8&gt;GC164,1,0),0)</f>
        <v>0</v>
      </c>
      <c r="GE164" s="1372">
        <v>0</v>
      </c>
      <c r="GF164" s="1370">
        <f t="shared" si="161"/>
        <v>227982.28831718396</v>
      </c>
      <c r="GG164" s="1371">
        <f>GF164*(IF(Summary!$O$74=1,VLOOKUP($C164,GasTable,16)+Summary!$O$92+Summary!$O$93,VLOOKUP($C164,GasTable,19)+Summary!$O$92+Summary!$O$93))</f>
        <v>725777.87287042686</v>
      </c>
      <c r="GH164" s="1373">
        <v>4697.0753797497437</v>
      </c>
      <c r="GI164" s="1466">
        <v>0</v>
      </c>
      <c r="GJ164" s="1374">
        <f t="shared" si="162"/>
        <v>730474.94825017662</v>
      </c>
      <c r="GK164" s="189">
        <f t="shared" si="133"/>
        <v>29092.270500000002</v>
      </c>
      <c r="GL164" s="266">
        <v>0.51743158783999998</v>
      </c>
      <c r="GM164" s="255">
        <f t="shared" si="134"/>
        <v>0</v>
      </c>
      <c r="GN164" s="189">
        <f>IF(SUM(GU164:HB164)=0,0,IF(Summary!$O$16="Yes",SUM(GX164:HB164),IF(Summary!$O$17="Yes",SUM(GY164:HB164),SUM(GU164:HB164))))</f>
        <v>11805.520500000001</v>
      </c>
      <c r="GO164" s="203">
        <v>3.3926344547986877</v>
      </c>
      <c r="GP164" s="258">
        <f t="shared" si="163"/>
        <v>40051.815605132237</v>
      </c>
      <c r="GQ164" s="189"/>
      <c r="GR164" s="189"/>
      <c r="GS164" s="189"/>
      <c r="GT164" s="189"/>
      <c r="GU164" s="268">
        <v>5389.4767500000007</v>
      </c>
      <c r="GV164" s="189">
        <v>1026.5670000000002</v>
      </c>
      <c r="GW164" s="189">
        <v>1283.20875</v>
      </c>
      <c r="GX164" s="189"/>
      <c r="GY164" s="254">
        <v>2874.3875999999996</v>
      </c>
      <c r="GZ164" s="189">
        <v>547.50239999999997</v>
      </c>
      <c r="HA164" s="189">
        <v>684.37800000000004</v>
      </c>
      <c r="HB164" s="255"/>
      <c r="HC164" s="189">
        <v>11805.520500000001</v>
      </c>
      <c r="HD164" s="189"/>
      <c r="HE164" s="189">
        <v>20274.698250000001</v>
      </c>
      <c r="HF164" s="189">
        <v>444087.96810408385</v>
      </c>
      <c r="HG164" s="189"/>
      <c r="HH164" s="203">
        <v>36.93725042969885</v>
      </c>
      <c r="HI164" s="189">
        <v>748891.60664682707</v>
      </c>
      <c r="HJ164" s="268">
        <f t="shared" si="135"/>
        <v>0</v>
      </c>
      <c r="HK164" s="189">
        <f t="shared" si="136"/>
        <v>0</v>
      </c>
      <c r="HL164" s="189">
        <f t="shared" si="137"/>
        <v>0</v>
      </c>
      <c r="HM164" s="255">
        <f t="shared" si="138"/>
        <v>0</v>
      </c>
      <c r="HN164" s="189">
        <f t="shared" si="139"/>
        <v>0</v>
      </c>
      <c r="HO164" s="203">
        <f t="shared" si="164"/>
        <v>0</v>
      </c>
      <c r="HP164" s="258">
        <f t="shared" si="140"/>
        <v>0</v>
      </c>
      <c r="HQ164" s="203"/>
      <c r="HR164" s="268"/>
      <c r="HS164" s="38"/>
      <c r="HT164" s="255"/>
      <c r="HU164" s="254"/>
      <c r="HV164" s="203"/>
      <c r="HW164" s="189"/>
      <c r="HX164" s="1020"/>
      <c r="HY164" s="258"/>
      <c r="HZ164" s="268"/>
      <c r="IA164" s="203"/>
      <c r="IB164" s="255"/>
      <c r="IC164" s="254"/>
      <c r="ID164" s="203"/>
      <c r="IE164" s="255"/>
      <c r="IF164" s="189"/>
      <c r="IG164" s="203"/>
      <c r="IH164" s="255"/>
      <c r="II164" s="189"/>
      <c r="IJ164" s="203"/>
      <c r="IK164" s="189"/>
      <c r="IL164" s="1182"/>
      <c r="IM164" s="1403"/>
      <c r="IN164" s="254"/>
      <c r="IO164" s="254"/>
      <c r="IP164" s="254"/>
      <c r="IQ164" s="254"/>
      <c r="IR164" s="223"/>
    </row>
    <row r="165" spans="1:252" ht="13.8" thickBot="1">
      <c r="A165" t="str">
        <f t="shared" si="141"/>
        <v>2012Q2</v>
      </c>
      <c r="B165">
        <f t="shared" si="142"/>
        <v>2012</v>
      </c>
      <c r="C165" s="49">
        <f t="shared" si="143"/>
        <v>41030</v>
      </c>
      <c r="D165" s="115">
        <f t="shared" si="144"/>
        <v>2012</v>
      </c>
      <c r="E165" s="10">
        <f t="shared" si="167"/>
        <v>5</v>
      </c>
      <c r="F165" s="248">
        <f t="shared" si="168"/>
        <v>41057</v>
      </c>
      <c r="G165" s="245">
        <v>41030</v>
      </c>
      <c r="H165" s="251">
        <v>41060</v>
      </c>
      <c r="I165" s="959">
        <f t="shared" si="165"/>
        <v>7.1499999999999994E-2</v>
      </c>
      <c r="J165" s="37">
        <f t="shared" si="145"/>
        <v>0.41512364293848641</v>
      </c>
      <c r="K165" s="1036"/>
      <c r="L165" s="37"/>
      <c r="M165" s="1004">
        <v>0</v>
      </c>
      <c r="N165" s="38">
        <f t="shared" si="170"/>
        <v>0</v>
      </c>
      <c r="O165" s="40">
        <f t="shared" si="170"/>
        <v>0</v>
      </c>
      <c r="P165" s="159">
        <f t="shared" si="172"/>
        <v>0</v>
      </c>
      <c r="Q165" s="38">
        <f t="shared" si="173"/>
        <v>0</v>
      </c>
      <c r="R165" s="40">
        <f t="shared" si="173"/>
        <v>0</v>
      </c>
      <c r="S165" s="38">
        <f t="shared" si="173"/>
        <v>0</v>
      </c>
      <c r="T165" s="38">
        <f t="shared" si="173"/>
        <v>0</v>
      </c>
      <c r="U165" s="38">
        <f t="shared" si="173"/>
        <v>0</v>
      </c>
      <c r="V165" s="159">
        <f t="shared" si="173"/>
        <v>0</v>
      </c>
      <c r="W165" s="38">
        <f t="shared" si="173"/>
        <v>0</v>
      </c>
      <c r="X165" s="39">
        <f t="shared" si="173"/>
        <v>0</v>
      </c>
      <c r="Y165" s="46">
        <v>0</v>
      </c>
      <c r="Z165" s="46">
        <v>0</v>
      </c>
      <c r="AA165" s="47">
        <v>0</v>
      </c>
      <c r="AB165" s="46">
        <v>0</v>
      </c>
      <c r="AC165" s="46">
        <v>0</v>
      </c>
      <c r="AD165" s="47">
        <v>0</v>
      </c>
      <c r="AE165" s="46">
        <v>0</v>
      </c>
      <c r="AF165" s="46">
        <v>0</v>
      </c>
      <c r="AG165" s="47">
        <v>0</v>
      </c>
      <c r="AH165" s="46">
        <v>0</v>
      </c>
      <c r="AI165" s="46">
        <v>0</v>
      </c>
      <c r="AJ165" s="47">
        <v>0</v>
      </c>
      <c r="AK165" s="46">
        <v>0</v>
      </c>
      <c r="AL165" s="46">
        <v>0</v>
      </c>
      <c r="AM165" s="47">
        <v>0</v>
      </c>
      <c r="AN165" s="46">
        <v>0</v>
      </c>
      <c r="AO165" s="46">
        <v>0</v>
      </c>
      <c r="AP165" s="47">
        <v>0</v>
      </c>
      <c r="AQ165" s="46">
        <v>0</v>
      </c>
      <c r="AR165" s="46">
        <v>0</v>
      </c>
      <c r="AS165" s="47">
        <v>0</v>
      </c>
      <c r="AT165" s="46">
        <v>0</v>
      </c>
      <c r="AU165" s="46">
        <v>0</v>
      </c>
      <c r="AV165" s="46">
        <v>0</v>
      </c>
      <c r="AW165" s="1545">
        <v>0</v>
      </c>
      <c r="AX165" s="10">
        <f t="shared" si="169"/>
        <v>22</v>
      </c>
      <c r="AY165" s="42">
        <f>IF(AND($E165=MONTH(Summary!$E$24),$D165=YEAR(Summary!$E$24)),Summary!$E$25,1)*IF(G165="",0,INT((H165-MOD(H165,7)-G165)/7)+1-IF(BA165,IF(WEEKDAY(F165)=7,1,0),0))</f>
        <v>4</v>
      </c>
      <c r="AZ165" s="42">
        <f>IF(AND($E165=MONTH(Summary!$E$24),$D165=YEAR(Summary!$E$24)),Summary!$E$25,1)*IF(G165="",0,INT((H165-MOD(H165-1,7)-G165)/7)+1-IF(BA165,IF(WEEKDAY(F165)=1,1,0),0))</f>
        <v>4</v>
      </c>
      <c r="BA165" s="42">
        <v>1</v>
      </c>
      <c r="BB165" s="10">
        <f>IF(AND($E165=MONTH(Summary!$E$24),$D165=YEAR(Summary!$E$24)),Summary!$E$25,1)*IF(G165="",0,H165-G165+1)</f>
        <v>31</v>
      </c>
      <c r="BC165" s="914">
        <f>Summary!$E$19</f>
        <v>1.4999999999999999E-2</v>
      </c>
      <c r="BD165" s="113">
        <v>15602.4</v>
      </c>
      <c r="BE165" s="171">
        <v>2836.8</v>
      </c>
      <c r="BF165" s="171">
        <v>3546</v>
      </c>
      <c r="BG165" s="174"/>
      <c r="BH165" s="1198">
        <v>1</v>
      </c>
      <c r="BI165" s="1198">
        <v>1</v>
      </c>
      <c r="BJ165" s="1198">
        <v>1</v>
      </c>
      <c r="BK165" s="1198">
        <v>1</v>
      </c>
      <c r="BL165" s="95">
        <v>3120.48</v>
      </c>
      <c r="BM165" s="171">
        <v>567.36</v>
      </c>
      <c r="BN165" s="171">
        <v>709.2</v>
      </c>
      <c r="BO165" s="174"/>
      <c r="BP165" s="1198">
        <v>1</v>
      </c>
      <c r="BQ165" s="1199">
        <v>1</v>
      </c>
      <c r="BR165" s="1199">
        <v>1</v>
      </c>
      <c r="BS165" s="1200">
        <v>1</v>
      </c>
      <c r="BT165" s="94">
        <f t="shared" si="146"/>
        <v>21985.200000000001</v>
      </c>
      <c r="BU165" s="233">
        <f t="shared" si="147"/>
        <v>21985.200000000001</v>
      </c>
      <c r="BV165" s="92">
        <f t="shared" si="148"/>
        <v>4397.04</v>
      </c>
      <c r="BW165" s="233">
        <f t="shared" si="149"/>
        <v>4397.04</v>
      </c>
      <c r="BX165" s="88">
        <v>12.377823408624231</v>
      </c>
      <c r="BY165" s="90">
        <v>0</v>
      </c>
      <c r="BZ165" s="88">
        <v>0</v>
      </c>
      <c r="CA165" s="88">
        <v>0</v>
      </c>
      <c r="CB165" s="88">
        <v>0</v>
      </c>
      <c r="CC165" s="88">
        <v>0</v>
      </c>
      <c r="CD165" s="88">
        <v>0</v>
      </c>
      <c r="CE165" s="100">
        <v>0</v>
      </c>
      <c r="CF165" s="88">
        <v>0</v>
      </c>
      <c r="CG165" s="88">
        <v>0</v>
      </c>
      <c r="CH165" s="88">
        <v>0</v>
      </c>
      <c r="CI165" s="88">
        <v>0</v>
      </c>
      <c r="CJ165" s="228">
        <v>0</v>
      </c>
      <c r="CK165" s="88">
        <v>0</v>
      </c>
      <c r="CL165" s="88">
        <v>0</v>
      </c>
      <c r="CM165" s="88">
        <v>0</v>
      </c>
      <c r="CN165" s="88">
        <v>0</v>
      </c>
      <c r="CO165" s="88">
        <v>0</v>
      </c>
      <c r="CP165" s="88">
        <v>0</v>
      </c>
      <c r="CQ165" s="229">
        <v>0</v>
      </c>
      <c r="CR165" s="91">
        <v>0</v>
      </c>
      <c r="CS165" s="91">
        <v>0</v>
      </c>
      <c r="CT165" s="91">
        <v>0</v>
      </c>
      <c r="CU165" s="91">
        <v>0</v>
      </c>
      <c r="CV165" s="91">
        <v>0</v>
      </c>
      <c r="CW165" s="91">
        <v>0</v>
      </c>
      <c r="CX165" s="225">
        <v>0</v>
      </c>
      <c r="CY165" s="1265">
        <v>7724.1623999999993</v>
      </c>
      <c r="CZ165" s="90">
        <v>0</v>
      </c>
      <c r="DA165" s="88">
        <v>0</v>
      </c>
      <c r="DB165" s="88">
        <v>0</v>
      </c>
      <c r="DC165" s="88">
        <v>0</v>
      </c>
      <c r="DD165" s="88">
        <v>0</v>
      </c>
      <c r="DE165" s="152">
        <v>0</v>
      </c>
      <c r="DF165" s="230">
        <v>0</v>
      </c>
      <c r="DG165" s="38">
        <v>0</v>
      </c>
      <c r="DH165" s="1237">
        <v>0</v>
      </c>
      <c r="DI165" s="956">
        <v>0</v>
      </c>
      <c r="DJ165" s="956">
        <v>0</v>
      </c>
      <c r="DK165" s="956">
        <v>0</v>
      </c>
      <c r="DL165" s="152">
        <v>0</v>
      </c>
      <c r="DM165" s="160">
        <v>0</v>
      </c>
      <c r="DN165" s="160">
        <v>0</v>
      </c>
      <c r="DO165" s="160">
        <v>0</v>
      </c>
      <c r="DP165" s="160">
        <v>0</v>
      </c>
      <c r="DQ165" s="160">
        <v>0</v>
      </c>
      <c r="DR165" s="230">
        <v>0</v>
      </c>
      <c r="DS165" s="88">
        <v>0</v>
      </c>
      <c r="DT165" s="88">
        <v>0</v>
      </c>
      <c r="DU165" s="88">
        <v>0</v>
      </c>
      <c r="DV165" s="88">
        <v>0</v>
      </c>
      <c r="DW165" s="88">
        <v>0</v>
      </c>
      <c r="DX165" s="88">
        <v>0</v>
      </c>
      <c r="DY165" s="88">
        <v>0</v>
      </c>
      <c r="DZ165" s="88">
        <v>0</v>
      </c>
      <c r="EA165" s="88">
        <v>0</v>
      </c>
      <c r="EB165" s="152">
        <v>0</v>
      </c>
      <c r="EC165" s="52">
        <f t="shared" si="150"/>
        <v>0</v>
      </c>
      <c r="ED165" s="52">
        <f t="shared" si="150"/>
        <v>0</v>
      </c>
      <c r="EE165" s="52">
        <f t="shared" si="150"/>
        <v>0</v>
      </c>
      <c r="EF165" s="52">
        <f t="shared" si="150"/>
        <v>0</v>
      </c>
      <c r="EG165" s="52">
        <f t="shared" si="151"/>
        <v>0</v>
      </c>
      <c r="EH165" s="238">
        <v>0</v>
      </c>
      <c r="EI165" s="211">
        <v>0</v>
      </c>
      <c r="EJ165" s="211">
        <v>0</v>
      </c>
      <c r="EK165" s="211">
        <v>0</v>
      </c>
      <c r="EL165" s="217">
        <f>IF(C165&gt;=Summary!$E$26,MAX(0,SUM(EH165:EK165)),0)</f>
        <v>0</v>
      </c>
      <c r="EM165" s="52">
        <f>IF(C165&gt;=Summary!$E$26,DX165*BL165,0)</f>
        <v>0</v>
      </c>
      <c r="EN165" s="52">
        <f>IF(C165&gt;=Summary!$E$26,DY165*BM165,0)</f>
        <v>0</v>
      </c>
      <c r="EO165" s="52">
        <f>IF(C165&gt;=Summary!$E$26,DZ165*BN165,0)</f>
        <v>0</v>
      </c>
      <c r="EP165" s="52">
        <f>IF(C165&gt;=Summary!$E$26,EA165*BO165,0)</f>
        <v>0</v>
      </c>
      <c r="EQ165" s="52">
        <f>IF(C165&gt;=Summary!$E$26,DX165*BL165+DY165*BM165+DZ165*BN165+EA165*BO165,0)</f>
        <v>0</v>
      </c>
      <c r="ER165" s="826">
        <v>0</v>
      </c>
      <c r="ES165" s="278">
        <v>0</v>
      </c>
      <c r="ET165" s="278">
        <v>0</v>
      </c>
      <c r="EU165" s="278">
        <v>0</v>
      </c>
      <c r="EV165" s="212">
        <f>IF(C165&gt;=Summary!$E$26,MAX(0,SUM(ER165:EU165)),0)</f>
        <v>0</v>
      </c>
      <c r="EW165" s="52"/>
      <c r="EX165" s="1049">
        <f t="shared" si="152"/>
        <v>0</v>
      </c>
      <c r="EY165" s="1045" t="str">
        <f t="shared" si="153"/>
        <v/>
      </c>
      <c r="EZ165" s="1684" t="s">
        <v>525</v>
      </c>
      <c r="FA165" s="1046">
        <f t="shared" si="166"/>
        <v>45</v>
      </c>
      <c r="FB165" s="256">
        <f t="shared" si="154"/>
        <v>11701.8</v>
      </c>
      <c r="FC165" s="194">
        <f t="shared" si="155"/>
        <v>0</v>
      </c>
      <c r="FD165" s="194">
        <f t="shared" si="156"/>
        <v>2127.6</v>
      </c>
      <c r="FE165" s="194">
        <f t="shared" si="157"/>
        <v>0</v>
      </c>
      <c r="FF165" s="194">
        <f t="shared" si="158"/>
        <v>2659.5</v>
      </c>
      <c r="FG165" s="194">
        <f t="shared" si="159"/>
        <v>0</v>
      </c>
      <c r="FH165" s="257">
        <f>IF(EZ165="No",IF((OR(MONTH(C165)=5,MONTH(C165)=6,MONTH(C165)=7,MONTH(C165)=8,MONTH(C165)=9)),Summary!$O$15*12*(AX165+AY165+AZ165+BA165)*(1-$BC165),Summary!$O$15*13*(AX165+AY165+AZ165+BA165)*(1-$BC165)+IF(Summary!$O$16="Yes",(CALC!FA165+Summary!$O$15)*6*(AX165+AY165+AZ165+BA165)*(1-$BC165),0)),0)</f>
        <v>0</v>
      </c>
      <c r="FI165" s="1412">
        <f>IF(MONTH(C165)=5,FI164*(IF(Summary!$E$70="no",(1+(Summary!$E$71*0.8)),1+HLOOKUP(YEAR(C165)-1,CCFMODEL!$I$127:$AF$128,2)*0.8)),+FI164)</f>
        <v>36.209548345147553</v>
      </c>
      <c r="FJ165" s="1411">
        <f>IF(MONTH(C165)=5,FJ164*(IF(Summary!$E$70="no",(1+(Summary!$E$71*0.8)),1+HLOOKUP(YEAR(CALC!C165)-1,CCFMODEL!$I$127:$AF$128,2)*0.8)),FJ164)</f>
        <v>31.64771548276676</v>
      </c>
      <c r="FK165" s="832">
        <f t="shared" si="127"/>
        <v>597055.62170830357</v>
      </c>
      <c r="FL165" s="1412">
        <f>IF(MONTH(C165)=5,FL164*(IF(Summary!$E$70="no",(1+(Summary!$E$71*0.8)),1+HLOOKUP(YEAR(CALC!C165)-1,CCFMODEL!$I$127:$AF$128,2)*0.8)),+FL164)</f>
        <v>76.152739658017452</v>
      </c>
      <c r="FM165" s="1411">
        <f>IF(MONTH(C165)=5,FM164*(IF(Summary!$E$70="no",(1+(Summary!$E$71*0.8)),1+HLOOKUP(YEAR(CALC!C165)-1,CCFMODEL!$I$127:$AF$128,2)*0.8)),+FM164)</f>
        <v>36.345317180337453</v>
      </c>
      <c r="FN165" s="832">
        <f t="shared" si="128"/>
        <v>1274796.8618752121</v>
      </c>
      <c r="FO165" s="194">
        <f t="shared" si="160"/>
        <v>1871852.4835835155</v>
      </c>
      <c r="FP165" s="263">
        <f t="shared" si="125"/>
        <v>11701.8</v>
      </c>
      <c r="FQ165" s="194">
        <f t="shared" si="125"/>
        <v>0</v>
      </c>
      <c r="FR165" s="194">
        <f t="shared" si="125"/>
        <v>2127.6</v>
      </c>
      <c r="FS165" s="194">
        <f t="shared" si="125"/>
        <v>0</v>
      </c>
      <c r="FT165" s="194">
        <f t="shared" si="125"/>
        <v>2659.5</v>
      </c>
      <c r="FU165" s="194">
        <f t="shared" si="125"/>
        <v>0</v>
      </c>
      <c r="FV165" s="257">
        <f t="shared" si="124"/>
        <v>0</v>
      </c>
      <c r="FW165" s="189">
        <f t="shared" si="129"/>
        <v>0</v>
      </c>
      <c r="FX165" s="189">
        <f t="shared" si="130"/>
        <v>0</v>
      </c>
      <c r="FY165" s="189">
        <f t="shared" si="131"/>
        <v>0</v>
      </c>
      <c r="FZ165" s="258">
        <f t="shared" si="132"/>
        <v>0</v>
      </c>
      <c r="GA165" s="1294">
        <f>(SUM(FP165:FV165)+SUM(GU165:HB165)/(1-Summary!$O$25))*CY165/1000</f>
        <v>203780.70623577602</v>
      </c>
      <c r="GB165" s="1369">
        <f>IF($C165&lt;Summary!$M$81,+Summary!$O$81,VLOOKUP(C165,GasTable,19))</f>
        <v>3.1077676601346216</v>
      </c>
      <c r="GC165" s="1370">
        <f>IF(H165&lt;=Summary!$N$84,MIN(GA165,Summary!$O$75*(H165-G165+1)),0)</f>
        <v>0</v>
      </c>
      <c r="GD165" s="1371">
        <f>IF(C165&lt;Summary!$N$84,IF(Summary!$O$75*(H165-G165+1)*0.8&gt;GC165,1,0),0)</f>
        <v>0</v>
      </c>
      <c r="GE165" s="1372">
        <v>0</v>
      </c>
      <c r="GF165" s="1370">
        <f t="shared" si="161"/>
        <v>203780.70623577602</v>
      </c>
      <c r="GG165" s="1371">
        <f>GF165*(IF(Summary!$O$74=1,VLOOKUP($C165,GasTable,16)+Summary!$O$92+Summary!$O$93,VLOOKUP($C165,GasTable,19)+Summary!$O$92+Summary!$O$93))</f>
        <v>643920.06339382229</v>
      </c>
      <c r="GH165" s="1373">
        <v>4817.0398732086633</v>
      </c>
      <c r="GI165" s="1466">
        <v>0</v>
      </c>
      <c r="GJ165" s="1374">
        <f t="shared" si="162"/>
        <v>648737.10326703091</v>
      </c>
      <c r="GK165" s="189">
        <f t="shared" si="133"/>
        <v>26035.973100000007</v>
      </c>
      <c r="GL165" s="266">
        <v>0.51751888080000008</v>
      </c>
      <c r="GM165" s="255">
        <f t="shared" si="134"/>
        <v>0</v>
      </c>
      <c r="GN165" s="189">
        <f>IF(SUM(GU165:HB165)=0,0,IF(Summary!$O$16="Yes",SUM(GX165:HB165),IF(Summary!$O$17="Yes",SUM(GY165:HB165),SUM(GU165:HB165))))</f>
        <v>9547.0730999999996</v>
      </c>
      <c r="GO165" s="203">
        <v>3.3926344547986877</v>
      </c>
      <c r="GP165" s="258">
        <f t="shared" si="163"/>
        <v>32389.729141541717</v>
      </c>
      <c r="GQ165" s="189"/>
      <c r="GR165" s="189"/>
      <c r="GS165" s="189"/>
      <c r="GT165" s="189"/>
      <c r="GU165" s="268">
        <v>3764.0790000000002</v>
      </c>
      <c r="GV165" s="189">
        <v>684.37800000000027</v>
      </c>
      <c r="GW165" s="189">
        <v>855.47249999999997</v>
      </c>
      <c r="GX165" s="189"/>
      <c r="GY165" s="254">
        <v>3011.2631999999999</v>
      </c>
      <c r="GZ165" s="189">
        <v>547.50239999999997</v>
      </c>
      <c r="HA165" s="189">
        <v>684.37800000000004</v>
      </c>
      <c r="HB165" s="255"/>
      <c r="HC165" s="189">
        <v>9547.0730999999996</v>
      </c>
      <c r="HD165" s="189"/>
      <c r="HE165" s="189">
        <v>22276.5039</v>
      </c>
      <c r="HF165" s="189">
        <v>373976.65768625354</v>
      </c>
      <c r="HG165" s="189"/>
      <c r="HH165" s="203">
        <v>39.688722800092513</v>
      </c>
      <c r="HI165" s="189">
        <v>884125.98824227974</v>
      </c>
      <c r="HJ165" s="268">
        <f t="shared" si="135"/>
        <v>0</v>
      </c>
      <c r="HK165" s="189">
        <f t="shared" si="136"/>
        <v>0</v>
      </c>
      <c r="HL165" s="189">
        <f t="shared" si="137"/>
        <v>0</v>
      </c>
      <c r="HM165" s="255">
        <f t="shared" si="138"/>
        <v>0</v>
      </c>
      <c r="HN165" s="189">
        <f t="shared" si="139"/>
        <v>0</v>
      </c>
      <c r="HO165" s="203">
        <f t="shared" si="164"/>
        <v>0</v>
      </c>
      <c r="HP165" s="258">
        <f t="shared" si="140"/>
        <v>0</v>
      </c>
      <c r="HQ165" s="203"/>
      <c r="HR165" s="268"/>
      <c r="HS165" s="38"/>
      <c r="HT165" s="255"/>
      <c r="HU165" s="254"/>
      <c r="HV165" s="203"/>
      <c r="HW165" s="189"/>
      <c r="HX165" s="1020"/>
      <c r="HY165" s="258"/>
      <c r="HZ165" s="268"/>
      <c r="IA165" s="203"/>
      <c r="IB165" s="255"/>
      <c r="IC165" s="254"/>
      <c r="ID165" s="203"/>
      <c r="IE165" s="255"/>
      <c r="IF165" s="189"/>
      <c r="IG165" s="203"/>
      <c r="IH165" s="255"/>
      <c r="II165" s="189"/>
      <c r="IJ165" s="203"/>
      <c r="IK165" s="189"/>
      <c r="IL165" s="1182"/>
      <c r="IM165" s="1403"/>
      <c r="IN165" s="254"/>
      <c r="IO165" s="254"/>
      <c r="IP165" s="254"/>
      <c r="IQ165" s="254"/>
      <c r="IR165" s="223"/>
    </row>
    <row r="166" spans="1:252" ht="13.8" thickBot="1">
      <c r="A166" t="str">
        <f t="shared" si="141"/>
        <v>2012Q2</v>
      </c>
      <c r="B166">
        <f t="shared" si="142"/>
        <v>2012</v>
      </c>
      <c r="C166" s="49">
        <f t="shared" si="143"/>
        <v>41061</v>
      </c>
      <c r="D166" s="115">
        <f t="shared" si="144"/>
        <v>2012</v>
      </c>
      <c r="E166" s="10">
        <f t="shared" si="167"/>
        <v>6</v>
      </c>
      <c r="F166" s="248" t="str">
        <f t="shared" si="168"/>
        <v/>
      </c>
      <c r="G166" s="245">
        <v>41061</v>
      </c>
      <c r="H166" s="251">
        <v>41090</v>
      </c>
      <c r="I166" s="959">
        <f t="shared" si="165"/>
        <v>7.1499999999999994E-2</v>
      </c>
      <c r="J166" s="37">
        <f t="shared" si="145"/>
        <v>0.4127352137326214</v>
      </c>
      <c r="K166" s="1036"/>
      <c r="L166" s="37"/>
      <c r="M166" s="1004">
        <v>0</v>
      </c>
      <c r="N166" s="38">
        <f t="shared" si="170"/>
        <v>0</v>
      </c>
      <c r="O166" s="40">
        <f t="shared" si="170"/>
        <v>0</v>
      </c>
      <c r="P166" s="159">
        <f t="shared" si="172"/>
        <v>0</v>
      </c>
      <c r="Q166" s="38">
        <f t="shared" si="173"/>
        <v>0</v>
      </c>
      <c r="R166" s="40">
        <f t="shared" si="173"/>
        <v>0</v>
      </c>
      <c r="S166" s="38">
        <f t="shared" si="173"/>
        <v>0</v>
      </c>
      <c r="T166" s="38">
        <f t="shared" si="173"/>
        <v>0</v>
      </c>
      <c r="U166" s="38">
        <f t="shared" si="173"/>
        <v>0</v>
      </c>
      <c r="V166" s="159">
        <f t="shared" si="173"/>
        <v>0</v>
      </c>
      <c r="W166" s="38">
        <f t="shared" si="173"/>
        <v>0</v>
      </c>
      <c r="X166" s="39">
        <f t="shared" si="173"/>
        <v>0</v>
      </c>
      <c r="Y166" s="46">
        <v>0</v>
      </c>
      <c r="Z166" s="46">
        <v>0</v>
      </c>
      <c r="AA166" s="47">
        <v>0</v>
      </c>
      <c r="AB166" s="46">
        <v>0</v>
      </c>
      <c r="AC166" s="46">
        <v>0</v>
      </c>
      <c r="AD166" s="47">
        <v>0</v>
      </c>
      <c r="AE166" s="46">
        <v>0</v>
      </c>
      <c r="AF166" s="46">
        <v>0</v>
      </c>
      <c r="AG166" s="47">
        <v>0</v>
      </c>
      <c r="AH166" s="46">
        <v>0</v>
      </c>
      <c r="AI166" s="46">
        <v>0</v>
      </c>
      <c r="AJ166" s="47">
        <v>0</v>
      </c>
      <c r="AK166" s="46">
        <v>0</v>
      </c>
      <c r="AL166" s="46">
        <v>0</v>
      </c>
      <c r="AM166" s="47">
        <v>0</v>
      </c>
      <c r="AN166" s="46">
        <v>0</v>
      </c>
      <c r="AO166" s="46">
        <v>0</v>
      </c>
      <c r="AP166" s="47">
        <v>0</v>
      </c>
      <c r="AQ166" s="46">
        <v>0</v>
      </c>
      <c r="AR166" s="46">
        <v>0</v>
      </c>
      <c r="AS166" s="47">
        <v>0</v>
      </c>
      <c r="AT166" s="46">
        <v>0</v>
      </c>
      <c r="AU166" s="46">
        <v>0</v>
      </c>
      <c r="AV166" s="46">
        <v>0</v>
      </c>
      <c r="AW166" s="1545">
        <v>0</v>
      </c>
      <c r="AX166" s="10">
        <f t="shared" si="169"/>
        <v>21</v>
      </c>
      <c r="AY166" s="42">
        <f>IF(AND($E166=MONTH(Summary!$E$24),$D166=YEAR(Summary!$E$24)),Summary!$E$25,1)*IF(G166="",0,INT((H166-MOD(H166,7)-G166)/7)+1-IF(BA166,IF(WEEKDAY(F166)=7,1,0),0))</f>
        <v>5</v>
      </c>
      <c r="AZ166" s="42">
        <f>IF(AND($E166=MONTH(Summary!$E$24),$D166=YEAR(Summary!$E$24)),Summary!$E$25,1)*IF(G166="",0,INT((H166-MOD(H166-1,7)-G166)/7)+1-IF(BA166,IF(WEEKDAY(F166)=1,1,0),0))</f>
        <v>4</v>
      </c>
      <c r="BA166" s="42">
        <v>0</v>
      </c>
      <c r="BB166" s="10">
        <f>IF(AND($E166=MONTH(Summary!$E$24),$D166=YEAR(Summary!$E$24)),Summary!$E$25,1)*IF(G166="",0,H166-G166+1)</f>
        <v>30</v>
      </c>
      <c r="BC166" s="914">
        <f>Summary!$E$19</f>
        <v>1.4999999999999999E-2</v>
      </c>
      <c r="BD166" s="113">
        <v>14893.2</v>
      </c>
      <c r="BE166" s="171">
        <v>3546</v>
      </c>
      <c r="BF166" s="171">
        <v>2836.8</v>
      </c>
      <c r="BG166" s="174"/>
      <c r="BH166" s="1198">
        <v>1</v>
      </c>
      <c r="BI166" s="1198">
        <v>1</v>
      </c>
      <c r="BJ166" s="1198">
        <v>1</v>
      </c>
      <c r="BK166" s="1198">
        <v>1</v>
      </c>
      <c r="BL166" s="95">
        <v>2978.64</v>
      </c>
      <c r="BM166" s="171">
        <v>709.2</v>
      </c>
      <c r="BN166" s="171">
        <v>567.36</v>
      </c>
      <c r="BO166" s="174"/>
      <c r="BP166" s="1198">
        <v>1</v>
      </c>
      <c r="BQ166" s="1199">
        <v>1</v>
      </c>
      <c r="BR166" s="1199">
        <v>1</v>
      </c>
      <c r="BS166" s="1200">
        <v>1</v>
      </c>
      <c r="BT166" s="94">
        <f t="shared" si="146"/>
        <v>21276</v>
      </c>
      <c r="BU166" s="233">
        <f t="shared" si="147"/>
        <v>21276</v>
      </c>
      <c r="BV166" s="92">
        <f t="shared" si="148"/>
        <v>4255.2</v>
      </c>
      <c r="BW166" s="233">
        <f t="shared" si="149"/>
        <v>4255.2</v>
      </c>
      <c r="BX166" s="88">
        <v>12.462696783025326</v>
      </c>
      <c r="BY166" s="90">
        <v>0</v>
      </c>
      <c r="BZ166" s="88">
        <v>0</v>
      </c>
      <c r="CA166" s="88">
        <v>0</v>
      </c>
      <c r="CB166" s="88">
        <v>0</v>
      </c>
      <c r="CC166" s="88">
        <v>0</v>
      </c>
      <c r="CD166" s="88">
        <v>0</v>
      </c>
      <c r="CE166" s="100">
        <v>0</v>
      </c>
      <c r="CF166" s="88">
        <v>0</v>
      </c>
      <c r="CG166" s="88">
        <v>0</v>
      </c>
      <c r="CH166" s="88">
        <v>0</v>
      </c>
      <c r="CI166" s="88">
        <v>0</v>
      </c>
      <c r="CJ166" s="228">
        <v>0</v>
      </c>
      <c r="CK166" s="88">
        <v>0</v>
      </c>
      <c r="CL166" s="88">
        <v>0</v>
      </c>
      <c r="CM166" s="88">
        <v>0</v>
      </c>
      <c r="CN166" s="88">
        <v>0</v>
      </c>
      <c r="CO166" s="88">
        <v>0</v>
      </c>
      <c r="CP166" s="88">
        <v>0</v>
      </c>
      <c r="CQ166" s="229">
        <v>0</v>
      </c>
      <c r="CR166" s="91">
        <v>0</v>
      </c>
      <c r="CS166" s="91">
        <v>0</v>
      </c>
      <c r="CT166" s="91">
        <v>0</v>
      </c>
      <c r="CU166" s="91">
        <v>0</v>
      </c>
      <c r="CV166" s="91">
        <v>0</v>
      </c>
      <c r="CW166" s="91">
        <v>0</v>
      </c>
      <c r="CX166" s="225">
        <v>0</v>
      </c>
      <c r="CY166" s="1265">
        <v>7725.4652799999994</v>
      </c>
      <c r="CZ166" s="90">
        <v>0</v>
      </c>
      <c r="DA166" s="88">
        <v>0</v>
      </c>
      <c r="DB166" s="88">
        <v>0</v>
      </c>
      <c r="DC166" s="88">
        <v>0</v>
      </c>
      <c r="DD166" s="88">
        <v>0</v>
      </c>
      <c r="DE166" s="152">
        <v>0</v>
      </c>
      <c r="DF166" s="230">
        <v>0</v>
      </c>
      <c r="DG166" s="38">
        <v>0</v>
      </c>
      <c r="DH166" s="1237">
        <v>0</v>
      </c>
      <c r="DI166" s="956">
        <v>0</v>
      </c>
      <c r="DJ166" s="956">
        <v>0</v>
      </c>
      <c r="DK166" s="956">
        <v>0</v>
      </c>
      <c r="DL166" s="152">
        <v>0</v>
      </c>
      <c r="DM166" s="160">
        <v>0</v>
      </c>
      <c r="DN166" s="160">
        <v>0</v>
      </c>
      <c r="DO166" s="160">
        <v>0</v>
      </c>
      <c r="DP166" s="160">
        <v>0</v>
      </c>
      <c r="DQ166" s="160">
        <v>0</v>
      </c>
      <c r="DR166" s="230">
        <v>0</v>
      </c>
      <c r="DS166" s="88">
        <v>0</v>
      </c>
      <c r="DT166" s="88">
        <v>0</v>
      </c>
      <c r="DU166" s="88">
        <v>0</v>
      </c>
      <c r="DV166" s="88">
        <v>0</v>
      </c>
      <c r="DW166" s="88">
        <v>0</v>
      </c>
      <c r="DX166" s="88">
        <v>0</v>
      </c>
      <c r="DY166" s="88">
        <v>0</v>
      </c>
      <c r="DZ166" s="88">
        <v>0</v>
      </c>
      <c r="EA166" s="88">
        <v>0</v>
      </c>
      <c r="EB166" s="152">
        <v>0</v>
      </c>
      <c r="EC166" s="52">
        <f t="shared" si="150"/>
        <v>0</v>
      </c>
      <c r="ED166" s="52">
        <f t="shared" si="150"/>
        <v>0</v>
      </c>
      <c r="EE166" s="52">
        <f t="shared" si="150"/>
        <v>0</v>
      </c>
      <c r="EF166" s="52">
        <f t="shared" si="150"/>
        <v>0</v>
      </c>
      <c r="EG166" s="52">
        <f t="shared" si="151"/>
        <v>0</v>
      </c>
      <c r="EH166" s="238">
        <v>0</v>
      </c>
      <c r="EI166" s="211">
        <v>0</v>
      </c>
      <c r="EJ166" s="211">
        <v>0</v>
      </c>
      <c r="EK166" s="211">
        <v>0</v>
      </c>
      <c r="EL166" s="217">
        <f>IF(C166&gt;=Summary!$E$26,MAX(0,SUM(EH166:EK166)),0)</f>
        <v>0</v>
      </c>
      <c r="EM166" s="52">
        <f>IF(C166&gt;=Summary!$E$26,DX166*BL166,0)</f>
        <v>0</v>
      </c>
      <c r="EN166" s="52">
        <f>IF(C166&gt;=Summary!$E$26,DY166*BM166,0)</f>
        <v>0</v>
      </c>
      <c r="EO166" s="52">
        <f>IF(C166&gt;=Summary!$E$26,DZ166*BN166,0)</f>
        <v>0</v>
      </c>
      <c r="EP166" s="52">
        <f>IF(C166&gt;=Summary!$E$26,EA166*BO166,0)</f>
        <v>0</v>
      </c>
      <c r="EQ166" s="52">
        <f>IF(C166&gt;=Summary!$E$26,DX166*BL166+DY166*BM166+DZ166*BN166+EA166*BO166,0)</f>
        <v>0</v>
      </c>
      <c r="ER166" s="826">
        <v>0</v>
      </c>
      <c r="ES166" s="278">
        <v>0</v>
      </c>
      <c r="ET166" s="278">
        <v>0</v>
      </c>
      <c r="EU166" s="278">
        <v>0</v>
      </c>
      <c r="EV166" s="212">
        <f>IF(C166&gt;=Summary!$E$26,MAX(0,SUM(ER166:EU166)),0)</f>
        <v>0</v>
      </c>
      <c r="EW166" s="52"/>
      <c r="EX166" s="1049">
        <f t="shared" si="152"/>
        <v>0</v>
      </c>
      <c r="EY166" s="1045" t="str">
        <f t="shared" si="153"/>
        <v/>
      </c>
      <c r="EZ166" s="1684" t="s">
        <v>525</v>
      </c>
      <c r="FA166" s="1046">
        <f t="shared" si="166"/>
        <v>45</v>
      </c>
      <c r="FB166" s="256">
        <f t="shared" si="154"/>
        <v>11169.9</v>
      </c>
      <c r="FC166" s="194">
        <f t="shared" si="155"/>
        <v>0</v>
      </c>
      <c r="FD166" s="194">
        <f t="shared" si="156"/>
        <v>2659.5</v>
      </c>
      <c r="FE166" s="194">
        <f t="shared" si="157"/>
        <v>0</v>
      </c>
      <c r="FF166" s="194">
        <f t="shared" si="158"/>
        <v>2127.6</v>
      </c>
      <c r="FG166" s="194">
        <f t="shared" si="159"/>
        <v>0</v>
      </c>
      <c r="FH166" s="257">
        <f>IF(EZ166="No",IF((OR(MONTH(C166)=5,MONTH(C166)=6,MONTH(C166)=7,MONTH(C166)=8,MONTH(C166)=9)),Summary!$O$15*12*(AX166+AY166+AZ166+BA166)*(1-$BC166),Summary!$O$15*13*(AX166+AY166+AZ166+BA166)*(1-$BC166)+IF(Summary!$O$16="Yes",(CALC!FA166+Summary!$O$15)*6*(AX166+AY166+AZ166+BA166)*(1-$BC166),0)),0)</f>
        <v>0</v>
      </c>
      <c r="FI166" s="1412">
        <f>IF(MONTH(C166)=5,FI165*(IF(Summary!$E$70="no",(1+(Summary!$E$71*0.8)),1+HLOOKUP(YEAR(C166)-1,CCFMODEL!$I$127:$AF$128,2)*0.8)),+FI165)</f>
        <v>36.209548345147553</v>
      </c>
      <c r="FJ166" s="1411">
        <f>IF(MONTH(C166)=5,FJ165*(IF(Summary!$E$70="no",(1+(Summary!$E$71*0.8)),1+HLOOKUP(YEAR(CALC!C166)-1,CCFMODEL!$I$127:$AF$128,2)*0.8)),FJ165)</f>
        <v>31.64771548276676</v>
      </c>
      <c r="FK166" s="832">
        <f t="shared" si="127"/>
        <v>577795.76294351951</v>
      </c>
      <c r="FL166" s="1412">
        <f>IF(MONTH(C166)=5,FL165*(IF(Summary!$E$70="no",(1+(Summary!$E$71*0.8)),1+HLOOKUP(YEAR(CALC!C166)-1,CCFMODEL!$I$127:$AF$128,2)*0.8)),+FL165)</f>
        <v>76.152739658017452</v>
      </c>
      <c r="FM166" s="1411">
        <f>IF(MONTH(C166)=5,FM165*(IF(Summary!$E$70="no",(1+(Summary!$E$71*0.8)),1+HLOOKUP(YEAR(CALC!C166)-1,CCFMODEL!$I$127:$AF$128,2)*0.8)),+FM165)</f>
        <v>36.345317180337453</v>
      </c>
      <c r="FN166" s="832">
        <f t="shared" si="128"/>
        <v>1233674.3824598826</v>
      </c>
      <c r="FO166" s="194">
        <f t="shared" si="160"/>
        <v>1811470.1454034022</v>
      </c>
      <c r="FP166" s="263">
        <f t="shared" si="125"/>
        <v>11169.9</v>
      </c>
      <c r="FQ166" s="194">
        <f t="shared" si="125"/>
        <v>0</v>
      </c>
      <c r="FR166" s="194">
        <f t="shared" si="125"/>
        <v>2659.5</v>
      </c>
      <c r="FS166" s="194">
        <f t="shared" si="125"/>
        <v>0</v>
      </c>
      <c r="FT166" s="194">
        <f t="shared" si="125"/>
        <v>2127.6</v>
      </c>
      <c r="FU166" s="194">
        <f t="shared" si="125"/>
        <v>0</v>
      </c>
      <c r="FV166" s="257">
        <f t="shared" si="124"/>
        <v>0</v>
      </c>
      <c r="FW166" s="189">
        <f t="shared" si="129"/>
        <v>0</v>
      </c>
      <c r="FX166" s="189">
        <f t="shared" si="130"/>
        <v>0</v>
      </c>
      <c r="FY166" s="189">
        <f t="shared" si="131"/>
        <v>0</v>
      </c>
      <c r="FZ166" s="258">
        <f t="shared" si="132"/>
        <v>0</v>
      </c>
      <c r="GA166" s="1294">
        <f>(SUM(FP166:FV166)+SUM(GU166:HB166)/(1-Summary!$O$25))*CY166/1000</f>
        <v>197240.39915673598</v>
      </c>
      <c r="GB166" s="1369">
        <f>IF($C166&lt;Summary!$M$81,+Summary!$O$81,VLOOKUP(C166,GasTable,19))</f>
        <v>3.1453076992935425</v>
      </c>
      <c r="GC166" s="1370">
        <f>IF(H166&lt;=Summary!$N$84,MIN(GA166,Summary!$O$75*(H166-G166+1)),0)</f>
        <v>0</v>
      </c>
      <c r="GD166" s="1371">
        <f>IF(C166&lt;Summary!$N$84,IF(Summary!$O$75*(H166-G166+1)*0.8&gt;GC166,1,0),0)</f>
        <v>0</v>
      </c>
      <c r="GE166" s="1372">
        <v>0</v>
      </c>
      <c r="GF166" s="1370">
        <f t="shared" si="161"/>
        <v>197240.39915673598</v>
      </c>
      <c r="GG166" s="1371">
        <f>GF166*(IF(Summary!$O$74=1,VLOOKUP($C166,GasTable,16)+Summary!$O$92+Summary!$O$93,VLOOKUP($C166,GasTable,19)+Summary!$O$92+Summary!$O$93))</f>
        <v>630657.97087547916</v>
      </c>
      <c r="GH166" s="1373">
        <v>4717.9615489403141</v>
      </c>
      <c r="GI166" s="1466">
        <v>0</v>
      </c>
      <c r="GJ166" s="1374">
        <f t="shared" si="162"/>
        <v>635375.93242441944</v>
      </c>
      <c r="GK166" s="189">
        <f t="shared" si="133"/>
        <v>25196.103000000003</v>
      </c>
      <c r="GL166" s="266">
        <v>0.51760617376000007</v>
      </c>
      <c r="GM166" s="255">
        <f t="shared" si="134"/>
        <v>0</v>
      </c>
      <c r="GN166" s="189">
        <f>IF(SUM(GU166:HB166)=0,0,IF(Summary!$O$16="Yes",SUM(GX166:HB166),IF(Summary!$O$17="Yes",SUM(GY166:HB166),SUM(GU166:HB166))))</f>
        <v>9239.103000000001</v>
      </c>
      <c r="GO166" s="203">
        <v>3.3926344547986877</v>
      </c>
      <c r="GP166" s="258">
        <f t="shared" si="163"/>
        <v>31344.899169233922</v>
      </c>
      <c r="GQ166" s="189"/>
      <c r="GR166" s="189"/>
      <c r="GS166" s="189"/>
      <c r="GT166" s="189"/>
      <c r="GU166" s="268">
        <v>3592.9845000000009</v>
      </c>
      <c r="GV166" s="189">
        <v>855.47249999999997</v>
      </c>
      <c r="GW166" s="189">
        <v>684.37800000000027</v>
      </c>
      <c r="GX166" s="189"/>
      <c r="GY166" s="254">
        <v>2874.3875999999996</v>
      </c>
      <c r="GZ166" s="189">
        <v>684.37800000000004</v>
      </c>
      <c r="HA166" s="189">
        <v>547.50239999999997</v>
      </c>
      <c r="HB166" s="255"/>
      <c r="HC166" s="189">
        <v>9239.103000000001</v>
      </c>
      <c r="HD166" s="189"/>
      <c r="HE166" s="189">
        <v>21557.906999999999</v>
      </c>
      <c r="HF166" s="189">
        <v>355921.44904910366</v>
      </c>
      <c r="HG166" s="189"/>
      <c r="HH166" s="203">
        <v>39.852951665656697</v>
      </c>
      <c r="HI166" s="189">
        <v>859146.22568372206</v>
      </c>
      <c r="HJ166" s="268">
        <f t="shared" si="135"/>
        <v>0</v>
      </c>
      <c r="HK166" s="189">
        <f t="shared" si="136"/>
        <v>0</v>
      </c>
      <c r="HL166" s="189">
        <f t="shared" si="137"/>
        <v>0</v>
      </c>
      <c r="HM166" s="255">
        <f t="shared" si="138"/>
        <v>0</v>
      </c>
      <c r="HN166" s="189">
        <f t="shared" si="139"/>
        <v>0</v>
      </c>
      <c r="HO166" s="203">
        <f t="shared" si="164"/>
        <v>0</v>
      </c>
      <c r="HP166" s="258">
        <f t="shared" si="140"/>
        <v>0</v>
      </c>
      <c r="HQ166" s="203"/>
      <c r="HR166" s="268"/>
      <c r="HS166" s="38"/>
      <c r="HT166" s="255"/>
      <c r="HU166" s="254"/>
      <c r="HV166" s="203"/>
      <c r="HW166" s="189"/>
      <c r="HX166" s="1020"/>
      <c r="HY166" s="258"/>
      <c r="HZ166" s="268"/>
      <c r="IA166" s="203"/>
      <c r="IB166" s="255"/>
      <c r="IC166" s="254"/>
      <c r="ID166" s="203"/>
      <c r="IE166" s="255"/>
      <c r="IF166" s="189"/>
      <c r="IG166" s="203"/>
      <c r="IH166" s="255"/>
      <c r="II166" s="189"/>
      <c r="IJ166" s="203"/>
      <c r="IK166" s="189"/>
      <c r="IL166" s="1182"/>
      <c r="IM166" s="1403"/>
      <c r="IN166" s="254"/>
      <c r="IO166" s="254"/>
      <c r="IP166" s="254"/>
      <c r="IQ166" s="254"/>
      <c r="IR166" s="223"/>
    </row>
    <row r="167" spans="1:252" ht="13.8" thickBot="1">
      <c r="A167" t="str">
        <f t="shared" si="141"/>
        <v>2012Q3</v>
      </c>
      <c r="B167">
        <f t="shared" si="142"/>
        <v>2012</v>
      </c>
      <c r="C167" s="49">
        <f t="shared" si="143"/>
        <v>41091</v>
      </c>
      <c r="D167" s="115">
        <f t="shared" si="144"/>
        <v>2012</v>
      </c>
      <c r="E167" s="10">
        <f t="shared" si="167"/>
        <v>7</v>
      </c>
      <c r="F167" s="248">
        <f t="shared" si="168"/>
        <v>41094</v>
      </c>
      <c r="G167" s="245">
        <v>41091</v>
      </c>
      <c r="H167" s="251">
        <v>41121</v>
      </c>
      <c r="I167" s="959">
        <f t="shared" si="165"/>
        <v>7.1499999999999994E-2</v>
      </c>
      <c r="J167" s="37">
        <f t="shared" si="145"/>
        <v>0.41028160594149365</v>
      </c>
      <c r="K167" s="1036"/>
      <c r="L167" s="37"/>
      <c r="M167" s="1004">
        <v>0</v>
      </c>
      <c r="N167" s="38">
        <f t="shared" si="170"/>
        <v>0</v>
      </c>
      <c r="O167" s="40">
        <f t="shared" si="170"/>
        <v>0</v>
      </c>
      <c r="P167" s="159">
        <f t="shared" si="172"/>
        <v>0</v>
      </c>
      <c r="Q167" s="38">
        <f t="shared" si="173"/>
        <v>0</v>
      </c>
      <c r="R167" s="40">
        <f t="shared" si="173"/>
        <v>0</v>
      </c>
      <c r="S167" s="38">
        <f t="shared" si="173"/>
        <v>0</v>
      </c>
      <c r="T167" s="38">
        <f t="shared" si="173"/>
        <v>0</v>
      </c>
      <c r="U167" s="38">
        <f t="shared" si="173"/>
        <v>0</v>
      </c>
      <c r="V167" s="159">
        <f t="shared" si="173"/>
        <v>0</v>
      </c>
      <c r="W167" s="38">
        <f t="shared" si="173"/>
        <v>0</v>
      </c>
      <c r="X167" s="39">
        <f t="shared" si="173"/>
        <v>0</v>
      </c>
      <c r="Y167" s="46">
        <v>0</v>
      </c>
      <c r="Z167" s="46">
        <v>0</v>
      </c>
      <c r="AA167" s="47">
        <v>0</v>
      </c>
      <c r="AB167" s="46">
        <v>0</v>
      </c>
      <c r="AC167" s="46">
        <v>0</v>
      </c>
      <c r="AD167" s="47">
        <v>0</v>
      </c>
      <c r="AE167" s="46">
        <v>0</v>
      </c>
      <c r="AF167" s="46">
        <v>0</v>
      </c>
      <c r="AG167" s="47">
        <v>0</v>
      </c>
      <c r="AH167" s="46">
        <v>0</v>
      </c>
      <c r="AI167" s="46">
        <v>0</v>
      </c>
      <c r="AJ167" s="47">
        <v>0</v>
      </c>
      <c r="AK167" s="46">
        <v>0</v>
      </c>
      <c r="AL167" s="46">
        <v>0</v>
      </c>
      <c r="AM167" s="47">
        <v>0</v>
      </c>
      <c r="AN167" s="46">
        <v>0</v>
      </c>
      <c r="AO167" s="46">
        <v>0</v>
      </c>
      <c r="AP167" s="47">
        <v>0</v>
      </c>
      <c r="AQ167" s="46">
        <v>0</v>
      </c>
      <c r="AR167" s="46">
        <v>0</v>
      </c>
      <c r="AS167" s="47">
        <v>0</v>
      </c>
      <c r="AT167" s="46">
        <v>0</v>
      </c>
      <c r="AU167" s="46">
        <v>0</v>
      </c>
      <c r="AV167" s="46">
        <v>0</v>
      </c>
      <c r="AW167" s="1545">
        <v>0</v>
      </c>
      <c r="AX167" s="10">
        <f t="shared" si="169"/>
        <v>21</v>
      </c>
      <c r="AY167" s="42">
        <f>IF(AND($E167=MONTH(Summary!$E$24),$D167=YEAR(Summary!$E$24)),Summary!$E$25,1)*IF(G167="",0,INT((H167-MOD(H167,7)-G167)/7)+1-IF(BA167,IF(WEEKDAY(F167)=7,1,0),0))</f>
        <v>4</v>
      </c>
      <c r="AZ167" s="42">
        <f>IF(AND($E167=MONTH(Summary!$E$24),$D167=YEAR(Summary!$E$24)),Summary!$E$25,1)*IF(G167="",0,INT((H167-MOD(H167-1,7)-G167)/7)+1-IF(BA167,IF(WEEKDAY(F167)=1,1,0),0))</f>
        <v>5</v>
      </c>
      <c r="BA167" s="42">
        <v>1</v>
      </c>
      <c r="BB167" s="10">
        <f>IF(AND($E167=MONTH(Summary!$E$24),$D167=YEAR(Summary!$E$24)),Summary!$E$25,1)*IF(G167="",0,H167-G167+1)</f>
        <v>31</v>
      </c>
      <c r="BC167" s="914">
        <f>Summary!$E$19</f>
        <v>1.4999999999999999E-2</v>
      </c>
      <c r="BD167" s="113">
        <v>14893.2</v>
      </c>
      <c r="BE167" s="171">
        <v>2836.8</v>
      </c>
      <c r="BF167" s="171">
        <v>4255.2</v>
      </c>
      <c r="BG167" s="174"/>
      <c r="BH167" s="1198">
        <v>1</v>
      </c>
      <c r="BI167" s="1198">
        <v>1</v>
      </c>
      <c r="BJ167" s="1198">
        <v>1</v>
      </c>
      <c r="BK167" s="1198">
        <v>1</v>
      </c>
      <c r="BL167" s="95">
        <v>2978.64</v>
      </c>
      <c r="BM167" s="171">
        <v>567.36</v>
      </c>
      <c r="BN167" s="171">
        <v>851.04</v>
      </c>
      <c r="BO167" s="174"/>
      <c r="BP167" s="1198">
        <v>1</v>
      </c>
      <c r="BQ167" s="1199">
        <v>1</v>
      </c>
      <c r="BR167" s="1199">
        <v>1</v>
      </c>
      <c r="BS167" s="1200">
        <v>1</v>
      </c>
      <c r="BT167" s="94">
        <f t="shared" si="146"/>
        <v>21985.200000000001</v>
      </c>
      <c r="BU167" s="233">
        <f t="shared" si="147"/>
        <v>21985.200000000001</v>
      </c>
      <c r="BV167" s="92">
        <f t="shared" si="148"/>
        <v>4397.04</v>
      </c>
      <c r="BW167" s="233">
        <f t="shared" si="149"/>
        <v>4397.04</v>
      </c>
      <c r="BX167" s="88">
        <v>12.544832306639288</v>
      </c>
      <c r="BY167" s="90">
        <v>0</v>
      </c>
      <c r="BZ167" s="88">
        <v>0</v>
      </c>
      <c r="CA167" s="88">
        <v>0</v>
      </c>
      <c r="CB167" s="88">
        <v>0</v>
      </c>
      <c r="CC167" s="88">
        <v>0</v>
      </c>
      <c r="CD167" s="88">
        <v>0</v>
      </c>
      <c r="CE167" s="100">
        <v>0</v>
      </c>
      <c r="CF167" s="88">
        <v>0</v>
      </c>
      <c r="CG167" s="88">
        <v>0</v>
      </c>
      <c r="CH167" s="88">
        <v>0</v>
      </c>
      <c r="CI167" s="88">
        <v>0</v>
      </c>
      <c r="CJ167" s="228">
        <v>0</v>
      </c>
      <c r="CK167" s="88">
        <v>0</v>
      </c>
      <c r="CL167" s="88">
        <v>0</v>
      </c>
      <c r="CM167" s="88">
        <v>0</v>
      </c>
      <c r="CN167" s="88">
        <v>0</v>
      </c>
      <c r="CO167" s="88">
        <v>0</v>
      </c>
      <c r="CP167" s="88">
        <v>0</v>
      </c>
      <c r="CQ167" s="229">
        <v>0</v>
      </c>
      <c r="CR167" s="91">
        <v>0</v>
      </c>
      <c r="CS167" s="91">
        <v>0</v>
      </c>
      <c r="CT167" s="91">
        <v>0</v>
      </c>
      <c r="CU167" s="91">
        <v>0</v>
      </c>
      <c r="CV167" s="91">
        <v>0</v>
      </c>
      <c r="CW167" s="91">
        <v>0</v>
      </c>
      <c r="CX167" s="225">
        <v>0</v>
      </c>
      <c r="CY167" s="1265">
        <v>7726.7681599999996</v>
      </c>
      <c r="CZ167" s="90">
        <v>0</v>
      </c>
      <c r="DA167" s="88">
        <v>0</v>
      </c>
      <c r="DB167" s="88">
        <v>0</v>
      </c>
      <c r="DC167" s="88">
        <v>0</v>
      </c>
      <c r="DD167" s="88">
        <v>0</v>
      </c>
      <c r="DE167" s="152">
        <v>0</v>
      </c>
      <c r="DF167" s="230">
        <v>0</v>
      </c>
      <c r="DG167" s="38">
        <v>0</v>
      </c>
      <c r="DH167" s="1237">
        <v>0</v>
      </c>
      <c r="DI167" s="956">
        <v>0</v>
      </c>
      <c r="DJ167" s="956">
        <v>0</v>
      </c>
      <c r="DK167" s="956">
        <v>0</v>
      </c>
      <c r="DL167" s="152">
        <v>0</v>
      </c>
      <c r="DM167" s="160">
        <v>0</v>
      </c>
      <c r="DN167" s="160">
        <v>0</v>
      </c>
      <c r="DO167" s="160">
        <v>0</v>
      </c>
      <c r="DP167" s="160">
        <v>0</v>
      </c>
      <c r="DQ167" s="160">
        <v>0</v>
      </c>
      <c r="DR167" s="230">
        <v>0</v>
      </c>
      <c r="DS167" s="88">
        <v>0</v>
      </c>
      <c r="DT167" s="88">
        <v>0</v>
      </c>
      <c r="DU167" s="88">
        <v>0</v>
      </c>
      <c r="DV167" s="88">
        <v>0</v>
      </c>
      <c r="DW167" s="88">
        <v>0</v>
      </c>
      <c r="DX167" s="88">
        <v>0</v>
      </c>
      <c r="DY167" s="88">
        <v>0</v>
      </c>
      <c r="DZ167" s="88">
        <v>0</v>
      </c>
      <c r="EA167" s="88">
        <v>0</v>
      </c>
      <c r="EB167" s="152">
        <v>0</v>
      </c>
      <c r="EC167" s="52">
        <f t="shared" si="150"/>
        <v>0</v>
      </c>
      <c r="ED167" s="52">
        <f t="shared" si="150"/>
        <v>0</v>
      </c>
      <c r="EE167" s="52">
        <f t="shared" si="150"/>
        <v>0</v>
      </c>
      <c r="EF167" s="52">
        <f t="shared" si="150"/>
        <v>0</v>
      </c>
      <c r="EG167" s="52">
        <f t="shared" si="151"/>
        <v>0</v>
      </c>
      <c r="EH167" s="238">
        <v>0</v>
      </c>
      <c r="EI167" s="211">
        <v>0</v>
      </c>
      <c r="EJ167" s="211">
        <v>0</v>
      </c>
      <c r="EK167" s="211">
        <v>0</v>
      </c>
      <c r="EL167" s="217">
        <f>IF(C167&gt;=Summary!$E$26,MAX(0,SUM(EH167:EK167)),0)</f>
        <v>0</v>
      </c>
      <c r="EM167" s="52">
        <f>IF(C167&gt;=Summary!$E$26,DX167*BL167,0)</f>
        <v>0</v>
      </c>
      <c r="EN167" s="52">
        <f>IF(C167&gt;=Summary!$E$26,DY167*BM167,0)</f>
        <v>0</v>
      </c>
      <c r="EO167" s="52">
        <f>IF(C167&gt;=Summary!$E$26,DZ167*BN167,0)</f>
        <v>0</v>
      </c>
      <c r="EP167" s="52">
        <f>IF(C167&gt;=Summary!$E$26,EA167*BO167,0)</f>
        <v>0</v>
      </c>
      <c r="EQ167" s="52">
        <f>IF(C167&gt;=Summary!$E$26,DX167*BL167+DY167*BM167+DZ167*BN167+EA167*BO167,0)</f>
        <v>0</v>
      </c>
      <c r="ER167" s="826">
        <v>0</v>
      </c>
      <c r="ES167" s="278">
        <v>0</v>
      </c>
      <c r="ET167" s="278">
        <v>0</v>
      </c>
      <c r="EU167" s="278">
        <v>0</v>
      </c>
      <c r="EV167" s="212">
        <f>IF(C167&gt;=Summary!$E$26,MAX(0,SUM(ER167:EU167)),0)</f>
        <v>0</v>
      </c>
      <c r="EW167" s="52"/>
      <c r="EX167" s="1049">
        <f t="shared" si="152"/>
        <v>0</v>
      </c>
      <c r="EY167" s="1045" t="str">
        <f t="shared" si="153"/>
        <v/>
      </c>
      <c r="EZ167" s="1684" t="s">
        <v>525</v>
      </c>
      <c r="FA167" s="1046">
        <f t="shared" si="166"/>
        <v>45</v>
      </c>
      <c r="FB167" s="256">
        <f t="shared" si="154"/>
        <v>11169.9</v>
      </c>
      <c r="FC167" s="194">
        <f t="shared" si="155"/>
        <v>0</v>
      </c>
      <c r="FD167" s="194">
        <f t="shared" si="156"/>
        <v>2127.6</v>
      </c>
      <c r="FE167" s="194">
        <f t="shared" si="157"/>
        <v>0</v>
      </c>
      <c r="FF167" s="194">
        <f t="shared" si="158"/>
        <v>3191.4</v>
      </c>
      <c r="FG167" s="194">
        <f t="shared" si="159"/>
        <v>0</v>
      </c>
      <c r="FH167" s="257">
        <f>IF(EZ167="No",IF((OR(MONTH(C167)=5,MONTH(C167)=6,MONTH(C167)=7,MONTH(C167)=8,MONTH(C167)=9)),Summary!$O$15*12*(AX167+AY167+AZ167+BA167)*(1-$BC167),Summary!$O$15*13*(AX167+AY167+AZ167+BA167)*(1-$BC167)+IF(Summary!$O$16="Yes",(CALC!FA167+Summary!$O$15)*6*(AX167+AY167+AZ167+BA167)*(1-$BC167),0)),0)</f>
        <v>0</v>
      </c>
      <c r="FI167" s="1412">
        <f>IF(MONTH(C167)=5,FI166*(IF(Summary!$E$70="no",(1+(Summary!$E$71*0.8)),1+HLOOKUP(YEAR(C167)-1,CCFMODEL!$I$127:$AF$128,2)*0.8)),+FI166)</f>
        <v>36.209548345147553</v>
      </c>
      <c r="FJ167" s="1411">
        <f>IF(MONTH(C167)=5,FJ166*(IF(Summary!$E$70="no",(1+(Summary!$E$71*0.8)),1+HLOOKUP(YEAR(CALC!C167)-1,CCFMODEL!$I$127:$AF$128,2)*0.8)),FJ166)</f>
        <v>31.64771548276676</v>
      </c>
      <c r="FK167" s="832">
        <f t="shared" si="127"/>
        <v>597055.62170830357</v>
      </c>
      <c r="FL167" s="1412">
        <f>IF(MONTH(C167)=5,FL166*(IF(Summary!$E$70="no",(1+(Summary!$E$71*0.8)),1+HLOOKUP(YEAR(CALC!C167)-1,CCFMODEL!$I$127:$AF$128,2)*0.8)),+FL166)</f>
        <v>76.152739658017452</v>
      </c>
      <c r="FM167" s="1411">
        <f>IF(MONTH(C167)=5,FM166*(IF(Summary!$E$70="no",(1+(Summary!$E$71*0.8)),1+HLOOKUP(YEAR(CALC!C167)-1,CCFMODEL!$I$127:$AF$128,2)*0.8)),+FM166)</f>
        <v>36.345317180337453</v>
      </c>
      <c r="FN167" s="832">
        <f t="shared" si="128"/>
        <v>1274796.8618752121</v>
      </c>
      <c r="FO167" s="194">
        <f t="shared" si="160"/>
        <v>1871852.4835835155</v>
      </c>
      <c r="FP167" s="263">
        <f t="shared" si="125"/>
        <v>11169.9</v>
      </c>
      <c r="FQ167" s="194">
        <f t="shared" si="125"/>
        <v>0</v>
      </c>
      <c r="FR167" s="194">
        <f t="shared" si="125"/>
        <v>2127.6</v>
      </c>
      <c r="FS167" s="194">
        <f t="shared" si="125"/>
        <v>0</v>
      </c>
      <c r="FT167" s="194">
        <f t="shared" si="125"/>
        <v>3191.4</v>
      </c>
      <c r="FU167" s="194">
        <f t="shared" si="125"/>
        <v>0</v>
      </c>
      <c r="FV167" s="257">
        <f t="shared" si="124"/>
        <v>0</v>
      </c>
      <c r="FW167" s="189">
        <f t="shared" si="129"/>
        <v>0</v>
      </c>
      <c r="FX167" s="189">
        <f t="shared" si="130"/>
        <v>0</v>
      </c>
      <c r="FY167" s="189">
        <f t="shared" si="131"/>
        <v>0</v>
      </c>
      <c r="FZ167" s="258">
        <f t="shared" si="132"/>
        <v>0</v>
      </c>
      <c r="GA167" s="1294">
        <f>(SUM(FP167:FV167)+SUM(GU167:HB167)/(1-Summary!$O$25))*CY167/1000</f>
        <v>203849.45202147841</v>
      </c>
      <c r="GB167" s="1369">
        <f>IF($C167&lt;Summary!$M$81,+Summary!$O$81,VLOOKUP(C167,GasTable,19))</f>
        <v>3.2311623025261587</v>
      </c>
      <c r="GC167" s="1370">
        <f>IF(H167&lt;=Summary!$N$84,MIN(GA167,Summary!$O$75*(H167-G167+1)),0)</f>
        <v>0</v>
      </c>
      <c r="GD167" s="1371">
        <f>IF(C167&lt;Summary!$N$84,IF(Summary!$O$75*(H167-G167+1)*0.8&gt;GC167,1,0),0)</f>
        <v>0</v>
      </c>
      <c r="GE167" s="1372">
        <v>0</v>
      </c>
      <c r="GF167" s="1370">
        <f t="shared" si="161"/>
        <v>203849.45202147841</v>
      </c>
      <c r="GG167" s="1371">
        <f>GF167*(IF(Summary!$O$74=1,VLOOKUP($C167,GasTable,16)+Summary!$O$92+Summary!$O$93,VLOOKUP($C167,GasTable,19)+Summary!$O$92+Summary!$O$93))</f>
        <v>669291.22121273493</v>
      </c>
      <c r="GH167" s="1373">
        <v>5008.3015689155463</v>
      </c>
      <c r="GI167" s="1466">
        <v>0</v>
      </c>
      <c r="GJ167" s="1374">
        <f t="shared" si="162"/>
        <v>674299.52278165054</v>
      </c>
      <c r="GK167" s="189">
        <f t="shared" si="133"/>
        <v>26035.973100000003</v>
      </c>
      <c r="GL167" s="266">
        <v>0.51769346672000005</v>
      </c>
      <c r="GM167" s="255">
        <f t="shared" si="134"/>
        <v>0</v>
      </c>
      <c r="GN167" s="189">
        <f>IF(SUM(GU167:HB167)=0,0,IF(Summary!$O$16="Yes",SUM(GX167:HB167),IF(Summary!$O$17="Yes",SUM(GY167:HB167),SUM(GU167:HB167))))</f>
        <v>9547.0730999999996</v>
      </c>
      <c r="GO167" s="203">
        <v>3.3926344547986877</v>
      </c>
      <c r="GP167" s="258">
        <f t="shared" si="163"/>
        <v>32389.729141541717</v>
      </c>
      <c r="GQ167" s="189"/>
      <c r="GR167" s="189"/>
      <c r="GS167" s="189"/>
      <c r="GT167" s="189"/>
      <c r="GU167" s="268">
        <v>3592.9845000000009</v>
      </c>
      <c r="GV167" s="189">
        <v>684.37800000000027</v>
      </c>
      <c r="GW167" s="189">
        <v>1026.5669999999998</v>
      </c>
      <c r="GX167" s="189"/>
      <c r="GY167" s="254">
        <v>2874.3875999999996</v>
      </c>
      <c r="GZ167" s="189">
        <v>547.50239999999997</v>
      </c>
      <c r="HA167" s="189">
        <v>821.25359999999989</v>
      </c>
      <c r="HB167" s="255"/>
      <c r="HC167" s="189">
        <v>9547.0730999999996</v>
      </c>
      <c r="HD167" s="189"/>
      <c r="HE167" s="189">
        <v>22276.5039</v>
      </c>
      <c r="HF167" s="189">
        <v>488454.57663511619</v>
      </c>
      <c r="HG167" s="189"/>
      <c r="HH167" s="203">
        <v>54.18007745568503</v>
      </c>
      <c r="HI167" s="189">
        <v>1206942.7067438697</v>
      </c>
      <c r="HJ167" s="268">
        <f t="shared" si="135"/>
        <v>0</v>
      </c>
      <c r="HK167" s="189">
        <f t="shared" si="136"/>
        <v>0</v>
      </c>
      <c r="HL167" s="189">
        <f t="shared" si="137"/>
        <v>0</v>
      </c>
      <c r="HM167" s="255">
        <f t="shared" si="138"/>
        <v>0</v>
      </c>
      <c r="HN167" s="189">
        <f t="shared" si="139"/>
        <v>0</v>
      </c>
      <c r="HO167" s="203">
        <f t="shared" si="164"/>
        <v>0</v>
      </c>
      <c r="HP167" s="258">
        <f t="shared" si="140"/>
        <v>0</v>
      </c>
      <c r="HQ167" s="203"/>
      <c r="HR167" s="268"/>
      <c r="HS167" s="38"/>
      <c r="HT167" s="255"/>
      <c r="HU167" s="254"/>
      <c r="HV167" s="203"/>
      <c r="HW167" s="189"/>
      <c r="HX167" s="1020"/>
      <c r="HY167" s="258"/>
      <c r="HZ167" s="268"/>
      <c r="IA167" s="203"/>
      <c r="IB167" s="255"/>
      <c r="IC167" s="254"/>
      <c r="ID167" s="203"/>
      <c r="IE167" s="255"/>
      <c r="IF167" s="189"/>
      <c r="IG167" s="203"/>
      <c r="IH167" s="255"/>
      <c r="II167" s="189"/>
      <c r="IJ167" s="203"/>
      <c r="IK167" s="189"/>
      <c r="IL167" s="1182"/>
      <c r="IM167" s="1403"/>
      <c r="IN167" s="254"/>
      <c r="IO167" s="254"/>
      <c r="IP167" s="254"/>
      <c r="IQ167" s="254"/>
      <c r="IR167" s="223"/>
    </row>
    <row r="168" spans="1:252" ht="13.8" thickBot="1">
      <c r="A168" t="str">
        <f t="shared" si="141"/>
        <v>2012Q3</v>
      </c>
      <c r="B168">
        <f t="shared" si="142"/>
        <v>2012</v>
      </c>
      <c r="C168" s="49">
        <f t="shared" si="143"/>
        <v>41122</v>
      </c>
      <c r="D168" s="115">
        <f t="shared" si="144"/>
        <v>2012</v>
      </c>
      <c r="E168" s="10">
        <f t="shared" si="167"/>
        <v>8</v>
      </c>
      <c r="F168" s="248" t="str">
        <f t="shared" si="168"/>
        <v/>
      </c>
      <c r="G168" s="245">
        <v>41122</v>
      </c>
      <c r="H168" s="251">
        <v>41152</v>
      </c>
      <c r="I168" s="959">
        <f t="shared" si="165"/>
        <v>7.1499999999999994E-2</v>
      </c>
      <c r="J168" s="37">
        <f t="shared" si="145"/>
        <v>0.40784258423605091</v>
      </c>
      <c r="K168" s="1036"/>
      <c r="L168" s="37"/>
      <c r="M168" s="1004">
        <v>0</v>
      </c>
      <c r="N168" s="38">
        <f t="shared" si="170"/>
        <v>0</v>
      </c>
      <c r="O168" s="40">
        <f t="shared" si="170"/>
        <v>0</v>
      </c>
      <c r="P168" s="159">
        <f t="shared" si="172"/>
        <v>0</v>
      </c>
      <c r="Q168" s="38">
        <f t="shared" si="173"/>
        <v>0</v>
      </c>
      <c r="R168" s="40">
        <f t="shared" si="173"/>
        <v>0</v>
      </c>
      <c r="S168" s="38">
        <f t="shared" si="173"/>
        <v>0</v>
      </c>
      <c r="T168" s="38">
        <f t="shared" si="173"/>
        <v>0</v>
      </c>
      <c r="U168" s="38">
        <f t="shared" si="173"/>
        <v>0</v>
      </c>
      <c r="V168" s="159">
        <f t="shared" si="173"/>
        <v>0</v>
      </c>
      <c r="W168" s="38">
        <f t="shared" si="173"/>
        <v>0</v>
      </c>
      <c r="X168" s="39">
        <f t="shared" si="173"/>
        <v>0</v>
      </c>
      <c r="Y168" s="46">
        <v>0</v>
      </c>
      <c r="Z168" s="46">
        <v>0</v>
      </c>
      <c r="AA168" s="47">
        <v>0</v>
      </c>
      <c r="AB168" s="46">
        <v>0</v>
      </c>
      <c r="AC168" s="46">
        <v>0</v>
      </c>
      <c r="AD168" s="47">
        <v>0</v>
      </c>
      <c r="AE168" s="46">
        <v>0</v>
      </c>
      <c r="AF168" s="46">
        <v>0</v>
      </c>
      <c r="AG168" s="47">
        <v>0</v>
      </c>
      <c r="AH168" s="46">
        <v>0</v>
      </c>
      <c r="AI168" s="46">
        <v>0</v>
      </c>
      <c r="AJ168" s="47">
        <v>0</v>
      </c>
      <c r="AK168" s="46">
        <v>0</v>
      </c>
      <c r="AL168" s="46">
        <v>0</v>
      </c>
      <c r="AM168" s="47">
        <v>0</v>
      </c>
      <c r="AN168" s="46">
        <v>0</v>
      </c>
      <c r="AO168" s="46">
        <v>0</v>
      </c>
      <c r="AP168" s="47">
        <v>0</v>
      </c>
      <c r="AQ168" s="46">
        <v>0</v>
      </c>
      <c r="AR168" s="46">
        <v>0</v>
      </c>
      <c r="AS168" s="47">
        <v>0</v>
      </c>
      <c r="AT168" s="46">
        <v>0</v>
      </c>
      <c r="AU168" s="46">
        <v>0</v>
      </c>
      <c r="AV168" s="46">
        <v>0</v>
      </c>
      <c r="AW168" s="1545">
        <v>0</v>
      </c>
      <c r="AX168" s="10">
        <f t="shared" si="169"/>
        <v>23</v>
      </c>
      <c r="AY168" s="42">
        <f>IF(AND($E168=MONTH(Summary!$E$24),$D168=YEAR(Summary!$E$24)),Summary!$E$25,1)*IF(G168="",0,INT((H168-MOD(H168,7)-G168)/7)+1-IF(BA168,IF(WEEKDAY(F168)=7,1,0),0))</f>
        <v>4</v>
      </c>
      <c r="AZ168" s="42">
        <f>IF(AND($E168=MONTH(Summary!$E$24),$D168=YEAR(Summary!$E$24)),Summary!$E$25,1)*IF(G168="",0,INT((H168-MOD(H168-1,7)-G168)/7)+1-IF(BA168,IF(WEEKDAY(F168)=1,1,0),0))</f>
        <v>4</v>
      </c>
      <c r="BA168" s="42">
        <v>0</v>
      </c>
      <c r="BB168" s="10">
        <f>IF(AND($E168=MONTH(Summary!$E$24),$D168=YEAR(Summary!$E$24)),Summary!$E$25,1)*IF(G168="",0,H168-G168+1)</f>
        <v>31</v>
      </c>
      <c r="BC168" s="914">
        <f>Summary!$E$19</f>
        <v>1.4999999999999999E-2</v>
      </c>
      <c r="BD168" s="113">
        <v>16311.6</v>
      </c>
      <c r="BE168" s="171">
        <v>2836.8</v>
      </c>
      <c r="BF168" s="171">
        <v>2836.8</v>
      </c>
      <c r="BG168" s="174"/>
      <c r="BH168" s="1198">
        <v>1</v>
      </c>
      <c r="BI168" s="1198">
        <v>1</v>
      </c>
      <c r="BJ168" s="1198">
        <v>1</v>
      </c>
      <c r="BK168" s="1198">
        <v>1</v>
      </c>
      <c r="BL168" s="95">
        <v>3262.32</v>
      </c>
      <c r="BM168" s="171">
        <v>567.36</v>
      </c>
      <c r="BN168" s="171">
        <v>567.36</v>
      </c>
      <c r="BO168" s="174"/>
      <c r="BP168" s="1198">
        <v>1</v>
      </c>
      <c r="BQ168" s="1199">
        <v>1</v>
      </c>
      <c r="BR168" s="1199">
        <v>1</v>
      </c>
      <c r="BS168" s="1200">
        <v>1</v>
      </c>
      <c r="BT168" s="94">
        <f t="shared" si="146"/>
        <v>21985.200000000001</v>
      </c>
      <c r="BU168" s="233">
        <f t="shared" si="147"/>
        <v>21985.200000000001</v>
      </c>
      <c r="BV168" s="92">
        <f t="shared" si="148"/>
        <v>4397.04</v>
      </c>
      <c r="BW168" s="233">
        <f t="shared" si="149"/>
        <v>4397.04</v>
      </c>
      <c r="BX168" s="88">
        <v>12.629705681040383</v>
      </c>
      <c r="BY168" s="90">
        <v>0</v>
      </c>
      <c r="BZ168" s="88">
        <v>0</v>
      </c>
      <c r="CA168" s="88">
        <v>0</v>
      </c>
      <c r="CB168" s="88">
        <v>0</v>
      </c>
      <c r="CC168" s="88">
        <v>0</v>
      </c>
      <c r="CD168" s="88">
        <v>0</v>
      </c>
      <c r="CE168" s="100">
        <v>0</v>
      </c>
      <c r="CF168" s="88">
        <v>0</v>
      </c>
      <c r="CG168" s="88">
        <v>0</v>
      </c>
      <c r="CH168" s="88">
        <v>0</v>
      </c>
      <c r="CI168" s="88">
        <v>0</v>
      </c>
      <c r="CJ168" s="228">
        <v>0</v>
      </c>
      <c r="CK168" s="88">
        <v>0</v>
      </c>
      <c r="CL168" s="88">
        <v>0</v>
      </c>
      <c r="CM168" s="88">
        <v>0</v>
      </c>
      <c r="CN168" s="88">
        <v>0</v>
      </c>
      <c r="CO168" s="88">
        <v>0</v>
      </c>
      <c r="CP168" s="88">
        <v>0</v>
      </c>
      <c r="CQ168" s="229">
        <v>0</v>
      </c>
      <c r="CR168" s="91">
        <v>0</v>
      </c>
      <c r="CS168" s="91">
        <v>0</v>
      </c>
      <c r="CT168" s="91">
        <v>0</v>
      </c>
      <c r="CU168" s="91">
        <v>0</v>
      </c>
      <c r="CV168" s="91">
        <v>0</v>
      </c>
      <c r="CW168" s="91">
        <v>0</v>
      </c>
      <c r="CX168" s="225">
        <v>0</v>
      </c>
      <c r="CY168" s="1265">
        <v>7728.0710399999998</v>
      </c>
      <c r="CZ168" s="90">
        <v>0</v>
      </c>
      <c r="DA168" s="88">
        <v>0</v>
      </c>
      <c r="DB168" s="88">
        <v>0</v>
      </c>
      <c r="DC168" s="88">
        <v>0</v>
      </c>
      <c r="DD168" s="88">
        <v>0</v>
      </c>
      <c r="DE168" s="152">
        <v>0</v>
      </c>
      <c r="DF168" s="230">
        <v>0</v>
      </c>
      <c r="DG168" s="38">
        <v>0</v>
      </c>
      <c r="DH168" s="1237">
        <v>0</v>
      </c>
      <c r="DI168" s="956">
        <v>0</v>
      </c>
      <c r="DJ168" s="956">
        <v>0</v>
      </c>
      <c r="DK168" s="956">
        <v>0</v>
      </c>
      <c r="DL168" s="152">
        <v>0</v>
      </c>
      <c r="DM168" s="160">
        <v>0</v>
      </c>
      <c r="DN168" s="160">
        <v>0</v>
      </c>
      <c r="DO168" s="160">
        <v>0</v>
      </c>
      <c r="DP168" s="160">
        <v>0</v>
      </c>
      <c r="DQ168" s="160">
        <v>0</v>
      </c>
      <c r="DR168" s="230">
        <v>0</v>
      </c>
      <c r="DS168" s="88">
        <v>0</v>
      </c>
      <c r="DT168" s="88">
        <v>0</v>
      </c>
      <c r="DU168" s="88">
        <v>0</v>
      </c>
      <c r="DV168" s="88">
        <v>0</v>
      </c>
      <c r="DW168" s="88">
        <v>0</v>
      </c>
      <c r="DX168" s="88">
        <v>0</v>
      </c>
      <c r="DY168" s="88">
        <v>0</v>
      </c>
      <c r="DZ168" s="88">
        <v>0</v>
      </c>
      <c r="EA168" s="88">
        <v>0</v>
      </c>
      <c r="EB168" s="152">
        <v>0</v>
      </c>
      <c r="EC168" s="52">
        <f t="shared" si="150"/>
        <v>0</v>
      </c>
      <c r="ED168" s="52">
        <f t="shared" si="150"/>
        <v>0</v>
      </c>
      <c r="EE168" s="52">
        <f t="shared" si="150"/>
        <v>0</v>
      </c>
      <c r="EF168" s="52">
        <f t="shared" si="150"/>
        <v>0</v>
      </c>
      <c r="EG168" s="52">
        <f t="shared" si="151"/>
        <v>0</v>
      </c>
      <c r="EH168" s="238">
        <v>0</v>
      </c>
      <c r="EI168" s="211">
        <v>0</v>
      </c>
      <c r="EJ168" s="211">
        <v>0</v>
      </c>
      <c r="EK168" s="211">
        <v>0</v>
      </c>
      <c r="EL168" s="217">
        <f>IF(C168&gt;=Summary!$E$26,MAX(0,SUM(EH168:EK168)),0)</f>
        <v>0</v>
      </c>
      <c r="EM168" s="52">
        <f>IF(C168&gt;=Summary!$E$26,DX168*BL168,0)</f>
        <v>0</v>
      </c>
      <c r="EN168" s="52">
        <f>IF(C168&gt;=Summary!$E$26,DY168*BM168,0)</f>
        <v>0</v>
      </c>
      <c r="EO168" s="52">
        <f>IF(C168&gt;=Summary!$E$26,DZ168*BN168,0)</f>
        <v>0</v>
      </c>
      <c r="EP168" s="52">
        <f>IF(C168&gt;=Summary!$E$26,EA168*BO168,0)</f>
        <v>0</v>
      </c>
      <c r="EQ168" s="52">
        <f>IF(C168&gt;=Summary!$E$26,DX168*BL168+DY168*BM168+DZ168*BN168+EA168*BO168,0)</f>
        <v>0</v>
      </c>
      <c r="ER168" s="826">
        <v>0</v>
      </c>
      <c r="ES168" s="278">
        <v>0</v>
      </c>
      <c r="ET168" s="278">
        <v>0</v>
      </c>
      <c r="EU168" s="278">
        <v>0</v>
      </c>
      <c r="EV168" s="212">
        <f>IF(C168&gt;=Summary!$E$26,MAX(0,SUM(ER168:EU168)),0)</f>
        <v>0</v>
      </c>
      <c r="EW168" s="52"/>
      <c r="EX168" s="1049">
        <f t="shared" si="152"/>
        <v>0</v>
      </c>
      <c r="EY168" s="1045" t="str">
        <f t="shared" si="153"/>
        <v/>
      </c>
      <c r="EZ168" s="1684" t="s">
        <v>525</v>
      </c>
      <c r="FA168" s="1046">
        <f t="shared" si="166"/>
        <v>45</v>
      </c>
      <c r="FB168" s="256">
        <f t="shared" si="154"/>
        <v>12233.7</v>
      </c>
      <c r="FC168" s="194">
        <f t="shared" si="155"/>
        <v>0</v>
      </c>
      <c r="FD168" s="194">
        <f t="shared" si="156"/>
        <v>2127.6</v>
      </c>
      <c r="FE168" s="194">
        <f t="shared" si="157"/>
        <v>0</v>
      </c>
      <c r="FF168" s="194">
        <f t="shared" si="158"/>
        <v>2127.6</v>
      </c>
      <c r="FG168" s="194">
        <f t="shared" si="159"/>
        <v>0</v>
      </c>
      <c r="FH168" s="257">
        <f>IF(EZ168="No",IF((OR(MONTH(C168)=5,MONTH(C168)=6,MONTH(C168)=7,MONTH(C168)=8,MONTH(C168)=9)),Summary!$O$15*12*(AX168+AY168+AZ168+BA168)*(1-$BC168),Summary!$O$15*13*(AX168+AY168+AZ168+BA168)*(1-$BC168)+IF(Summary!$O$16="Yes",(CALC!FA168+Summary!$O$15)*6*(AX168+AY168+AZ168+BA168)*(1-$BC168),0)),0)</f>
        <v>0</v>
      </c>
      <c r="FI168" s="1412">
        <f>IF(MONTH(C168)=5,FI167*(IF(Summary!$E$70="no",(1+(Summary!$E$71*0.8)),1+HLOOKUP(YEAR(C168)-1,CCFMODEL!$I$127:$AF$128,2)*0.8)),+FI167)</f>
        <v>36.209548345147553</v>
      </c>
      <c r="FJ168" s="1411">
        <f>IF(MONTH(C168)=5,FJ167*(IF(Summary!$E$70="no",(1+(Summary!$E$71*0.8)),1+HLOOKUP(YEAR(CALC!C168)-1,CCFMODEL!$I$127:$AF$128,2)*0.8)),FJ167)</f>
        <v>31.64771548276676</v>
      </c>
      <c r="FK168" s="832">
        <f t="shared" si="127"/>
        <v>597055.62170830357</v>
      </c>
      <c r="FL168" s="1412">
        <f>IF(MONTH(C168)=5,FL167*(IF(Summary!$E$70="no",(1+(Summary!$E$71*0.8)),1+HLOOKUP(YEAR(CALC!C168)-1,CCFMODEL!$I$127:$AF$128,2)*0.8)),+FL167)</f>
        <v>76.152739658017452</v>
      </c>
      <c r="FM168" s="1411">
        <f>IF(MONTH(C168)=5,FM167*(IF(Summary!$E$70="no",(1+(Summary!$E$71*0.8)),1+HLOOKUP(YEAR(CALC!C168)-1,CCFMODEL!$I$127:$AF$128,2)*0.8)),+FM167)</f>
        <v>36.345317180337453</v>
      </c>
      <c r="FN168" s="832">
        <f t="shared" si="128"/>
        <v>1274796.8618752121</v>
      </c>
      <c r="FO168" s="194">
        <f t="shared" si="160"/>
        <v>1871852.4835835155</v>
      </c>
      <c r="FP168" s="263">
        <f t="shared" si="125"/>
        <v>12233.7</v>
      </c>
      <c r="FQ168" s="194">
        <f t="shared" si="125"/>
        <v>0</v>
      </c>
      <c r="FR168" s="194">
        <f t="shared" si="125"/>
        <v>2127.6</v>
      </c>
      <c r="FS168" s="194">
        <f t="shared" si="125"/>
        <v>0</v>
      </c>
      <c r="FT168" s="194">
        <f t="shared" si="125"/>
        <v>2127.6</v>
      </c>
      <c r="FU168" s="194">
        <f t="shared" si="125"/>
        <v>0</v>
      </c>
      <c r="FV168" s="257">
        <f t="shared" si="124"/>
        <v>0</v>
      </c>
      <c r="FW168" s="189">
        <f t="shared" si="129"/>
        <v>0</v>
      </c>
      <c r="FX168" s="189">
        <f t="shared" si="130"/>
        <v>0</v>
      </c>
      <c r="FY168" s="189">
        <f t="shared" si="131"/>
        <v>0</v>
      </c>
      <c r="FZ168" s="258">
        <f t="shared" si="132"/>
        <v>0</v>
      </c>
      <c r="GA168" s="1294">
        <f>(SUM(FP168:FV168)+SUM(GU168:HB168)/(1-Summary!$O$25))*CY168/1000</f>
        <v>203883.82491432963</v>
      </c>
      <c r="GB168" s="1369">
        <f>IF($C168&lt;Summary!$M$81,+Summary!$O$81,VLOOKUP(C168,GasTable,19))</f>
        <v>3.3530936701208174</v>
      </c>
      <c r="GC168" s="1370">
        <f>IF(H168&lt;=Summary!$N$84,MIN(GA168,Summary!$O$75*(H168-G168+1)),0)</f>
        <v>0</v>
      </c>
      <c r="GD168" s="1371">
        <f>IF(C168&lt;Summary!$N$84,IF(Summary!$O$75*(H168-G168+1)*0.8&gt;GC168,1,0),0)</f>
        <v>0</v>
      </c>
      <c r="GE168" s="1372">
        <v>0</v>
      </c>
      <c r="GF168" s="1370">
        <f t="shared" si="161"/>
        <v>203883.82491432963</v>
      </c>
      <c r="GG168" s="1371">
        <f>GF168*(IF(Summary!$O$74=1,VLOOKUP($C168,GasTable,16)+Summary!$O$92+Summary!$O$93,VLOOKUP($C168,GasTable,19)+Summary!$O$92+Summary!$O$93))</f>
        <v>694263.91003829625</v>
      </c>
      <c r="GH168" s="1373">
        <v>5197.295188687267</v>
      </c>
      <c r="GI168" s="1466">
        <v>0</v>
      </c>
      <c r="GJ168" s="1374">
        <f t="shared" si="162"/>
        <v>699461.20522698353</v>
      </c>
      <c r="GK168" s="189">
        <f t="shared" si="133"/>
        <v>26035.973100000007</v>
      </c>
      <c r="GL168" s="266">
        <v>0.51778075968000004</v>
      </c>
      <c r="GM168" s="255">
        <f t="shared" si="134"/>
        <v>0</v>
      </c>
      <c r="GN168" s="189">
        <f>IF(SUM(GU168:HB168)=0,0,IF(Summary!$O$16="Yes",SUM(GX168:HB168),IF(Summary!$O$17="Yes",SUM(GY168:HB168),SUM(GU168:HB168))))</f>
        <v>9547.0730999999996</v>
      </c>
      <c r="GO168" s="203">
        <v>3.3926344547986877</v>
      </c>
      <c r="GP168" s="258">
        <f t="shared" si="163"/>
        <v>32389.729141541717</v>
      </c>
      <c r="GQ168" s="189"/>
      <c r="GR168" s="189"/>
      <c r="GS168" s="189"/>
      <c r="GT168" s="189"/>
      <c r="GU168" s="268">
        <v>3935.1734999999994</v>
      </c>
      <c r="GV168" s="189">
        <v>684.37800000000027</v>
      </c>
      <c r="GW168" s="189">
        <v>684.37800000000027</v>
      </c>
      <c r="GX168" s="189"/>
      <c r="GY168" s="254">
        <v>3148.1388000000002</v>
      </c>
      <c r="GZ168" s="189">
        <v>547.50239999999997</v>
      </c>
      <c r="HA168" s="189">
        <v>547.50239999999997</v>
      </c>
      <c r="HB168" s="255"/>
      <c r="HC168" s="189">
        <v>9547.0730999999996</v>
      </c>
      <c r="HD168" s="189"/>
      <c r="HE168" s="189">
        <v>22276.5039</v>
      </c>
      <c r="HF168" s="189">
        <v>618741.74072136451</v>
      </c>
      <c r="HG168" s="189"/>
      <c r="HH168" s="203">
        <v>68.238225317523018</v>
      </c>
      <c r="HI168" s="189">
        <v>1520109.0924148802</v>
      </c>
      <c r="HJ168" s="268">
        <f t="shared" si="135"/>
        <v>0</v>
      </c>
      <c r="HK168" s="189">
        <f t="shared" si="136"/>
        <v>0</v>
      </c>
      <c r="HL168" s="189">
        <f t="shared" si="137"/>
        <v>0</v>
      </c>
      <c r="HM168" s="255">
        <f t="shared" si="138"/>
        <v>0</v>
      </c>
      <c r="HN168" s="189">
        <f t="shared" si="139"/>
        <v>0</v>
      </c>
      <c r="HO168" s="203">
        <f t="shared" si="164"/>
        <v>0</v>
      </c>
      <c r="HP168" s="258">
        <f t="shared" si="140"/>
        <v>0</v>
      </c>
      <c r="HQ168" s="203"/>
      <c r="HR168" s="268"/>
      <c r="HS168" s="38"/>
      <c r="HT168" s="255"/>
      <c r="HU168" s="254"/>
      <c r="HV168" s="203"/>
      <c r="HW168" s="189"/>
      <c r="HX168" s="1020"/>
      <c r="HY168" s="258"/>
      <c r="HZ168" s="268"/>
      <c r="IA168" s="203"/>
      <c r="IB168" s="255"/>
      <c r="IC168" s="254"/>
      <c r="ID168" s="203"/>
      <c r="IE168" s="255"/>
      <c r="IF168" s="189"/>
      <c r="IG168" s="203"/>
      <c r="IH168" s="255"/>
      <c r="II168" s="189"/>
      <c r="IJ168" s="203"/>
      <c r="IK168" s="189"/>
      <c r="IL168" s="1182"/>
      <c r="IM168" s="1403"/>
      <c r="IN168" s="254"/>
      <c r="IO168" s="254"/>
      <c r="IP168" s="254"/>
      <c r="IQ168" s="254"/>
      <c r="IR168" s="223"/>
    </row>
    <row r="169" spans="1:252" ht="13.8" thickBot="1">
      <c r="A169" t="str">
        <f t="shared" si="141"/>
        <v>2012Q3</v>
      </c>
      <c r="B169">
        <f t="shared" si="142"/>
        <v>2012</v>
      </c>
      <c r="C169" s="49">
        <f t="shared" si="143"/>
        <v>41153</v>
      </c>
      <c r="D169" s="115">
        <f t="shared" si="144"/>
        <v>2012</v>
      </c>
      <c r="E169" s="10">
        <f t="shared" si="167"/>
        <v>9</v>
      </c>
      <c r="F169" s="248">
        <f t="shared" si="168"/>
        <v>41155</v>
      </c>
      <c r="G169" s="245">
        <v>41153</v>
      </c>
      <c r="H169" s="251">
        <v>41182</v>
      </c>
      <c r="I169" s="959">
        <f t="shared" si="165"/>
        <v>7.1499999999999994E-2</v>
      </c>
      <c r="J169" s="37">
        <f t="shared" si="145"/>
        <v>0.40549604687024438</v>
      </c>
      <c r="K169" s="1036"/>
      <c r="L169" s="37"/>
      <c r="M169" s="1004">
        <v>0</v>
      </c>
      <c r="N169" s="38">
        <f t="shared" ref="N169:O188" si="174">M169</f>
        <v>0</v>
      </c>
      <c r="O169" s="40">
        <f t="shared" si="174"/>
        <v>0</v>
      </c>
      <c r="P169" s="159">
        <f t="shared" si="172"/>
        <v>0</v>
      </c>
      <c r="Q169" s="38">
        <f t="shared" ref="Q169:X178" si="175">P169</f>
        <v>0</v>
      </c>
      <c r="R169" s="40">
        <f t="shared" si="175"/>
        <v>0</v>
      </c>
      <c r="S169" s="38">
        <f t="shared" si="175"/>
        <v>0</v>
      </c>
      <c r="T169" s="38">
        <f t="shared" si="175"/>
        <v>0</v>
      </c>
      <c r="U169" s="38">
        <f t="shared" si="175"/>
        <v>0</v>
      </c>
      <c r="V169" s="159">
        <f t="shared" si="175"/>
        <v>0</v>
      </c>
      <c r="W169" s="38">
        <f t="shared" si="175"/>
        <v>0</v>
      </c>
      <c r="X169" s="39">
        <f t="shared" si="175"/>
        <v>0</v>
      </c>
      <c r="Y169" s="46">
        <v>0</v>
      </c>
      <c r="Z169" s="46">
        <v>0</v>
      </c>
      <c r="AA169" s="47">
        <v>0</v>
      </c>
      <c r="AB169" s="46">
        <v>0</v>
      </c>
      <c r="AC169" s="46">
        <v>0</v>
      </c>
      <c r="AD169" s="47">
        <v>0</v>
      </c>
      <c r="AE169" s="46">
        <v>0</v>
      </c>
      <c r="AF169" s="46">
        <v>0</v>
      </c>
      <c r="AG169" s="47">
        <v>0</v>
      </c>
      <c r="AH169" s="46">
        <v>0</v>
      </c>
      <c r="AI169" s="46">
        <v>0</v>
      </c>
      <c r="AJ169" s="47">
        <v>0</v>
      </c>
      <c r="AK169" s="46">
        <v>0</v>
      </c>
      <c r="AL169" s="46">
        <v>0</v>
      </c>
      <c r="AM169" s="47">
        <v>0</v>
      </c>
      <c r="AN169" s="46">
        <v>0</v>
      </c>
      <c r="AO169" s="46">
        <v>0</v>
      </c>
      <c r="AP169" s="47">
        <v>0</v>
      </c>
      <c r="AQ169" s="46">
        <v>0</v>
      </c>
      <c r="AR169" s="46">
        <v>0</v>
      </c>
      <c r="AS169" s="47">
        <v>0</v>
      </c>
      <c r="AT169" s="46">
        <v>0</v>
      </c>
      <c r="AU169" s="46">
        <v>0</v>
      </c>
      <c r="AV169" s="46">
        <v>0</v>
      </c>
      <c r="AW169" s="1545">
        <v>0</v>
      </c>
      <c r="AX169" s="10">
        <f t="shared" si="169"/>
        <v>19</v>
      </c>
      <c r="AY169" s="42">
        <f>IF(AND($E169=MONTH(Summary!$E$24),$D169=YEAR(Summary!$E$24)),Summary!$E$25,1)*IF(G169="",0,INT((H169-MOD(H169,7)-G169)/7)+1-IF(BA169,IF(WEEKDAY(F169)=7,1,0),0))</f>
        <v>5</v>
      </c>
      <c r="AZ169" s="42">
        <f>IF(AND($E169=MONTH(Summary!$E$24),$D169=YEAR(Summary!$E$24)),Summary!$E$25,1)*IF(G169="",0,INT((H169-MOD(H169-1,7)-G169)/7)+1-IF(BA169,IF(WEEKDAY(F169)=1,1,0),0))</f>
        <v>5</v>
      </c>
      <c r="BA169" s="42">
        <v>1</v>
      </c>
      <c r="BB169" s="10">
        <f>IF(AND($E169=MONTH(Summary!$E$24),$D169=YEAR(Summary!$E$24)),Summary!$E$25,1)*IF(G169="",0,H169-G169+1)</f>
        <v>30</v>
      </c>
      <c r="BC169" s="914">
        <f>Summary!$E$19</f>
        <v>1.4999999999999999E-2</v>
      </c>
      <c r="BD169" s="113">
        <v>13474.8</v>
      </c>
      <c r="BE169" s="171">
        <v>3546</v>
      </c>
      <c r="BF169" s="171">
        <v>4255.2</v>
      </c>
      <c r="BG169" s="174"/>
      <c r="BH169" s="1198">
        <v>1</v>
      </c>
      <c r="BI169" s="1198">
        <v>1</v>
      </c>
      <c r="BJ169" s="1198">
        <v>1</v>
      </c>
      <c r="BK169" s="1198">
        <v>1</v>
      </c>
      <c r="BL169" s="95">
        <v>2694.96</v>
      </c>
      <c r="BM169" s="171">
        <v>709.2</v>
      </c>
      <c r="BN169" s="171">
        <v>851.04</v>
      </c>
      <c r="BO169" s="174"/>
      <c r="BP169" s="1198">
        <v>1</v>
      </c>
      <c r="BQ169" s="1199">
        <v>1</v>
      </c>
      <c r="BR169" s="1199">
        <v>1</v>
      </c>
      <c r="BS169" s="1200">
        <v>1</v>
      </c>
      <c r="BT169" s="94">
        <f t="shared" si="146"/>
        <v>21276</v>
      </c>
      <c r="BU169" s="233">
        <f t="shared" si="147"/>
        <v>21276</v>
      </c>
      <c r="BV169" s="92">
        <f t="shared" si="148"/>
        <v>4255.2</v>
      </c>
      <c r="BW169" s="233">
        <f t="shared" si="149"/>
        <v>4255.2</v>
      </c>
      <c r="BX169" s="88">
        <v>12.714579055441478</v>
      </c>
      <c r="BY169" s="90">
        <v>0</v>
      </c>
      <c r="BZ169" s="88">
        <v>0</v>
      </c>
      <c r="CA169" s="88">
        <v>0</v>
      </c>
      <c r="CB169" s="88">
        <v>0</v>
      </c>
      <c r="CC169" s="88">
        <v>0</v>
      </c>
      <c r="CD169" s="88">
        <v>0</v>
      </c>
      <c r="CE169" s="100">
        <v>0</v>
      </c>
      <c r="CF169" s="88">
        <v>0</v>
      </c>
      <c r="CG169" s="88">
        <v>0</v>
      </c>
      <c r="CH169" s="88">
        <v>0</v>
      </c>
      <c r="CI169" s="88">
        <v>0</v>
      </c>
      <c r="CJ169" s="228">
        <v>0</v>
      </c>
      <c r="CK169" s="88">
        <v>0</v>
      </c>
      <c r="CL169" s="88">
        <v>0</v>
      </c>
      <c r="CM169" s="88">
        <v>0</v>
      </c>
      <c r="CN169" s="88">
        <v>0</v>
      </c>
      <c r="CO169" s="88">
        <v>0</v>
      </c>
      <c r="CP169" s="88">
        <v>0</v>
      </c>
      <c r="CQ169" s="229">
        <v>0</v>
      </c>
      <c r="CR169" s="91">
        <v>0</v>
      </c>
      <c r="CS169" s="91">
        <v>0</v>
      </c>
      <c r="CT169" s="91">
        <v>0</v>
      </c>
      <c r="CU169" s="91">
        <v>0</v>
      </c>
      <c r="CV169" s="91">
        <v>0</v>
      </c>
      <c r="CW169" s="91">
        <v>0</v>
      </c>
      <c r="CX169" s="225">
        <v>0</v>
      </c>
      <c r="CY169" s="1265">
        <v>7729.3739199999991</v>
      </c>
      <c r="CZ169" s="90">
        <v>0</v>
      </c>
      <c r="DA169" s="88">
        <v>0</v>
      </c>
      <c r="DB169" s="88">
        <v>0</v>
      </c>
      <c r="DC169" s="88">
        <v>0</v>
      </c>
      <c r="DD169" s="88">
        <v>0</v>
      </c>
      <c r="DE169" s="152">
        <v>0</v>
      </c>
      <c r="DF169" s="230">
        <v>0</v>
      </c>
      <c r="DG169" s="38">
        <v>0</v>
      </c>
      <c r="DH169" s="1237">
        <v>0</v>
      </c>
      <c r="DI169" s="956">
        <v>0</v>
      </c>
      <c r="DJ169" s="956">
        <v>0</v>
      </c>
      <c r="DK169" s="956">
        <v>0</v>
      </c>
      <c r="DL169" s="152">
        <v>0</v>
      </c>
      <c r="DM169" s="160">
        <v>0</v>
      </c>
      <c r="DN169" s="160">
        <v>0</v>
      </c>
      <c r="DO169" s="160">
        <v>0</v>
      </c>
      <c r="DP169" s="160">
        <v>0</v>
      </c>
      <c r="DQ169" s="160">
        <v>0</v>
      </c>
      <c r="DR169" s="230">
        <v>0</v>
      </c>
      <c r="DS169" s="88">
        <v>0</v>
      </c>
      <c r="DT169" s="88">
        <v>0</v>
      </c>
      <c r="DU169" s="88">
        <v>0</v>
      </c>
      <c r="DV169" s="88">
        <v>0</v>
      </c>
      <c r="DW169" s="88">
        <v>0</v>
      </c>
      <c r="DX169" s="88">
        <v>0</v>
      </c>
      <c r="DY169" s="88">
        <v>0</v>
      </c>
      <c r="DZ169" s="88">
        <v>0</v>
      </c>
      <c r="EA169" s="88">
        <v>0</v>
      </c>
      <c r="EB169" s="152">
        <v>0</v>
      </c>
      <c r="EC169" s="52">
        <f t="shared" si="150"/>
        <v>0</v>
      </c>
      <c r="ED169" s="52">
        <f t="shared" si="150"/>
        <v>0</v>
      </c>
      <c r="EE169" s="52">
        <f t="shared" si="150"/>
        <v>0</v>
      </c>
      <c r="EF169" s="52">
        <f t="shared" si="150"/>
        <v>0</v>
      </c>
      <c r="EG169" s="52">
        <f t="shared" si="151"/>
        <v>0</v>
      </c>
      <c r="EH169" s="238">
        <v>0</v>
      </c>
      <c r="EI169" s="211">
        <v>0</v>
      </c>
      <c r="EJ169" s="211">
        <v>0</v>
      </c>
      <c r="EK169" s="211">
        <v>0</v>
      </c>
      <c r="EL169" s="217">
        <f>IF(C169&gt;=Summary!$E$26,MAX(0,SUM(EH169:EK169)),0)</f>
        <v>0</v>
      </c>
      <c r="EM169" s="52">
        <f>IF(C169&gt;=Summary!$E$26,DX169*BL169,0)</f>
        <v>0</v>
      </c>
      <c r="EN169" s="52">
        <f>IF(C169&gt;=Summary!$E$26,DY169*BM169,0)</f>
        <v>0</v>
      </c>
      <c r="EO169" s="52">
        <f>IF(C169&gt;=Summary!$E$26,DZ169*BN169,0)</f>
        <v>0</v>
      </c>
      <c r="EP169" s="52">
        <f>IF(C169&gt;=Summary!$E$26,EA169*BO169,0)</f>
        <v>0</v>
      </c>
      <c r="EQ169" s="52">
        <f>IF(C169&gt;=Summary!$E$26,DX169*BL169+DY169*BM169+DZ169*BN169+EA169*BO169,0)</f>
        <v>0</v>
      </c>
      <c r="ER169" s="826">
        <v>0</v>
      </c>
      <c r="ES169" s="278">
        <v>0</v>
      </c>
      <c r="ET169" s="278">
        <v>0</v>
      </c>
      <c r="EU169" s="278">
        <v>0</v>
      </c>
      <c r="EV169" s="212">
        <f>IF(C169&gt;=Summary!$E$26,MAX(0,SUM(ER169:EU169)),0)</f>
        <v>0</v>
      </c>
      <c r="EW169" s="52"/>
      <c r="EX169" s="1049">
        <f t="shared" si="152"/>
        <v>0</v>
      </c>
      <c r="EY169" s="1045" t="str">
        <f t="shared" si="153"/>
        <v/>
      </c>
      <c r="EZ169" s="1684" t="s">
        <v>525</v>
      </c>
      <c r="FA169" s="1046">
        <f t="shared" si="166"/>
        <v>45</v>
      </c>
      <c r="FB169" s="256">
        <f t="shared" si="154"/>
        <v>10106.1</v>
      </c>
      <c r="FC169" s="194">
        <f t="shared" si="155"/>
        <v>0</v>
      </c>
      <c r="FD169" s="194">
        <f t="shared" si="156"/>
        <v>2659.5</v>
      </c>
      <c r="FE169" s="194">
        <f t="shared" si="157"/>
        <v>0</v>
      </c>
      <c r="FF169" s="194">
        <f t="shared" si="158"/>
        <v>3191.4</v>
      </c>
      <c r="FG169" s="194">
        <f t="shared" si="159"/>
        <v>0</v>
      </c>
      <c r="FH169" s="257">
        <f>IF(EZ169="No",IF((OR(MONTH(C169)=5,MONTH(C169)=6,MONTH(C169)=7,MONTH(C169)=8,MONTH(C169)=9)),Summary!$O$15*12*(AX169+AY169+AZ169+BA169)*(1-$BC169),Summary!$O$15*13*(AX169+AY169+AZ169+BA169)*(1-$BC169)+IF(Summary!$O$16="Yes",(CALC!FA169+Summary!$O$15)*6*(AX169+AY169+AZ169+BA169)*(1-$BC169),0)),0)</f>
        <v>0</v>
      </c>
      <c r="FI169" s="1412">
        <f>IF(MONTH(C169)=5,FI168*(IF(Summary!$E$70="no",(1+(Summary!$E$71*0.8)),1+HLOOKUP(YEAR(C169)-1,CCFMODEL!$I$127:$AF$128,2)*0.8)),+FI168)</f>
        <v>36.209548345147553</v>
      </c>
      <c r="FJ169" s="1411">
        <f>IF(MONTH(C169)=5,FJ168*(IF(Summary!$E$70="no",(1+(Summary!$E$71*0.8)),1+HLOOKUP(YEAR(CALC!C169)-1,CCFMODEL!$I$127:$AF$128,2)*0.8)),FJ168)</f>
        <v>31.64771548276676</v>
      </c>
      <c r="FK169" s="832">
        <f t="shared" si="127"/>
        <v>577795.76294351951</v>
      </c>
      <c r="FL169" s="1412">
        <f>IF(MONTH(C169)=5,FL168*(IF(Summary!$E$70="no",(1+(Summary!$E$71*0.8)),1+HLOOKUP(YEAR(CALC!C169)-1,CCFMODEL!$I$127:$AF$128,2)*0.8)),+FL168)</f>
        <v>76.152739658017452</v>
      </c>
      <c r="FM169" s="1411">
        <f>IF(MONTH(C169)=5,FM168*(IF(Summary!$E$70="no",(1+(Summary!$E$71*0.8)),1+HLOOKUP(YEAR(CALC!C169)-1,CCFMODEL!$I$127:$AF$128,2)*0.8)),+FM168)</f>
        <v>36.345317180337453</v>
      </c>
      <c r="FN169" s="832">
        <f t="shared" si="128"/>
        <v>1233674.3824598826</v>
      </c>
      <c r="FO169" s="194">
        <f t="shared" si="160"/>
        <v>1811470.1454034022</v>
      </c>
      <c r="FP169" s="263">
        <f t="shared" si="125"/>
        <v>10106.1</v>
      </c>
      <c r="FQ169" s="194">
        <f t="shared" si="125"/>
        <v>0</v>
      </c>
      <c r="FR169" s="194">
        <f t="shared" si="125"/>
        <v>2659.5</v>
      </c>
      <c r="FS169" s="194">
        <f t="shared" si="125"/>
        <v>0</v>
      </c>
      <c r="FT169" s="194">
        <f t="shared" si="125"/>
        <v>3191.4</v>
      </c>
      <c r="FU169" s="194">
        <f t="shared" si="125"/>
        <v>0</v>
      </c>
      <c r="FV169" s="257">
        <f t="shared" si="124"/>
        <v>0</v>
      </c>
      <c r="FW169" s="189">
        <f t="shared" si="129"/>
        <v>0</v>
      </c>
      <c r="FX169" s="189">
        <f t="shared" si="130"/>
        <v>0</v>
      </c>
      <c r="FY169" s="189">
        <f t="shared" si="131"/>
        <v>0</v>
      </c>
      <c r="FZ169" s="258">
        <f t="shared" si="132"/>
        <v>0</v>
      </c>
      <c r="GA169" s="1294">
        <f>(SUM(FP169:FV169)+SUM(GU169:HB169)/(1-Summary!$O$25))*CY169/1000</f>
        <v>197340.19142630397</v>
      </c>
      <c r="GB169" s="1369">
        <f>IF($C169&lt;Summary!$M$81,+Summary!$O$81,VLOOKUP(C169,GasTable,19))</f>
        <v>3.4982649238038457</v>
      </c>
      <c r="GC169" s="1370">
        <f>IF(H169&lt;=Summary!$N$84,MIN(GA169,Summary!$O$75*(H169-G169+1)),0)</f>
        <v>0</v>
      </c>
      <c r="GD169" s="1371">
        <f>IF(C169&lt;Summary!$N$84,IF(Summary!$O$75*(H169-G169+1)*0.8&gt;GC169,1,0),0)</f>
        <v>0</v>
      </c>
      <c r="GE169" s="1372">
        <v>0</v>
      </c>
      <c r="GF169" s="1370">
        <f t="shared" si="161"/>
        <v>197340.19142630397</v>
      </c>
      <c r="GG169" s="1371">
        <f>GF169*(IF(Summary!$O$74=1,VLOOKUP($C169,GasTable,16)+Summary!$O$92+Summary!$O$93,VLOOKUP($C169,GasTable,19)+Summary!$O$92+Summary!$O$93))</f>
        <v>700629.69369668607</v>
      </c>
      <c r="GH169" s="1373">
        <v>5247.3973857057681</v>
      </c>
      <c r="GI169" s="1466">
        <v>0</v>
      </c>
      <c r="GJ169" s="1374">
        <f t="shared" si="162"/>
        <v>705877.09108239179</v>
      </c>
      <c r="GK169" s="189">
        <f t="shared" si="133"/>
        <v>25196.102999999999</v>
      </c>
      <c r="GL169" s="266">
        <v>0.51786805264000002</v>
      </c>
      <c r="GM169" s="255">
        <f t="shared" si="134"/>
        <v>0</v>
      </c>
      <c r="GN169" s="189">
        <f>IF(SUM(GU169:HB169)=0,0,IF(Summary!$O$16="Yes",SUM(GX169:HB169),IF(Summary!$O$17="Yes",SUM(GY169:HB169),SUM(GU169:HB169))))</f>
        <v>9239.1029999999992</v>
      </c>
      <c r="GO169" s="203">
        <v>3.3926344547986877</v>
      </c>
      <c r="GP169" s="258">
        <f t="shared" si="163"/>
        <v>31344.899169233919</v>
      </c>
      <c r="GQ169" s="189"/>
      <c r="GR169" s="189"/>
      <c r="GS169" s="189"/>
      <c r="GT169" s="189"/>
      <c r="GU169" s="268">
        <v>3250.7954999999988</v>
      </c>
      <c r="GV169" s="189">
        <v>855.47249999999997</v>
      </c>
      <c r="GW169" s="189">
        <v>1026.5669999999998</v>
      </c>
      <c r="GX169" s="189"/>
      <c r="GY169" s="254">
        <v>2600.6363999999999</v>
      </c>
      <c r="GZ169" s="189">
        <v>684.37800000000004</v>
      </c>
      <c r="HA169" s="189">
        <v>821.25359999999989</v>
      </c>
      <c r="HB169" s="255"/>
      <c r="HC169" s="189">
        <v>9239.1029999999992</v>
      </c>
      <c r="HD169" s="189"/>
      <c r="HE169" s="189">
        <v>21557.906999999999</v>
      </c>
      <c r="HF169" s="189">
        <v>539940.77099553321</v>
      </c>
      <c r="HG169" s="189"/>
      <c r="HH169" s="203">
        <v>60.658169732260724</v>
      </c>
      <c r="HI169" s="189">
        <v>1307663.1818782915</v>
      </c>
      <c r="HJ169" s="268">
        <f t="shared" si="135"/>
        <v>0</v>
      </c>
      <c r="HK169" s="189">
        <f t="shared" si="136"/>
        <v>0</v>
      </c>
      <c r="HL169" s="189">
        <f t="shared" si="137"/>
        <v>0</v>
      </c>
      <c r="HM169" s="255">
        <f t="shared" si="138"/>
        <v>0</v>
      </c>
      <c r="HN169" s="189">
        <f t="shared" si="139"/>
        <v>0</v>
      </c>
      <c r="HO169" s="203">
        <f t="shared" si="164"/>
        <v>0</v>
      </c>
      <c r="HP169" s="258">
        <f t="shared" si="140"/>
        <v>0</v>
      </c>
      <c r="HQ169" s="203"/>
      <c r="HR169" s="268"/>
      <c r="HS169" s="38"/>
      <c r="HT169" s="255"/>
      <c r="HU169" s="254"/>
      <c r="HV169" s="203"/>
      <c r="HW169" s="189"/>
      <c r="HX169" s="1020"/>
      <c r="HY169" s="258"/>
      <c r="HZ169" s="268"/>
      <c r="IA169" s="203"/>
      <c r="IB169" s="255"/>
      <c r="IC169" s="254"/>
      <c r="ID169" s="203"/>
      <c r="IE169" s="255"/>
      <c r="IF169" s="189"/>
      <c r="IG169" s="203"/>
      <c r="IH169" s="255"/>
      <c r="II169" s="189"/>
      <c r="IJ169" s="203"/>
      <c r="IK169" s="189"/>
      <c r="IL169" s="1182"/>
      <c r="IM169" s="1403"/>
      <c r="IN169" s="254"/>
      <c r="IO169" s="254"/>
      <c r="IP169" s="254"/>
      <c r="IQ169" s="254"/>
      <c r="IR169" s="223"/>
    </row>
    <row r="170" spans="1:252" ht="13.8" thickBot="1">
      <c r="A170" t="str">
        <f t="shared" si="141"/>
        <v>2012Q4</v>
      </c>
      <c r="B170">
        <f t="shared" si="142"/>
        <v>2012</v>
      </c>
      <c r="C170" s="49">
        <f t="shared" si="143"/>
        <v>41183</v>
      </c>
      <c r="D170" s="115">
        <f t="shared" si="144"/>
        <v>2012</v>
      </c>
      <c r="E170" s="10">
        <f t="shared" si="167"/>
        <v>10</v>
      </c>
      <c r="F170" s="248" t="str">
        <f t="shared" si="168"/>
        <v/>
      </c>
      <c r="G170" s="245">
        <v>41183</v>
      </c>
      <c r="H170" s="251">
        <v>41213</v>
      </c>
      <c r="I170" s="959">
        <f t="shared" si="165"/>
        <v>7.1499999999999994E-2</v>
      </c>
      <c r="J170" s="37">
        <f t="shared" si="145"/>
        <v>0.40308547411858947</v>
      </c>
      <c r="K170" s="1036"/>
      <c r="L170" s="37"/>
      <c r="M170" s="1004">
        <v>0</v>
      </c>
      <c r="N170" s="38">
        <f t="shared" si="174"/>
        <v>0</v>
      </c>
      <c r="O170" s="40">
        <f t="shared" si="174"/>
        <v>0</v>
      </c>
      <c r="P170" s="159">
        <f t="shared" si="172"/>
        <v>0</v>
      </c>
      <c r="Q170" s="38">
        <f t="shared" si="175"/>
        <v>0</v>
      </c>
      <c r="R170" s="40">
        <f t="shared" si="175"/>
        <v>0</v>
      </c>
      <c r="S170" s="38">
        <f t="shared" si="175"/>
        <v>0</v>
      </c>
      <c r="T170" s="38">
        <f t="shared" si="175"/>
        <v>0</v>
      </c>
      <c r="U170" s="38">
        <f t="shared" si="175"/>
        <v>0</v>
      </c>
      <c r="V170" s="159">
        <f t="shared" si="175"/>
        <v>0</v>
      </c>
      <c r="W170" s="38">
        <f t="shared" si="175"/>
        <v>0</v>
      </c>
      <c r="X170" s="39">
        <f t="shared" si="175"/>
        <v>0</v>
      </c>
      <c r="Y170" s="46">
        <v>0</v>
      </c>
      <c r="Z170" s="46">
        <v>0</v>
      </c>
      <c r="AA170" s="47">
        <v>0</v>
      </c>
      <c r="AB170" s="46">
        <v>0</v>
      </c>
      <c r="AC170" s="46">
        <v>0</v>
      </c>
      <c r="AD170" s="47">
        <v>0</v>
      </c>
      <c r="AE170" s="46">
        <v>0</v>
      </c>
      <c r="AF170" s="46">
        <v>0</v>
      </c>
      <c r="AG170" s="47">
        <v>0</v>
      </c>
      <c r="AH170" s="46">
        <v>0</v>
      </c>
      <c r="AI170" s="46">
        <v>0</v>
      </c>
      <c r="AJ170" s="47">
        <v>0</v>
      </c>
      <c r="AK170" s="46">
        <v>0</v>
      </c>
      <c r="AL170" s="46">
        <v>0</v>
      </c>
      <c r="AM170" s="47">
        <v>0</v>
      </c>
      <c r="AN170" s="46">
        <v>0</v>
      </c>
      <c r="AO170" s="46">
        <v>0</v>
      </c>
      <c r="AP170" s="47">
        <v>0</v>
      </c>
      <c r="AQ170" s="46">
        <v>0</v>
      </c>
      <c r="AR170" s="46">
        <v>0</v>
      </c>
      <c r="AS170" s="47">
        <v>0</v>
      </c>
      <c r="AT170" s="46">
        <v>0</v>
      </c>
      <c r="AU170" s="46">
        <v>0</v>
      </c>
      <c r="AV170" s="46">
        <v>0</v>
      </c>
      <c r="AW170" s="1545">
        <v>0</v>
      </c>
      <c r="AX170" s="10">
        <f t="shared" si="169"/>
        <v>23</v>
      </c>
      <c r="AY170" s="42">
        <f>IF(AND($E170=MONTH(Summary!$E$24),$D170=YEAR(Summary!$E$24)),Summary!$E$25,1)*IF(G170="",0,INT((H170-MOD(H170,7)-G170)/7)+1-IF(BA170,IF(WEEKDAY(F170)=7,1,0),0))</f>
        <v>4</v>
      </c>
      <c r="AZ170" s="42">
        <f>IF(AND($E170=MONTH(Summary!$E$24),$D170=YEAR(Summary!$E$24)),Summary!$E$25,1)*IF(G170="",0,INT((H170-MOD(H170-1,7)-G170)/7)+1-IF(BA170,IF(WEEKDAY(F170)=1,1,0),0))</f>
        <v>4</v>
      </c>
      <c r="BA170" s="42">
        <v>0</v>
      </c>
      <c r="BB170" s="10">
        <f>IF(AND($E170=MONTH(Summary!$E$24),$D170=YEAR(Summary!$E$24)),Summary!$E$25,1)*IF(G170="",0,H170-G170+1)</f>
        <v>31</v>
      </c>
      <c r="BC170" s="914">
        <f>Summary!$E$19</f>
        <v>1.4999999999999999E-2</v>
      </c>
      <c r="BD170" s="113">
        <v>16311.6</v>
      </c>
      <c r="BE170" s="171">
        <v>2836.8</v>
      </c>
      <c r="BF170" s="171">
        <v>2836.8</v>
      </c>
      <c r="BG170" s="174"/>
      <c r="BH170" s="1198">
        <v>1</v>
      </c>
      <c r="BI170" s="1198">
        <v>1</v>
      </c>
      <c r="BJ170" s="1198">
        <v>1</v>
      </c>
      <c r="BK170" s="1198">
        <v>1</v>
      </c>
      <c r="BL170" s="95">
        <v>3262.32</v>
      </c>
      <c r="BM170" s="171">
        <v>567.36</v>
      </c>
      <c r="BN170" s="171">
        <v>567.36</v>
      </c>
      <c r="BO170" s="174"/>
      <c r="BP170" s="1198">
        <v>1</v>
      </c>
      <c r="BQ170" s="1199">
        <v>1</v>
      </c>
      <c r="BR170" s="1199">
        <v>1</v>
      </c>
      <c r="BS170" s="1200">
        <v>1</v>
      </c>
      <c r="BT170" s="94">
        <f t="shared" si="146"/>
        <v>21985.200000000001</v>
      </c>
      <c r="BU170" s="233">
        <f t="shared" si="147"/>
        <v>21985.200000000001</v>
      </c>
      <c r="BV170" s="92">
        <f t="shared" si="148"/>
        <v>4397.04</v>
      </c>
      <c r="BW170" s="233">
        <f t="shared" si="149"/>
        <v>4397.04</v>
      </c>
      <c r="BX170" s="88">
        <v>12.796714579055442</v>
      </c>
      <c r="BY170" s="90">
        <v>0</v>
      </c>
      <c r="BZ170" s="88">
        <v>0</v>
      </c>
      <c r="CA170" s="88">
        <v>0</v>
      </c>
      <c r="CB170" s="88">
        <v>0</v>
      </c>
      <c r="CC170" s="88">
        <v>0</v>
      </c>
      <c r="CD170" s="88">
        <v>0</v>
      </c>
      <c r="CE170" s="100">
        <v>0</v>
      </c>
      <c r="CF170" s="88">
        <v>0</v>
      </c>
      <c r="CG170" s="88">
        <v>0</v>
      </c>
      <c r="CH170" s="88">
        <v>0</v>
      </c>
      <c r="CI170" s="88">
        <v>0</v>
      </c>
      <c r="CJ170" s="228">
        <v>0</v>
      </c>
      <c r="CK170" s="88">
        <v>0</v>
      </c>
      <c r="CL170" s="88">
        <v>0</v>
      </c>
      <c r="CM170" s="88">
        <v>0</v>
      </c>
      <c r="CN170" s="88">
        <v>0</v>
      </c>
      <c r="CO170" s="88">
        <v>0</v>
      </c>
      <c r="CP170" s="88">
        <v>0</v>
      </c>
      <c r="CQ170" s="229">
        <v>0</v>
      </c>
      <c r="CR170" s="91">
        <v>0</v>
      </c>
      <c r="CS170" s="91">
        <v>0</v>
      </c>
      <c r="CT170" s="91">
        <v>0</v>
      </c>
      <c r="CU170" s="91">
        <v>0</v>
      </c>
      <c r="CV170" s="91">
        <v>0</v>
      </c>
      <c r="CW170" s="91">
        <v>0</v>
      </c>
      <c r="CX170" s="225">
        <v>0</v>
      </c>
      <c r="CY170" s="1265">
        <v>7730.6767999999993</v>
      </c>
      <c r="CZ170" s="90">
        <v>0</v>
      </c>
      <c r="DA170" s="88">
        <v>0</v>
      </c>
      <c r="DB170" s="88">
        <v>0</v>
      </c>
      <c r="DC170" s="88">
        <v>0</v>
      </c>
      <c r="DD170" s="88">
        <v>0</v>
      </c>
      <c r="DE170" s="152">
        <v>0</v>
      </c>
      <c r="DF170" s="230">
        <v>0</v>
      </c>
      <c r="DG170" s="38">
        <v>0</v>
      </c>
      <c r="DH170" s="1237">
        <v>0</v>
      </c>
      <c r="DI170" s="956">
        <v>0</v>
      </c>
      <c r="DJ170" s="956">
        <v>0</v>
      </c>
      <c r="DK170" s="956">
        <v>0</v>
      </c>
      <c r="DL170" s="152">
        <v>0</v>
      </c>
      <c r="DM170" s="160">
        <v>0</v>
      </c>
      <c r="DN170" s="160">
        <v>0</v>
      </c>
      <c r="DO170" s="160">
        <v>0</v>
      </c>
      <c r="DP170" s="160">
        <v>0</v>
      </c>
      <c r="DQ170" s="160">
        <v>0</v>
      </c>
      <c r="DR170" s="230">
        <v>0</v>
      </c>
      <c r="DS170" s="88">
        <v>0</v>
      </c>
      <c r="DT170" s="88">
        <v>0</v>
      </c>
      <c r="DU170" s="88">
        <v>0</v>
      </c>
      <c r="DV170" s="88">
        <v>0</v>
      </c>
      <c r="DW170" s="88">
        <v>0</v>
      </c>
      <c r="DX170" s="88">
        <v>0</v>
      </c>
      <c r="DY170" s="88">
        <v>0</v>
      </c>
      <c r="DZ170" s="88">
        <v>0</v>
      </c>
      <c r="EA170" s="88">
        <v>0</v>
      </c>
      <c r="EB170" s="152">
        <v>0</v>
      </c>
      <c r="EC170" s="52">
        <f t="shared" si="150"/>
        <v>0</v>
      </c>
      <c r="ED170" s="52">
        <f t="shared" si="150"/>
        <v>0</v>
      </c>
      <c r="EE170" s="52">
        <f t="shared" si="150"/>
        <v>0</v>
      </c>
      <c r="EF170" s="52">
        <f t="shared" si="150"/>
        <v>0</v>
      </c>
      <c r="EG170" s="52">
        <f t="shared" si="151"/>
        <v>0</v>
      </c>
      <c r="EH170" s="238">
        <v>0</v>
      </c>
      <c r="EI170" s="211">
        <v>0</v>
      </c>
      <c r="EJ170" s="211">
        <v>0</v>
      </c>
      <c r="EK170" s="211">
        <v>0</v>
      </c>
      <c r="EL170" s="217">
        <f>IF(C170&gt;=Summary!$E$26,MAX(0,SUM(EH170:EK170)),0)</f>
        <v>0</v>
      </c>
      <c r="EM170" s="52">
        <f>IF(C170&gt;=Summary!$E$26,DX170*BL170,0)</f>
        <v>0</v>
      </c>
      <c r="EN170" s="52">
        <f>IF(C170&gt;=Summary!$E$26,DY170*BM170,0)</f>
        <v>0</v>
      </c>
      <c r="EO170" s="52">
        <f>IF(C170&gt;=Summary!$E$26,DZ170*BN170,0)</f>
        <v>0</v>
      </c>
      <c r="EP170" s="52">
        <f>IF(C170&gt;=Summary!$E$26,EA170*BO170,0)</f>
        <v>0</v>
      </c>
      <c r="EQ170" s="52">
        <f>IF(C170&gt;=Summary!$E$26,DX170*BL170+DY170*BM170+DZ170*BN170+EA170*BO170,0)</f>
        <v>0</v>
      </c>
      <c r="ER170" s="826">
        <v>0</v>
      </c>
      <c r="ES170" s="278">
        <v>0</v>
      </c>
      <c r="ET170" s="278">
        <v>0</v>
      </c>
      <c r="EU170" s="278">
        <v>0</v>
      </c>
      <c r="EV170" s="212">
        <f>IF(C170&gt;=Summary!$E$26,MAX(0,SUM(ER170:EU170)),0)</f>
        <v>0</v>
      </c>
      <c r="EW170" s="52"/>
      <c r="EX170" s="1049">
        <f t="shared" si="152"/>
        <v>0</v>
      </c>
      <c r="EY170" s="1045" t="str">
        <f t="shared" si="153"/>
        <v/>
      </c>
      <c r="EZ170" s="1684" t="s">
        <v>525</v>
      </c>
      <c r="FA170" s="1046">
        <f t="shared" si="166"/>
        <v>45</v>
      </c>
      <c r="FB170" s="256">
        <f t="shared" si="154"/>
        <v>10194.75</v>
      </c>
      <c r="FC170" s="194">
        <f t="shared" si="155"/>
        <v>3058.4250000000002</v>
      </c>
      <c r="FD170" s="194">
        <f t="shared" si="156"/>
        <v>1773</v>
      </c>
      <c r="FE170" s="194">
        <f t="shared" si="157"/>
        <v>531.9</v>
      </c>
      <c r="FF170" s="194">
        <f t="shared" si="158"/>
        <v>1773</v>
      </c>
      <c r="FG170" s="194">
        <f t="shared" si="159"/>
        <v>531.9</v>
      </c>
      <c r="FH170" s="257">
        <f>IF(EZ170="No",IF((OR(MONTH(C170)=5,MONTH(C170)=6,MONTH(C170)=7,MONTH(C170)=8,MONTH(C170)=9)),Summary!$O$15*12*(AX170+AY170+AZ170+BA170)*(1-$BC170),Summary!$O$15*13*(AX170+AY170+AZ170+BA170)*(1-$BC170)+IF(Summary!$O$16="Yes",(CALC!FA170+Summary!$O$15)*6*(AX170+AY170+AZ170+BA170)*(1-$BC170),0)),0)</f>
        <v>0</v>
      </c>
      <c r="FI170" s="1412">
        <f>IF(MONTH(C170)=5,FI169*(IF(Summary!$E$70="no",(1+(Summary!$E$71*0.8)),1+HLOOKUP(YEAR(C170)-1,CCFMODEL!$I$127:$AF$128,2)*0.8)),+FI169)</f>
        <v>36.209548345147553</v>
      </c>
      <c r="FJ170" s="1411">
        <f>IF(MONTH(C170)=5,FJ169*(IF(Summary!$E$70="no",(1+(Summary!$E$71*0.8)),1+HLOOKUP(YEAR(CALC!C170)-1,CCFMODEL!$I$127:$AF$128,2)*0.8)),FJ169)</f>
        <v>31.64771548276676</v>
      </c>
      <c r="FK170" s="832">
        <f t="shared" si="127"/>
        <v>646810.25685066206</v>
      </c>
      <c r="FL170" s="1412">
        <f>IF(MONTH(C170)=5,FL169*(IF(Summary!$E$70="no",(1+(Summary!$E$71*0.8)),1+HLOOKUP(YEAR(CALC!C170)-1,CCFMODEL!$I$127:$AF$128,2)*0.8)),+FL169)</f>
        <v>76.152739658017452</v>
      </c>
      <c r="FM170" s="1411">
        <f>IF(MONTH(C170)=5,FM169*(IF(Summary!$E$70="no",(1+(Summary!$E$71*0.8)),1+HLOOKUP(YEAR(CALC!C170)-1,CCFMODEL!$I$127:$AF$128,2)*0.8)),+FM169)</f>
        <v>36.345317180337453</v>
      </c>
      <c r="FN170" s="832">
        <f t="shared" si="128"/>
        <v>659122.32706541975</v>
      </c>
      <c r="FO170" s="194">
        <f t="shared" si="160"/>
        <v>1305932.5839160818</v>
      </c>
      <c r="FP170" s="263">
        <f t="shared" si="125"/>
        <v>10194.75</v>
      </c>
      <c r="FQ170" s="194">
        <f t="shared" si="125"/>
        <v>3058.4250000000002</v>
      </c>
      <c r="FR170" s="194">
        <f t="shared" si="125"/>
        <v>1773</v>
      </c>
      <c r="FS170" s="194">
        <f t="shared" si="125"/>
        <v>531.9</v>
      </c>
      <c r="FT170" s="194">
        <f t="shared" si="125"/>
        <v>1773</v>
      </c>
      <c r="FU170" s="194">
        <f t="shared" si="125"/>
        <v>531.9</v>
      </c>
      <c r="FV170" s="257">
        <f t="shared" si="124"/>
        <v>0</v>
      </c>
      <c r="FW170" s="189">
        <f t="shared" si="129"/>
        <v>0</v>
      </c>
      <c r="FX170" s="189">
        <f t="shared" si="130"/>
        <v>0</v>
      </c>
      <c r="FY170" s="189">
        <f t="shared" si="131"/>
        <v>0</v>
      </c>
      <c r="FZ170" s="258">
        <f t="shared" si="132"/>
        <v>0</v>
      </c>
      <c r="GA170" s="1294">
        <f>(SUM(FP170:FV170)+SUM(GU170:HB170)/(1-Summary!$O$25))*CY170/1000</f>
        <v>235820.15987191195</v>
      </c>
      <c r="GB170" s="1369">
        <f>IF($C170&lt;Summary!$M$81,+Summary!$O$81,VLOOKUP(C170,GasTable,19))</f>
        <v>3.6537257768382725</v>
      </c>
      <c r="GC170" s="1370">
        <f>IF(H170&lt;=Summary!$N$84,MIN(GA170,Summary!$O$75*(H170-G170+1)),0)</f>
        <v>0</v>
      </c>
      <c r="GD170" s="1371">
        <f>IF(C170&lt;Summary!$N$84,IF(Summary!$O$75*(H170-G170+1)*0.8&gt;GC170,1,0),0)</f>
        <v>0</v>
      </c>
      <c r="GE170" s="1372">
        <v>0</v>
      </c>
      <c r="GF170" s="1370">
        <f t="shared" si="161"/>
        <v>235820.15987191195</v>
      </c>
      <c r="GG170" s="1371">
        <f>GF170*(IF(Summary!$O$74=1,VLOOKUP($C170,GasTable,16)+Summary!$O$92+Summary!$O$93,VLOOKUP($C170,GasTable,19)+Summary!$O$92+Summary!$O$93))</f>
        <v>873908.4271514538</v>
      </c>
      <c r="GH170" s="1373">
        <v>5663.2749540993227</v>
      </c>
      <c r="GI170" s="1466">
        <v>0</v>
      </c>
      <c r="GJ170" s="1374">
        <f t="shared" si="162"/>
        <v>879571.70210555312</v>
      </c>
      <c r="GK170" s="189">
        <f t="shared" si="133"/>
        <v>30062.012849999999</v>
      </c>
      <c r="GL170" s="266">
        <v>0.51795534560000001</v>
      </c>
      <c r="GM170" s="255">
        <f t="shared" si="134"/>
        <v>0</v>
      </c>
      <c r="GN170" s="189">
        <f>IF(SUM(GU170:HB170)=0,0,IF(Summary!$O$16="Yes",SUM(GX170:HB170),IF(Summary!$O$17="Yes",SUM(GY170:HB170),SUM(GU170:HB170))))</f>
        <v>12199.037849999999</v>
      </c>
      <c r="GO170" s="203">
        <v>3.3926344547986877</v>
      </c>
      <c r="GP170" s="258">
        <f t="shared" si="163"/>
        <v>41386.876125303301</v>
      </c>
      <c r="GQ170" s="189"/>
      <c r="GR170" s="189"/>
      <c r="GS170" s="189"/>
      <c r="GT170" s="189"/>
      <c r="GU170" s="268">
        <v>5902.7602500000003</v>
      </c>
      <c r="GV170" s="189">
        <v>1026.5670000000002</v>
      </c>
      <c r="GW170" s="189">
        <v>1026.5670000000002</v>
      </c>
      <c r="GX170" s="189"/>
      <c r="GY170" s="254">
        <v>3148.1388000000002</v>
      </c>
      <c r="GZ170" s="189">
        <v>547.50239999999997</v>
      </c>
      <c r="HA170" s="189">
        <v>547.50239999999997</v>
      </c>
      <c r="HB170" s="255"/>
      <c r="HC170" s="189">
        <v>12199.037849999999</v>
      </c>
      <c r="HD170" s="189"/>
      <c r="HE170" s="189">
        <v>20950.521524999996</v>
      </c>
      <c r="HF170" s="189">
        <v>621194.00701248634</v>
      </c>
      <c r="HG170" s="189"/>
      <c r="HH170" s="203">
        <v>50.116158916731848</v>
      </c>
      <c r="HI170" s="189">
        <v>1049959.6661353111</v>
      </c>
      <c r="HJ170" s="268">
        <f t="shared" si="135"/>
        <v>0</v>
      </c>
      <c r="HK170" s="189">
        <f t="shared" si="136"/>
        <v>0</v>
      </c>
      <c r="HL170" s="189">
        <f t="shared" si="137"/>
        <v>0</v>
      </c>
      <c r="HM170" s="255">
        <f t="shared" si="138"/>
        <v>0</v>
      </c>
      <c r="HN170" s="189">
        <f t="shared" si="139"/>
        <v>0</v>
      </c>
      <c r="HO170" s="203">
        <f t="shared" si="164"/>
        <v>0</v>
      </c>
      <c r="HP170" s="258">
        <f t="shared" si="140"/>
        <v>0</v>
      </c>
      <c r="HQ170" s="203"/>
      <c r="HR170" s="268"/>
      <c r="HS170" s="38"/>
      <c r="HT170" s="255"/>
      <c r="HU170" s="254"/>
      <c r="HV170" s="203"/>
      <c r="HW170" s="189"/>
      <c r="HX170" s="1020"/>
      <c r="HY170" s="258"/>
      <c r="HZ170" s="268"/>
      <c r="IA170" s="203"/>
      <c r="IB170" s="255"/>
      <c r="IC170" s="254"/>
      <c r="ID170" s="203"/>
      <c r="IE170" s="255"/>
      <c r="IF170" s="189"/>
      <c r="IG170" s="203"/>
      <c r="IH170" s="255"/>
      <c r="II170" s="189"/>
      <c r="IJ170" s="203"/>
      <c r="IK170" s="189"/>
      <c r="IL170" s="1182"/>
      <c r="IM170" s="1403"/>
      <c r="IN170" s="254"/>
      <c r="IO170" s="254"/>
      <c r="IP170" s="254"/>
      <c r="IQ170" s="254"/>
      <c r="IR170" s="223"/>
    </row>
    <row r="171" spans="1:252" ht="13.8" thickBot="1">
      <c r="A171" t="str">
        <f t="shared" si="141"/>
        <v>2012Q4</v>
      </c>
      <c r="B171">
        <f t="shared" si="142"/>
        <v>2012</v>
      </c>
      <c r="C171" s="49">
        <f t="shared" si="143"/>
        <v>41214</v>
      </c>
      <c r="D171" s="115">
        <f t="shared" si="144"/>
        <v>2012</v>
      </c>
      <c r="E171" s="10">
        <f t="shared" si="167"/>
        <v>11</v>
      </c>
      <c r="F171" s="248">
        <f t="shared" si="168"/>
        <v>41235</v>
      </c>
      <c r="G171" s="245">
        <v>41214</v>
      </c>
      <c r="H171" s="251">
        <v>41243</v>
      </c>
      <c r="I171" s="959">
        <f t="shared" si="165"/>
        <v>7.1499999999999994E-2</v>
      </c>
      <c r="J171" s="37">
        <f t="shared" si="145"/>
        <v>0.40076630696147469</v>
      </c>
      <c r="K171" s="1036"/>
      <c r="L171" s="37"/>
      <c r="M171" s="1004">
        <v>0</v>
      </c>
      <c r="N171" s="38">
        <f t="shared" si="174"/>
        <v>0</v>
      </c>
      <c r="O171" s="40">
        <f t="shared" si="174"/>
        <v>0</v>
      </c>
      <c r="P171" s="159">
        <f t="shared" si="172"/>
        <v>0</v>
      </c>
      <c r="Q171" s="38">
        <f t="shared" si="175"/>
        <v>0</v>
      </c>
      <c r="R171" s="40">
        <f t="shared" si="175"/>
        <v>0</v>
      </c>
      <c r="S171" s="38">
        <f t="shared" si="175"/>
        <v>0</v>
      </c>
      <c r="T171" s="38">
        <f t="shared" si="175"/>
        <v>0</v>
      </c>
      <c r="U171" s="38">
        <f t="shared" si="175"/>
        <v>0</v>
      </c>
      <c r="V171" s="159">
        <f t="shared" si="175"/>
        <v>0</v>
      </c>
      <c r="W171" s="38">
        <f t="shared" si="175"/>
        <v>0</v>
      </c>
      <c r="X171" s="39">
        <f t="shared" si="175"/>
        <v>0</v>
      </c>
      <c r="Y171" s="46">
        <v>0</v>
      </c>
      <c r="Z171" s="46">
        <v>0</v>
      </c>
      <c r="AA171" s="47">
        <v>0</v>
      </c>
      <c r="AB171" s="46">
        <v>0</v>
      </c>
      <c r="AC171" s="46">
        <v>0</v>
      </c>
      <c r="AD171" s="47">
        <v>0</v>
      </c>
      <c r="AE171" s="46">
        <v>0</v>
      </c>
      <c r="AF171" s="46">
        <v>0</v>
      </c>
      <c r="AG171" s="47">
        <v>0</v>
      </c>
      <c r="AH171" s="46">
        <v>0</v>
      </c>
      <c r="AI171" s="46">
        <v>0</v>
      </c>
      <c r="AJ171" s="47">
        <v>0</v>
      </c>
      <c r="AK171" s="46">
        <v>0</v>
      </c>
      <c r="AL171" s="46">
        <v>0</v>
      </c>
      <c r="AM171" s="47">
        <v>0</v>
      </c>
      <c r="AN171" s="46">
        <v>0</v>
      </c>
      <c r="AO171" s="46">
        <v>0</v>
      </c>
      <c r="AP171" s="47">
        <v>0</v>
      </c>
      <c r="AQ171" s="46">
        <v>0</v>
      </c>
      <c r="AR171" s="46">
        <v>0</v>
      </c>
      <c r="AS171" s="47">
        <v>0</v>
      </c>
      <c r="AT171" s="46">
        <v>0</v>
      </c>
      <c r="AU171" s="46">
        <v>0</v>
      </c>
      <c r="AV171" s="46">
        <v>0</v>
      </c>
      <c r="AW171" s="1545">
        <v>0</v>
      </c>
      <c r="AX171" s="10">
        <f t="shared" si="169"/>
        <v>21</v>
      </c>
      <c r="AY171" s="42">
        <f>IF(AND($E171=MONTH(Summary!$E$24),$D171=YEAR(Summary!$E$24)),Summary!$E$25,1)*IF(G171="",0,INT((H171-MOD(H171,7)-G171)/7)+1-IF(BA171,IF(WEEKDAY(F171)=7,1,0),0))</f>
        <v>4</v>
      </c>
      <c r="AZ171" s="42">
        <f>IF(AND($E171=MONTH(Summary!$E$24),$D171=YEAR(Summary!$E$24)),Summary!$E$25,1)*IF(G171="",0,INT((H171-MOD(H171-1,7)-G171)/7)+1-IF(BA171,IF(WEEKDAY(F171)=1,1,0),0))</f>
        <v>4</v>
      </c>
      <c r="BA171" s="42">
        <v>1</v>
      </c>
      <c r="BB171" s="10">
        <f>IF(AND($E171=MONTH(Summary!$E$24),$D171=YEAR(Summary!$E$24)),Summary!$E$25,1)*IF(G171="",0,H171-G171+1)</f>
        <v>30</v>
      </c>
      <c r="BC171" s="914">
        <f>Summary!$E$19</f>
        <v>1.4999999999999999E-2</v>
      </c>
      <c r="BD171" s="113">
        <v>14893.2</v>
      </c>
      <c r="BE171" s="171">
        <v>2836.8</v>
      </c>
      <c r="BF171" s="171">
        <v>3546</v>
      </c>
      <c r="BG171" s="174"/>
      <c r="BH171" s="1198">
        <v>1</v>
      </c>
      <c r="BI171" s="1198">
        <v>1</v>
      </c>
      <c r="BJ171" s="1198">
        <v>1</v>
      </c>
      <c r="BK171" s="1198">
        <v>1</v>
      </c>
      <c r="BL171" s="95">
        <v>2978.64</v>
      </c>
      <c r="BM171" s="171">
        <v>567.36</v>
      </c>
      <c r="BN171" s="171">
        <v>709.2</v>
      </c>
      <c r="BO171" s="174"/>
      <c r="BP171" s="1198">
        <v>1</v>
      </c>
      <c r="BQ171" s="1199">
        <v>1</v>
      </c>
      <c r="BR171" s="1199">
        <v>1</v>
      </c>
      <c r="BS171" s="1200">
        <v>1</v>
      </c>
      <c r="BT171" s="94">
        <f t="shared" si="146"/>
        <v>21276</v>
      </c>
      <c r="BU171" s="233">
        <f t="shared" si="147"/>
        <v>21276</v>
      </c>
      <c r="BV171" s="92">
        <f t="shared" si="148"/>
        <v>4255.2</v>
      </c>
      <c r="BW171" s="233">
        <f t="shared" si="149"/>
        <v>4255.2</v>
      </c>
      <c r="BX171" s="88">
        <v>12.881587953456537</v>
      </c>
      <c r="BY171" s="90">
        <v>0</v>
      </c>
      <c r="BZ171" s="88">
        <v>0</v>
      </c>
      <c r="CA171" s="88">
        <v>0</v>
      </c>
      <c r="CB171" s="88">
        <v>0</v>
      </c>
      <c r="CC171" s="88">
        <v>0</v>
      </c>
      <c r="CD171" s="88">
        <v>0</v>
      </c>
      <c r="CE171" s="100">
        <v>0</v>
      </c>
      <c r="CF171" s="88">
        <v>0</v>
      </c>
      <c r="CG171" s="88">
        <v>0</v>
      </c>
      <c r="CH171" s="88">
        <v>0</v>
      </c>
      <c r="CI171" s="88">
        <v>0</v>
      </c>
      <c r="CJ171" s="228">
        <v>0</v>
      </c>
      <c r="CK171" s="88">
        <v>0</v>
      </c>
      <c r="CL171" s="88">
        <v>0</v>
      </c>
      <c r="CM171" s="88">
        <v>0</v>
      </c>
      <c r="CN171" s="88">
        <v>0</v>
      </c>
      <c r="CO171" s="88">
        <v>0</v>
      </c>
      <c r="CP171" s="88">
        <v>0</v>
      </c>
      <c r="CQ171" s="229">
        <v>0</v>
      </c>
      <c r="CR171" s="91">
        <v>0</v>
      </c>
      <c r="CS171" s="91">
        <v>0</v>
      </c>
      <c r="CT171" s="91">
        <v>0</v>
      </c>
      <c r="CU171" s="91">
        <v>0</v>
      </c>
      <c r="CV171" s="91">
        <v>0</v>
      </c>
      <c r="CW171" s="91">
        <v>0</v>
      </c>
      <c r="CX171" s="225">
        <v>0</v>
      </c>
      <c r="CY171" s="1265">
        <v>7731.9796799999995</v>
      </c>
      <c r="CZ171" s="90">
        <v>0</v>
      </c>
      <c r="DA171" s="88">
        <v>0</v>
      </c>
      <c r="DB171" s="88">
        <v>0</v>
      </c>
      <c r="DC171" s="88">
        <v>0</v>
      </c>
      <c r="DD171" s="88">
        <v>0</v>
      </c>
      <c r="DE171" s="152">
        <v>0</v>
      </c>
      <c r="DF171" s="230">
        <v>0</v>
      </c>
      <c r="DG171" s="38">
        <v>0</v>
      </c>
      <c r="DH171" s="1237">
        <v>0</v>
      </c>
      <c r="DI171" s="956">
        <v>0</v>
      </c>
      <c r="DJ171" s="956">
        <v>0</v>
      </c>
      <c r="DK171" s="956">
        <v>0</v>
      </c>
      <c r="DL171" s="152">
        <v>0</v>
      </c>
      <c r="DM171" s="160">
        <v>0</v>
      </c>
      <c r="DN171" s="160">
        <v>0</v>
      </c>
      <c r="DO171" s="160">
        <v>0</v>
      </c>
      <c r="DP171" s="160">
        <v>0</v>
      </c>
      <c r="DQ171" s="160">
        <v>0</v>
      </c>
      <c r="DR171" s="230">
        <v>0</v>
      </c>
      <c r="DS171" s="88">
        <v>0</v>
      </c>
      <c r="DT171" s="88">
        <v>0</v>
      </c>
      <c r="DU171" s="88">
        <v>0</v>
      </c>
      <c r="DV171" s="88">
        <v>0</v>
      </c>
      <c r="DW171" s="88">
        <v>0</v>
      </c>
      <c r="DX171" s="88">
        <v>0</v>
      </c>
      <c r="DY171" s="88">
        <v>0</v>
      </c>
      <c r="DZ171" s="88">
        <v>0</v>
      </c>
      <c r="EA171" s="88">
        <v>0</v>
      </c>
      <c r="EB171" s="152">
        <v>0</v>
      </c>
      <c r="EC171" s="52">
        <f t="shared" si="150"/>
        <v>0</v>
      </c>
      <c r="ED171" s="52">
        <f t="shared" si="150"/>
        <v>0</v>
      </c>
      <c r="EE171" s="52">
        <f t="shared" si="150"/>
        <v>0</v>
      </c>
      <c r="EF171" s="52">
        <f t="shared" si="150"/>
        <v>0</v>
      </c>
      <c r="EG171" s="52">
        <f t="shared" si="151"/>
        <v>0</v>
      </c>
      <c r="EH171" s="238">
        <v>0</v>
      </c>
      <c r="EI171" s="211">
        <v>0</v>
      </c>
      <c r="EJ171" s="211">
        <v>0</v>
      </c>
      <c r="EK171" s="211">
        <v>0</v>
      </c>
      <c r="EL171" s="217">
        <f>IF(C171&gt;=Summary!$E$26,MAX(0,SUM(EH171:EK171)),0)</f>
        <v>0</v>
      </c>
      <c r="EM171" s="52">
        <f>IF(C171&gt;=Summary!$E$26,DX171*BL171,0)</f>
        <v>0</v>
      </c>
      <c r="EN171" s="52">
        <f>IF(C171&gt;=Summary!$E$26,DY171*BM171,0)</f>
        <v>0</v>
      </c>
      <c r="EO171" s="52">
        <f>IF(C171&gt;=Summary!$E$26,DZ171*BN171,0)</f>
        <v>0</v>
      </c>
      <c r="EP171" s="52">
        <f>IF(C171&gt;=Summary!$E$26,EA171*BO171,0)</f>
        <v>0</v>
      </c>
      <c r="EQ171" s="52">
        <f>IF(C171&gt;=Summary!$E$26,DX171*BL171+DY171*BM171+DZ171*BN171+EA171*BO171,0)</f>
        <v>0</v>
      </c>
      <c r="ER171" s="826">
        <v>0</v>
      </c>
      <c r="ES171" s="278">
        <v>0</v>
      </c>
      <c r="ET171" s="278">
        <v>0</v>
      </c>
      <c r="EU171" s="278">
        <v>0</v>
      </c>
      <c r="EV171" s="212">
        <f>IF(C171&gt;=Summary!$E$26,MAX(0,SUM(ER171:EU171)),0)</f>
        <v>0</v>
      </c>
      <c r="EW171" s="52"/>
      <c r="EX171" s="1049">
        <f t="shared" si="152"/>
        <v>0</v>
      </c>
      <c r="EY171" s="1045" t="str">
        <f t="shared" si="153"/>
        <v/>
      </c>
      <c r="EZ171" s="1684" t="s">
        <v>525</v>
      </c>
      <c r="FA171" s="1046">
        <f t="shared" si="166"/>
        <v>45</v>
      </c>
      <c r="FB171" s="256">
        <f t="shared" si="154"/>
        <v>9308.25</v>
      </c>
      <c r="FC171" s="194">
        <f t="shared" si="155"/>
        <v>2792.4749999999999</v>
      </c>
      <c r="FD171" s="194">
        <f t="shared" si="156"/>
        <v>1773</v>
      </c>
      <c r="FE171" s="194">
        <f t="shared" si="157"/>
        <v>531.9</v>
      </c>
      <c r="FF171" s="194">
        <f t="shared" si="158"/>
        <v>2216.25</v>
      </c>
      <c r="FG171" s="194">
        <f t="shared" si="159"/>
        <v>664.875</v>
      </c>
      <c r="FH171" s="257">
        <f>IF(EZ171="No",IF((OR(MONTH(C171)=5,MONTH(C171)=6,MONTH(C171)=7,MONTH(C171)=8,MONTH(C171)=9)),Summary!$O$15*12*(AX171+AY171+AZ171+BA171)*(1-$BC171),Summary!$O$15*13*(AX171+AY171+AZ171+BA171)*(1-$BC171)+IF(Summary!$O$16="Yes",(CALC!FA171+Summary!$O$15)*6*(AX171+AY171+AZ171+BA171)*(1-$BC171),0)),0)</f>
        <v>0</v>
      </c>
      <c r="FI171" s="1412">
        <f>IF(MONTH(C171)=5,FI170*(IF(Summary!$E$70="no",(1+(Summary!$E$71*0.8)),1+HLOOKUP(YEAR(C171)-1,CCFMODEL!$I$127:$AF$128,2)*0.8)),+FI170)</f>
        <v>36.209548345147553</v>
      </c>
      <c r="FJ171" s="1411">
        <f>IF(MONTH(C171)=5,FJ170*(IF(Summary!$E$70="no",(1+(Summary!$E$71*0.8)),1+HLOOKUP(YEAR(CALC!C171)-1,CCFMODEL!$I$127:$AF$128,2)*0.8)),FJ170)</f>
        <v>31.64771548276676</v>
      </c>
      <c r="FK171" s="832">
        <f t="shared" si="127"/>
        <v>625945.40985547949</v>
      </c>
      <c r="FL171" s="1412">
        <f>IF(MONTH(C171)=5,FL170*(IF(Summary!$E$70="no",(1+(Summary!$E$71*0.8)),1+HLOOKUP(YEAR(CALC!C171)-1,CCFMODEL!$I$127:$AF$128,2)*0.8)),+FL170)</f>
        <v>76.152739658017452</v>
      </c>
      <c r="FM171" s="1411">
        <f>IF(MONTH(C171)=5,FM170*(IF(Summary!$E$70="no",(1+(Summary!$E$71*0.8)),1+HLOOKUP(YEAR(CALC!C171)-1,CCFMODEL!$I$127:$AF$128,2)*0.8)),+FM170)</f>
        <v>36.345317180337453</v>
      </c>
      <c r="FN171" s="832">
        <f t="shared" si="128"/>
        <v>637860.31651492231</v>
      </c>
      <c r="FO171" s="194">
        <f t="shared" si="160"/>
        <v>1263805.7263704017</v>
      </c>
      <c r="FP171" s="263">
        <f t="shared" si="125"/>
        <v>9308.25</v>
      </c>
      <c r="FQ171" s="194">
        <f t="shared" si="125"/>
        <v>2792.4749999999999</v>
      </c>
      <c r="FR171" s="194">
        <f t="shared" si="125"/>
        <v>1773</v>
      </c>
      <c r="FS171" s="194">
        <f t="shared" si="125"/>
        <v>531.9</v>
      </c>
      <c r="FT171" s="194">
        <f t="shared" si="125"/>
        <v>2216.25</v>
      </c>
      <c r="FU171" s="194">
        <f t="shared" si="125"/>
        <v>664.875</v>
      </c>
      <c r="FV171" s="257">
        <f t="shared" si="124"/>
        <v>0</v>
      </c>
      <c r="FW171" s="189">
        <f t="shared" si="129"/>
        <v>0</v>
      </c>
      <c r="FX171" s="189">
        <f t="shared" si="130"/>
        <v>0</v>
      </c>
      <c r="FY171" s="189">
        <f t="shared" si="131"/>
        <v>0</v>
      </c>
      <c r="FZ171" s="258">
        <f t="shared" si="132"/>
        <v>0</v>
      </c>
      <c r="GA171" s="1294">
        <f>(SUM(FP171:FV171)+SUM(GU171:HB171)/(1-Summary!$O$25))*CY171/1000</f>
        <v>228251.51954445598</v>
      </c>
      <c r="GB171" s="1369">
        <f>IF($C171&lt;Summary!$M$81,+Summary!$O$81,VLOOKUP(C171,GasTable,19))</f>
        <v>3.8070257295941063</v>
      </c>
      <c r="GC171" s="1370">
        <f>IF(H171&lt;=Summary!$N$84,MIN(GA171,Summary!$O$75*(H171-G171+1)),0)</f>
        <v>0</v>
      </c>
      <c r="GD171" s="1371">
        <f>IF(C171&lt;Summary!$N$84,IF(Summary!$O$75*(H171-G171+1)*0.8&gt;GC171,1,0),0)</f>
        <v>0</v>
      </c>
      <c r="GE171" s="1372">
        <v>0</v>
      </c>
      <c r="GF171" s="1370">
        <f t="shared" si="161"/>
        <v>228251.51954445598</v>
      </c>
      <c r="GG171" s="1371">
        <f>GF171*(IF(Summary!$O$74=1,VLOOKUP($C171,GasTable,16)+Summary!$O$92+Summary!$O$93,VLOOKUP($C171,GasTable,19)+Summary!$O$92+Summary!$O$93))</f>
        <v>880851.3118929622</v>
      </c>
      <c r="GH171" s="1373">
        <v>5710.5385943911597</v>
      </c>
      <c r="GI171" s="1466">
        <v>0</v>
      </c>
      <c r="GJ171" s="1374">
        <f t="shared" si="162"/>
        <v>886561.8504873534</v>
      </c>
      <c r="GK171" s="189">
        <f t="shared" si="133"/>
        <v>29092.270500000002</v>
      </c>
      <c r="GL171" s="266">
        <v>0.51804263855999999</v>
      </c>
      <c r="GM171" s="255">
        <f t="shared" si="134"/>
        <v>0</v>
      </c>
      <c r="GN171" s="189">
        <f>IF(SUM(GU171:HB171)=0,0,IF(Summary!$O$16="Yes",SUM(GX171:HB171),IF(Summary!$O$17="Yes",SUM(GY171:HB171),SUM(GU171:HB171))))</f>
        <v>11805.520500000001</v>
      </c>
      <c r="GO171" s="203">
        <v>3.3926344547986877</v>
      </c>
      <c r="GP171" s="258">
        <f t="shared" si="163"/>
        <v>40051.815605132237</v>
      </c>
      <c r="GQ171" s="189"/>
      <c r="GR171" s="189"/>
      <c r="GS171" s="189"/>
      <c r="GT171" s="189"/>
      <c r="GU171" s="268">
        <v>5389.4767500000007</v>
      </c>
      <c r="GV171" s="189">
        <v>1026.5670000000002</v>
      </c>
      <c r="GW171" s="189">
        <v>1283.20875</v>
      </c>
      <c r="GX171" s="189"/>
      <c r="GY171" s="254">
        <v>2874.3875999999996</v>
      </c>
      <c r="GZ171" s="189">
        <v>547.50239999999997</v>
      </c>
      <c r="HA171" s="189">
        <v>684.37800000000004</v>
      </c>
      <c r="HB171" s="255"/>
      <c r="HC171" s="189">
        <v>11805.520500000001</v>
      </c>
      <c r="HD171" s="189"/>
      <c r="HE171" s="189">
        <v>20274.698250000001</v>
      </c>
      <c r="HF171" s="189">
        <v>626895.94273802824</v>
      </c>
      <c r="HG171" s="189"/>
      <c r="HH171" s="203">
        <v>52.789334177913275</v>
      </c>
      <c r="HI171" s="189">
        <v>1070287.8212756035</v>
      </c>
      <c r="HJ171" s="268">
        <f t="shared" si="135"/>
        <v>0</v>
      </c>
      <c r="HK171" s="189">
        <f t="shared" si="136"/>
        <v>0</v>
      </c>
      <c r="HL171" s="189">
        <f t="shared" si="137"/>
        <v>0</v>
      </c>
      <c r="HM171" s="255">
        <f t="shared" si="138"/>
        <v>0</v>
      </c>
      <c r="HN171" s="189">
        <f t="shared" si="139"/>
        <v>0</v>
      </c>
      <c r="HO171" s="203">
        <f t="shared" si="164"/>
        <v>0</v>
      </c>
      <c r="HP171" s="258">
        <f t="shared" si="140"/>
        <v>0</v>
      </c>
      <c r="HQ171" s="203"/>
      <c r="HR171" s="268"/>
      <c r="HS171" s="38"/>
      <c r="HT171" s="255"/>
      <c r="HU171" s="254"/>
      <c r="HV171" s="203"/>
      <c r="HW171" s="189"/>
      <c r="HX171" s="1020"/>
      <c r="HY171" s="258"/>
      <c r="HZ171" s="268"/>
      <c r="IA171" s="203"/>
      <c r="IB171" s="255"/>
      <c r="IC171" s="254"/>
      <c r="ID171" s="203"/>
      <c r="IE171" s="255"/>
      <c r="IF171" s="189"/>
      <c r="IG171" s="203"/>
      <c r="IH171" s="255"/>
      <c r="II171" s="189"/>
      <c r="IJ171" s="203"/>
      <c r="IK171" s="189"/>
      <c r="IL171" s="1182"/>
      <c r="IM171" s="1403"/>
      <c r="IN171" s="254"/>
      <c r="IO171" s="254"/>
      <c r="IP171" s="254"/>
      <c r="IQ171" s="254"/>
      <c r="IR171" s="223"/>
    </row>
    <row r="172" spans="1:252" ht="13.8" thickBot="1">
      <c r="A172" t="str">
        <f t="shared" si="141"/>
        <v>2012Q4</v>
      </c>
      <c r="B172">
        <f t="shared" si="142"/>
        <v>2012</v>
      </c>
      <c r="C172" s="49">
        <f t="shared" si="143"/>
        <v>41244</v>
      </c>
      <c r="D172" s="115">
        <f t="shared" si="144"/>
        <v>2012</v>
      </c>
      <c r="E172" s="10">
        <f t="shared" si="167"/>
        <v>12</v>
      </c>
      <c r="F172" s="248">
        <f t="shared" si="168"/>
        <v>41268</v>
      </c>
      <c r="G172" s="245">
        <v>41244</v>
      </c>
      <c r="H172" s="251">
        <v>41274</v>
      </c>
      <c r="I172" s="959">
        <f t="shared" si="165"/>
        <v>7.1499999999999994E-2</v>
      </c>
      <c r="J172" s="37">
        <f t="shared" si="145"/>
        <v>0.39838385133262394</v>
      </c>
      <c r="K172" s="1036"/>
      <c r="L172" s="37"/>
      <c r="M172" s="1004">
        <v>0</v>
      </c>
      <c r="N172" s="38">
        <f t="shared" si="174"/>
        <v>0</v>
      </c>
      <c r="O172" s="40">
        <f t="shared" si="174"/>
        <v>0</v>
      </c>
      <c r="P172" s="159">
        <f t="shared" si="172"/>
        <v>0</v>
      </c>
      <c r="Q172" s="38">
        <f t="shared" si="175"/>
        <v>0</v>
      </c>
      <c r="R172" s="40">
        <f t="shared" si="175"/>
        <v>0</v>
      </c>
      <c r="S172" s="38">
        <f t="shared" si="175"/>
        <v>0</v>
      </c>
      <c r="T172" s="38">
        <f t="shared" si="175"/>
        <v>0</v>
      </c>
      <c r="U172" s="38">
        <f t="shared" si="175"/>
        <v>0</v>
      </c>
      <c r="V172" s="159">
        <f t="shared" si="175"/>
        <v>0</v>
      </c>
      <c r="W172" s="38">
        <f t="shared" si="175"/>
        <v>0</v>
      </c>
      <c r="X172" s="39">
        <f t="shared" si="175"/>
        <v>0</v>
      </c>
      <c r="Y172" s="46">
        <v>0</v>
      </c>
      <c r="Z172" s="46">
        <v>0</v>
      </c>
      <c r="AA172" s="47">
        <v>0</v>
      </c>
      <c r="AB172" s="46">
        <v>0</v>
      </c>
      <c r="AC172" s="46">
        <v>0</v>
      </c>
      <c r="AD172" s="47">
        <v>0</v>
      </c>
      <c r="AE172" s="46">
        <v>0</v>
      </c>
      <c r="AF172" s="46">
        <v>0</v>
      </c>
      <c r="AG172" s="47">
        <v>0</v>
      </c>
      <c r="AH172" s="46">
        <v>0</v>
      </c>
      <c r="AI172" s="46">
        <v>0</v>
      </c>
      <c r="AJ172" s="47">
        <v>0</v>
      </c>
      <c r="AK172" s="46">
        <v>0</v>
      </c>
      <c r="AL172" s="46">
        <v>0</v>
      </c>
      <c r="AM172" s="47">
        <v>0</v>
      </c>
      <c r="AN172" s="46">
        <v>0</v>
      </c>
      <c r="AO172" s="46">
        <v>0</v>
      </c>
      <c r="AP172" s="47">
        <v>0</v>
      </c>
      <c r="AQ172" s="46">
        <v>0</v>
      </c>
      <c r="AR172" s="46">
        <v>0</v>
      </c>
      <c r="AS172" s="47">
        <v>0</v>
      </c>
      <c r="AT172" s="46">
        <v>0</v>
      </c>
      <c r="AU172" s="46">
        <v>0</v>
      </c>
      <c r="AV172" s="46">
        <v>0</v>
      </c>
      <c r="AW172" s="1545">
        <v>0</v>
      </c>
      <c r="AX172" s="10">
        <f t="shared" si="169"/>
        <v>20</v>
      </c>
      <c r="AY172" s="42">
        <f>IF(AND($E172=MONTH(Summary!$E$24),$D172=YEAR(Summary!$E$24)),Summary!$E$25,1)*IF(G172="",0,INT((H172-MOD(H172,7)-G172)/7)+1-IF(BA172,IF(WEEKDAY(F172)=7,1,0),0))</f>
        <v>5</v>
      </c>
      <c r="AZ172" s="42">
        <f>IF(AND($E172=MONTH(Summary!$E$24),$D172=YEAR(Summary!$E$24)),Summary!$E$25,1)*IF(G172="",0,INT((H172-MOD(H172-1,7)-G172)/7)+1-IF(BA172,IF(WEEKDAY(F172)=1,1,0),0))</f>
        <v>5</v>
      </c>
      <c r="BA172" s="42">
        <v>1</v>
      </c>
      <c r="BB172" s="10">
        <f>IF(AND($E172=MONTH(Summary!$E$24),$D172=YEAR(Summary!$E$24)),Summary!$E$25,1)*IF(G172="",0,H172-G172+1)</f>
        <v>31</v>
      </c>
      <c r="BC172" s="914">
        <f>Summary!$E$19</f>
        <v>1.4999999999999999E-2</v>
      </c>
      <c r="BD172" s="113">
        <v>14184</v>
      </c>
      <c r="BE172" s="171">
        <v>3546</v>
      </c>
      <c r="BF172" s="171">
        <v>4255.2</v>
      </c>
      <c r="BG172" s="174"/>
      <c r="BH172" s="1198">
        <v>1</v>
      </c>
      <c r="BI172" s="1198">
        <v>1</v>
      </c>
      <c r="BJ172" s="1198">
        <v>1</v>
      </c>
      <c r="BK172" s="1198">
        <v>1</v>
      </c>
      <c r="BL172" s="95">
        <v>2836.8</v>
      </c>
      <c r="BM172" s="171">
        <v>709.2</v>
      </c>
      <c r="BN172" s="171">
        <v>851.04</v>
      </c>
      <c r="BO172" s="174"/>
      <c r="BP172" s="1198">
        <v>1</v>
      </c>
      <c r="BQ172" s="1199">
        <v>1</v>
      </c>
      <c r="BR172" s="1199">
        <v>1</v>
      </c>
      <c r="BS172" s="1200">
        <v>1</v>
      </c>
      <c r="BT172" s="94">
        <f t="shared" si="146"/>
        <v>21985.200000000001</v>
      </c>
      <c r="BU172" s="233">
        <f t="shared" si="147"/>
        <v>21985.200000000001</v>
      </c>
      <c r="BV172" s="92">
        <f t="shared" si="148"/>
        <v>4397.04</v>
      </c>
      <c r="BW172" s="233">
        <f t="shared" si="149"/>
        <v>4397.04</v>
      </c>
      <c r="BX172" s="88">
        <v>12.9637234770705</v>
      </c>
      <c r="BY172" s="90">
        <v>0</v>
      </c>
      <c r="BZ172" s="88">
        <v>0</v>
      </c>
      <c r="CA172" s="88">
        <v>0</v>
      </c>
      <c r="CB172" s="88">
        <v>0</v>
      </c>
      <c r="CC172" s="88">
        <v>0</v>
      </c>
      <c r="CD172" s="88">
        <v>0</v>
      </c>
      <c r="CE172" s="100">
        <v>0</v>
      </c>
      <c r="CF172" s="88">
        <v>0</v>
      </c>
      <c r="CG172" s="88">
        <v>0</v>
      </c>
      <c r="CH172" s="88">
        <v>0</v>
      </c>
      <c r="CI172" s="88">
        <v>0</v>
      </c>
      <c r="CJ172" s="228">
        <v>0</v>
      </c>
      <c r="CK172" s="88">
        <v>0</v>
      </c>
      <c r="CL172" s="88">
        <v>0</v>
      </c>
      <c r="CM172" s="88">
        <v>0</v>
      </c>
      <c r="CN172" s="88">
        <v>0</v>
      </c>
      <c r="CO172" s="88">
        <v>0</v>
      </c>
      <c r="CP172" s="88">
        <v>0</v>
      </c>
      <c r="CQ172" s="229">
        <v>0</v>
      </c>
      <c r="CR172" s="91">
        <v>0</v>
      </c>
      <c r="CS172" s="91">
        <v>0</v>
      </c>
      <c r="CT172" s="91">
        <v>0</v>
      </c>
      <c r="CU172" s="91">
        <v>0</v>
      </c>
      <c r="CV172" s="91">
        <v>0</v>
      </c>
      <c r="CW172" s="91">
        <v>0</v>
      </c>
      <c r="CX172" s="225">
        <v>0</v>
      </c>
      <c r="CY172" s="1265">
        <v>7733.2825599999996</v>
      </c>
      <c r="CZ172" s="90">
        <v>0</v>
      </c>
      <c r="DA172" s="88">
        <v>0</v>
      </c>
      <c r="DB172" s="88">
        <v>0</v>
      </c>
      <c r="DC172" s="88">
        <v>0</v>
      </c>
      <c r="DD172" s="88">
        <v>0</v>
      </c>
      <c r="DE172" s="152">
        <v>0</v>
      </c>
      <c r="DF172" s="230">
        <v>0</v>
      </c>
      <c r="DG172" s="38">
        <v>0</v>
      </c>
      <c r="DH172" s="1237">
        <v>0</v>
      </c>
      <c r="DI172" s="956">
        <v>0</v>
      </c>
      <c r="DJ172" s="956">
        <v>0</v>
      </c>
      <c r="DK172" s="956">
        <v>0</v>
      </c>
      <c r="DL172" s="152">
        <v>0</v>
      </c>
      <c r="DM172" s="160">
        <v>0</v>
      </c>
      <c r="DN172" s="160">
        <v>0</v>
      </c>
      <c r="DO172" s="160">
        <v>0</v>
      </c>
      <c r="DP172" s="160">
        <v>0</v>
      </c>
      <c r="DQ172" s="160">
        <v>0</v>
      </c>
      <c r="DR172" s="230">
        <v>0</v>
      </c>
      <c r="DS172" s="88">
        <v>0</v>
      </c>
      <c r="DT172" s="88">
        <v>0</v>
      </c>
      <c r="DU172" s="88">
        <v>0</v>
      </c>
      <c r="DV172" s="88">
        <v>0</v>
      </c>
      <c r="DW172" s="88">
        <v>0</v>
      </c>
      <c r="DX172" s="88">
        <v>0</v>
      </c>
      <c r="DY172" s="88">
        <v>0</v>
      </c>
      <c r="DZ172" s="88">
        <v>0</v>
      </c>
      <c r="EA172" s="88">
        <v>0</v>
      </c>
      <c r="EB172" s="152">
        <v>0</v>
      </c>
      <c r="EC172" s="52">
        <f t="shared" si="150"/>
        <v>0</v>
      </c>
      <c r="ED172" s="52">
        <f t="shared" si="150"/>
        <v>0</v>
      </c>
      <c r="EE172" s="52">
        <f t="shared" si="150"/>
        <v>0</v>
      </c>
      <c r="EF172" s="52">
        <f t="shared" si="150"/>
        <v>0</v>
      </c>
      <c r="EG172" s="52">
        <f t="shared" si="151"/>
        <v>0</v>
      </c>
      <c r="EH172" s="238">
        <v>0</v>
      </c>
      <c r="EI172" s="211">
        <v>0</v>
      </c>
      <c r="EJ172" s="211">
        <v>0</v>
      </c>
      <c r="EK172" s="211">
        <v>0</v>
      </c>
      <c r="EL172" s="217">
        <f>IF(C172&gt;=Summary!$E$26,MAX(0,SUM(EH172:EK172)),0)</f>
        <v>0</v>
      </c>
      <c r="EM172" s="52">
        <f>IF(C172&gt;=Summary!$E$26,DX172*BL172,0)</f>
        <v>0</v>
      </c>
      <c r="EN172" s="52">
        <f>IF(C172&gt;=Summary!$E$26,DY172*BM172,0)</f>
        <v>0</v>
      </c>
      <c r="EO172" s="52">
        <f>IF(C172&gt;=Summary!$E$26,DZ172*BN172,0)</f>
        <v>0</v>
      </c>
      <c r="EP172" s="52">
        <f>IF(C172&gt;=Summary!$E$26,EA172*BO172,0)</f>
        <v>0</v>
      </c>
      <c r="EQ172" s="52">
        <f>IF(C172&gt;=Summary!$E$26,DX172*BL172+DY172*BM172+DZ172*BN172+EA172*BO172,0)</f>
        <v>0</v>
      </c>
      <c r="ER172" s="826">
        <v>0</v>
      </c>
      <c r="ES172" s="278">
        <v>0</v>
      </c>
      <c r="ET172" s="278">
        <v>0</v>
      </c>
      <c r="EU172" s="278">
        <v>0</v>
      </c>
      <c r="EV172" s="212">
        <f>IF(C172&gt;=Summary!$E$26,MAX(0,SUM(ER172:EU172)),0)</f>
        <v>0</v>
      </c>
      <c r="EW172" s="52"/>
      <c r="EX172" s="1049">
        <f t="shared" si="152"/>
        <v>0</v>
      </c>
      <c r="EY172" s="1045" t="str">
        <f t="shared" si="153"/>
        <v/>
      </c>
      <c r="EZ172" s="1684" t="s">
        <v>525</v>
      </c>
      <c r="FA172" s="1046">
        <f t="shared" si="166"/>
        <v>45</v>
      </c>
      <c r="FB172" s="256">
        <f t="shared" si="154"/>
        <v>8865</v>
      </c>
      <c r="FC172" s="194">
        <f t="shared" si="155"/>
        <v>2659.5</v>
      </c>
      <c r="FD172" s="194">
        <f t="shared" si="156"/>
        <v>2216.25</v>
      </c>
      <c r="FE172" s="194">
        <f t="shared" si="157"/>
        <v>664.875</v>
      </c>
      <c r="FF172" s="194">
        <f t="shared" si="158"/>
        <v>2659.5</v>
      </c>
      <c r="FG172" s="194">
        <f t="shared" si="159"/>
        <v>797.85</v>
      </c>
      <c r="FH172" s="257">
        <f>IF(EZ172="No",IF((OR(MONTH(C172)=5,MONTH(C172)=6,MONTH(C172)=7,MONTH(C172)=8,MONTH(C172)=9)),Summary!$O$15*12*(AX172+AY172+AZ172+BA172)*(1-$BC172),Summary!$O$15*13*(AX172+AY172+AZ172+BA172)*(1-$BC172)+IF(Summary!$O$16="Yes",(CALC!FA172+Summary!$O$15)*6*(AX172+AY172+AZ172+BA172)*(1-$BC172),0)),0)</f>
        <v>0</v>
      </c>
      <c r="FI172" s="1412">
        <f>IF(MONTH(C172)=5,FI171*(IF(Summary!$E$70="no",(1+(Summary!$E$71*0.8)),1+HLOOKUP(YEAR(C172)-1,CCFMODEL!$I$127:$AF$128,2)*0.8)),+FI171)</f>
        <v>36.209548345147553</v>
      </c>
      <c r="FJ172" s="1411">
        <f>IF(MONTH(C172)=5,FJ171*(IF(Summary!$E$70="no",(1+(Summary!$E$71*0.8)),1+HLOOKUP(YEAR(CALC!C172)-1,CCFMODEL!$I$127:$AF$128,2)*0.8)),FJ171)</f>
        <v>31.64771548276676</v>
      </c>
      <c r="FK172" s="832">
        <f t="shared" si="127"/>
        <v>646810.25685066206</v>
      </c>
      <c r="FL172" s="1412">
        <f>IF(MONTH(C172)=5,FL171*(IF(Summary!$E$70="no",(1+(Summary!$E$71*0.8)),1+HLOOKUP(YEAR(CALC!C172)-1,CCFMODEL!$I$127:$AF$128,2)*0.8)),+FL171)</f>
        <v>76.152739658017452</v>
      </c>
      <c r="FM172" s="1411">
        <f>IF(MONTH(C172)=5,FM171*(IF(Summary!$E$70="no",(1+(Summary!$E$71*0.8)),1+HLOOKUP(YEAR(CALC!C172)-1,CCFMODEL!$I$127:$AF$128,2)*0.8)),+FM171)</f>
        <v>36.345317180337453</v>
      </c>
      <c r="FN172" s="832">
        <f t="shared" si="128"/>
        <v>659122.32706541975</v>
      </c>
      <c r="FO172" s="194">
        <f t="shared" si="160"/>
        <v>1305932.5839160818</v>
      </c>
      <c r="FP172" s="263">
        <f t="shared" si="125"/>
        <v>8865</v>
      </c>
      <c r="FQ172" s="194">
        <f t="shared" si="125"/>
        <v>2659.5</v>
      </c>
      <c r="FR172" s="194">
        <f t="shared" si="125"/>
        <v>2216.25</v>
      </c>
      <c r="FS172" s="194">
        <f t="shared" si="125"/>
        <v>664.875</v>
      </c>
      <c r="FT172" s="194">
        <f t="shared" si="125"/>
        <v>2659.5</v>
      </c>
      <c r="FU172" s="194">
        <f t="shared" si="125"/>
        <v>797.85</v>
      </c>
      <c r="FV172" s="257">
        <f t="shared" si="124"/>
        <v>0</v>
      </c>
      <c r="FW172" s="189">
        <f t="shared" si="129"/>
        <v>0</v>
      </c>
      <c r="FX172" s="189">
        <f t="shared" si="130"/>
        <v>0</v>
      </c>
      <c r="FY172" s="189">
        <f t="shared" si="131"/>
        <v>0</v>
      </c>
      <c r="FZ172" s="258">
        <f t="shared" si="132"/>
        <v>0</v>
      </c>
      <c r="GA172" s="1294">
        <f>(SUM(FP172:FV172)+SUM(GU172:HB172)/(1-Summary!$O$25))*CY172/1000</f>
        <v>235899.64718663041</v>
      </c>
      <c r="GB172" s="1369">
        <f>IF($C172&lt;Summary!$M$81,+Summary!$O$81,VLOOKUP(C172,GasTable,19))</f>
        <v>3.9689579546008313</v>
      </c>
      <c r="GC172" s="1370">
        <f>IF(H172&lt;=Summary!$N$84,MIN(GA172,Summary!$O$75*(H172-G172+1)),0)</f>
        <v>0</v>
      </c>
      <c r="GD172" s="1371">
        <f>IF(C172&lt;Summary!$N$84,IF(Summary!$O$75*(H172-G172+1)*0.8&gt;GC172,1,0),0)</f>
        <v>0</v>
      </c>
      <c r="GE172" s="1372">
        <v>0</v>
      </c>
      <c r="GF172" s="1370">
        <f t="shared" si="161"/>
        <v>235899.64718663041</v>
      </c>
      <c r="GG172" s="1371">
        <f>GF172*(IF(Summary!$O$74=1,VLOOKUP($C172,GasTable,16)+Summary!$O$92+Summary!$O$93,VLOOKUP($C172,GasTable,19)+Summary!$O$92+Summary!$O$93))</f>
        <v>948566.15280732978</v>
      </c>
      <c r="GH172" s="1373">
        <v>6151.884829631289</v>
      </c>
      <c r="GI172" s="1466">
        <v>0</v>
      </c>
      <c r="GJ172" s="1374">
        <f t="shared" si="162"/>
        <v>954718.03763696109</v>
      </c>
      <c r="GK172" s="189">
        <f t="shared" si="133"/>
        <v>30062.012849999999</v>
      </c>
      <c r="GL172" s="266">
        <v>0.51812993151999998</v>
      </c>
      <c r="GM172" s="255">
        <f t="shared" si="134"/>
        <v>0</v>
      </c>
      <c r="GN172" s="189">
        <f>IF(SUM(GU172:HB172)=0,0,IF(Summary!$O$16="Yes",SUM(GX172:HB172),IF(Summary!$O$17="Yes",SUM(GY172:HB172),SUM(GU172:HB172))))</f>
        <v>12199.037850000001</v>
      </c>
      <c r="GO172" s="203">
        <v>3.3926344547986877</v>
      </c>
      <c r="GP172" s="258">
        <f t="shared" si="163"/>
        <v>41386.876125303308</v>
      </c>
      <c r="GQ172" s="189"/>
      <c r="GR172" s="189"/>
      <c r="GS172" s="189"/>
      <c r="GT172" s="189"/>
      <c r="GU172" s="268">
        <v>5132.835</v>
      </c>
      <c r="GV172" s="189">
        <v>1283.20875</v>
      </c>
      <c r="GW172" s="189">
        <v>1539.8504999999998</v>
      </c>
      <c r="GX172" s="189"/>
      <c r="GY172" s="254">
        <v>2737.5120000000002</v>
      </c>
      <c r="GZ172" s="189">
        <v>684.37800000000004</v>
      </c>
      <c r="HA172" s="189">
        <v>821.25359999999989</v>
      </c>
      <c r="HB172" s="255"/>
      <c r="HC172" s="189">
        <v>12199.037850000001</v>
      </c>
      <c r="HD172" s="189"/>
      <c r="HE172" s="189">
        <v>20950.521525</v>
      </c>
      <c r="HF172" s="189">
        <v>598833.93213001289</v>
      </c>
      <c r="HG172" s="189"/>
      <c r="HH172" s="203">
        <v>48.771862905739596</v>
      </c>
      <c r="HI172" s="189">
        <v>1021795.9636210464</v>
      </c>
      <c r="HJ172" s="268">
        <f t="shared" si="135"/>
        <v>0</v>
      </c>
      <c r="HK172" s="189">
        <f t="shared" si="136"/>
        <v>0</v>
      </c>
      <c r="HL172" s="189">
        <f t="shared" si="137"/>
        <v>0</v>
      </c>
      <c r="HM172" s="255">
        <f t="shared" si="138"/>
        <v>0</v>
      </c>
      <c r="HN172" s="189">
        <f t="shared" si="139"/>
        <v>0</v>
      </c>
      <c r="HO172" s="203">
        <f t="shared" si="164"/>
        <v>0</v>
      </c>
      <c r="HP172" s="258">
        <f t="shared" si="140"/>
        <v>0</v>
      </c>
      <c r="HQ172" s="203"/>
      <c r="HR172" s="268"/>
      <c r="HS172" s="38"/>
      <c r="HT172" s="255"/>
      <c r="HU172" s="254"/>
      <c r="HV172" s="203"/>
      <c r="HW172" s="189"/>
      <c r="HX172" s="1020"/>
      <c r="HY172" s="258"/>
      <c r="HZ172" s="268"/>
      <c r="IA172" s="203"/>
      <c r="IB172" s="255"/>
      <c r="IC172" s="254"/>
      <c r="ID172" s="203"/>
      <c r="IE172" s="255"/>
      <c r="IF172" s="189"/>
      <c r="IG172" s="203"/>
      <c r="IH172" s="255"/>
      <c r="II172" s="189"/>
      <c r="IJ172" s="203"/>
      <c r="IK172" s="189"/>
      <c r="IL172" s="1182"/>
      <c r="IM172" s="1403"/>
      <c r="IN172" s="254"/>
      <c r="IO172" s="254"/>
      <c r="IP172" s="254"/>
      <c r="IQ172" s="254"/>
      <c r="IR172" s="223"/>
    </row>
    <row r="173" spans="1:252" ht="13.8" thickBot="1">
      <c r="A173" t="str">
        <f t="shared" si="141"/>
        <v>2013Q1</v>
      </c>
      <c r="B173">
        <f t="shared" si="142"/>
        <v>2013</v>
      </c>
      <c r="C173" s="49">
        <f t="shared" si="143"/>
        <v>41275</v>
      </c>
      <c r="D173" s="115">
        <f t="shared" si="144"/>
        <v>2013</v>
      </c>
      <c r="E173" s="10">
        <f t="shared" si="167"/>
        <v>1</v>
      </c>
      <c r="F173" s="248">
        <f t="shared" si="168"/>
        <v>41275</v>
      </c>
      <c r="G173" s="245">
        <v>41275</v>
      </c>
      <c r="H173" s="251">
        <v>41305</v>
      </c>
      <c r="I173" s="959">
        <f t="shared" si="165"/>
        <v>7.1499999999999994E-2</v>
      </c>
      <c r="J173" s="37">
        <f t="shared" si="145"/>
        <v>0.39601555880761924</v>
      </c>
      <c r="K173" s="1036"/>
      <c r="L173" s="37"/>
      <c r="M173" s="1004">
        <v>0</v>
      </c>
      <c r="N173" s="38">
        <f t="shared" si="174"/>
        <v>0</v>
      </c>
      <c r="O173" s="40">
        <f t="shared" si="174"/>
        <v>0</v>
      </c>
      <c r="P173" s="159">
        <f t="shared" si="172"/>
        <v>0</v>
      </c>
      <c r="Q173" s="38">
        <f t="shared" si="175"/>
        <v>0</v>
      </c>
      <c r="R173" s="40">
        <f t="shared" si="175"/>
        <v>0</v>
      </c>
      <c r="S173" s="38">
        <f t="shared" si="175"/>
        <v>0</v>
      </c>
      <c r="T173" s="38">
        <f t="shared" si="175"/>
        <v>0</v>
      </c>
      <c r="U173" s="38">
        <f t="shared" si="175"/>
        <v>0</v>
      </c>
      <c r="V173" s="159">
        <f t="shared" si="175"/>
        <v>0</v>
      </c>
      <c r="W173" s="38">
        <f t="shared" si="175"/>
        <v>0</v>
      </c>
      <c r="X173" s="39">
        <f t="shared" si="175"/>
        <v>0</v>
      </c>
      <c r="Y173" s="46">
        <v>0</v>
      </c>
      <c r="Z173" s="46">
        <v>0</v>
      </c>
      <c r="AA173" s="47">
        <v>0</v>
      </c>
      <c r="AB173" s="46">
        <v>0</v>
      </c>
      <c r="AC173" s="46">
        <v>0</v>
      </c>
      <c r="AD173" s="47">
        <v>0</v>
      </c>
      <c r="AE173" s="46">
        <v>0</v>
      </c>
      <c r="AF173" s="46">
        <v>0</v>
      </c>
      <c r="AG173" s="47">
        <v>0</v>
      </c>
      <c r="AH173" s="46">
        <v>0</v>
      </c>
      <c r="AI173" s="46">
        <v>0</v>
      </c>
      <c r="AJ173" s="47">
        <v>0</v>
      </c>
      <c r="AK173" s="46">
        <v>0</v>
      </c>
      <c r="AL173" s="46">
        <v>0</v>
      </c>
      <c r="AM173" s="47">
        <v>0</v>
      </c>
      <c r="AN173" s="46">
        <v>0</v>
      </c>
      <c r="AO173" s="46">
        <v>0</v>
      </c>
      <c r="AP173" s="47">
        <v>0</v>
      </c>
      <c r="AQ173" s="46">
        <v>0</v>
      </c>
      <c r="AR173" s="46">
        <v>0</v>
      </c>
      <c r="AS173" s="47">
        <v>0</v>
      </c>
      <c r="AT173" s="46">
        <v>0</v>
      </c>
      <c r="AU173" s="46">
        <v>0</v>
      </c>
      <c r="AV173" s="46">
        <v>0</v>
      </c>
      <c r="AW173" s="1545">
        <v>0</v>
      </c>
      <c r="AX173" s="10">
        <f t="shared" si="169"/>
        <v>22</v>
      </c>
      <c r="AY173" s="42">
        <f>IF(AND($E173=MONTH(Summary!$E$24),$D173=YEAR(Summary!$E$24)),Summary!$E$25,1)*IF(G173="",0,INT((H173-MOD(H173,7)-G173)/7)+1-IF(BA173,IF(WEEKDAY(F173)=7,1,0),0))</f>
        <v>4</v>
      </c>
      <c r="AZ173" s="42">
        <f>IF(AND($E173=MONTH(Summary!$E$24),$D173=YEAR(Summary!$E$24)),Summary!$E$25,1)*IF(G173="",0,INT((H173-MOD(H173-1,7)-G173)/7)+1-IF(BA173,IF(WEEKDAY(F173)=1,1,0),0))</f>
        <v>4</v>
      </c>
      <c r="BA173" s="42">
        <v>1</v>
      </c>
      <c r="BB173" s="10">
        <f>IF(AND($E173=MONTH(Summary!$E$24),$D173=YEAR(Summary!$E$24)),Summary!$E$25,1)*IF(G173="",0,H173-G173+1)</f>
        <v>31</v>
      </c>
      <c r="BC173" s="914">
        <f>Summary!$E$19</f>
        <v>1.4999999999999999E-2</v>
      </c>
      <c r="BD173" s="113">
        <v>15602.4</v>
      </c>
      <c r="BE173" s="171">
        <v>2836.8</v>
      </c>
      <c r="BF173" s="171">
        <v>3546</v>
      </c>
      <c r="BG173" s="174"/>
      <c r="BH173" s="1198">
        <v>1</v>
      </c>
      <c r="BI173" s="1198">
        <v>1</v>
      </c>
      <c r="BJ173" s="1198">
        <v>1</v>
      </c>
      <c r="BK173" s="1198">
        <v>1</v>
      </c>
      <c r="BL173" s="95">
        <v>3120.48</v>
      </c>
      <c r="BM173" s="171">
        <v>567.36</v>
      </c>
      <c r="BN173" s="171">
        <v>709.2</v>
      </c>
      <c r="BO173" s="174"/>
      <c r="BP173" s="1198">
        <v>1</v>
      </c>
      <c r="BQ173" s="1199">
        <v>1</v>
      </c>
      <c r="BR173" s="1199">
        <v>1</v>
      </c>
      <c r="BS173" s="1200">
        <v>1</v>
      </c>
      <c r="BT173" s="94">
        <f t="shared" si="146"/>
        <v>21985.200000000001</v>
      </c>
      <c r="BU173" s="233">
        <f t="shared" si="147"/>
        <v>21985.200000000001</v>
      </c>
      <c r="BV173" s="92">
        <f t="shared" si="148"/>
        <v>4397.04</v>
      </c>
      <c r="BW173" s="233">
        <f t="shared" si="149"/>
        <v>4397.04</v>
      </c>
      <c r="BX173" s="88">
        <v>13.048596851471595</v>
      </c>
      <c r="BY173" s="90">
        <v>0</v>
      </c>
      <c r="BZ173" s="88">
        <v>0</v>
      </c>
      <c r="CA173" s="88">
        <v>0</v>
      </c>
      <c r="CB173" s="88">
        <v>0</v>
      </c>
      <c r="CC173" s="88">
        <v>0</v>
      </c>
      <c r="CD173" s="88">
        <v>0</v>
      </c>
      <c r="CE173" s="100">
        <v>0</v>
      </c>
      <c r="CF173" s="88">
        <v>0</v>
      </c>
      <c r="CG173" s="88">
        <v>0</v>
      </c>
      <c r="CH173" s="88">
        <v>0</v>
      </c>
      <c r="CI173" s="88">
        <v>0</v>
      </c>
      <c r="CJ173" s="228">
        <v>0</v>
      </c>
      <c r="CK173" s="88">
        <v>0</v>
      </c>
      <c r="CL173" s="88">
        <v>0</v>
      </c>
      <c r="CM173" s="88">
        <v>0</v>
      </c>
      <c r="CN173" s="88">
        <v>0</v>
      </c>
      <c r="CO173" s="88">
        <v>0</v>
      </c>
      <c r="CP173" s="88">
        <v>0</v>
      </c>
      <c r="CQ173" s="229">
        <v>0</v>
      </c>
      <c r="CR173" s="91">
        <v>0</v>
      </c>
      <c r="CS173" s="91">
        <v>0</v>
      </c>
      <c r="CT173" s="91">
        <v>0</v>
      </c>
      <c r="CU173" s="91">
        <v>0</v>
      </c>
      <c r="CV173" s="91">
        <v>0</v>
      </c>
      <c r="CW173" s="91">
        <v>0</v>
      </c>
      <c r="CX173" s="225">
        <v>0</v>
      </c>
      <c r="CY173" s="1265">
        <v>7734.5854399999998</v>
      </c>
      <c r="CZ173" s="90">
        <v>0</v>
      </c>
      <c r="DA173" s="88">
        <v>0</v>
      </c>
      <c r="DB173" s="88">
        <v>0</v>
      </c>
      <c r="DC173" s="88">
        <v>0</v>
      </c>
      <c r="DD173" s="88">
        <v>0</v>
      </c>
      <c r="DE173" s="152">
        <v>0</v>
      </c>
      <c r="DF173" s="230">
        <v>0</v>
      </c>
      <c r="DG173" s="38">
        <v>0</v>
      </c>
      <c r="DH173" s="1237">
        <v>0</v>
      </c>
      <c r="DI173" s="956">
        <v>0</v>
      </c>
      <c r="DJ173" s="956">
        <v>0</v>
      </c>
      <c r="DK173" s="956">
        <v>0</v>
      </c>
      <c r="DL173" s="152">
        <v>0</v>
      </c>
      <c r="DM173" s="160">
        <v>0</v>
      </c>
      <c r="DN173" s="160">
        <v>0</v>
      </c>
      <c r="DO173" s="160">
        <v>0</v>
      </c>
      <c r="DP173" s="160">
        <v>0</v>
      </c>
      <c r="DQ173" s="160">
        <v>0</v>
      </c>
      <c r="DR173" s="230">
        <v>0</v>
      </c>
      <c r="DS173" s="88">
        <v>0</v>
      </c>
      <c r="DT173" s="88">
        <v>0</v>
      </c>
      <c r="DU173" s="88">
        <v>0</v>
      </c>
      <c r="DV173" s="88">
        <v>0</v>
      </c>
      <c r="DW173" s="88">
        <v>0</v>
      </c>
      <c r="DX173" s="88">
        <v>0</v>
      </c>
      <c r="DY173" s="88">
        <v>0</v>
      </c>
      <c r="DZ173" s="88">
        <v>0</v>
      </c>
      <c r="EA173" s="88">
        <v>0</v>
      </c>
      <c r="EB173" s="152">
        <v>0</v>
      </c>
      <c r="EC173" s="52">
        <f t="shared" si="150"/>
        <v>0</v>
      </c>
      <c r="ED173" s="52">
        <f t="shared" si="150"/>
        <v>0</v>
      </c>
      <c r="EE173" s="52">
        <f t="shared" si="150"/>
        <v>0</v>
      </c>
      <c r="EF173" s="52">
        <f t="shared" si="150"/>
        <v>0</v>
      </c>
      <c r="EG173" s="52">
        <f t="shared" si="151"/>
        <v>0</v>
      </c>
      <c r="EH173" s="238">
        <v>0</v>
      </c>
      <c r="EI173" s="211">
        <v>0</v>
      </c>
      <c r="EJ173" s="211">
        <v>0</v>
      </c>
      <c r="EK173" s="211">
        <v>0</v>
      </c>
      <c r="EL173" s="217">
        <f>IF(C173&gt;=Summary!$E$26,MAX(0,SUM(EH173:EK173)),0)</f>
        <v>0</v>
      </c>
      <c r="EM173" s="52">
        <f>IF(C173&gt;=Summary!$E$26,DX173*BL173,0)</f>
        <v>0</v>
      </c>
      <c r="EN173" s="52">
        <f>IF(C173&gt;=Summary!$E$26,DY173*BM173,0)</f>
        <v>0</v>
      </c>
      <c r="EO173" s="52">
        <f>IF(C173&gt;=Summary!$E$26,DZ173*BN173,0)</f>
        <v>0</v>
      </c>
      <c r="EP173" s="52">
        <f>IF(C173&gt;=Summary!$E$26,EA173*BO173,0)</f>
        <v>0</v>
      </c>
      <c r="EQ173" s="52">
        <f>IF(C173&gt;=Summary!$E$26,DX173*BL173+DY173*BM173+DZ173*BN173+EA173*BO173,0)</f>
        <v>0</v>
      </c>
      <c r="ER173" s="826">
        <v>0</v>
      </c>
      <c r="ES173" s="278">
        <v>0</v>
      </c>
      <c r="ET173" s="278">
        <v>0</v>
      </c>
      <c r="EU173" s="278">
        <v>0</v>
      </c>
      <c r="EV173" s="212">
        <f>IF(C173&gt;=Summary!$E$26,MAX(0,SUM(ER173:EU173)),0)</f>
        <v>0</v>
      </c>
      <c r="EW173" s="52"/>
      <c r="EX173" s="1049">
        <f t="shared" si="152"/>
        <v>0</v>
      </c>
      <c r="EY173" s="1045" t="str">
        <f t="shared" si="153"/>
        <v/>
      </c>
      <c r="EZ173" s="1684" t="s">
        <v>525</v>
      </c>
      <c r="FA173" s="1046">
        <f t="shared" si="166"/>
        <v>45</v>
      </c>
      <c r="FB173" s="256">
        <f t="shared" si="154"/>
        <v>9751.5</v>
      </c>
      <c r="FC173" s="194">
        <f t="shared" si="155"/>
        <v>2925.45</v>
      </c>
      <c r="FD173" s="194">
        <f t="shared" si="156"/>
        <v>1773</v>
      </c>
      <c r="FE173" s="194">
        <f t="shared" si="157"/>
        <v>531.9</v>
      </c>
      <c r="FF173" s="194">
        <f t="shared" si="158"/>
        <v>2216.25</v>
      </c>
      <c r="FG173" s="194">
        <f t="shared" si="159"/>
        <v>664.875</v>
      </c>
      <c r="FH173" s="257">
        <f>IF(EZ173="No",IF((OR(MONTH(C173)=5,MONTH(C173)=6,MONTH(C173)=7,MONTH(C173)=8,MONTH(C173)=9)),Summary!$O$15*12*(AX173+AY173+AZ173+BA173)*(1-$BC173),Summary!$O$15*13*(AX173+AY173+AZ173+BA173)*(1-$BC173)+IF(Summary!$O$16="Yes",(CALC!FA173+Summary!$O$15)*6*(AX173+AY173+AZ173+BA173)*(1-$BC173),0)),0)</f>
        <v>0</v>
      </c>
      <c r="FI173" s="1412">
        <f>IF(MONTH(C173)=5,FI172*(IF(Summary!$E$70="no",(1+(Summary!$E$71*0.8)),1+HLOOKUP(YEAR(C173)-1,CCFMODEL!$I$127:$AF$128,2)*0.8)),+FI172)</f>
        <v>36.209548345147553</v>
      </c>
      <c r="FJ173" s="1411">
        <f>IF(MONTH(C173)=5,FJ172*(IF(Summary!$E$70="no",(1+(Summary!$E$71*0.8)),1+HLOOKUP(YEAR(CALC!C173)-1,CCFMODEL!$I$127:$AF$128,2)*0.8)),FJ172)</f>
        <v>31.64771548276676</v>
      </c>
      <c r="FK173" s="832">
        <f t="shared" si="127"/>
        <v>646810.25685066206</v>
      </c>
      <c r="FL173" s="1412">
        <f>IF(MONTH(C173)=5,FL172*(IF(Summary!$E$70="no",(1+(Summary!$E$71*0.8)),1+HLOOKUP(YEAR(CALC!C173)-1,CCFMODEL!$I$127:$AF$128,2)*0.8)),+FL172)</f>
        <v>76.152739658017452</v>
      </c>
      <c r="FM173" s="1411">
        <f>IF(MONTH(C173)=5,FM172*(IF(Summary!$E$70="no",(1+(Summary!$E$71*0.8)),1+HLOOKUP(YEAR(CALC!C173)-1,CCFMODEL!$I$127:$AF$128,2)*0.8)),+FM172)</f>
        <v>36.345317180337453</v>
      </c>
      <c r="FN173" s="832">
        <f t="shared" si="128"/>
        <v>659122.32706541975</v>
      </c>
      <c r="FO173" s="194">
        <f t="shared" si="160"/>
        <v>1305932.5839160818</v>
      </c>
      <c r="FP173" s="263">
        <f t="shared" si="125"/>
        <v>9751.5</v>
      </c>
      <c r="FQ173" s="194">
        <f t="shared" si="125"/>
        <v>2925.45</v>
      </c>
      <c r="FR173" s="194">
        <f t="shared" si="125"/>
        <v>1773</v>
      </c>
      <c r="FS173" s="194">
        <f t="shared" si="125"/>
        <v>531.9</v>
      </c>
      <c r="FT173" s="194">
        <f t="shared" si="125"/>
        <v>2216.25</v>
      </c>
      <c r="FU173" s="194">
        <f t="shared" si="125"/>
        <v>664.875</v>
      </c>
      <c r="FV173" s="257">
        <f t="shared" si="124"/>
        <v>0</v>
      </c>
      <c r="FW173" s="189">
        <f t="shared" si="129"/>
        <v>0</v>
      </c>
      <c r="FX173" s="189">
        <f t="shared" si="130"/>
        <v>0</v>
      </c>
      <c r="FY173" s="189">
        <f t="shared" si="131"/>
        <v>0</v>
      </c>
      <c r="FZ173" s="258">
        <f t="shared" si="132"/>
        <v>0</v>
      </c>
      <c r="GA173" s="1294">
        <f>(SUM(FP173:FV173)+SUM(GU173:HB173)/(1-Summary!$O$25))*CY173/1000</f>
        <v>235939.39084398959</v>
      </c>
      <c r="GB173" s="1369">
        <f>IF($C173&lt;Summary!$M$81,+Summary!$O$81,VLOOKUP(C173,GasTable,19))</f>
        <v>3.7739008599891157</v>
      </c>
      <c r="GC173" s="1370">
        <f>IF(H173&lt;=Summary!$N$84,MIN(GA173,Summary!$O$75*(H173-G173+1)),0)</f>
        <v>0</v>
      </c>
      <c r="GD173" s="1371">
        <f>IF(C173&lt;Summary!$N$84,IF(Summary!$O$75*(H173-G173+1)*0.8&gt;GC173,1,0),0)</f>
        <v>0</v>
      </c>
      <c r="GE173" s="1372">
        <v>0</v>
      </c>
      <c r="GF173" s="1370">
        <f t="shared" si="161"/>
        <v>235939.39084398959</v>
      </c>
      <c r="GG173" s="1371">
        <f>GF173*(IF(Summary!$O$74=1,VLOOKUP($C173,GasTable,16)+Summary!$O$92+Summary!$O$93,VLOOKUP($C173,GasTable,19)+Summary!$O$92+Summary!$O$93))</f>
        <v>902704.31227441237</v>
      </c>
      <c r="GH173" s="1373">
        <v>5849.5463329831291</v>
      </c>
      <c r="GI173" s="1466">
        <v>0</v>
      </c>
      <c r="GJ173" s="1374">
        <f t="shared" si="162"/>
        <v>908553.85860739555</v>
      </c>
      <c r="GK173" s="189">
        <f t="shared" si="133"/>
        <v>30062.012850000003</v>
      </c>
      <c r="GL173" s="266">
        <v>0.51821722448000007</v>
      </c>
      <c r="GM173" s="255">
        <f t="shared" si="134"/>
        <v>0</v>
      </c>
      <c r="GN173" s="189">
        <f>IF(SUM(GU173:HB173)=0,0,IF(Summary!$O$16="Yes",SUM(GX173:HB173),IF(Summary!$O$17="Yes",SUM(GY173:HB173),SUM(GU173:HB173))))</f>
        <v>12199.037849999999</v>
      </c>
      <c r="GO173" s="203">
        <v>3.4944134884426483</v>
      </c>
      <c r="GP173" s="258">
        <f t="shared" si="163"/>
        <v>42628.482409062402</v>
      </c>
      <c r="GQ173" s="189"/>
      <c r="GR173" s="189"/>
      <c r="GS173" s="189"/>
      <c r="GT173" s="189"/>
      <c r="GU173" s="268">
        <v>5646.1184999999996</v>
      </c>
      <c r="GV173" s="189">
        <v>1026.5670000000002</v>
      </c>
      <c r="GW173" s="189">
        <v>1283.20875</v>
      </c>
      <c r="GX173" s="189"/>
      <c r="GY173" s="254">
        <v>3011.2631999999999</v>
      </c>
      <c r="GZ173" s="189">
        <v>547.50239999999997</v>
      </c>
      <c r="HA173" s="189">
        <v>684.37800000000004</v>
      </c>
      <c r="HB173" s="255"/>
      <c r="HC173" s="189">
        <v>12199.037849999999</v>
      </c>
      <c r="HD173" s="189"/>
      <c r="HE173" s="189">
        <v>20950.521524999996</v>
      </c>
      <c r="HF173" s="189">
        <v>612777.93808170583</v>
      </c>
      <c r="HG173" s="189"/>
      <c r="HH173" s="203">
        <v>49.847005961004164</v>
      </c>
      <c r="HI173" s="189">
        <v>1044320.771342821</v>
      </c>
      <c r="HJ173" s="268">
        <f t="shared" si="135"/>
        <v>0</v>
      </c>
      <c r="HK173" s="189">
        <f t="shared" si="136"/>
        <v>0</v>
      </c>
      <c r="HL173" s="189">
        <f t="shared" si="137"/>
        <v>0</v>
      </c>
      <c r="HM173" s="255">
        <f t="shared" si="138"/>
        <v>0</v>
      </c>
      <c r="HN173" s="189">
        <f t="shared" si="139"/>
        <v>0</v>
      </c>
      <c r="HO173" s="203">
        <f t="shared" si="164"/>
        <v>0</v>
      </c>
      <c r="HP173" s="258">
        <f t="shared" si="140"/>
        <v>0</v>
      </c>
      <c r="HQ173" s="203"/>
      <c r="HR173" s="268"/>
      <c r="HS173" s="38"/>
      <c r="HT173" s="255"/>
      <c r="HU173" s="254"/>
      <c r="HV173" s="203"/>
      <c r="HW173" s="189"/>
      <c r="HX173" s="1020"/>
      <c r="HY173" s="258"/>
      <c r="HZ173" s="268"/>
      <c r="IA173" s="203"/>
      <c r="IB173" s="255"/>
      <c r="IC173" s="254"/>
      <c r="ID173" s="203"/>
      <c r="IE173" s="255"/>
      <c r="IF173" s="189"/>
      <c r="IG173" s="203"/>
      <c r="IH173" s="255"/>
      <c r="II173" s="189"/>
      <c r="IJ173" s="203"/>
      <c r="IK173" s="189"/>
      <c r="IL173" s="1182"/>
      <c r="IM173" s="1403"/>
      <c r="IN173" s="254"/>
      <c r="IO173" s="254"/>
      <c r="IP173" s="254"/>
      <c r="IQ173" s="254"/>
      <c r="IR173" s="223"/>
    </row>
    <row r="174" spans="1:252" ht="13.8" thickBot="1">
      <c r="A174" t="str">
        <f t="shared" si="141"/>
        <v>2013Q1</v>
      </c>
      <c r="B174">
        <f t="shared" si="142"/>
        <v>2013</v>
      </c>
      <c r="C174" s="49">
        <f t="shared" si="143"/>
        <v>41306</v>
      </c>
      <c r="D174" s="115">
        <f t="shared" si="144"/>
        <v>2013</v>
      </c>
      <c r="E174" s="10">
        <f t="shared" si="167"/>
        <v>2</v>
      </c>
      <c r="F174" s="248" t="str">
        <f t="shared" si="168"/>
        <v/>
      </c>
      <c r="G174" s="245">
        <v>41306</v>
      </c>
      <c r="H174" s="251">
        <v>41333</v>
      </c>
      <c r="I174" s="959">
        <f t="shared" si="165"/>
        <v>7.1499999999999994E-2</v>
      </c>
      <c r="J174" s="37">
        <f t="shared" si="145"/>
        <v>0.39388855932771033</v>
      </c>
      <c r="K174" s="1036"/>
      <c r="L174" s="37"/>
      <c r="M174" s="1004">
        <v>0</v>
      </c>
      <c r="N174" s="38">
        <f t="shared" si="174"/>
        <v>0</v>
      </c>
      <c r="O174" s="40">
        <f t="shared" si="174"/>
        <v>0</v>
      </c>
      <c r="P174" s="159">
        <f t="shared" si="172"/>
        <v>0</v>
      </c>
      <c r="Q174" s="38">
        <f t="shared" si="175"/>
        <v>0</v>
      </c>
      <c r="R174" s="40">
        <f t="shared" si="175"/>
        <v>0</v>
      </c>
      <c r="S174" s="38">
        <f t="shared" si="175"/>
        <v>0</v>
      </c>
      <c r="T174" s="38">
        <f t="shared" si="175"/>
        <v>0</v>
      </c>
      <c r="U174" s="38">
        <f t="shared" si="175"/>
        <v>0</v>
      </c>
      <c r="V174" s="159">
        <f t="shared" si="175"/>
        <v>0</v>
      </c>
      <c r="W174" s="38">
        <f t="shared" si="175"/>
        <v>0</v>
      </c>
      <c r="X174" s="39">
        <f t="shared" si="175"/>
        <v>0</v>
      </c>
      <c r="Y174" s="46">
        <v>0</v>
      </c>
      <c r="Z174" s="46">
        <v>0</v>
      </c>
      <c r="AA174" s="47">
        <v>0</v>
      </c>
      <c r="AB174" s="46">
        <v>0</v>
      </c>
      <c r="AC174" s="46">
        <v>0</v>
      </c>
      <c r="AD174" s="47">
        <v>0</v>
      </c>
      <c r="AE174" s="46">
        <v>0</v>
      </c>
      <c r="AF174" s="46">
        <v>0</v>
      </c>
      <c r="AG174" s="47">
        <v>0</v>
      </c>
      <c r="AH174" s="46">
        <v>0</v>
      </c>
      <c r="AI174" s="46">
        <v>0</v>
      </c>
      <c r="AJ174" s="47">
        <v>0</v>
      </c>
      <c r="AK174" s="46">
        <v>0</v>
      </c>
      <c r="AL174" s="46">
        <v>0</v>
      </c>
      <c r="AM174" s="47">
        <v>0</v>
      </c>
      <c r="AN174" s="46">
        <v>0</v>
      </c>
      <c r="AO174" s="46">
        <v>0</v>
      </c>
      <c r="AP174" s="47">
        <v>0</v>
      </c>
      <c r="AQ174" s="46">
        <v>0</v>
      </c>
      <c r="AR174" s="46">
        <v>0</v>
      </c>
      <c r="AS174" s="47">
        <v>0</v>
      </c>
      <c r="AT174" s="46">
        <v>0</v>
      </c>
      <c r="AU174" s="46">
        <v>0</v>
      </c>
      <c r="AV174" s="46">
        <v>0</v>
      </c>
      <c r="AW174" s="1545">
        <v>0</v>
      </c>
      <c r="AX174" s="10">
        <f t="shared" si="169"/>
        <v>20</v>
      </c>
      <c r="AY174" s="42">
        <f>IF(AND($E174=MONTH(Summary!$E$24),$D174=YEAR(Summary!$E$24)),Summary!$E$25,1)*IF(G174="",0,INT((H174-MOD(H174,7)-G174)/7)+1-IF(BA174,IF(WEEKDAY(F174)=7,1,0),0))</f>
        <v>4</v>
      </c>
      <c r="AZ174" s="42">
        <f>IF(AND($E174=MONTH(Summary!$E$24),$D174=YEAR(Summary!$E$24)),Summary!$E$25,1)*IF(G174="",0,INT((H174-MOD(H174-1,7)-G174)/7)+1-IF(BA174,IF(WEEKDAY(F174)=1,1,0),0))</f>
        <v>4</v>
      </c>
      <c r="BA174" s="42">
        <v>0</v>
      </c>
      <c r="BB174" s="10">
        <f>IF(AND($E174=MONTH(Summary!$E$24),$D174=YEAR(Summary!$E$24)),Summary!$E$25,1)*IF(G174="",0,H174-G174+1)</f>
        <v>28</v>
      </c>
      <c r="BC174" s="914">
        <f>Summary!$E$19</f>
        <v>1.4999999999999999E-2</v>
      </c>
      <c r="BD174" s="113">
        <v>14184</v>
      </c>
      <c r="BE174" s="171">
        <v>2836.8</v>
      </c>
      <c r="BF174" s="171">
        <v>2836.8</v>
      </c>
      <c r="BG174" s="174"/>
      <c r="BH174" s="1198">
        <v>1</v>
      </c>
      <c r="BI174" s="1198">
        <v>1</v>
      </c>
      <c r="BJ174" s="1198">
        <v>1</v>
      </c>
      <c r="BK174" s="1198">
        <v>1</v>
      </c>
      <c r="BL174" s="95">
        <v>2836.8</v>
      </c>
      <c r="BM174" s="171">
        <v>567.36</v>
      </c>
      <c r="BN174" s="171">
        <v>567.36</v>
      </c>
      <c r="BO174" s="174"/>
      <c r="BP174" s="1198">
        <v>1</v>
      </c>
      <c r="BQ174" s="1199">
        <v>1</v>
      </c>
      <c r="BR174" s="1199">
        <v>1</v>
      </c>
      <c r="BS174" s="1200">
        <v>1</v>
      </c>
      <c r="BT174" s="94">
        <f t="shared" si="146"/>
        <v>19857.599999999999</v>
      </c>
      <c r="BU174" s="233">
        <f t="shared" si="147"/>
        <v>19857.599999999999</v>
      </c>
      <c r="BV174" s="92">
        <f t="shared" si="148"/>
        <v>3971.5200000000004</v>
      </c>
      <c r="BW174" s="233">
        <f t="shared" si="149"/>
        <v>3971.5200000000004</v>
      </c>
      <c r="BX174" s="88">
        <v>13.13347022587269</v>
      </c>
      <c r="BY174" s="90">
        <v>0</v>
      </c>
      <c r="BZ174" s="88">
        <v>0</v>
      </c>
      <c r="CA174" s="88">
        <v>0</v>
      </c>
      <c r="CB174" s="88">
        <v>0</v>
      </c>
      <c r="CC174" s="88">
        <v>0</v>
      </c>
      <c r="CD174" s="88">
        <v>0</v>
      </c>
      <c r="CE174" s="100">
        <v>0</v>
      </c>
      <c r="CF174" s="88">
        <v>0</v>
      </c>
      <c r="CG174" s="88">
        <v>0</v>
      </c>
      <c r="CH174" s="88">
        <v>0</v>
      </c>
      <c r="CI174" s="88">
        <v>0</v>
      </c>
      <c r="CJ174" s="228">
        <v>0</v>
      </c>
      <c r="CK174" s="88">
        <v>0</v>
      </c>
      <c r="CL174" s="88">
        <v>0</v>
      </c>
      <c r="CM174" s="88">
        <v>0</v>
      </c>
      <c r="CN174" s="88">
        <v>0</v>
      </c>
      <c r="CO174" s="88">
        <v>0</v>
      </c>
      <c r="CP174" s="88">
        <v>0</v>
      </c>
      <c r="CQ174" s="229">
        <v>0</v>
      </c>
      <c r="CR174" s="91">
        <v>0</v>
      </c>
      <c r="CS174" s="91">
        <v>0</v>
      </c>
      <c r="CT174" s="91">
        <v>0</v>
      </c>
      <c r="CU174" s="91">
        <v>0</v>
      </c>
      <c r="CV174" s="91">
        <v>0</v>
      </c>
      <c r="CW174" s="91">
        <v>0</v>
      </c>
      <c r="CX174" s="225">
        <v>0</v>
      </c>
      <c r="CY174" s="1265">
        <v>7735.88832</v>
      </c>
      <c r="CZ174" s="90">
        <v>0</v>
      </c>
      <c r="DA174" s="88">
        <v>0</v>
      </c>
      <c r="DB174" s="88">
        <v>0</v>
      </c>
      <c r="DC174" s="88">
        <v>0</v>
      </c>
      <c r="DD174" s="88">
        <v>0</v>
      </c>
      <c r="DE174" s="152">
        <v>0</v>
      </c>
      <c r="DF174" s="230">
        <v>0</v>
      </c>
      <c r="DG174" s="38">
        <v>0</v>
      </c>
      <c r="DH174" s="1237">
        <v>0</v>
      </c>
      <c r="DI174" s="956">
        <v>0</v>
      </c>
      <c r="DJ174" s="956">
        <v>0</v>
      </c>
      <c r="DK174" s="956">
        <v>0</v>
      </c>
      <c r="DL174" s="152">
        <v>0</v>
      </c>
      <c r="DM174" s="160">
        <v>0</v>
      </c>
      <c r="DN174" s="160">
        <v>0</v>
      </c>
      <c r="DO174" s="160">
        <v>0</v>
      </c>
      <c r="DP174" s="160">
        <v>0</v>
      </c>
      <c r="DQ174" s="160">
        <v>0</v>
      </c>
      <c r="DR174" s="230">
        <v>0</v>
      </c>
      <c r="DS174" s="88">
        <v>0</v>
      </c>
      <c r="DT174" s="88">
        <v>0</v>
      </c>
      <c r="DU174" s="88">
        <v>0</v>
      </c>
      <c r="DV174" s="88">
        <v>0</v>
      </c>
      <c r="DW174" s="88">
        <v>0</v>
      </c>
      <c r="DX174" s="88">
        <v>0</v>
      </c>
      <c r="DY174" s="88">
        <v>0</v>
      </c>
      <c r="DZ174" s="88">
        <v>0</v>
      </c>
      <c r="EA174" s="88">
        <v>0</v>
      </c>
      <c r="EB174" s="152">
        <v>0</v>
      </c>
      <c r="EC174" s="52">
        <f t="shared" si="150"/>
        <v>0</v>
      </c>
      <c r="ED174" s="52">
        <f t="shared" si="150"/>
        <v>0</v>
      </c>
      <c r="EE174" s="52">
        <f t="shared" si="150"/>
        <v>0</v>
      </c>
      <c r="EF174" s="52">
        <f t="shared" si="150"/>
        <v>0</v>
      </c>
      <c r="EG174" s="52">
        <f t="shared" si="151"/>
        <v>0</v>
      </c>
      <c r="EH174" s="238">
        <v>0</v>
      </c>
      <c r="EI174" s="211">
        <v>0</v>
      </c>
      <c r="EJ174" s="211">
        <v>0</v>
      </c>
      <c r="EK174" s="211">
        <v>0</v>
      </c>
      <c r="EL174" s="217">
        <f>IF(C174&gt;=Summary!$E$26,MAX(0,SUM(EH174:EK174)),0)</f>
        <v>0</v>
      </c>
      <c r="EM174" s="52">
        <f>IF(C174&gt;=Summary!$E$26,DX174*BL174,0)</f>
        <v>0</v>
      </c>
      <c r="EN174" s="52">
        <f>IF(C174&gt;=Summary!$E$26,DY174*BM174,0)</f>
        <v>0</v>
      </c>
      <c r="EO174" s="52">
        <f>IF(C174&gt;=Summary!$E$26,DZ174*BN174,0)</f>
        <v>0</v>
      </c>
      <c r="EP174" s="52">
        <f>IF(C174&gt;=Summary!$E$26,EA174*BO174,0)</f>
        <v>0</v>
      </c>
      <c r="EQ174" s="52">
        <f>IF(C174&gt;=Summary!$E$26,DX174*BL174+DY174*BM174+DZ174*BN174+EA174*BO174,0)</f>
        <v>0</v>
      </c>
      <c r="ER174" s="826">
        <v>0</v>
      </c>
      <c r="ES174" s="278">
        <v>0</v>
      </c>
      <c r="ET174" s="278">
        <v>0</v>
      </c>
      <c r="EU174" s="278">
        <v>0</v>
      </c>
      <c r="EV174" s="212">
        <f>IF(C174&gt;=Summary!$E$26,MAX(0,SUM(ER174:EU174)),0)</f>
        <v>0</v>
      </c>
      <c r="EW174" s="52"/>
      <c r="EX174" s="1049">
        <f t="shared" si="152"/>
        <v>0</v>
      </c>
      <c r="EY174" s="1045" t="str">
        <f t="shared" si="153"/>
        <v/>
      </c>
      <c r="EZ174" s="1684" t="s">
        <v>525</v>
      </c>
      <c r="FA174" s="1046">
        <f t="shared" si="166"/>
        <v>45</v>
      </c>
      <c r="FB174" s="256">
        <f t="shared" si="154"/>
        <v>8865</v>
      </c>
      <c r="FC174" s="194">
        <f t="shared" si="155"/>
        <v>2659.5</v>
      </c>
      <c r="FD174" s="194">
        <f t="shared" si="156"/>
        <v>1773</v>
      </c>
      <c r="FE174" s="194">
        <f t="shared" si="157"/>
        <v>531.9</v>
      </c>
      <c r="FF174" s="194">
        <f t="shared" si="158"/>
        <v>1773</v>
      </c>
      <c r="FG174" s="194">
        <f t="shared" si="159"/>
        <v>531.9</v>
      </c>
      <c r="FH174" s="257">
        <f>IF(EZ174="No",IF((OR(MONTH(C174)=5,MONTH(C174)=6,MONTH(C174)=7,MONTH(C174)=8,MONTH(C174)=9)),Summary!$O$15*12*(AX174+AY174+AZ174+BA174)*(1-$BC174),Summary!$O$15*13*(AX174+AY174+AZ174+BA174)*(1-$BC174)+IF(Summary!$O$16="Yes",(CALC!FA174+Summary!$O$15)*6*(AX174+AY174+AZ174+BA174)*(1-$BC174),0)),0)</f>
        <v>0</v>
      </c>
      <c r="FI174" s="1412">
        <f>IF(MONTH(C174)=5,FI173*(IF(Summary!$E$70="no",(1+(Summary!$E$71*0.8)),1+HLOOKUP(YEAR(C174)-1,CCFMODEL!$I$127:$AF$128,2)*0.8)),+FI173)</f>
        <v>36.209548345147553</v>
      </c>
      <c r="FJ174" s="1411">
        <f>IF(MONTH(C174)=5,FJ173*(IF(Summary!$E$70="no",(1+(Summary!$E$71*0.8)),1+HLOOKUP(YEAR(CALC!C174)-1,CCFMODEL!$I$127:$AF$128,2)*0.8)),FJ173)</f>
        <v>31.64771548276676</v>
      </c>
      <c r="FK174" s="832">
        <f t="shared" si="127"/>
        <v>584215.71586511412</v>
      </c>
      <c r="FL174" s="1412">
        <f>IF(MONTH(C174)=5,FL173*(IF(Summary!$E$70="no",(1+(Summary!$E$71*0.8)),1+HLOOKUP(YEAR(CALC!C174)-1,CCFMODEL!$I$127:$AF$128,2)*0.8)),+FL173)</f>
        <v>76.152739658017452</v>
      </c>
      <c r="FM174" s="1411">
        <f>IF(MONTH(C174)=5,FM173*(IF(Summary!$E$70="no",(1+(Summary!$E$71*0.8)),1+HLOOKUP(YEAR(CALC!C174)-1,CCFMODEL!$I$127:$AF$128,2)*0.8)),+FM173)</f>
        <v>36.345317180337453</v>
      </c>
      <c r="FN174" s="832">
        <f t="shared" si="128"/>
        <v>595336.29541392752</v>
      </c>
      <c r="FO174" s="194">
        <f t="shared" si="160"/>
        <v>1179552.0112790416</v>
      </c>
      <c r="FP174" s="263">
        <f t="shared" si="125"/>
        <v>8865</v>
      </c>
      <c r="FQ174" s="194">
        <f t="shared" si="125"/>
        <v>2659.5</v>
      </c>
      <c r="FR174" s="194">
        <f t="shared" si="125"/>
        <v>1773</v>
      </c>
      <c r="FS174" s="194">
        <f t="shared" si="125"/>
        <v>531.9</v>
      </c>
      <c r="FT174" s="194">
        <f t="shared" si="125"/>
        <v>1773</v>
      </c>
      <c r="FU174" s="194">
        <f t="shared" si="125"/>
        <v>531.9</v>
      </c>
      <c r="FV174" s="257">
        <f t="shared" si="124"/>
        <v>0</v>
      </c>
      <c r="FW174" s="189">
        <f t="shared" si="129"/>
        <v>0</v>
      </c>
      <c r="FX174" s="189">
        <f t="shared" si="130"/>
        <v>0</v>
      </c>
      <c r="FY174" s="189">
        <f t="shared" si="131"/>
        <v>0</v>
      </c>
      <c r="FZ174" s="258">
        <f t="shared" si="132"/>
        <v>0</v>
      </c>
      <c r="GA174" s="1294">
        <f>(SUM(FP174:FV174)+SUM(GU174:HB174)/(1-Summary!$O$25))*CY174/1000</f>
        <v>213142.44406573439</v>
      </c>
      <c r="GB174" s="1369">
        <f>IF($C174&lt;Summary!$M$81,+Summary!$O$81,VLOOKUP(C174,GasTable,19))</f>
        <v>3.4856398717178552</v>
      </c>
      <c r="GC174" s="1370">
        <f>IF(H174&lt;=Summary!$N$84,MIN(GA174,Summary!$O$75*(H174-G174+1)),0)</f>
        <v>0</v>
      </c>
      <c r="GD174" s="1371">
        <f>IF(C174&lt;Summary!$N$84,IF(Summary!$O$75*(H174-G174+1)*0.8&gt;GC174,1,0),0)</f>
        <v>0</v>
      </c>
      <c r="GE174" s="1372">
        <v>0</v>
      </c>
      <c r="GF174" s="1370">
        <f t="shared" si="161"/>
        <v>213142.44406573439</v>
      </c>
      <c r="GG174" s="1371">
        <f>GF174*(IF(Summary!$O$74=1,VLOOKUP($C174,GasTable,16)+Summary!$O$92+Summary!$O$93,VLOOKUP($C174,GasTable,19)+Summary!$O$92+Summary!$O$93))</f>
        <v>754042.52272674139</v>
      </c>
      <c r="GH174" s="1373">
        <v>4879.8958204049968</v>
      </c>
      <c r="GI174" s="1466">
        <v>0</v>
      </c>
      <c r="GJ174" s="1374">
        <f t="shared" si="162"/>
        <v>758922.41854714637</v>
      </c>
      <c r="GK174" s="189">
        <f t="shared" si="133"/>
        <v>27152.785799999998</v>
      </c>
      <c r="GL174" s="266">
        <v>0.51830451744000006</v>
      </c>
      <c r="GM174" s="255">
        <f t="shared" si="134"/>
        <v>0</v>
      </c>
      <c r="GN174" s="189">
        <f>IF(SUM(GU174:HB174)=0,0,IF(Summary!$O$16="Yes",SUM(GX174:HB174),IF(Summary!$O$17="Yes",SUM(GY174:HB174),SUM(GU174:HB174))))</f>
        <v>11018.485799999999</v>
      </c>
      <c r="GO174" s="203">
        <v>3.4944134884426483</v>
      </c>
      <c r="GP174" s="258">
        <f t="shared" si="163"/>
        <v>38503.145401733782</v>
      </c>
      <c r="GQ174" s="189"/>
      <c r="GR174" s="189"/>
      <c r="GS174" s="189"/>
      <c r="GT174" s="189"/>
      <c r="GU174" s="268">
        <v>5132.835</v>
      </c>
      <c r="GV174" s="189">
        <v>1026.5670000000002</v>
      </c>
      <c r="GW174" s="189">
        <v>1026.5670000000002</v>
      </c>
      <c r="GX174" s="189"/>
      <c r="GY174" s="254">
        <v>2737.5120000000002</v>
      </c>
      <c r="GZ174" s="189">
        <v>547.50239999999997</v>
      </c>
      <c r="HA174" s="189">
        <v>547.50239999999997</v>
      </c>
      <c r="HB174" s="255"/>
      <c r="HC174" s="189">
        <v>11018.485799999999</v>
      </c>
      <c r="HD174" s="189"/>
      <c r="HE174" s="189">
        <v>18923.051699999996</v>
      </c>
      <c r="HF174" s="189">
        <v>453812.126848449</v>
      </c>
      <c r="HG174" s="189"/>
      <c r="HH174" s="203">
        <v>40.878938785432958</v>
      </c>
      <c r="HI174" s="189">
        <v>773554.2720778829</v>
      </c>
      <c r="HJ174" s="268">
        <f t="shared" si="135"/>
        <v>0</v>
      </c>
      <c r="HK174" s="189">
        <f t="shared" si="136"/>
        <v>0</v>
      </c>
      <c r="HL174" s="189">
        <f t="shared" si="137"/>
        <v>0</v>
      </c>
      <c r="HM174" s="255">
        <f t="shared" si="138"/>
        <v>0</v>
      </c>
      <c r="HN174" s="189">
        <f t="shared" si="139"/>
        <v>0</v>
      </c>
      <c r="HO174" s="203">
        <f t="shared" si="164"/>
        <v>0</v>
      </c>
      <c r="HP174" s="258">
        <f t="shared" si="140"/>
        <v>0</v>
      </c>
      <c r="HQ174" s="203"/>
      <c r="HR174" s="268"/>
      <c r="HS174" s="38"/>
      <c r="HT174" s="255"/>
      <c r="HU174" s="254"/>
      <c r="HV174" s="203"/>
      <c r="HW174" s="189"/>
      <c r="HX174" s="1020"/>
      <c r="HY174" s="258"/>
      <c r="HZ174" s="268"/>
      <c r="IA174" s="203"/>
      <c r="IB174" s="255"/>
      <c r="IC174" s="254"/>
      <c r="ID174" s="203"/>
      <c r="IE174" s="255"/>
      <c r="IF174" s="189"/>
      <c r="IG174" s="203"/>
      <c r="IH174" s="255"/>
      <c r="II174" s="189"/>
      <c r="IJ174" s="203"/>
      <c r="IK174" s="189"/>
      <c r="IL174" s="1182"/>
      <c r="IM174" s="1403"/>
      <c r="IN174" s="254"/>
      <c r="IO174" s="254"/>
      <c r="IP174" s="254"/>
      <c r="IQ174" s="254"/>
      <c r="IR174" s="223"/>
    </row>
    <row r="175" spans="1:252" ht="13.8" thickBot="1">
      <c r="A175" t="str">
        <f t="shared" si="141"/>
        <v>2013Q1</v>
      </c>
      <c r="B175">
        <f t="shared" si="142"/>
        <v>2013</v>
      </c>
      <c r="C175" s="49">
        <f t="shared" si="143"/>
        <v>41334</v>
      </c>
      <c r="D175" s="115">
        <f t="shared" si="144"/>
        <v>2013</v>
      </c>
      <c r="E175" s="10">
        <f t="shared" si="167"/>
        <v>3</v>
      </c>
      <c r="F175" s="248" t="str">
        <f t="shared" si="168"/>
        <v/>
      </c>
      <c r="G175" s="245">
        <v>41334</v>
      </c>
      <c r="H175" s="251">
        <v>41364</v>
      </c>
      <c r="I175" s="959">
        <f t="shared" si="165"/>
        <v>7.1499999999999994E-2</v>
      </c>
      <c r="J175" s="37">
        <f t="shared" si="145"/>
        <v>0.39154699019125994</v>
      </c>
      <c r="K175" s="1036"/>
      <c r="L175" s="37"/>
      <c r="M175" s="1004">
        <v>0</v>
      </c>
      <c r="N175" s="38">
        <f t="shared" si="174"/>
        <v>0</v>
      </c>
      <c r="O175" s="40">
        <f t="shared" si="174"/>
        <v>0</v>
      </c>
      <c r="P175" s="159">
        <f t="shared" si="172"/>
        <v>0</v>
      </c>
      <c r="Q175" s="38">
        <f t="shared" si="175"/>
        <v>0</v>
      </c>
      <c r="R175" s="40">
        <f t="shared" si="175"/>
        <v>0</v>
      </c>
      <c r="S175" s="38">
        <f t="shared" si="175"/>
        <v>0</v>
      </c>
      <c r="T175" s="38">
        <f t="shared" si="175"/>
        <v>0</v>
      </c>
      <c r="U175" s="38">
        <f t="shared" si="175"/>
        <v>0</v>
      </c>
      <c r="V175" s="159">
        <f t="shared" si="175"/>
        <v>0</v>
      </c>
      <c r="W175" s="38">
        <f t="shared" si="175"/>
        <v>0</v>
      </c>
      <c r="X175" s="39">
        <f t="shared" si="175"/>
        <v>0</v>
      </c>
      <c r="Y175" s="46">
        <v>0</v>
      </c>
      <c r="Z175" s="46">
        <v>0</v>
      </c>
      <c r="AA175" s="47">
        <v>0</v>
      </c>
      <c r="AB175" s="46">
        <v>0</v>
      </c>
      <c r="AC175" s="46">
        <v>0</v>
      </c>
      <c r="AD175" s="47">
        <v>0</v>
      </c>
      <c r="AE175" s="46">
        <v>0</v>
      </c>
      <c r="AF175" s="46">
        <v>0</v>
      </c>
      <c r="AG175" s="47">
        <v>0</v>
      </c>
      <c r="AH175" s="46">
        <v>0</v>
      </c>
      <c r="AI175" s="46">
        <v>0</v>
      </c>
      <c r="AJ175" s="47">
        <v>0</v>
      </c>
      <c r="AK175" s="46">
        <v>0</v>
      </c>
      <c r="AL175" s="46">
        <v>0</v>
      </c>
      <c r="AM175" s="47">
        <v>0</v>
      </c>
      <c r="AN175" s="46">
        <v>0</v>
      </c>
      <c r="AO175" s="46">
        <v>0</v>
      </c>
      <c r="AP175" s="47">
        <v>0</v>
      </c>
      <c r="AQ175" s="46">
        <v>0</v>
      </c>
      <c r="AR175" s="46">
        <v>0</v>
      </c>
      <c r="AS175" s="47">
        <v>0</v>
      </c>
      <c r="AT175" s="46">
        <v>0</v>
      </c>
      <c r="AU175" s="46">
        <v>0</v>
      </c>
      <c r="AV175" s="46">
        <v>0</v>
      </c>
      <c r="AW175" s="1545">
        <v>0</v>
      </c>
      <c r="AX175" s="10">
        <f t="shared" si="169"/>
        <v>21</v>
      </c>
      <c r="AY175" s="42">
        <f>IF(AND($E175=MONTH(Summary!$E$24),$D175=YEAR(Summary!$E$24)),Summary!$E$25,1)*IF(G175="",0,INT((H175-MOD(H175,7)-G175)/7)+1-IF(BA175,IF(WEEKDAY(F175)=7,1,0),0))</f>
        <v>5</v>
      </c>
      <c r="AZ175" s="42">
        <f>IF(AND($E175=MONTH(Summary!$E$24),$D175=YEAR(Summary!$E$24)),Summary!$E$25,1)*IF(G175="",0,INT((H175-MOD(H175-1,7)-G175)/7)+1-IF(BA175,IF(WEEKDAY(F175)=1,1,0),0))</f>
        <v>5</v>
      </c>
      <c r="BA175" s="42">
        <v>0</v>
      </c>
      <c r="BB175" s="10">
        <f>IF(AND($E175=MONTH(Summary!$E$24),$D175=YEAR(Summary!$E$24)),Summary!$E$25,1)*IF(G175="",0,H175-G175+1)</f>
        <v>31</v>
      </c>
      <c r="BC175" s="914">
        <f>Summary!$E$19</f>
        <v>1.4999999999999999E-2</v>
      </c>
      <c r="BD175" s="113">
        <v>14893.2</v>
      </c>
      <c r="BE175" s="171">
        <v>3546</v>
      </c>
      <c r="BF175" s="171">
        <v>3546</v>
      </c>
      <c r="BG175" s="174"/>
      <c r="BH175" s="1198">
        <v>1</v>
      </c>
      <c r="BI175" s="1198">
        <v>1</v>
      </c>
      <c r="BJ175" s="1198">
        <v>1</v>
      </c>
      <c r="BK175" s="1198">
        <v>1</v>
      </c>
      <c r="BL175" s="95">
        <v>2978.64</v>
      </c>
      <c r="BM175" s="171">
        <v>709.2</v>
      </c>
      <c r="BN175" s="171">
        <v>709.2</v>
      </c>
      <c r="BO175" s="174"/>
      <c r="BP175" s="1198">
        <v>1</v>
      </c>
      <c r="BQ175" s="1199">
        <v>1</v>
      </c>
      <c r="BR175" s="1199">
        <v>1</v>
      </c>
      <c r="BS175" s="1200">
        <v>1</v>
      </c>
      <c r="BT175" s="94">
        <f t="shared" si="146"/>
        <v>21985.200000000001</v>
      </c>
      <c r="BU175" s="233">
        <f t="shared" si="147"/>
        <v>21985.200000000001</v>
      </c>
      <c r="BV175" s="92">
        <f t="shared" si="148"/>
        <v>4397.04</v>
      </c>
      <c r="BW175" s="233">
        <f t="shared" si="149"/>
        <v>4397.04</v>
      </c>
      <c r="BX175" s="88">
        <v>13.210130047912388</v>
      </c>
      <c r="BY175" s="90">
        <v>0</v>
      </c>
      <c r="BZ175" s="88">
        <v>0</v>
      </c>
      <c r="CA175" s="88">
        <v>0</v>
      </c>
      <c r="CB175" s="88">
        <v>0</v>
      </c>
      <c r="CC175" s="88">
        <v>0</v>
      </c>
      <c r="CD175" s="88">
        <v>0</v>
      </c>
      <c r="CE175" s="100">
        <v>0</v>
      </c>
      <c r="CF175" s="88">
        <v>0</v>
      </c>
      <c r="CG175" s="88">
        <v>0</v>
      </c>
      <c r="CH175" s="88">
        <v>0</v>
      </c>
      <c r="CI175" s="88">
        <v>0</v>
      </c>
      <c r="CJ175" s="228">
        <v>0</v>
      </c>
      <c r="CK175" s="88">
        <v>0</v>
      </c>
      <c r="CL175" s="88">
        <v>0</v>
      </c>
      <c r="CM175" s="88">
        <v>0</v>
      </c>
      <c r="CN175" s="88">
        <v>0</v>
      </c>
      <c r="CO175" s="88">
        <v>0</v>
      </c>
      <c r="CP175" s="88">
        <v>0</v>
      </c>
      <c r="CQ175" s="229">
        <v>0</v>
      </c>
      <c r="CR175" s="91">
        <v>0</v>
      </c>
      <c r="CS175" s="91">
        <v>0</v>
      </c>
      <c r="CT175" s="91">
        <v>0</v>
      </c>
      <c r="CU175" s="91">
        <v>0</v>
      </c>
      <c r="CV175" s="91">
        <v>0</v>
      </c>
      <c r="CW175" s="91">
        <v>0</v>
      </c>
      <c r="CX175" s="225">
        <v>0</v>
      </c>
      <c r="CY175" s="1265">
        <v>7737.1911999999993</v>
      </c>
      <c r="CZ175" s="90">
        <v>0</v>
      </c>
      <c r="DA175" s="88">
        <v>0</v>
      </c>
      <c r="DB175" s="88">
        <v>0</v>
      </c>
      <c r="DC175" s="88">
        <v>0</v>
      </c>
      <c r="DD175" s="88">
        <v>0</v>
      </c>
      <c r="DE175" s="152">
        <v>0</v>
      </c>
      <c r="DF175" s="230">
        <v>0</v>
      </c>
      <c r="DG175" s="38">
        <v>0</v>
      </c>
      <c r="DH175" s="1237">
        <v>0</v>
      </c>
      <c r="DI175" s="956">
        <v>0</v>
      </c>
      <c r="DJ175" s="956">
        <v>0</v>
      </c>
      <c r="DK175" s="956">
        <v>0</v>
      </c>
      <c r="DL175" s="152">
        <v>0</v>
      </c>
      <c r="DM175" s="160">
        <v>0</v>
      </c>
      <c r="DN175" s="160">
        <v>0</v>
      </c>
      <c r="DO175" s="160">
        <v>0</v>
      </c>
      <c r="DP175" s="160">
        <v>0</v>
      </c>
      <c r="DQ175" s="160">
        <v>0</v>
      </c>
      <c r="DR175" s="230">
        <v>0</v>
      </c>
      <c r="DS175" s="88">
        <v>0</v>
      </c>
      <c r="DT175" s="88">
        <v>0</v>
      </c>
      <c r="DU175" s="88">
        <v>0</v>
      </c>
      <c r="DV175" s="88">
        <v>0</v>
      </c>
      <c r="DW175" s="88">
        <v>0</v>
      </c>
      <c r="DX175" s="88">
        <v>0</v>
      </c>
      <c r="DY175" s="88">
        <v>0</v>
      </c>
      <c r="DZ175" s="88">
        <v>0</v>
      </c>
      <c r="EA175" s="88">
        <v>0</v>
      </c>
      <c r="EB175" s="152">
        <v>0</v>
      </c>
      <c r="EC175" s="52">
        <f t="shared" si="150"/>
        <v>0</v>
      </c>
      <c r="ED175" s="52">
        <f t="shared" si="150"/>
        <v>0</v>
      </c>
      <c r="EE175" s="52">
        <f t="shared" si="150"/>
        <v>0</v>
      </c>
      <c r="EF175" s="52">
        <f t="shared" si="150"/>
        <v>0</v>
      </c>
      <c r="EG175" s="52">
        <f t="shared" si="151"/>
        <v>0</v>
      </c>
      <c r="EH175" s="238">
        <v>0</v>
      </c>
      <c r="EI175" s="211">
        <v>0</v>
      </c>
      <c r="EJ175" s="211">
        <v>0</v>
      </c>
      <c r="EK175" s="211">
        <v>0</v>
      </c>
      <c r="EL175" s="217">
        <f>IF(C175&gt;=Summary!$E$26,MAX(0,SUM(EH175:EK175)),0)</f>
        <v>0</v>
      </c>
      <c r="EM175" s="52">
        <f>IF(C175&gt;=Summary!$E$26,DX175*BL175,0)</f>
        <v>0</v>
      </c>
      <c r="EN175" s="52">
        <f>IF(C175&gt;=Summary!$E$26,DY175*BM175,0)</f>
        <v>0</v>
      </c>
      <c r="EO175" s="52">
        <f>IF(C175&gt;=Summary!$E$26,DZ175*BN175,0)</f>
        <v>0</v>
      </c>
      <c r="EP175" s="52">
        <f>IF(C175&gt;=Summary!$E$26,EA175*BO175,0)</f>
        <v>0</v>
      </c>
      <c r="EQ175" s="52">
        <f>IF(C175&gt;=Summary!$E$26,DX175*BL175+DY175*BM175+DZ175*BN175+EA175*BO175,0)</f>
        <v>0</v>
      </c>
      <c r="ER175" s="826">
        <v>0</v>
      </c>
      <c r="ES175" s="278">
        <v>0</v>
      </c>
      <c r="ET175" s="278">
        <v>0</v>
      </c>
      <c r="EU175" s="278">
        <v>0</v>
      </c>
      <c r="EV175" s="212">
        <f>IF(C175&gt;=Summary!$E$26,MAX(0,SUM(ER175:EU175)),0)</f>
        <v>0</v>
      </c>
      <c r="EW175" s="52"/>
      <c r="EX175" s="1049">
        <f t="shared" si="152"/>
        <v>0</v>
      </c>
      <c r="EY175" s="1045" t="str">
        <f t="shared" si="153"/>
        <v/>
      </c>
      <c r="EZ175" s="1684" t="s">
        <v>525</v>
      </c>
      <c r="FA175" s="1046">
        <f t="shared" si="166"/>
        <v>45</v>
      </c>
      <c r="FB175" s="256">
        <f t="shared" si="154"/>
        <v>9308.25</v>
      </c>
      <c r="FC175" s="194">
        <f t="shared" si="155"/>
        <v>2792.4749999999999</v>
      </c>
      <c r="FD175" s="194">
        <f t="shared" si="156"/>
        <v>2216.25</v>
      </c>
      <c r="FE175" s="194">
        <f t="shared" si="157"/>
        <v>664.875</v>
      </c>
      <c r="FF175" s="194">
        <f t="shared" si="158"/>
        <v>2216.25</v>
      </c>
      <c r="FG175" s="194">
        <f t="shared" si="159"/>
        <v>664.875</v>
      </c>
      <c r="FH175" s="257">
        <f>IF(EZ175="No",IF((OR(MONTH(C175)=5,MONTH(C175)=6,MONTH(C175)=7,MONTH(C175)=8,MONTH(C175)=9)),Summary!$O$15*12*(AX175+AY175+AZ175+BA175)*(1-$BC175),Summary!$O$15*13*(AX175+AY175+AZ175+BA175)*(1-$BC175)+IF(Summary!$O$16="Yes",(CALC!FA175+Summary!$O$15)*6*(AX175+AY175+AZ175+BA175)*(1-$BC175),0)),0)</f>
        <v>0</v>
      </c>
      <c r="FI175" s="1412">
        <f>IF(MONTH(C175)=5,FI174*(IF(Summary!$E$70="no",(1+(Summary!$E$71*0.8)),1+HLOOKUP(YEAR(C175)-1,CCFMODEL!$I$127:$AF$128,2)*0.8)),+FI174)</f>
        <v>36.209548345147553</v>
      </c>
      <c r="FJ175" s="1411">
        <f>IF(MONTH(C175)=5,FJ174*(IF(Summary!$E$70="no",(1+(Summary!$E$71*0.8)),1+HLOOKUP(YEAR(CALC!C175)-1,CCFMODEL!$I$127:$AF$128,2)*0.8)),FJ174)</f>
        <v>31.64771548276676</v>
      </c>
      <c r="FK175" s="832">
        <f t="shared" si="127"/>
        <v>646810.25685066206</v>
      </c>
      <c r="FL175" s="1412">
        <f>IF(MONTH(C175)=5,FL174*(IF(Summary!$E$70="no",(1+(Summary!$E$71*0.8)),1+HLOOKUP(YEAR(CALC!C175)-1,CCFMODEL!$I$127:$AF$128,2)*0.8)),+FL174)</f>
        <v>76.152739658017452</v>
      </c>
      <c r="FM175" s="1411">
        <f>IF(MONTH(C175)=5,FM174*(IF(Summary!$E$70="no",(1+(Summary!$E$71*0.8)),1+HLOOKUP(YEAR(CALC!C175)-1,CCFMODEL!$I$127:$AF$128,2)*0.8)),+FM174)</f>
        <v>36.345317180337453</v>
      </c>
      <c r="FN175" s="832">
        <f t="shared" si="128"/>
        <v>659122.32706541975</v>
      </c>
      <c r="FO175" s="194">
        <f t="shared" si="160"/>
        <v>1305932.5839160818</v>
      </c>
      <c r="FP175" s="263">
        <f t="shared" si="125"/>
        <v>9308.25</v>
      </c>
      <c r="FQ175" s="194">
        <f t="shared" si="125"/>
        <v>2792.4749999999999</v>
      </c>
      <c r="FR175" s="194">
        <f t="shared" si="125"/>
        <v>2216.25</v>
      </c>
      <c r="FS175" s="194">
        <f t="shared" si="125"/>
        <v>664.875</v>
      </c>
      <c r="FT175" s="194">
        <f t="shared" si="125"/>
        <v>2216.25</v>
      </c>
      <c r="FU175" s="194">
        <f t="shared" si="125"/>
        <v>664.875</v>
      </c>
      <c r="FV175" s="257">
        <f t="shared" si="124"/>
        <v>0</v>
      </c>
      <c r="FW175" s="189">
        <f t="shared" si="129"/>
        <v>0</v>
      </c>
      <c r="FX175" s="189">
        <f t="shared" si="130"/>
        <v>0</v>
      </c>
      <c r="FY175" s="189">
        <f t="shared" si="131"/>
        <v>0</v>
      </c>
      <c r="FZ175" s="258">
        <f t="shared" si="132"/>
        <v>0</v>
      </c>
      <c r="GA175" s="1294">
        <f>(SUM(FP175:FV175)+SUM(GU175:HB175)/(1-Summary!$O$25))*CY175/1000</f>
        <v>236018.87815870799</v>
      </c>
      <c r="GB175" s="1369">
        <f>IF($C175&lt;Summary!$M$81,+Summary!$O$81,VLOOKUP(C175,GasTable,19))</f>
        <v>3.2985187206675644</v>
      </c>
      <c r="GC175" s="1370">
        <f>IF(H175&lt;=Summary!$N$84,MIN(GA175,Summary!$O$75*(H175-G175+1)),0)</f>
        <v>0</v>
      </c>
      <c r="GD175" s="1371">
        <f>IF(C175&lt;Summary!$N$84,IF(Summary!$O$75*(H175-G175+1)*0.8&gt;GC175,1,0),0)</f>
        <v>0</v>
      </c>
      <c r="GE175" s="1372">
        <v>0</v>
      </c>
      <c r="GF175" s="1370">
        <f t="shared" si="161"/>
        <v>236018.87815870799</v>
      </c>
      <c r="GG175" s="1371">
        <f>GF175*(IF(Summary!$O$74=1,VLOOKUP($C175,GasTable,16)+Summary!$O$92+Summary!$O$93,VLOOKUP($C175,GasTable,19)+Summary!$O$92+Summary!$O$93))</f>
        <v>790809.271589524</v>
      </c>
      <c r="GH175" s="1373">
        <v>5112.7040170347245</v>
      </c>
      <c r="GI175" s="1466">
        <v>0</v>
      </c>
      <c r="GJ175" s="1374">
        <f t="shared" si="162"/>
        <v>795921.97560655873</v>
      </c>
      <c r="GK175" s="189">
        <f t="shared" si="133"/>
        <v>30062.012850000003</v>
      </c>
      <c r="GL175" s="266">
        <v>0.51839181039999993</v>
      </c>
      <c r="GM175" s="255">
        <f t="shared" si="134"/>
        <v>0</v>
      </c>
      <c r="GN175" s="189">
        <f>IF(SUM(GU175:HB175)=0,0,IF(Summary!$O$16="Yes",SUM(GX175:HB175),IF(Summary!$O$17="Yes",SUM(GY175:HB175),SUM(GU175:HB175))))</f>
        <v>12199.037850000001</v>
      </c>
      <c r="GO175" s="203">
        <v>3.4944134884426483</v>
      </c>
      <c r="GP175" s="258">
        <f t="shared" si="163"/>
        <v>42628.48240906241</v>
      </c>
      <c r="GQ175" s="189"/>
      <c r="GR175" s="189"/>
      <c r="GS175" s="189"/>
      <c r="GT175" s="189"/>
      <c r="GU175" s="268">
        <v>5389.4767500000007</v>
      </c>
      <c r="GV175" s="189">
        <v>1283.20875</v>
      </c>
      <c r="GW175" s="189">
        <v>1283.20875</v>
      </c>
      <c r="GX175" s="189"/>
      <c r="GY175" s="254">
        <v>2874.3875999999996</v>
      </c>
      <c r="GZ175" s="189">
        <v>684.37800000000004</v>
      </c>
      <c r="HA175" s="189">
        <v>684.37800000000004</v>
      </c>
      <c r="HB175" s="255"/>
      <c r="HC175" s="189">
        <v>12199.037850000001</v>
      </c>
      <c r="HD175" s="189"/>
      <c r="HE175" s="189">
        <v>20950.521525</v>
      </c>
      <c r="HF175" s="189">
        <v>467616.55723125476</v>
      </c>
      <c r="HG175" s="189"/>
      <c r="HH175" s="203">
        <v>37.703201149502789</v>
      </c>
      <c r="HI175" s="189">
        <v>789901.72724406293</v>
      </c>
      <c r="HJ175" s="268">
        <f t="shared" si="135"/>
        <v>0</v>
      </c>
      <c r="HK175" s="189">
        <f t="shared" si="136"/>
        <v>0</v>
      </c>
      <c r="HL175" s="189">
        <f t="shared" si="137"/>
        <v>0</v>
      </c>
      <c r="HM175" s="255">
        <f t="shared" si="138"/>
        <v>0</v>
      </c>
      <c r="HN175" s="189">
        <f t="shared" si="139"/>
        <v>0</v>
      </c>
      <c r="HO175" s="203">
        <f t="shared" si="164"/>
        <v>0</v>
      </c>
      <c r="HP175" s="258">
        <f t="shared" si="140"/>
        <v>0</v>
      </c>
      <c r="HQ175" s="203"/>
      <c r="HR175" s="268"/>
      <c r="HS175" s="38"/>
      <c r="HT175" s="255"/>
      <c r="HU175" s="254"/>
      <c r="HV175" s="203"/>
      <c r="HW175" s="189"/>
      <c r="HX175" s="1020"/>
      <c r="HY175" s="258"/>
      <c r="HZ175" s="268"/>
      <c r="IA175" s="203"/>
      <c r="IB175" s="255"/>
      <c r="IC175" s="254"/>
      <c r="ID175" s="203"/>
      <c r="IE175" s="255"/>
      <c r="IF175" s="189"/>
      <c r="IG175" s="203"/>
      <c r="IH175" s="255"/>
      <c r="II175" s="189"/>
      <c r="IJ175" s="203"/>
      <c r="IK175" s="189"/>
      <c r="IL175" s="1182"/>
      <c r="IM175" s="1403"/>
      <c r="IN175" s="254"/>
      <c r="IO175" s="254"/>
      <c r="IP175" s="254"/>
      <c r="IQ175" s="254"/>
      <c r="IR175" s="223"/>
    </row>
    <row r="176" spans="1:252" ht="13.8" thickBot="1">
      <c r="A176" t="str">
        <f t="shared" si="141"/>
        <v>2013Q2</v>
      </c>
      <c r="B176">
        <f t="shared" si="142"/>
        <v>2013</v>
      </c>
      <c r="C176" s="49">
        <f t="shared" si="143"/>
        <v>41365</v>
      </c>
      <c r="D176" s="115">
        <f t="shared" si="144"/>
        <v>2013</v>
      </c>
      <c r="E176" s="10">
        <f t="shared" si="167"/>
        <v>4</v>
      </c>
      <c r="F176" s="248" t="str">
        <f t="shared" si="168"/>
        <v/>
      </c>
      <c r="G176" s="245">
        <v>41365</v>
      </c>
      <c r="H176" s="251">
        <v>41394</v>
      </c>
      <c r="I176" s="959">
        <f t="shared" si="165"/>
        <v>7.1499999999999994E-2</v>
      </c>
      <c r="J176" s="37">
        <f t="shared" si="145"/>
        <v>0.38929421012741777</v>
      </c>
      <c r="K176" s="1036"/>
      <c r="L176" s="37"/>
      <c r="M176" s="1004">
        <v>0</v>
      </c>
      <c r="N176" s="38">
        <f t="shared" si="174"/>
        <v>0</v>
      </c>
      <c r="O176" s="40">
        <f t="shared" si="174"/>
        <v>0</v>
      </c>
      <c r="P176" s="159">
        <f t="shared" si="172"/>
        <v>0</v>
      </c>
      <c r="Q176" s="38">
        <f t="shared" si="175"/>
        <v>0</v>
      </c>
      <c r="R176" s="40">
        <f t="shared" si="175"/>
        <v>0</v>
      </c>
      <c r="S176" s="38">
        <f t="shared" si="175"/>
        <v>0</v>
      </c>
      <c r="T176" s="38">
        <f t="shared" si="175"/>
        <v>0</v>
      </c>
      <c r="U176" s="38">
        <f t="shared" si="175"/>
        <v>0</v>
      </c>
      <c r="V176" s="159">
        <f t="shared" si="175"/>
        <v>0</v>
      </c>
      <c r="W176" s="38">
        <f t="shared" si="175"/>
        <v>0</v>
      </c>
      <c r="X176" s="39">
        <f t="shared" si="175"/>
        <v>0</v>
      </c>
      <c r="Y176" s="46">
        <v>0</v>
      </c>
      <c r="Z176" s="46">
        <v>0</v>
      </c>
      <c r="AA176" s="47">
        <v>0</v>
      </c>
      <c r="AB176" s="46">
        <v>0</v>
      </c>
      <c r="AC176" s="46">
        <v>0</v>
      </c>
      <c r="AD176" s="47">
        <v>0</v>
      </c>
      <c r="AE176" s="46">
        <v>0</v>
      </c>
      <c r="AF176" s="46">
        <v>0</v>
      </c>
      <c r="AG176" s="47">
        <v>0</v>
      </c>
      <c r="AH176" s="46">
        <v>0</v>
      </c>
      <c r="AI176" s="46">
        <v>0</v>
      </c>
      <c r="AJ176" s="47">
        <v>0</v>
      </c>
      <c r="AK176" s="46">
        <v>0</v>
      </c>
      <c r="AL176" s="46">
        <v>0</v>
      </c>
      <c r="AM176" s="47">
        <v>0</v>
      </c>
      <c r="AN176" s="46">
        <v>0</v>
      </c>
      <c r="AO176" s="46">
        <v>0</v>
      </c>
      <c r="AP176" s="47">
        <v>0</v>
      </c>
      <c r="AQ176" s="46">
        <v>0</v>
      </c>
      <c r="AR176" s="46">
        <v>0</v>
      </c>
      <c r="AS176" s="47">
        <v>0</v>
      </c>
      <c r="AT176" s="46">
        <v>0</v>
      </c>
      <c r="AU176" s="46">
        <v>0</v>
      </c>
      <c r="AV176" s="46">
        <v>0</v>
      </c>
      <c r="AW176" s="1545">
        <v>0</v>
      </c>
      <c r="AX176" s="10">
        <f t="shared" si="169"/>
        <v>22</v>
      </c>
      <c r="AY176" s="42">
        <f>IF(AND($E176=MONTH(Summary!$E$24),$D176=YEAR(Summary!$E$24)),Summary!$E$25,1)*IF(G176="",0,INT((H176-MOD(H176,7)-G176)/7)+1-IF(BA176,IF(WEEKDAY(F176)=7,1,0),0))</f>
        <v>4</v>
      </c>
      <c r="AZ176" s="42">
        <f>IF(AND($E176=MONTH(Summary!$E$24),$D176=YEAR(Summary!$E$24)),Summary!$E$25,1)*IF(G176="",0,INT((H176-MOD(H176-1,7)-G176)/7)+1-IF(BA176,IF(WEEKDAY(F176)=1,1,0),0))</f>
        <v>4</v>
      </c>
      <c r="BA176" s="42">
        <v>0</v>
      </c>
      <c r="BB176" s="10">
        <f>IF(AND($E176=MONTH(Summary!$E$24),$D176=YEAR(Summary!$E$24)),Summary!$E$25,1)*IF(G176="",0,H176-G176+1)</f>
        <v>30</v>
      </c>
      <c r="BC176" s="914">
        <f>Summary!$E$19</f>
        <v>1.4999999999999999E-2</v>
      </c>
      <c r="BD176" s="113">
        <v>15602.4</v>
      </c>
      <c r="BE176" s="171">
        <v>2836.8</v>
      </c>
      <c r="BF176" s="171">
        <v>2836.8</v>
      </c>
      <c r="BG176" s="174"/>
      <c r="BH176" s="1198">
        <v>1</v>
      </c>
      <c r="BI176" s="1198">
        <v>1</v>
      </c>
      <c r="BJ176" s="1198">
        <v>1</v>
      </c>
      <c r="BK176" s="1198">
        <v>1</v>
      </c>
      <c r="BL176" s="95">
        <v>3120.48</v>
      </c>
      <c r="BM176" s="171">
        <v>567.36</v>
      </c>
      <c r="BN176" s="171">
        <v>567.36</v>
      </c>
      <c r="BO176" s="174"/>
      <c r="BP176" s="1198">
        <v>1</v>
      </c>
      <c r="BQ176" s="1199">
        <v>1</v>
      </c>
      <c r="BR176" s="1199">
        <v>1</v>
      </c>
      <c r="BS176" s="1200">
        <v>1</v>
      </c>
      <c r="BT176" s="94">
        <f t="shared" si="146"/>
        <v>21276</v>
      </c>
      <c r="BU176" s="233">
        <f t="shared" si="147"/>
        <v>21276</v>
      </c>
      <c r="BV176" s="92">
        <f t="shared" si="148"/>
        <v>4255.2</v>
      </c>
      <c r="BW176" s="233">
        <f t="shared" si="149"/>
        <v>4255.2</v>
      </c>
      <c r="BX176" s="88">
        <v>13.295003422313483</v>
      </c>
      <c r="BY176" s="90">
        <v>0</v>
      </c>
      <c r="BZ176" s="88">
        <v>0</v>
      </c>
      <c r="CA176" s="88">
        <v>0</v>
      </c>
      <c r="CB176" s="88">
        <v>0</v>
      </c>
      <c r="CC176" s="88">
        <v>0</v>
      </c>
      <c r="CD176" s="88">
        <v>0</v>
      </c>
      <c r="CE176" s="100">
        <v>0</v>
      </c>
      <c r="CF176" s="88">
        <v>0</v>
      </c>
      <c r="CG176" s="88">
        <v>0</v>
      </c>
      <c r="CH176" s="88">
        <v>0</v>
      </c>
      <c r="CI176" s="88">
        <v>0</v>
      </c>
      <c r="CJ176" s="228">
        <v>0</v>
      </c>
      <c r="CK176" s="88">
        <v>0</v>
      </c>
      <c r="CL176" s="88">
        <v>0</v>
      </c>
      <c r="CM176" s="88">
        <v>0</v>
      </c>
      <c r="CN176" s="88">
        <v>0</v>
      </c>
      <c r="CO176" s="88">
        <v>0</v>
      </c>
      <c r="CP176" s="88">
        <v>0</v>
      </c>
      <c r="CQ176" s="229">
        <v>0</v>
      </c>
      <c r="CR176" s="91">
        <v>0</v>
      </c>
      <c r="CS176" s="91">
        <v>0</v>
      </c>
      <c r="CT176" s="91">
        <v>0</v>
      </c>
      <c r="CU176" s="91">
        <v>0</v>
      </c>
      <c r="CV176" s="91">
        <v>0</v>
      </c>
      <c r="CW176" s="91">
        <v>0</v>
      </c>
      <c r="CX176" s="225">
        <v>0</v>
      </c>
      <c r="CY176" s="1265">
        <v>7738.4940799999995</v>
      </c>
      <c r="CZ176" s="90">
        <v>0</v>
      </c>
      <c r="DA176" s="88">
        <v>0</v>
      </c>
      <c r="DB176" s="88">
        <v>0</v>
      </c>
      <c r="DC176" s="88">
        <v>0</v>
      </c>
      <c r="DD176" s="88">
        <v>0</v>
      </c>
      <c r="DE176" s="152">
        <v>0</v>
      </c>
      <c r="DF176" s="230">
        <v>0</v>
      </c>
      <c r="DG176" s="38">
        <v>0</v>
      </c>
      <c r="DH176" s="1237">
        <v>0</v>
      </c>
      <c r="DI176" s="956">
        <v>0</v>
      </c>
      <c r="DJ176" s="956">
        <v>0</v>
      </c>
      <c r="DK176" s="956">
        <v>0</v>
      </c>
      <c r="DL176" s="152">
        <v>0</v>
      </c>
      <c r="DM176" s="160">
        <v>0</v>
      </c>
      <c r="DN176" s="160">
        <v>0</v>
      </c>
      <c r="DO176" s="160">
        <v>0</v>
      </c>
      <c r="DP176" s="160">
        <v>0</v>
      </c>
      <c r="DQ176" s="160">
        <v>0</v>
      </c>
      <c r="DR176" s="230">
        <v>0</v>
      </c>
      <c r="DS176" s="88">
        <v>0</v>
      </c>
      <c r="DT176" s="88">
        <v>0</v>
      </c>
      <c r="DU176" s="88">
        <v>0</v>
      </c>
      <c r="DV176" s="88">
        <v>0</v>
      </c>
      <c r="DW176" s="88">
        <v>0</v>
      </c>
      <c r="DX176" s="88">
        <v>0</v>
      </c>
      <c r="DY176" s="88">
        <v>0</v>
      </c>
      <c r="DZ176" s="88">
        <v>0</v>
      </c>
      <c r="EA176" s="88">
        <v>0</v>
      </c>
      <c r="EB176" s="152">
        <v>0</v>
      </c>
      <c r="EC176" s="52">
        <f t="shared" si="150"/>
        <v>0</v>
      </c>
      <c r="ED176" s="52">
        <f t="shared" si="150"/>
        <v>0</v>
      </c>
      <c r="EE176" s="52">
        <f t="shared" si="150"/>
        <v>0</v>
      </c>
      <c r="EF176" s="52">
        <f t="shared" si="150"/>
        <v>0</v>
      </c>
      <c r="EG176" s="52">
        <f t="shared" si="151"/>
        <v>0</v>
      </c>
      <c r="EH176" s="238">
        <v>0</v>
      </c>
      <c r="EI176" s="211">
        <v>0</v>
      </c>
      <c r="EJ176" s="211">
        <v>0</v>
      </c>
      <c r="EK176" s="211">
        <v>0</v>
      </c>
      <c r="EL176" s="217">
        <f>IF(C176&gt;=Summary!$E$26,MAX(0,SUM(EH176:EK176)),0)</f>
        <v>0</v>
      </c>
      <c r="EM176" s="52">
        <f>IF(C176&gt;=Summary!$E$26,DX176*BL176,0)</f>
        <v>0</v>
      </c>
      <c r="EN176" s="52">
        <f>IF(C176&gt;=Summary!$E$26,DY176*BM176,0)</f>
        <v>0</v>
      </c>
      <c r="EO176" s="52">
        <f>IF(C176&gt;=Summary!$E$26,DZ176*BN176,0)</f>
        <v>0</v>
      </c>
      <c r="EP176" s="52">
        <f>IF(C176&gt;=Summary!$E$26,EA176*BO176,0)</f>
        <v>0</v>
      </c>
      <c r="EQ176" s="52">
        <f>IF(C176&gt;=Summary!$E$26,DX176*BL176+DY176*BM176+DZ176*BN176+EA176*BO176,0)</f>
        <v>0</v>
      </c>
      <c r="ER176" s="826">
        <v>0</v>
      </c>
      <c r="ES176" s="278">
        <v>0</v>
      </c>
      <c r="ET176" s="278">
        <v>0</v>
      </c>
      <c r="EU176" s="278">
        <v>0</v>
      </c>
      <c r="EV176" s="212">
        <f>IF(C176&gt;=Summary!$E$26,MAX(0,SUM(ER176:EU176)),0)</f>
        <v>0</v>
      </c>
      <c r="EW176" s="52"/>
      <c r="EX176" s="1049">
        <f t="shared" si="152"/>
        <v>0</v>
      </c>
      <c r="EY176" s="1045" t="str">
        <f t="shared" si="153"/>
        <v/>
      </c>
      <c r="EZ176" s="1684" t="s">
        <v>525</v>
      </c>
      <c r="FA176" s="1046">
        <f t="shared" si="166"/>
        <v>45</v>
      </c>
      <c r="FB176" s="256">
        <f t="shared" si="154"/>
        <v>9751.5</v>
      </c>
      <c r="FC176" s="194">
        <f t="shared" si="155"/>
        <v>2925.45</v>
      </c>
      <c r="FD176" s="194">
        <f t="shared" si="156"/>
        <v>1773</v>
      </c>
      <c r="FE176" s="194">
        <f t="shared" si="157"/>
        <v>531.9</v>
      </c>
      <c r="FF176" s="194">
        <f t="shared" si="158"/>
        <v>1773</v>
      </c>
      <c r="FG176" s="194">
        <f t="shared" si="159"/>
        <v>531.9</v>
      </c>
      <c r="FH176" s="257">
        <f>IF(EZ176="No",IF((OR(MONTH(C176)=5,MONTH(C176)=6,MONTH(C176)=7,MONTH(C176)=8,MONTH(C176)=9)),Summary!$O$15*12*(AX176+AY176+AZ176+BA176)*(1-$BC176),Summary!$O$15*13*(AX176+AY176+AZ176+BA176)*(1-$BC176)+IF(Summary!$O$16="Yes",(CALC!FA176+Summary!$O$15)*6*(AX176+AY176+AZ176+BA176)*(1-$BC176),0)),0)</f>
        <v>0</v>
      </c>
      <c r="FI176" s="1412">
        <f>IF(MONTH(C176)=5,FI175*(IF(Summary!$E$70="no",(1+(Summary!$E$71*0.8)),1+HLOOKUP(YEAR(C176)-1,CCFMODEL!$I$127:$AF$128,2)*0.8)),+FI175)</f>
        <v>36.209548345147553</v>
      </c>
      <c r="FJ176" s="1411">
        <f>IF(MONTH(C176)=5,FJ175*(IF(Summary!$E$70="no",(1+(Summary!$E$71*0.8)),1+HLOOKUP(YEAR(CALC!C176)-1,CCFMODEL!$I$127:$AF$128,2)*0.8)),FJ175)</f>
        <v>31.64771548276676</v>
      </c>
      <c r="FK176" s="832">
        <f t="shared" si="127"/>
        <v>625945.40985547949</v>
      </c>
      <c r="FL176" s="1412">
        <f>IF(MONTH(C176)=5,FL175*(IF(Summary!$E$70="no",(1+(Summary!$E$71*0.8)),1+HLOOKUP(YEAR(CALC!C176)-1,CCFMODEL!$I$127:$AF$128,2)*0.8)),+FL175)</f>
        <v>76.152739658017452</v>
      </c>
      <c r="FM176" s="1411">
        <f>IF(MONTH(C176)=5,FM175*(IF(Summary!$E$70="no",(1+(Summary!$E$71*0.8)),1+HLOOKUP(YEAR(CALC!C176)-1,CCFMODEL!$I$127:$AF$128,2)*0.8)),+FM175)</f>
        <v>36.345317180337453</v>
      </c>
      <c r="FN176" s="832">
        <f t="shared" si="128"/>
        <v>637860.31651492231</v>
      </c>
      <c r="FO176" s="194">
        <f t="shared" si="160"/>
        <v>1263805.7263704017</v>
      </c>
      <c r="FP176" s="263">
        <f t="shared" si="125"/>
        <v>9751.5</v>
      </c>
      <c r="FQ176" s="194">
        <f t="shared" si="125"/>
        <v>2925.45</v>
      </c>
      <c r="FR176" s="194">
        <f t="shared" si="125"/>
        <v>1773</v>
      </c>
      <c r="FS176" s="194">
        <f t="shared" ref="FS176:FV239" si="176">FE176</f>
        <v>531.9</v>
      </c>
      <c r="FT176" s="194">
        <f t="shared" si="176"/>
        <v>1773</v>
      </c>
      <c r="FU176" s="194">
        <f t="shared" si="176"/>
        <v>531.9</v>
      </c>
      <c r="FV176" s="257">
        <f t="shared" si="124"/>
        <v>0</v>
      </c>
      <c r="FW176" s="189">
        <f t="shared" si="129"/>
        <v>0</v>
      </c>
      <c r="FX176" s="189">
        <f t="shared" si="130"/>
        <v>0</v>
      </c>
      <c r="FY176" s="189">
        <f t="shared" si="131"/>
        <v>0</v>
      </c>
      <c r="FZ176" s="258">
        <f t="shared" si="132"/>
        <v>0</v>
      </c>
      <c r="GA176" s="1294">
        <f>(SUM(FP176:FV176)+SUM(GU176:HB176)/(1-Summary!$O$25))*CY176/1000</f>
        <v>228443.82756393598</v>
      </c>
      <c r="GB176" s="1369">
        <f>IF($C176&lt;Summary!$M$81,+Summary!$O$81,VLOOKUP(C176,GasTable,19))</f>
        <v>3.1995608043261794</v>
      </c>
      <c r="GC176" s="1370">
        <f>IF(H176&lt;=Summary!$N$84,MIN(GA176,Summary!$O$75*(H176-G176+1)),0)</f>
        <v>0</v>
      </c>
      <c r="GD176" s="1371">
        <f>IF(C176&lt;Summary!$N$84,IF(Summary!$O$75*(H176-G176+1)*0.8&gt;GC176,1,0),0)</f>
        <v>0</v>
      </c>
      <c r="GE176" s="1372">
        <v>0</v>
      </c>
      <c r="GF176" s="1370">
        <f t="shared" si="161"/>
        <v>228443.82756393598</v>
      </c>
      <c r="GG176" s="1371">
        <f>GF176*(IF(Summary!$O$74=1,VLOOKUP($C176,GasTable,16)+Summary!$O$92+Summary!$O$93,VLOOKUP($C176,GasTable,19)+Summary!$O$92+Summary!$O$93))</f>
        <v>742821.84007989906</v>
      </c>
      <c r="GH176" s="1373">
        <v>4799.3412064892691</v>
      </c>
      <c r="GI176" s="1466">
        <v>0</v>
      </c>
      <c r="GJ176" s="1374">
        <f t="shared" si="162"/>
        <v>747621.18128638831</v>
      </c>
      <c r="GK176" s="189">
        <f t="shared" si="133"/>
        <v>29092.270500000002</v>
      </c>
      <c r="GL176" s="266">
        <v>0.51847910335999992</v>
      </c>
      <c r="GM176" s="255">
        <f t="shared" si="134"/>
        <v>0</v>
      </c>
      <c r="GN176" s="189">
        <f>IF(SUM(GU176:HB176)=0,0,IF(Summary!$O$16="Yes",SUM(GX176:HB176),IF(Summary!$O$17="Yes",SUM(GY176:HB176),SUM(GU176:HB176))))</f>
        <v>11805.520499999999</v>
      </c>
      <c r="GO176" s="203">
        <v>3.4944134884426483</v>
      </c>
      <c r="GP176" s="258">
        <f t="shared" si="163"/>
        <v>41253.370073286191</v>
      </c>
      <c r="GQ176" s="189"/>
      <c r="GR176" s="189"/>
      <c r="GS176" s="189"/>
      <c r="GT176" s="189"/>
      <c r="GU176" s="268">
        <v>5646.1184999999996</v>
      </c>
      <c r="GV176" s="189">
        <v>1026.5670000000002</v>
      </c>
      <c r="GW176" s="189">
        <v>1026.5670000000002</v>
      </c>
      <c r="GX176" s="189"/>
      <c r="GY176" s="254">
        <v>3011.2631999999999</v>
      </c>
      <c r="GZ176" s="189">
        <v>547.50239999999997</v>
      </c>
      <c r="HA176" s="189">
        <v>547.50239999999997</v>
      </c>
      <c r="HB176" s="255"/>
      <c r="HC176" s="189">
        <v>11805.520499999999</v>
      </c>
      <c r="HD176" s="189"/>
      <c r="HE176" s="189">
        <v>20274.698249999998</v>
      </c>
      <c r="HF176" s="189">
        <v>451725.81356863322</v>
      </c>
      <c r="HG176" s="189"/>
      <c r="HH176" s="203">
        <v>37.572532245308139</v>
      </c>
      <c r="HI176" s="189">
        <v>761771.75376201747</v>
      </c>
      <c r="HJ176" s="268">
        <f t="shared" si="135"/>
        <v>0</v>
      </c>
      <c r="HK176" s="189">
        <f t="shared" si="136"/>
        <v>0</v>
      </c>
      <c r="HL176" s="189">
        <f t="shared" si="137"/>
        <v>0</v>
      </c>
      <c r="HM176" s="255">
        <f t="shared" si="138"/>
        <v>0</v>
      </c>
      <c r="HN176" s="189">
        <f t="shared" si="139"/>
        <v>0</v>
      </c>
      <c r="HO176" s="203">
        <f t="shared" si="164"/>
        <v>0</v>
      </c>
      <c r="HP176" s="258">
        <f t="shared" si="140"/>
        <v>0</v>
      </c>
      <c r="HQ176" s="203"/>
      <c r="HR176" s="268"/>
      <c r="HS176" s="38"/>
      <c r="HT176" s="255"/>
      <c r="HU176" s="254"/>
      <c r="HV176" s="203"/>
      <c r="HW176" s="189"/>
      <c r="HX176" s="1020"/>
      <c r="HY176" s="258"/>
      <c r="HZ176" s="268"/>
      <c r="IA176" s="203"/>
      <c r="IB176" s="255"/>
      <c r="IC176" s="254"/>
      <c r="ID176" s="203"/>
      <c r="IE176" s="255"/>
      <c r="IF176" s="189"/>
      <c r="IG176" s="203"/>
      <c r="IH176" s="255"/>
      <c r="II176" s="189"/>
      <c r="IJ176" s="203"/>
      <c r="IK176" s="189"/>
      <c r="IL176" s="1182"/>
      <c r="IM176" s="1403"/>
      <c r="IN176" s="254"/>
      <c r="IO176" s="254"/>
      <c r="IP176" s="254"/>
      <c r="IQ176" s="254"/>
      <c r="IR176" s="223"/>
    </row>
    <row r="177" spans="1:252" ht="13.8" thickBot="1">
      <c r="A177" t="str">
        <f t="shared" si="141"/>
        <v>2013Q2</v>
      </c>
      <c r="B177">
        <f t="shared" si="142"/>
        <v>2013</v>
      </c>
      <c r="C177" s="49">
        <f t="shared" si="143"/>
        <v>41395</v>
      </c>
      <c r="D177" s="115">
        <f t="shared" si="144"/>
        <v>2013</v>
      </c>
      <c r="E177" s="10">
        <f t="shared" si="167"/>
        <v>5</v>
      </c>
      <c r="F177" s="248">
        <f t="shared" si="168"/>
        <v>41421</v>
      </c>
      <c r="G177" s="245">
        <v>41395</v>
      </c>
      <c r="H177" s="251">
        <v>41425</v>
      </c>
      <c r="I177" s="959">
        <f t="shared" si="165"/>
        <v>7.1499999999999994E-2</v>
      </c>
      <c r="J177" s="37">
        <f t="shared" si="145"/>
        <v>0.38697995324981505</v>
      </c>
      <c r="K177" s="1036"/>
      <c r="L177" s="37"/>
      <c r="M177" s="1004">
        <v>0</v>
      </c>
      <c r="N177" s="38">
        <f t="shared" si="174"/>
        <v>0</v>
      </c>
      <c r="O177" s="40">
        <f t="shared" si="174"/>
        <v>0</v>
      </c>
      <c r="P177" s="159">
        <f t="shared" si="172"/>
        <v>0</v>
      </c>
      <c r="Q177" s="38">
        <f t="shared" si="175"/>
        <v>0</v>
      </c>
      <c r="R177" s="40">
        <f t="shared" si="175"/>
        <v>0</v>
      </c>
      <c r="S177" s="38">
        <f t="shared" si="175"/>
        <v>0</v>
      </c>
      <c r="T177" s="38">
        <f t="shared" si="175"/>
        <v>0</v>
      </c>
      <c r="U177" s="38">
        <f t="shared" si="175"/>
        <v>0</v>
      </c>
      <c r="V177" s="159">
        <f t="shared" si="175"/>
        <v>0</v>
      </c>
      <c r="W177" s="38">
        <f t="shared" si="175"/>
        <v>0</v>
      </c>
      <c r="X177" s="39">
        <f t="shared" si="175"/>
        <v>0</v>
      </c>
      <c r="Y177" s="46">
        <v>0</v>
      </c>
      <c r="Z177" s="46">
        <v>0</v>
      </c>
      <c r="AA177" s="47">
        <v>0</v>
      </c>
      <c r="AB177" s="46">
        <v>0</v>
      </c>
      <c r="AC177" s="46">
        <v>0</v>
      </c>
      <c r="AD177" s="47">
        <v>0</v>
      </c>
      <c r="AE177" s="46">
        <v>0</v>
      </c>
      <c r="AF177" s="46">
        <v>0</v>
      </c>
      <c r="AG177" s="47">
        <v>0</v>
      </c>
      <c r="AH177" s="46">
        <v>0</v>
      </c>
      <c r="AI177" s="46">
        <v>0</v>
      </c>
      <c r="AJ177" s="47">
        <v>0</v>
      </c>
      <c r="AK177" s="46">
        <v>0</v>
      </c>
      <c r="AL177" s="46">
        <v>0</v>
      </c>
      <c r="AM177" s="47">
        <v>0</v>
      </c>
      <c r="AN177" s="46">
        <v>0</v>
      </c>
      <c r="AO177" s="46">
        <v>0</v>
      </c>
      <c r="AP177" s="47">
        <v>0</v>
      </c>
      <c r="AQ177" s="46">
        <v>0</v>
      </c>
      <c r="AR177" s="46">
        <v>0</v>
      </c>
      <c r="AS177" s="47">
        <v>0</v>
      </c>
      <c r="AT177" s="46">
        <v>0</v>
      </c>
      <c r="AU177" s="46">
        <v>0</v>
      </c>
      <c r="AV177" s="46">
        <v>0</v>
      </c>
      <c r="AW177" s="1545">
        <v>0</v>
      </c>
      <c r="AX177" s="10">
        <f t="shared" si="169"/>
        <v>22</v>
      </c>
      <c r="AY177" s="42">
        <f>IF(AND($E177=MONTH(Summary!$E$24),$D177=YEAR(Summary!$E$24)),Summary!$E$25,1)*IF(G177="",0,INT((H177-MOD(H177,7)-G177)/7)+1-IF(BA177,IF(WEEKDAY(F177)=7,1,0),0))</f>
        <v>4</v>
      </c>
      <c r="AZ177" s="42">
        <f>IF(AND($E177=MONTH(Summary!$E$24),$D177=YEAR(Summary!$E$24)),Summary!$E$25,1)*IF(G177="",0,INT((H177-MOD(H177-1,7)-G177)/7)+1-IF(BA177,IF(WEEKDAY(F177)=1,1,0),0))</f>
        <v>4</v>
      </c>
      <c r="BA177" s="42">
        <v>1</v>
      </c>
      <c r="BB177" s="10">
        <f>IF(AND($E177=MONTH(Summary!$E$24),$D177=YEAR(Summary!$E$24)),Summary!$E$25,1)*IF(G177="",0,H177-G177+1)</f>
        <v>31</v>
      </c>
      <c r="BC177" s="914">
        <f>Summary!$E$19</f>
        <v>1.4999999999999999E-2</v>
      </c>
      <c r="BD177" s="113">
        <v>15602.4</v>
      </c>
      <c r="BE177" s="171">
        <v>2836.8</v>
      </c>
      <c r="BF177" s="171">
        <v>3546</v>
      </c>
      <c r="BG177" s="174"/>
      <c r="BH177" s="1198">
        <v>1</v>
      </c>
      <c r="BI177" s="1198">
        <v>1</v>
      </c>
      <c r="BJ177" s="1198">
        <v>1</v>
      </c>
      <c r="BK177" s="1198">
        <v>1</v>
      </c>
      <c r="BL177" s="95">
        <v>3120.48</v>
      </c>
      <c r="BM177" s="171">
        <v>567.36</v>
      </c>
      <c r="BN177" s="171">
        <v>709.2</v>
      </c>
      <c r="BO177" s="174"/>
      <c r="BP177" s="1198">
        <v>1</v>
      </c>
      <c r="BQ177" s="1199">
        <v>1</v>
      </c>
      <c r="BR177" s="1199">
        <v>1</v>
      </c>
      <c r="BS177" s="1200">
        <v>1</v>
      </c>
      <c r="BT177" s="94">
        <f t="shared" si="146"/>
        <v>21985.200000000001</v>
      </c>
      <c r="BU177" s="233">
        <f t="shared" si="147"/>
        <v>21985.200000000001</v>
      </c>
      <c r="BV177" s="92">
        <f t="shared" si="148"/>
        <v>4397.04</v>
      </c>
      <c r="BW177" s="233">
        <f t="shared" si="149"/>
        <v>4397.04</v>
      </c>
      <c r="BX177" s="88">
        <v>13.377138945927447</v>
      </c>
      <c r="BY177" s="90">
        <v>0</v>
      </c>
      <c r="BZ177" s="88">
        <v>0</v>
      </c>
      <c r="CA177" s="88">
        <v>0</v>
      </c>
      <c r="CB177" s="88">
        <v>0</v>
      </c>
      <c r="CC177" s="88">
        <v>0</v>
      </c>
      <c r="CD177" s="88">
        <v>0</v>
      </c>
      <c r="CE177" s="100">
        <v>0</v>
      </c>
      <c r="CF177" s="88">
        <v>0</v>
      </c>
      <c r="CG177" s="88">
        <v>0</v>
      </c>
      <c r="CH177" s="88">
        <v>0</v>
      </c>
      <c r="CI177" s="88">
        <v>0</v>
      </c>
      <c r="CJ177" s="228">
        <v>0</v>
      </c>
      <c r="CK177" s="88">
        <v>0</v>
      </c>
      <c r="CL177" s="88">
        <v>0</v>
      </c>
      <c r="CM177" s="88">
        <v>0</v>
      </c>
      <c r="CN177" s="88">
        <v>0</v>
      </c>
      <c r="CO177" s="88">
        <v>0</v>
      </c>
      <c r="CP177" s="88">
        <v>0</v>
      </c>
      <c r="CQ177" s="229">
        <v>0</v>
      </c>
      <c r="CR177" s="91">
        <v>0</v>
      </c>
      <c r="CS177" s="91">
        <v>0</v>
      </c>
      <c r="CT177" s="91">
        <v>0</v>
      </c>
      <c r="CU177" s="91">
        <v>0</v>
      </c>
      <c r="CV177" s="91">
        <v>0</v>
      </c>
      <c r="CW177" s="91">
        <v>0</v>
      </c>
      <c r="CX177" s="225">
        <v>0</v>
      </c>
      <c r="CY177" s="1265">
        <v>7739.7969599999997</v>
      </c>
      <c r="CZ177" s="90">
        <v>0</v>
      </c>
      <c r="DA177" s="88">
        <v>0</v>
      </c>
      <c r="DB177" s="88">
        <v>0</v>
      </c>
      <c r="DC177" s="88">
        <v>0</v>
      </c>
      <c r="DD177" s="88">
        <v>0</v>
      </c>
      <c r="DE177" s="152">
        <v>0</v>
      </c>
      <c r="DF177" s="230">
        <v>0</v>
      </c>
      <c r="DG177" s="38">
        <v>0</v>
      </c>
      <c r="DH177" s="1237">
        <v>0</v>
      </c>
      <c r="DI177" s="956">
        <v>0</v>
      </c>
      <c r="DJ177" s="956">
        <v>0</v>
      </c>
      <c r="DK177" s="956">
        <v>0</v>
      </c>
      <c r="DL177" s="152">
        <v>0</v>
      </c>
      <c r="DM177" s="160">
        <v>0</v>
      </c>
      <c r="DN177" s="160">
        <v>0</v>
      </c>
      <c r="DO177" s="160">
        <v>0</v>
      </c>
      <c r="DP177" s="160">
        <v>0</v>
      </c>
      <c r="DQ177" s="160">
        <v>0</v>
      </c>
      <c r="DR177" s="230">
        <v>0</v>
      </c>
      <c r="DS177" s="88">
        <v>0</v>
      </c>
      <c r="DT177" s="88">
        <v>0</v>
      </c>
      <c r="DU177" s="88">
        <v>0</v>
      </c>
      <c r="DV177" s="88">
        <v>0</v>
      </c>
      <c r="DW177" s="88">
        <v>0</v>
      </c>
      <c r="DX177" s="88">
        <v>0</v>
      </c>
      <c r="DY177" s="88">
        <v>0</v>
      </c>
      <c r="DZ177" s="88">
        <v>0</v>
      </c>
      <c r="EA177" s="88">
        <v>0</v>
      </c>
      <c r="EB177" s="152">
        <v>0</v>
      </c>
      <c r="EC177" s="52">
        <f t="shared" si="150"/>
        <v>0</v>
      </c>
      <c r="ED177" s="52">
        <f t="shared" si="150"/>
        <v>0</v>
      </c>
      <c r="EE177" s="52">
        <f t="shared" si="150"/>
        <v>0</v>
      </c>
      <c r="EF177" s="52">
        <f t="shared" si="150"/>
        <v>0</v>
      </c>
      <c r="EG177" s="52">
        <f t="shared" si="151"/>
        <v>0</v>
      </c>
      <c r="EH177" s="238">
        <v>0</v>
      </c>
      <c r="EI177" s="211">
        <v>0</v>
      </c>
      <c r="EJ177" s="211">
        <v>0</v>
      </c>
      <c r="EK177" s="211">
        <v>0</v>
      </c>
      <c r="EL177" s="217">
        <f>IF(C177&gt;=Summary!$E$26,MAX(0,SUM(EH177:EK177)),0)</f>
        <v>0</v>
      </c>
      <c r="EM177" s="52">
        <f>IF(C177&gt;=Summary!$E$26,DX177*BL177,0)</f>
        <v>0</v>
      </c>
      <c r="EN177" s="52">
        <f>IF(C177&gt;=Summary!$E$26,DY177*BM177,0)</f>
        <v>0</v>
      </c>
      <c r="EO177" s="52">
        <f>IF(C177&gt;=Summary!$E$26,DZ177*BN177,0)</f>
        <v>0</v>
      </c>
      <c r="EP177" s="52">
        <f>IF(C177&gt;=Summary!$E$26,EA177*BO177,0)</f>
        <v>0</v>
      </c>
      <c r="EQ177" s="52">
        <f>IF(C177&gt;=Summary!$E$26,DX177*BL177+DY177*BM177+DZ177*BN177+EA177*BO177,0)</f>
        <v>0</v>
      </c>
      <c r="ER177" s="826">
        <v>0</v>
      </c>
      <c r="ES177" s="278">
        <v>0</v>
      </c>
      <c r="ET177" s="278">
        <v>0</v>
      </c>
      <c r="EU177" s="278">
        <v>0</v>
      </c>
      <c r="EV177" s="212">
        <f>IF(C177&gt;=Summary!$E$26,MAX(0,SUM(ER177:EU177)),0)</f>
        <v>0</v>
      </c>
      <c r="EW177" s="52"/>
      <c r="EX177" s="1049">
        <f t="shared" si="152"/>
        <v>0</v>
      </c>
      <c r="EY177" s="1045" t="str">
        <f t="shared" si="153"/>
        <v/>
      </c>
      <c r="EZ177" s="1684" t="s">
        <v>525</v>
      </c>
      <c r="FA177" s="1046">
        <f t="shared" si="166"/>
        <v>45</v>
      </c>
      <c r="FB177" s="256">
        <f t="shared" si="154"/>
        <v>11701.8</v>
      </c>
      <c r="FC177" s="194">
        <f t="shared" si="155"/>
        <v>0</v>
      </c>
      <c r="FD177" s="194">
        <f t="shared" si="156"/>
        <v>2127.6</v>
      </c>
      <c r="FE177" s="194">
        <f t="shared" si="157"/>
        <v>0</v>
      </c>
      <c r="FF177" s="194">
        <f t="shared" si="158"/>
        <v>2659.5</v>
      </c>
      <c r="FG177" s="194">
        <f t="shared" si="159"/>
        <v>0</v>
      </c>
      <c r="FH177" s="257">
        <f>IF(EZ177="No",IF((OR(MONTH(C177)=5,MONTH(C177)=6,MONTH(C177)=7,MONTH(C177)=8,MONTH(C177)=9)),Summary!$O$15*12*(AX177+AY177+AZ177+BA177)*(1-$BC177),Summary!$O$15*13*(AX177+AY177+AZ177+BA177)*(1-$BC177)+IF(Summary!$O$16="Yes",(CALC!FA177+Summary!$O$15)*6*(AX177+AY177+AZ177+BA177)*(1-$BC177),0)),0)</f>
        <v>0</v>
      </c>
      <c r="FI177" s="1412">
        <f>IF(MONTH(C177)=5,FI176*(IF(Summary!$E$70="no",(1+(Summary!$E$71*0.8)),1+HLOOKUP(YEAR(C177)-1,CCFMODEL!$I$127:$AF$128,2)*0.8)),+FI176)</f>
        <v>37.078577505431092</v>
      </c>
      <c r="FJ177" s="1411">
        <f>IF(MONTH(C177)=5,FJ176*(IF(Summary!$E$70="no",(1+(Summary!$E$71*0.8)),1+HLOOKUP(YEAR(CALC!C177)-1,CCFMODEL!$I$127:$AF$128,2)*0.8)),FJ176)</f>
        <v>32.407260654353159</v>
      </c>
      <c r="FK177" s="832">
        <f t="shared" si="127"/>
        <v>611384.95662930282</v>
      </c>
      <c r="FL177" s="1412">
        <f>IF(MONTH(C177)=5,FL176*(IF(Summary!$E$70="no",(1+(Summary!$E$71*0.8)),1+HLOOKUP(YEAR(CALC!C177)-1,CCFMODEL!$I$127:$AF$128,2)*0.8)),+FL176)</f>
        <v>77.980405409809876</v>
      </c>
      <c r="FM177" s="1411">
        <f>IF(MONTH(C177)=5,FM176*(IF(Summary!$E$70="no",(1+(Summary!$E$71*0.8)),1+HLOOKUP(YEAR(CALC!C177)-1,CCFMODEL!$I$127:$AF$128,2)*0.8)),+FM176)</f>
        <v>37.217604792665554</v>
      </c>
      <c r="FN177" s="832">
        <f t="shared" si="128"/>
        <v>1305391.9865602173</v>
      </c>
      <c r="FO177" s="194">
        <f t="shared" si="160"/>
        <v>1916776.9431895202</v>
      </c>
      <c r="FP177" s="263">
        <f t="shared" ref="FP177:FP208" si="177">FB177</f>
        <v>11701.8</v>
      </c>
      <c r="FQ177" s="194">
        <f t="shared" ref="FQ177:FQ208" si="178">FC177</f>
        <v>0</v>
      </c>
      <c r="FR177" s="194">
        <f t="shared" ref="FR177:FR208" si="179">FD177</f>
        <v>2127.6</v>
      </c>
      <c r="FS177" s="194">
        <f t="shared" si="176"/>
        <v>0</v>
      </c>
      <c r="FT177" s="194">
        <f t="shared" si="176"/>
        <v>2659.5</v>
      </c>
      <c r="FU177" s="194">
        <f t="shared" si="176"/>
        <v>0</v>
      </c>
      <c r="FV177" s="257">
        <f t="shared" si="124"/>
        <v>0</v>
      </c>
      <c r="FW177" s="189">
        <f t="shared" si="129"/>
        <v>0</v>
      </c>
      <c r="FX177" s="189">
        <f t="shared" si="130"/>
        <v>0</v>
      </c>
      <c r="FY177" s="189">
        <f t="shared" si="131"/>
        <v>0</v>
      </c>
      <c r="FZ177" s="258">
        <f t="shared" si="132"/>
        <v>0</v>
      </c>
      <c r="GA177" s="1294">
        <f>(SUM(FP177:FV177)+SUM(GU177:HB177)/(1-Summary!$O$25))*CY177/1000</f>
        <v>204193.1809499904</v>
      </c>
      <c r="GB177" s="1369">
        <f>IF($C177&lt;Summary!$M$81,+Summary!$O$81,VLOOKUP(C177,GasTable,19))</f>
        <v>3.1754307064736738</v>
      </c>
      <c r="GC177" s="1370">
        <f>IF(H177&lt;=Summary!$N$84,MIN(GA177,Summary!$O$75*(H177-G177+1)),0)</f>
        <v>0</v>
      </c>
      <c r="GD177" s="1371">
        <f>IF(C177&lt;Summary!$N$84,IF(Summary!$O$75*(H177-G177+1)*0.8&gt;GC177,1,0),0)</f>
        <v>0</v>
      </c>
      <c r="GE177" s="1372">
        <v>0</v>
      </c>
      <c r="GF177" s="1370">
        <f t="shared" si="161"/>
        <v>204193.1809499904</v>
      </c>
      <c r="GG177" s="1371">
        <f>GF177*(IF(Summary!$O$74=1,VLOOKUP($C177,GasTable,16)+Summary!$O$92+Summary!$O$93,VLOOKUP($C177,GasTable,19)+Summary!$O$92+Summary!$O$93))</f>
        <v>659039.7615686293</v>
      </c>
      <c r="GH177" s="1373">
        <v>4921.9175950341942</v>
      </c>
      <c r="GI177" s="1466">
        <v>0</v>
      </c>
      <c r="GJ177" s="1374">
        <f t="shared" si="162"/>
        <v>663961.67916366353</v>
      </c>
      <c r="GK177" s="189">
        <f t="shared" si="133"/>
        <v>26035.973100000007</v>
      </c>
      <c r="GL177" s="266">
        <v>0.51856639632000001</v>
      </c>
      <c r="GM177" s="255">
        <f t="shared" si="134"/>
        <v>0</v>
      </c>
      <c r="GN177" s="189">
        <f>IF(SUM(GU177:HB177)=0,0,IF(Summary!$O$16="Yes",SUM(GX177:HB177),IF(Summary!$O$17="Yes",SUM(GY177:HB177),SUM(GU177:HB177))))</f>
        <v>9547.0730999999996</v>
      </c>
      <c r="GO177" s="203">
        <v>3.4944134884426483</v>
      </c>
      <c r="GP177" s="258">
        <f t="shared" si="163"/>
        <v>33361.421015787964</v>
      </c>
      <c r="GQ177" s="189"/>
      <c r="GR177" s="189"/>
      <c r="GS177" s="189"/>
      <c r="GT177" s="189"/>
      <c r="GU177" s="268">
        <v>3764.0790000000002</v>
      </c>
      <c r="GV177" s="189">
        <v>684.37800000000027</v>
      </c>
      <c r="GW177" s="189">
        <v>855.47249999999997</v>
      </c>
      <c r="GX177" s="189"/>
      <c r="GY177" s="254">
        <v>3011.2631999999999</v>
      </c>
      <c r="GZ177" s="189">
        <v>547.50239999999997</v>
      </c>
      <c r="HA177" s="189">
        <v>684.37800000000004</v>
      </c>
      <c r="HB177" s="255"/>
      <c r="HC177" s="189">
        <v>9547.0730999999996</v>
      </c>
      <c r="HD177" s="189"/>
      <c r="HE177" s="189">
        <v>22276.5039</v>
      </c>
      <c r="HF177" s="189">
        <v>380532.20934384607</v>
      </c>
      <c r="HG177" s="189"/>
      <c r="HH177" s="203">
        <v>40.384438607997701</v>
      </c>
      <c r="HI177" s="189">
        <v>899624.10415037139</v>
      </c>
      <c r="HJ177" s="268">
        <f t="shared" si="135"/>
        <v>0</v>
      </c>
      <c r="HK177" s="189">
        <f t="shared" si="136"/>
        <v>0</v>
      </c>
      <c r="HL177" s="189">
        <f t="shared" si="137"/>
        <v>0</v>
      </c>
      <c r="HM177" s="255">
        <f t="shared" si="138"/>
        <v>0</v>
      </c>
      <c r="HN177" s="189">
        <f t="shared" si="139"/>
        <v>0</v>
      </c>
      <c r="HO177" s="203">
        <f t="shared" si="164"/>
        <v>0</v>
      </c>
      <c r="HP177" s="258">
        <f t="shared" si="140"/>
        <v>0</v>
      </c>
      <c r="HQ177" s="203"/>
      <c r="HR177" s="268"/>
      <c r="HS177" s="38"/>
      <c r="HT177" s="255"/>
      <c r="HU177" s="254"/>
      <c r="HV177" s="203"/>
      <c r="HW177" s="189"/>
      <c r="HX177" s="1020"/>
      <c r="HY177" s="258"/>
      <c r="HZ177" s="268"/>
      <c r="IA177" s="203"/>
      <c r="IB177" s="255"/>
      <c r="IC177" s="254"/>
      <c r="ID177" s="203"/>
      <c r="IE177" s="255"/>
      <c r="IF177" s="189"/>
      <c r="IG177" s="203"/>
      <c r="IH177" s="255"/>
      <c r="II177" s="189"/>
      <c r="IJ177" s="203"/>
      <c r="IK177" s="189"/>
      <c r="IL177" s="1182"/>
      <c r="IM177" s="1403"/>
      <c r="IN177" s="254"/>
      <c r="IO177" s="254"/>
      <c r="IP177" s="254"/>
      <c r="IQ177" s="254"/>
      <c r="IR177" s="223"/>
    </row>
    <row r="178" spans="1:252" ht="13.8" thickBot="1">
      <c r="A178" t="str">
        <f t="shared" si="141"/>
        <v>2013Q2</v>
      </c>
      <c r="B178">
        <f t="shared" si="142"/>
        <v>2013</v>
      </c>
      <c r="C178" s="49">
        <f t="shared" si="143"/>
        <v>41426</v>
      </c>
      <c r="D178" s="115">
        <f t="shared" si="144"/>
        <v>2013</v>
      </c>
      <c r="E178" s="10">
        <f t="shared" si="167"/>
        <v>6</v>
      </c>
      <c r="F178" s="248" t="str">
        <f t="shared" si="168"/>
        <v/>
      </c>
      <c r="G178" s="245">
        <v>41426</v>
      </c>
      <c r="H178" s="251">
        <v>41455</v>
      </c>
      <c r="I178" s="959">
        <f t="shared" si="165"/>
        <v>7.1499999999999994E-2</v>
      </c>
      <c r="J178" s="37">
        <f t="shared" si="145"/>
        <v>0.3847534498016289</v>
      </c>
      <c r="K178" s="1036"/>
      <c r="L178" s="37"/>
      <c r="M178" s="1004">
        <v>0</v>
      </c>
      <c r="N178" s="38">
        <f t="shared" si="174"/>
        <v>0</v>
      </c>
      <c r="O178" s="40">
        <f t="shared" si="174"/>
        <v>0</v>
      </c>
      <c r="P178" s="159">
        <f t="shared" si="172"/>
        <v>0</v>
      </c>
      <c r="Q178" s="38">
        <f t="shared" si="175"/>
        <v>0</v>
      </c>
      <c r="R178" s="40">
        <f t="shared" si="175"/>
        <v>0</v>
      </c>
      <c r="S178" s="38">
        <f t="shared" si="175"/>
        <v>0</v>
      </c>
      <c r="T178" s="38">
        <f t="shared" si="175"/>
        <v>0</v>
      </c>
      <c r="U178" s="38">
        <f t="shared" si="175"/>
        <v>0</v>
      </c>
      <c r="V178" s="159">
        <f t="shared" si="175"/>
        <v>0</v>
      </c>
      <c r="W178" s="38">
        <f t="shared" si="175"/>
        <v>0</v>
      </c>
      <c r="X178" s="39">
        <f t="shared" si="175"/>
        <v>0</v>
      </c>
      <c r="Y178" s="46">
        <v>0</v>
      </c>
      <c r="Z178" s="46">
        <v>0</v>
      </c>
      <c r="AA178" s="47">
        <v>0</v>
      </c>
      <c r="AB178" s="46">
        <v>0</v>
      </c>
      <c r="AC178" s="46">
        <v>0</v>
      </c>
      <c r="AD178" s="47">
        <v>0</v>
      </c>
      <c r="AE178" s="46">
        <v>0</v>
      </c>
      <c r="AF178" s="46">
        <v>0</v>
      </c>
      <c r="AG178" s="47">
        <v>0</v>
      </c>
      <c r="AH178" s="46">
        <v>0</v>
      </c>
      <c r="AI178" s="46">
        <v>0</v>
      </c>
      <c r="AJ178" s="47">
        <v>0</v>
      </c>
      <c r="AK178" s="46">
        <v>0</v>
      </c>
      <c r="AL178" s="46">
        <v>0</v>
      </c>
      <c r="AM178" s="47">
        <v>0</v>
      </c>
      <c r="AN178" s="46">
        <v>0</v>
      </c>
      <c r="AO178" s="46">
        <v>0</v>
      </c>
      <c r="AP178" s="47">
        <v>0</v>
      </c>
      <c r="AQ178" s="46">
        <v>0</v>
      </c>
      <c r="AR178" s="46">
        <v>0</v>
      </c>
      <c r="AS178" s="47">
        <v>0</v>
      </c>
      <c r="AT178" s="46">
        <v>0</v>
      </c>
      <c r="AU178" s="46">
        <v>0</v>
      </c>
      <c r="AV178" s="46">
        <v>0</v>
      </c>
      <c r="AW178" s="1545">
        <v>0</v>
      </c>
      <c r="AX178" s="10">
        <f t="shared" si="169"/>
        <v>20</v>
      </c>
      <c r="AY178" s="42">
        <f>IF(AND($E178=MONTH(Summary!$E$24),$D178=YEAR(Summary!$E$24)),Summary!$E$25,1)*IF(G178="",0,INT((H178-MOD(H178,7)-G178)/7)+1-IF(BA178,IF(WEEKDAY(F178)=7,1,0),0))</f>
        <v>5</v>
      </c>
      <c r="AZ178" s="42">
        <f>IF(AND($E178=MONTH(Summary!$E$24),$D178=YEAR(Summary!$E$24)),Summary!$E$25,1)*IF(G178="",0,INT((H178-MOD(H178-1,7)-G178)/7)+1-IF(BA178,IF(WEEKDAY(F178)=1,1,0),0))</f>
        <v>5</v>
      </c>
      <c r="BA178" s="42">
        <v>0</v>
      </c>
      <c r="BB178" s="10">
        <f>IF(AND($E178=MONTH(Summary!$E$24),$D178=YEAR(Summary!$E$24)),Summary!$E$25,1)*IF(G178="",0,H178-G178+1)</f>
        <v>30</v>
      </c>
      <c r="BC178" s="914">
        <f>Summary!$E$19</f>
        <v>1.4999999999999999E-2</v>
      </c>
      <c r="BD178" s="113">
        <v>14184</v>
      </c>
      <c r="BE178" s="171">
        <v>3546</v>
      </c>
      <c r="BF178" s="171">
        <v>3546</v>
      </c>
      <c r="BG178" s="174"/>
      <c r="BH178" s="1198">
        <v>1</v>
      </c>
      <c r="BI178" s="1198">
        <v>1</v>
      </c>
      <c r="BJ178" s="1198">
        <v>1</v>
      </c>
      <c r="BK178" s="1198">
        <v>1</v>
      </c>
      <c r="BL178" s="95">
        <v>2836.8</v>
      </c>
      <c r="BM178" s="171">
        <v>709.2</v>
      </c>
      <c r="BN178" s="171">
        <v>709.2</v>
      </c>
      <c r="BO178" s="174"/>
      <c r="BP178" s="1198">
        <v>1</v>
      </c>
      <c r="BQ178" s="1199">
        <v>1</v>
      </c>
      <c r="BR178" s="1199">
        <v>1</v>
      </c>
      <c r="BS178" s="1200">
        <v>1</v>
      </c>
      <c r="BT178" s="94">
        <f t="shared" si="146"/>
        <v>21276</v>
      </c>
      <c r="BU178" s="233">
        <f t="shared" si="147"/>
        <v>21276</v>
      </c>
      <c r="BV178" s="92">
        <f t="shared" si="148"/>
        <v>4255.2</v>
      </c>
      <c r="BW178" s="233">
        <f t="shared" si="149"/>
        <v>4255.2</v>
      </c>
      <c r="BX178" s="88">
        <v>13.462012320328542</v>
      </c>
      <c r="BY178" s="90">
        <v>0</v>
      </c>
      <c r="BZ178" s="88">
        <v>0</v>
      </c>
      <c r="CA178" s="88">
        <v>0</v>
      </c>
      <c r="CB178" s="88">
        <v>0</v>
      </c>
      <c r="CC178" s="88">
        <v>0</v>
      </c>
      <c r="CD178" s="88">
        <v>0</v>
      </c>
      <c r="CE178" s="100">
        <v>0</v>
      </c>
      <c r="CF178" s="88">
        <v>0</v>
      </c>
      <c r="CG178" s="88">
        <v>0</v>
      </c>
      <c r="CH178" s="88">
        <v>0</v>
      </c>
      <c r="CI178" s="88">
        <v>0</v>
      </c>
      <c r="CJ178" s="228">
        <v>0</v>
      </c>
      <c r="CK178" s="88">
        <v>0</v>
      </c>
      <c r="CL178" s="88">
        <v>0</v>
      </c>
      <c r="CM178" s="88">
        <v>0</v>
      </c>
      <c r="CN178" s="88">
        <v>0</v>
      </c>
      <c r="CO178" s="88">
        <v>0</v>
      </c>
      <c r="CP178" s="88">
        <v>0</v>
      </c>
      <c r="CQ178" s="229">
        <v>0</v>
      </c>
      <c r="CR178" s="91">
        <v>0</v>
      </c>
      <c r="CS178" s="91">
        <v>0</v>
      </c>
      <c r="CT178" s="91">
        <v>0</v>
      </c>
      <c r="CU178" s="91">
        <v>0</v>
      </c>
      <c r="CV178" s="91">
        <v>0</v>
      </c>
      <c r="CW178" s="91">
        <v>0</v>
      </c>
      <c r="CX178" s="225">
        <v>0</v>
      </c>
      <c r="CY178" s="1265">
        <v>7741.0998399999999</v>
      </c>
      <c r="CZ178" s="90">
        <v>0</v>
      </c>
      <c r="DA178" s="88">
        <v>0</v>
      </c>
      <c r="DB178" s="88">
        <v>0</v>
      </c>
      <c r="DC178" s="88">
        <v>0</v>
      </c>
      <c r="DD178" s="88">
        <v>0</v>
      </c>
      <c r="DE178" s="152">
        <v>0</v>
      </c>
      <c r="DF178" s="230">
        <v>0</v>
      </c>
      <c r="DG178" s="38">
        <v>0</v>
      </c>
      <c r="DH178" s="1237">
        <v>0</v>
      </c>
      <c r="DI178" s="956">
        <v>0</v>
      </c>
      <c r="DJ178" s="956">
        <v>0</v>
      </c>
      <c r="DK178" s="956">
        <v>0</v>
      </c>
      <c r="DL178" s="152">
        <v>0</v>
      </c>
      <c r="DM178" s="160">
        <v>0</v>
      </c>
      <c r="DN178" s="160">
        <v>0</v>
      </c>
      <c r="DO178" s="160">
        <v>0</v>
      </c>
      <c r="DP178" s="160">
        <v>0</v>
      </c>
      <c r="DQ178" s="160">
        <v>0</v>
      </c>
      <c r="DR178" s="230">
        <v>0</v>
      </c>
      <c r="DS178" s="88">
        <v>0</v>
      </c>
      <c r="DT178" s="88">
        <v>0</v>
      </c>
      <c r="DU178" s="88">
        <v>0</v>
      </c>
      <c r="DV178" s="88">
        <v>0</v>
      </c>
      <c r="DW178" s="88">
        <v>0</v>
      </c>
      <c r="DX178" s="88">
        <v>0</v>
      </c>
      <c r="DY178" s="88">
        <v>0</v>
      </c>
      <c r="DZ178" s="88">
        <v>0</v>
      </c>
      <c r="EA178" s="88">
        <v>0</v>
      </c>
      <c r="EB178" s="152">
        <v>0</v>
      </c>
      <c r="EC178" s="52">
        <f t="shared" si="150"/>
        <v>0</v>
      </c>
      <c r="ED178" s="52">
        <f t="shared" si="150"/>
        <v>0</v>
      </c>
      <c r="EE178" s="52">
        <f t="shared" si="150"/>
        <v>0</v>
      </c>
      <c r="EF178" s="52">
        <f t="shared" si="150"/>
        <v>0</v>
      </c>
      <c r="EG178" s="52">
        <f t="shared" si="151"/>
        <v>0</v>
      </c>
      <c r="EH178" s="238">
        <v>0</v>
      </c>
      <c r="EI178" s="211">
        <v>0</v>
      </c>
      <c r="EJ178" s="211">
        <v>0</v>
      </c>
      <c r="EK178" s="211">
        <v>0</v>
      </c>
      <c r="EL178" s="217">
        <f>IF(C178&gt;=Summary!$E$26,MAX(0,SUM(EH178:EK178)),0)</f>
        <v>0</v>
      </c>
      <c r="EM178" s="52">
        <f>IF(C178&gt;=Summary!$E$26,DX178*BL178,0)</f>
        <v>0</v>
      </c>
      <c r="EN178" s="52">
        <f>IF(C178&gt;=Summary!$E$26,DY178*BM178,0)</f>
        <v>0</v>
      </c>
      <c r="EO178" s="52">
        <f>IF(C178&gt;=Summary!$E$26,DZ178*BN178,0)</f>
        <v>0</v>
      </c>
      <c r="EP178" s="52">
        <f>IF(C178&gt;=Summary!$E$26,EA178*BO178,0)</f>
        <v>0</v>
      </c>
      <c r="EQ178" s="52">
        <f>IF(C178&gt;=Summary!$E$26,DX178*BL178+DY178*BM178+DZ178*BN178+EA178*BO178,0)</f>
        <v>0</v>
      </c>
      <c r="ER178" s="826">
        <v>0</v>
      </c>
      <c r="ES178" s="278">
        <v>0</v>
      </c>
      <c r="ET178" s="278">
        <v>0</v>
      </c>
      <c r="EU178" s="278">
        <v>0</v>
      </c>
      <c r="EV178" s="212">
        <f>IF(C178&gt;=Summary!$E$26,MAX(0,SUM(ER178:EU178)),0)</f>
        <v>0</v>
      </c>
      <c r="EW178" s="52"/>
      <c r="EX178" s="1049">
        <f t="shared" si="152"/>
        <v>0</v>
      </c>
      <c r="EY178" s="1045" t="str">
        <f t="shared" si="153"/>
        <v/>
      </c>
      <c r="EZ178" s="1684" t="s">
        <v>525</v>
      </c>
      <c r="FA178" s="1046">
        <f t="shared" si="166"/>
        <v>45</v>
      </c>
      <c r="FB178" s="256">
        <f t="shared" si="154"/>
        <v>10638</v>
      </c>
      <c r="FC178" s="194">
        <f t="shared" si="155"/>
        <v>0</v>
      </c>
      <c r="FD178" s="194">
        <f t="shared" si="156"/>
        <v>2659.5</v>
      </c>
      <c r="FE178" s="194">
        <f t="shared" si="157"/>
        <v>0</v>
      </c>
      <c r="FF178" s="194">
        <f t="shared" si="158"/>
        <v>2659.5</v>
      </c>
      <c r="FG178" s="194">
        <f t="shared" si="159"/>
        <v>0</v>
      </c>
      <c r="FH178" s="257">
        <f>IF(EZ178="No",IF((OR(MONTH(C178)=5,MONTH(C178)=6,MONTH(C178)=7,MONTH(C178)=8,MONTH(C178)=9)),Summary!$O$15*12*(AX178+AY178+AZ178+BA178)*(1-$BC178),Summary!$O$15*13*(AX178+AY178+AZ178+BA178)*(1-$BC178)+IF(Summary!$O$16="Yes",(CALC!FA178+Summary!$O$15)*6*(AX178+AY178+AZ178+BA178)*(1-$BC178),0)),0)</f>
        <v>0</v>
      </c>
      <c r="FI178" s="1412">
        <f>IF(MONTH(C178)=5,FI177*(IF(Summary!$E$70="no",(1+(Summary!$E$71*0.8)),1+HLOOKUP(YEAR(C178)-1,CCFMODEL!$I$127:$AF$128,2)*0.8)),+FI177)</f>
        <v>37.078577505431092</v>
      </c>
      <c r="FJ178" s="1411">
        <f>IF(MONTH(C178)=5,FJ177*(IF(Summary!$E$70="no",(1+(Summary!$E$71*0.8)),1+HLOOKUP(YEAR(CALC!C178)-1,CCFMODEL!$I$127:$AF$128,2)*0.8)),FJ177)</f>
        <v>32.407260654353159</v>
      </c>
      <c r="FK178" s="832">
        <f t="shared" si="127"/>
        <v>591662.8612541639</v>
      </c>
      <c r="FL178" s="1412">
        <f>IF(MONTH(C178)=5,FL177*(IF(Summary!$E$70="no",(1+(Summary!$E$71*0.8)),1+HLOOKUP(YEAR(CALC!C178)-1,CCFMODEL!$I$127:$AF$128,2)*0.8)),+FL177)</f>
        <v>77.980405409809876</v>
      </c>
      <c r="FM178" s="1411">
        <f>IF(MONTH(C178)=5,FM177*(IF(Summary!$E$70="no",(1+(Summary!$E$71*0.8)),1+HLOOKUP(YEAR(CALC!C178)-1,CCFMODEL!$I$127:$AF$128,2)*0.8)),+FM177)</f>
        <v>37.217604792665554</v>
      </c>
      <c r="FN178" s="832">
        <f t="shared" si="128"/>
        <v>1263282.5676389199</v>
      </c>
      <c r="FO178" s="194">
        <f t="shared" si="160"/>
        <v>1854945.4288930837</v>
      </c>
      <c r="FP178" s="263">
        <f t="shared" si="177"/>
        <v>10638</v>
      </c>
      <c r="FQ178" s="194">
        <f t="shared" si="178"/>
        <v>0</v>
      </c>
      <c r="FR178" s="194">
        <f t="shared" si="179"/>
        <v>2659.5</v>
      </c>
      <c r="FS178" s="194">
        <f t="shared" si="176"/>
        <v>0</v>
      </c>
      <c r="FT178" s="194">
        <f t="shared" si="176"/>
        <v>2659.5</v>
      </c>
      <c r="FU178" s="194">
        <f t="shared" si="176"/>
        <v>0</v>
      </c>
      <c r="FV178" s="257">
        <f t="shared" si="124"/>
        <v>0</v>
      </c>
      <c r="FW178" s="189">
        <f t="shared" si="129"/>
        <v>0</v>
      </c>
      <c r="FX178" s="189">
        <f t="shared" si="130"/>
        <v>0</v>
      </c>
      <c r="FY178" s="189">
        <f t="shared" si="131"/>
        <v>0</v>
      </c>
      <c r="FZ178" s="258">
        <f t="shared" si="132"/>
        <v>0</v>
      </c>
      <c r="GA178" s="1294">
        <f>(SUM(FP178:FV178)+SUM(GU178:HB178)/(1-Summary!$O$25))*CY178/1000</f>
        <v>197639.56823500799</v>
      </c>
      <c r="GB178" s="1369">
        <f>IF($C178&lt;Summary!$M$81,+Summary!$O$81,VLOOKUP(C178,GasTable,19))</f>
        <v>3.2137880761691608</v>
      </c>
      <c r="GC178" s="1370">
        <f>IF(H178&lt;=Summary!$N$84,MIN(GA178,Summary!$O$75*(H178-G178+1)),0)</f>
        <v>0</v>
      </c>
      <c r="GD178" s="1371">
        <f>IF(C178&lt;Summary!$N$84,IF(Summary!$O$75*(H178-G178+1)*0.8&gt;GC178,1,0),0)</f>
        <v>0</v>
      </c>
      <c r="GE178" s="1372">
        <v>0</v>
      </c>
      <c r="GF178" s="1370">
        <f t="shared" si="161"/>
        <v>197639.56823500799</v>
      </c>
      <c r="GG178" s="1371">
        <f>GF178*(IF(Summary!$O$74=1,VLOOKUP($C178,GasTable,16)+Summary!$O$92+Summary!$O$93,VLOOKUP($C178,GasTable,19)+Summary!$O$92+Summary!$O$93))</f>
        <v>645468.70927793393</v>
      </c>
      <c r="GH178" s="1373">
        <v>4820.682114253741</v>
      </c>
      <c r="GI178" s="1466">
        <v>0</v>
      </c>
      <c r="GJ178" s="1374">
        <f t="shared" si="162"/>
        <v>650289.39139218768</v>
      </c>
      <c r="GK178" s="189">
        <f t="shared" si="133"/>
        <v>25196.102999999999</v>
      </c>
      <c r="GL178" s="266">
        <v>0.51865368928</v>
      </c>
      <c r="GM178" s="255">
        <f t="shared" si="134"/>
        <v>0</v>
      </c>
      <c r="GN178" s="189">
        <f>IF(SUM(GU178:HB178)=0,0,IF(Summary!$O$16="Yes",SUM(GX178:HB178),IF(Summary!$O$17="Yes",SUM(GY178:HB178),SUM(GU178:HB178))))</f>
        <v>9239.103000000001</v>
      </c>
      <c r="GO178" s="203">
        <v>3.4944134884426483</v>
      </c>
      <c r="GP178" s="258">
        <f t="shared" si="163"/>
        <v>32285.246144310942</v>
      </c>
      <c r="GQ178" s="189"/>
      <c r="GR178" s="189"/>
      <c r="GS178" s="189"/>
      <c r="GT178" s="189"/>
      <c r="GU178" s="268">
        <v>3421.89</v>
      </c>
      <c r="GV178" s="189">
        <v>855.47249999999997</v>
      </c>
      <c r="GW178" s="189">
        <v>855.47249999999997</v>
      </c>
      <c r="GX178" s="189"/>
      <c r="GY178" s="254">
        <v>2737.5120000000002</v>
      </c>
      <c r="GZ178" s="189">
        <v>684.37800000000004</v>
      </c>
      <c r="HA178" s="189">
        <v>684.37800000000004</v>
      </c>
      <c r="HB178" s="255"/>
      <c r="HC178" s="189">
        <v>9239.103000000001</v>
      </c>
      <c r="HD178" s="189"/>
      <c r="HE178" s="189">
        <v>21557.906999999999</v>
      </c>
      <c r="HF178" s="189">
        <v>369894.73430110893</v>
      </c>
      <c r="HG178" s="189"/>
      <c r="HH178" s="203">
        <v>41.417557179728348</v>
      </c>
      <c r="HI178" s="189">
        <v>892875.84584776592</v>
      </c>
      <c r="HJ178" s="268">
        <f t="shared" si="135"/>
        <v>0</v>
      </c>
      <c r="HK178" s="189">
        <f t="shared" si="136"/>
        <v>0</v>
      </c>
      <c r="HL178" s="189">
        <f t="shared" si="137"/>
        <v>0</v>
      </c>
      <c r="HM178" s="255">
        <f t="shared" si="138"/>
        <v>0</v>
      </c>
      <c r="HN178" s="189">
        <f t="shared" si="139"/>
        <v>0</v>
      </c>
      <c r="HO178" s="203">
        <f t="shared" si="164"/>
        <v>0</v>
      </c>
      <c r="HP178" s="258">
        <f t="shared" si="140"/>
        <v>0</v>
      </c>
      <c r="HQ178" s="203"/>
      <c r="HR178" s="268"/>
      <c r="HS178" s="38"/>
      <c r="HT178" s="255"/>
      <c r="HU178" s="254"/>
      <c r="HV178" s="203"/>
      <c r="HW178" s="189"/>
      <c r="HX178" s="1020"/>
      <c r="HY178" s="258"/>
      <c r="HZ178" s="268"/>
      <c r="IA178" s="203"/>
      <c r="IB178" s="255"/>
      <c r="IC178" s="254"/>
      <c r="ID178" s="203"/>
      <c r="IE178" s="255"/>
      <c r="IF178" s="189"/>
      <c r="IG178" s="203"/>
      <c r="IH178" s="255"/>
      <c r="II178" s="189"/>
      <c r="IJ178" s="203"/>
      <c r="IK178" s="189"/>
      <c r="IL178" s="1182"/>
      <c r="IM178" s="1403"/>
      <c r="IN178" s="254"/>
      <c r="IO178" s="254"/>
      <c r="IP178" s="254"/>
      <c r="IQ178" s="254"/>
      <c r="IR178" s="223"/>
    </row>
    <row r="179" spans="1:252" ht="13.8" thickBot="1">
      <c r="A179" t="str">
        <f t="shared" si="141"/>
        <v>2013Q3</v>
      </c>
      <c r="B179">
        <f t="shared" si="142"/>
        <v>2013</v>
      </c>
      <c r="C179" s="49">
        <f t="shared" si="143"/>
        <v>41456</v>
      </c>
      <c r="D179" s="115">
        <f t="shared" si="144"/>
        <v>2013</v>
      </c>
      <c r="E179" s="10">
        <f t="shared" si="167"/>
        <v>7</v>
      </c>
      <c r="F179" s="248">
        <f t="shared" si="168"/>
        <v>41459</v>
      </c>
      <c r="G179" s="245">
        <v>41456</v>
      </c>
      <c r="H179" s="251">
        <v>41486</v>
      </c>
      <c r="I179" s="959">
        <f t="shared" si="165"/>
        <v>7.1499999999999994E-2</v>
      </c>
      <c r="J179" s="37">
        <f t="shared" si="145"/>
        <v>0.38246618661039528</v>
      </c>
      <c r="K179" s="1036"/>
      <c r="L179" s="37"/>
      <c r="M179" s="1004">
        <v>0</v>
      </c>
      <c r="N179" s="38">
        <f t="shared" si="174"/>
        <v>0</v>
      </c>
      <c r="O179" s="40">
        <f t="shared" si="174"/>
        <v>0</v>
      </c>
      <c r="P179" s="159">
        <f t="shared" si="172"/>
        <v>0</v>
      </c>
      <c r="Q179" s="38">
        <f t="shared" ref="Q179:X188" si="180">P179</f>
        <v>0</v>
      </c>
      <c r="R179" s="40">
        <f t="shared" si="180"/>
        <v>0</v>
      </c>
      <c r="S179" s="38">
        <f t="shared" si="180"/>
        <v>0</v>
      </c>
      <c r="T179" s="38">
        <f t="shared" si="180"/>
        <v>0</v>
      </c>
      <c r="U179" s="38">
        <f t="shared" si="180"/>
        <v>0</v>
      </c>
      <c r="V179" s="159">
        <f t="shared" si="180"/>
        <v>0</v>
      </c>
      <c r="W179" s="38">
        <f t="shared" si="180"/>
        <v>0</v>
      </c>
      <c r="X179" s="39">
        <f t="shared" si="180"/>
        <v>0</v>
      </c>
      <c r="Y179" s="46">
        <v>0</v>
      </c>
      <c r="Z179" s="46">
        <v>0</v>
      </c>
      <c r="AA179" s="47">
        <v>0</v>
      </c>
      <c r="AB179" s="46">
        <v>0</v>
      </c>
      <c r="AC179" s="46">
        <v>0</v>
      </c>
      <c r="AD179" s="47">
        <v>0</v>
      </c>
      <c r="AE179" s="46">
        <v>0</v>
      </c>
      <c r="AF179" s="46">
        <v>0</v>
      </c>
      <c r="AG179" s="47">
        <v>0</v>
      </c>
      <c r="AH179" s="46">
        <v>0</v>
      </c>
      <c r="AI179" s="46">
        <v>0</v>
      </c>
      <c r="AJ179" s="47">
        <v>0</v>
      </c>
      <c r="AK179" s="46">
        <v>0</v>
      </c>
      <c r="AL179" s="46">
        <v>0</v>
      </c>
      <c r="AM179" s="47">
        <v>0</v>
      </c>
      <c r="AN179" s="46">
        <v>0</v>
      </c>
      <c r="AO179" s="46">
        <v>0</v>
      </c>
      <c r="AP179" s="47">
        <v>0</v>
      </c>
      <c r="AQ179" s="46">
        <v>0</v>
      </c>
      <c r="AR179" s="46">
        <v>0</v>
      </c>
      <c r="AS179" s="47">
        <v>0</v>
      </c>
      <c r="AT179" s="46">
        <v>0</v>
      </c>
      <c r="AU179" s="46">
        <v>0</v>
      </c>
      <c r="AV179" s="46">
        <v>0</v>
      </c>
      <c r="AW179" s="1545">
        <v>0</v>
      </c>
      <c r="AX179" s="10">
        <f t="shared" si="169"/>
        <v>22</v>
      </c>
      <c r="AY179" s="42">
        <f>IF(AND($E179=MONTH(Summary!$E$24),$D179=YEAR(Summary!$E$24)),Summary!$E$25,1)*IF(G179="",0,INT((H179-MOD(H179,7)-G179)/7)+1-IF(BA179,IF(WEEKDAY(F179)=7,1,0),0))</f>
        <v>4</v>
      </c>
      <c r="AZ179" s="42">
        <f>IF(AND($E179=MONTH(Summary!$E$24),$D179=YEAR(Summary!$E$24)),Summary!$E$25,1)*IF(G179="",0,INT((H179-MOD(H179-1,7)-G179)/7)+1-IF(BA179,IF(WEEKDAY(F179)=1,1,0),0))</f>
        <v>4</v>
      </c>
      <c r="BA179" s="42">
        <v>1</v>
      </c>
      <c r="BB179" s="10">
        <f>IF(AND($E179=MONTH(Summary!$E$24),$D179=YEAR(Summary!$E$24)),Summary!$E$25,1)*IF(G179="",0,H179-G179+1)</f>
        <v>31</v>
      </c>
      <c r="BC179" s="914">
        <f>Summary!$E$19</f>
        <v>1.4999999999999999E-2</v>
      </c>
      <c r="BD179" s="113">
        <v>15602.4</v>
      </c>
      <c r="BE179" s="171">
        <v>2836.8</v>
      </c>
      <c r="BF179" s="171">
        <v>3546</v>
      </c>
      <c r="BG179" s="174"/>
      <c r="BH179" s="1198">
        <v>1</v>
      </c>
      <c r="BI179" s="1198">
        <v>1</v>
      </c>
      <c r="BJ179" s="1198">
        <v>1</v>
      </c>
      <c r="BK179" s="1198">
        <v>1</v>
      </c>
      <c r="BL179" s="95">
        <v>3120.48</v>
      </c>
      <c r="BM179" s="171">
        <v>567.36</v>
      </c>
      <c r="BN179" s="171">
        <v>709.2</v>
      </c>
      <c r="BO179" s="174"/>
      <c r="BP179" s="1198">
        <v>1</v>
      </c>
      <c r="BQ179" s="1199">
        <v>1</v>
      </c>
      <c r="BR179" s="1199">
        <v>1</v>
      </c>
      <c r="BS179" s="1200">
        <v>1</v>
      </c>
      <c r="BT179" s="94">
        <f t="shared" si="146"/>
        <v>21985.200000000001</v>
      </c>
      <c r="BU179" s="233">
        <f t="shared" si="147"/>
        <v>21985.200000000001</v>
      </c>
      <c r="BV179" s="92">
        <f t="shared" si="148"/>
        <v>4397.04</v>
      </c>
      <c r="BW179" s="233">
        <f t="shared" si="149"/>
        <v>4397.04</v>
      </c>
      <c r="BX179" s="88">
        <v>13.544147843942506</v>
      </c>
      <c r="BY179" s="90">
        <v>0</v>
      </c>
      <c r="BZ179" s="88">
        <v>0</v>
      </c>
      <c r="CA179" s="88">
        <v>0</v>
      </c>
      <c r="CB179" s="88">
        <v>0</v>
      </c>
      <c r="CC179" s="88">
        <v>0</v>
      </c>
      <c r="CD179" s="88">
        <v>0</v>
      </c>
      <c r="CE179" s="100">
        <v>0</v>
      </c>
      <c r="CF179" s="88">
        <v>0</v>
      </c>
      <c r="CG179" s="88">
        <v>0</v>
      </c>
      <c r="CH179" s="88">
        <v>0</v>
      </c>
      <c r="CI179" s="88">
        <v>0</v>
      </c>
      <c r="CJ179" s="228">
        <v>0</v>
      </c>
      <c r="CK179" s="88">
        <v>0</v>
      </c>
      <c r="CL179" s="88">
        <v>0</v>
      </c>
      <c r="CM179" s="88">
        <v>0</v>
      </c>
      <c r="CN179" s="88">
        <v>0</v>
      </c>
      <c r="CO179" s="88">
        <v>0</v>
      </c>
      <c r="CP179" s="88">
        <v>0</v>
      </c>
      <c r="CQ179" s="229">
        <v>0</v>
      </c>
      <c r="CR179" s="91">
        <v>0</v>
      </c>
      <c r="CS179" s="91">
        <v>0</v>
      </c>
      <c r="CT179" s="91">
        <v>0</v>
      </c>
      <c r="CU179" s="91">
        <v>0</v>
      </c>
      <c r="CV179" s="91">
        <v>0</v>
      </c>
      <c r="CW179" s="91">
        <v>0</v>
      </c>
      <c r="CX179" s="225">
        <v>0</v>
      </c>
      <c r="CY179" s="1265">
        <v>7742.40272</v>
      </c>
      <c r="CZ179" s="90">
        <v>0</v>
      </c>
      <c r="DA179" s="88">
        <v>0</v>
      </c>
      <c r="DB179" s="88">
        <v>0</v>
      </c>
      <c r="DC179" s="88">
        <v>0</v>
      </c>
      <c r="DD179" s="88">
        <v>0</v>
      </c>
      <c r="DE179" s="152">
        <v>0</v>
      </c>
      <c r="DF179" s="230">
        <v>0</v>
      </c>
      <c r="DG179" s="38">
        <v>0</v>
      </c>
      <c r="DH179" s="1237">
        <v>0</v>
      </c>
      <c r="DI179" s="956">
        <v>0</v>
      </c>
      <c r="DJ179" s="956">
        <v>0</v>
      </c>
      <c r="DK179" s="956">
        <v>0</v>
      </c>
      <c r="DL179" s="152">
        <v>0</v>
      </c>
      <c r="DM179" s="160">
        <v>0</v>
      </c>
      <c r="DN179" s="160">
        <v>0</v>
      </c>
      <c r="DO179" s="160">
        <v>0</v>
      </c>
      <c r="DP179" s="160">
        <v>0</v>
      </c>
      <c r="DQ179" s="160">
        <v>0</v>
      </c>
      <c r="DR179" s="230">
        <v>0</v>
      </c>
      <c r="DS179" s="88">
        <v>0</v>
      </c>
      <c r="DT179" s="88">
        <v>0</v>
      </c>
      <c r="DU179" s="88">
        <v>0</v>
      </c>
      <c r="DV179" s="88">
        <v>0</v>
      </c>
      <c r="DW179" s="88">
        <v>0</v>
      </c>
      <c r="DX179" s="88">
        <v>0</v>
      </c>
      <c r="DY179" s="88">
        <v>0</v>
      </c>
      <c r="DZ179" s="88">
        <v>0</v>
      </c>
      <c r="EA179" s="88">
        <v>0</v>
      </c>
      <c r="EB179" s="152">
        <v>0</v>
      </c>
      <c r="EC179" s="52">
        <f t="shared" si="150"/>
        <v>0</v>
      </c>
      <c r="ED179" s="52">
        <f t="shared" si="150"/>
        <v>0</v>
      </c>
      <c r="EE179" s="52">
        <f t="shared" si="150"/>
        <v>0</v>
      </c>
      <c r="EF179" s="52">
        <f t="shared" si="150"/>
        <v>0</v>
      </c>
      <c r="EG179" s="52">
        <f t="shared" si="151"/>
        <v>0</v>
      </c>
      <c r="EH179" s="238">
        <v>0</v>
      </c>
      <c r="EI179" s="211">
        <v>0</v>
      </c>
      <c r="EJ179" s="211">
        <v>0</v>
      </c>
      <c r="EK179" s="211">
        <v>0</v>
      </c>
      <c r="EL179" s="217">
        <f>IF(C179&gt;=Summary!$E$26,MAX(0,SUM(EH179:EK179)),0)</f>
        <v>0</v>
      </c>
      <c r="EM179" s="52">
        <f>IF(C179&gt;=Summary!$E$26,DX179*BL179,0)</f>
        <v>0</v>
      </c>
      <c r="EN179" s="52">
        <f>IF(C179&gt;=Summary!$E$26,DY179*BM179,0)</f>
        <v>0</v>
      </c>
      <c r="EO179" s="52">
        <f>IF(C179&gt;=Summary!$E$26,DZ179*BN179,0)</f>
        <v>0</v>
      </c>
      <c r="EP179" s="52">
        <f>IF(C179&gt;=Summary!$E$26,EA179*BO179,0)</f>
        <v>0</v>
      </c>
      <c r="EQ179" s="52">
        <f>IF(C179&gt;=Summary!$E$26,DX179*BL179+DY179*BM179+DZ179*BN179+EA179*BO179,0)</f>
        <v>0</v>
      </c>
      <c r="ER179" s="826">
        <v>0</v>
      </c>
      <c r="ES179" s="278">
        <v>0</v>
      </c>
      <c r="ET179" s="278">
        <v>0</v>
      </c>
      <c r="EU179" s="278">
        <v>0</v>
      </c>
      <c r="EV179" s="212">
        <f>IF(C179&gt;=Summary!$E$26,MAX(0,SUM(ER179:EU179)),0)</f>
        <v>0</v>
      </c>
      <c r="EW179" s="52"/>
      <c r="EX179" s="1049">
        <f t="shared" si="152"/>
        <v>0</v>
      </c>
      <c r="EY179" s="1045" t="str">
        <f t="shared" si="153"/>
        <v/>
      </c>
      <c r="EZ179" s="1684" t="s">
        <v>525</v>
      </c>
      <c r="FA179" s="1046">
        <f t="shared" si="166"/>
        <v>45</v>
      </c>
      <c r="FB179" s="256">
        <f t="shared" si="154"/>
        <v>11701.8</v>
      </c>
      <c r="FC179" s="194">
        <f t="shared" si="155"/>
        <v>0</v>
      </c>
      <c r="FD179" s="194">
        <f t="shared" si="156"/>
        <v>2127.6</v>
      </c>
      <c r="FE179" s="194">
        <f t="shared" si="157"/>
        <v>0</v>
      </c>
      <c r="FF179" s="194">
        <f t="shared" si="158"/>
        <v>2659.5</v>
      </c>
      <c r="FG179" s="194">
        <f t="shared" si="159"/>
        <v>0</v>
      </c>
      <c r="FH179" s="257">
        <f>IF(EZ179="No",IF((OR(MONTH(C179)=5,MONTH(C179)=6,MONTH(C179)=7,MONTH(C179)=8,MONTH(C179)=9)),Summary!$O$15*12*(AX179+AY179+AZ179+BA179)*(1-$BC179),Summary!$O$15*13*(AX179+AY179+AZ179+BA179)*(1-$BC179)+IF(Summary!$O$16="Yes",(CALC!FA179+Summary!$O$15)*6*(AX179+AY179+AZ179+BA179)*(1-$BC179),0)),0)</f>
        <v>0</v>
      </c>
      <c r="FI179" s="1412">
        <f>IF(MONTH(C179)=5,FI178*(IF(Summary!$E$70="no",(1+(Summary!$E$71*0.8)),1+HLOOKUP(YEAR(C179)-1,CCFMODEL!$I$127:$AF$128,2)*0.8)),+FI178)</f>
        <v>37.078577505431092</v>
      </c>
      <c r="FJ179" s="1411">
        <f>IF(MONTH(C179)=5,FJ178*(IF(Summary!$E$70="no",(1+(Summary!$E$71*0.8)),1+HLOOKUP(YEAR(CALC!C179)-1,CCFMODEL!$I$127:$AF$128,2)*0.8)),FJ178)</f>
        <v>32.407260654353159</v>
      </c>
      <c r="FK179" s="832">
        <f t="shared" si="127"/>
        <v>611384.95662930282</v>
      </c>
      <c r="FL179" s="1412">
        <f>IF(MONTH(C179)=5,FL178*(IF(Summary!$E$70="no",(1+(Summary!$E$71*0.8)),1+HLOOKUP(YEAR(CALC!C179)-1,CCFMODEL!$I$127:$AF$128,2)*0.8)),+FL178)</f>
        <v>77.980405409809876</v>
      </c>
      <c r="FM179" s="1411">
        <f>IF(MONTH(C179)=5,FM178*(IF(Summary!$E$70="no",(1+(Summary!$E$71*0.8)),1+HLOOKUP(YEAR(CALC!C179)-1,CCFMODEL!$I$127:$AF$128,2)*0.8)),+FM178)</f>
        <v>37.217604792665554</v>
      </c>
      <c r="FN179" s="832">
        <f t="shared" si="128"/>
        <v>1305391.9865602173</v>
      </c>
      <c r="FO179" s="194">
        <f t="shared" si="160"/>
        <v>1916776.9431895202</v>
      </c>
      <c r="FP179" s="263">
        <f t="shared" si="177"/>
        <v>11701.8</v>
      </c>
      <c r="FQ179" s="194">
        <f t="shared" si="178"/>
        <v>0</v>
      </c>
      <c r="FR179" s="194">
        <f t="shared" si="179"/>
        <v>2127.6</v>
      </c>
      <c r="FS179" s="194">
        <f t="shared" si="176"/>
        <v>0</v>
      </c>
      <c r="FT179" s="194">
        <f t="shared" si="176"/>
        <v>2659.5</v>
      </c>
      <c r="FU179" s="194">
        <f t="shared" si="176"/>
        <v>0</v>
      </c>
      <c r="FV179" s="257">
        <f t="shared" si="124"/>
        <v>0</v>
      </c>
      <c r="FW179" s="189">
        <f t="shared" si="129"/>
        <v>0</v>
      </c>
      <c r="FX179" s="189">
        <f t="shared" si="130"/>
        <v>0</v>
      </c>
      <c r="FY179" s="189">
        <f t="shared" si="131"/>
        <v>0</v>
      </c>
      <c r="FZ179" s="258">
        <f t="shared" si="132"/>
        <v>0</v>
      </c>
      <c r="GA179" s="1294">
        <f>(SUM(FP179:FV179)+SUM(GU179:HB179)/(1-Summary!$O$25))*CY179/1000</f>
        <v>204261.9267356928</v>
      </c>
      <c r="GB179" s="1369">
        <f>IF($C179&lt;Summary!$M$81,+Summary!$O$81,VLOOKUP(C179,GasTable,19))</f>
        <v>3.3015119259582248</v>
      </c>
      <c r="GC179" s="1370">
        <f>IF(H179&lt;=Summary!$N$84,MIN(GA179,Summary!$O$75*(H179-G179+1)),0)</f>
        <v>0</v>
      </c>
      <c r="GD179" s="1371">
        <f>IF(C179&lt;Summary!$N$84,IF(Summary!$O$75*(H179-G179+1)*0.8&gt;GC179,1,0),0)</f>
        <v>0</v>
      </c>
      <c r="GE179" s="1372">
        <v>0</v>
      </c>
      <c r="GF179" s="1370">
        <f t="shared" si="161"/>
        <v>204261.9267356928</v>
      </c>
      <c r="GG179" s="1371">
        <f>GF179*(IF(Summary!$O$74=1,VLOOKUP($C179,GasTable,16)+Summary!$O$92+Summary!$O$93,VLOOKUP($C179,GasTable,19)+Summary!$O$92+Summary!$O$93))</f>
        <v>685015.23352002457</v>
      </c>
      <c r="GH179" s="1373">
        <v>5117.3434852352484</v>
      </c>
      <c r="GI179" s="1466">
        <v>0</v>
      </c>
      <c r="GJ179" s="1374">
        <f t="shared" si="162"/>
        <v>690132.57700525981</v>
      </c>
      <c r="GK179" s="189">
        <f t="shared" si="133"/>
        <v>26035.973100000007</v>
      </c>
      <c r="GL179" s="266">
        <v>0.51874098223999998</v>
      </c>
      <c r="GM179" s="255">
        <f t="shared" si="134"/>
        <v>0</v>
      </c>
      <c r="GN179" s="189">
        <f>IF(SUM(GU179:HB179)=0,0,IF(Summary!$O$16="Yes",SUM(GX179:HB179),IF(Summary!$O$17="Yes",SUM(GY179:HB179),SUM(GU179:HB179))))</f>
        <v>9547.0730999999996</v>
      </c>
      <c r="GO179" s="203">
        <v>3.4944134884426483</v>
      </c>
      <c r="GP179" s="258">
        <f t="shared" si="163"/>
        <v>33361.421015787964</v>
      </c>
      <c r="GQ179" s="189"/>
      <c r="GR179" s="189"/>
      <c r="GS179" s="189"/>
      <c r="GT179" s="189"/>
      <c r="GU179" s="268">
        <v>3764.0790000000002</v>
      </c>
      <c r="GV179" s="189">
        <v>684.37800000000027</v>
      </c>
      <c r="GW179" s="189">
        <v>855.47249999999997</v>
      </c>
      <c r="GX179" s="189"/>
      <c r="GY179" s="254">
        <v>3011.2631999999999</v>
      </c>
      <c r="GZ179" s="189">
        <v>547.50239999999997</v>
      </c>
      <c r="HA179" s="189">
        <v>684.37800000000004</v>
      </c>
      <c r="HB179" s="255"/>
      <c r="HC179" s="189">
        <v>9547.0730999999996</v>
      </c>
      <c r="HD179" s="189"/>
      <c r="HE179" s="189">
        <v>22276.5039</v>
      </c>
      <c r="HF179" s="189">
        <v>514551.42949068506</v>
      </c>
      <c r="HG179" s="189"/>
      <c r="HH179" s="203">
        <v>57.074777550020649</v>
      </c>
      <c r="HI179" s="189">
        <v>1271426.5046846673</v>
      </c>
      <c r="HJ179" s="268">
        <f t="shared" si="135"/>
        <v>0</v>
      </c>
      <c r="HK179" s="189">
        <f t="shared" si="136"/>
        <v>0</v>
      </c>
      <c r="HL179" s="189">
        <f t="shared" si="137"/>
        <v>0</v>
      </c>
      <c r="HM179" s="255">
        <f t="shared" si="138"/>
        <v>0</v>
      </c>
      <c r="HN179" s="189">
        <f t="shared" si="139"/>
        <v>0</v>
      </c>
      <c r="HO179" s="203">
        <f t="shared" si="164"/>
        <v>0</v>
      </c>
      <c r="HP179" s="258">
        <f t="shared" si="140"/>
        <v>0</v>
      </c>
      <c r="HQ179" s="203"/>
      <c r="HR179" s="203"/>
      <c r="HS179" s="203"/>
      <c r="HT179" s="203"/>
      <c r="HU179" s="203"/>
      <c r="HV179" s="203"/>
      <c r="HW179" s="203"/>
      <c r="HX179" s="203"/>
      <c r="HY179" s="203"/>
      <c r="HZ179" s="203"/>
      <c r="IA179" s="203"/>
      <c r="IB179" s="203"/>
      <c r="IC179" s="203"/>
      <c r="ID179" s="203"/>
      <c r="IE179" s="203"/>
      <c r="IF179" s="203"/>
      <c r="IG179" s="203"/>
      <c r="IH179" s="203"/>
      <c r="II179" s="203"/>
      <c r="IJ179" s="203"/>
      <c r="IK179" s="203"/>
      <c r="IL179" s="821"/>
      <c r="IM179" s="1403"/>
      <c r="IN179" s="820"/>
      <c r="IR179" s="223"/>
    </row>
    <row r="180" spans="1:252" ht="13.8" thickBot="1">
      <c r="A180" t="str">
        <f t="shared" si="141"/>
        <v>2013Q3</v>
      </c>
      <c r="B180">
        <f t="shared" si="142"/>
        <v>2013</v>
      </c>
      <c r="C180" s="49">
        <f t="shared" si="143"/>
        <v>41487</v>
      </c>
      <c r="D180" s="115">
        <f t="shared" si="144"/>
        <v>2013</v>
      </c>
      <c r="E180" s="10">
        <f t="shared" si="167"/>
        <v>8</v>
      </c>
      <c r="F180" s="248" t="str">
        <f t="shared" si="168"/>
        <v/>
      </c>
      <c r="G180" s="245">
        <v>41487</v>
      </c>
      <c r="H180" s="251">
        <v>41517</v>
      </c>
      <c r="I180" s="959">
        <f t="shared" si="165"/>
        <v>7.1499999999999994E-2</v>
      </c>
      <c r="J180" s="37">
        <f t="shared" si="145"/>
        <v>0.38019252062773429</v>
      </c>
      <c r="K180" s="1036"/>
      <c r="L180" s="37"/>
      <c r="M180" s="1004">
        <v>0</v>
      </c>
      <c r="N180" s="38">
        <f t="shared" si="174"/>
        <v>0</v>
      </c>
      <c r="O180" s="40">
        <f t="shared" si="174"/>
        <v>0</v>
      </c>
      <c r="P180" s="159">
        <f t="shared" si="172"/>
        <v>0</v>
      </c>
      <c r="Q180" s="38">
        <f t="shared" si="180"/>
        <v>0</v>
      </c>
      <c r="R180" s="40">
        <f t="shared" si="180"/>
        <v>0</v>
      </c>
      <c r="S180" s="38">
        <f t="shared" si="180"/>
        <v>0</v>
      </c>
      <c r="T180" s="38">
        <f t="shared" si="180"/>
        <v>0</v>
      </c>
      <c r="U180" s="38">
        <f t="shared" si="180"/>
        <v>0</v>
      </c>
      <c r="V180" s="159">
        <f t="shared" si="180"/>
        <v>0</v>
      </c>
      <c r="W180" s="38">
        <f t="shared" si="180"/>
        <v>0</v>
      </c>
      <c r="X180" s="39">
        <f t="shared" si="180"/>
        <v>0</v>
      </c>
      <c r="Y180" s="46">
        <v>0</v>
      </c>
      <c r="Z180" s="46">
        <v>0</v>
      </c>
      <c r="AA180" s="47">
        <v>0</v>
      </c>
      <c r="AB180" s="46">
        <v>0</v>
      </c>
      <c r="AC180" s="46">
        <v>0</v>
      </c>
      <c r="AD180" s="47">
        <v>0</v>
      </c>
      <c r="AE180" s="46">
        <v>0</v>
      </c>
      <c r="AF180" s="46">
        <v>0</v>
      </c>
      <c r="AG180" s="47">
        <v>0</v>
      </c>
      <c r="AH180" s="46">
        <v>0</v>
      </c>
      <c r="AI180" s="46">
        <v>0</v>
      </c>
      <c r="AJ180" s="47">
        <v>0</v>
      </c>
      <c r="AK180" s="46">
        <v>0</v>
      </c>
      <c r="AL180" s="46">
        <v>0</v>
      </c>
      <c r="AM180" s="47">
        <v>0</v>
      </c>
      <c r="AN180" s="46">
        <v>0</v>
      </c>
      <c r="AO180" s="46">
        <v>0</v>
      </c>
      <c r="AP180" s="47">
        <v>0</v>
      </c>
      <c r="AQ180" s="46">
        <v>0</v>
      </c>
      <c r="AR180" s="46">
        <v>0</v>
      </c>
      <c r="AS180" s="47">
        <v>0</v>
      </c>
      <c r="AT180" s="46">
        <v>0</v>
      </c>
      <c r="AU180" s="46">
        <v>0</v>
      </c>
      <c r="AV180" s="46">
        <v>0</v>
      </c>
      <c r="AW180" s="1545">
        <v>0</v>
      </c>
      <c r="AX180" s="10">
        <f t="shared" si="169"/>
        <v>22</v>
      </c>
      <c r="AY180" s="42">
        <f>IF(AND($E180=MONTH(Summary!$E$24),$D180=YEAR(Summary!$E$24)),Summary!$E$25,1)*IF(G180="",0,INT((H180-MOD(H180,7)-G180)/7)+1-IF(BA180,IF(WEEKDAY(F180)=7,1,0),0))</f>
        <v>5</v>
      </c>
      <c r="AZ180" s="42">
        <f>IF(AND($E180=MONTH(Summary!$E$24),$D180=YEAR(Summary!$E$24)),Summary!$E$25,1)*IF(G180="",0,INT((H180-MOD(H180-1,7)-G180)/7)+1-IF(BA180,IF(WEEKDAY(F180)=1,1,0),0))</f>
        <v>4</v>
      </c>
      <c r="BA180" s="42">
        <v>0</v>
      </c>
      <c r="BB180" s="10">
        <f>IF(AND($E180=MONTH(Summary!$E$24),$D180=YEAR(Summary!$E$24)),Summary!$E$25,1)*IF(G180="",0,H180-G180+1)</f>
        <v>31</v>
      </c>
      <c r="BC180" s="914">
        <f>Summary!$E$19</f>
        <v>1.4999999999999999E-2</v>
      </c>
      <c r="BD180" s="113">
        <v>15602.4</v>
      </c>
      <c r="BE180" s="171">
        <v>3546</v>
      </c>
      <c r="BF180" s="171">
        <v>2836.8</v>
      </c>
      <c r="BG180" s="174"/>
      <c r="BH180" s="1198">
        <v>1</v>
      </c>
      <c r="BI180" s="1198">
        <v>1</v>
      </c>
      <c r="BJ180" s="1198">
        <v>1</v>
      </c>
      <c r="BK180" s="1198">
        <v>1</v>
      </c>
      <c r="BL180" s="95">
        <v>3120.48</v>
      </c>
      <c r="BM180" s="171">
        <v>709.2</v>
      </c>
      <c r="BN180" s="171">
        <v>567.36</v>
      </c>
      <c r="BO180" s="174"/>
      <c r="BP180" s="1198">
        <v>1</v>
      </c>
      <c r="BQ180" s="1199">
        <v>1</v>
      </c>
      <c r="BR180" s="1199">
        <v>1</v>
      </c>
      <c r="BS180" s="1200">
        <v>1</v>
      </c>
      <c r="BT180" s="94">
        <f t="shared" si="146"/>
        <v>21985.200000000001</v>
      </c>
      <c r="BU180" s="233">
        <f t="shared" si="147"/>
        <v>21985.200000000001</v>
      </c>
      <c r="BV180" s="92">
        <f t="shared" si="148"/>
        <v>4397.04</v>
      </c>
      <c r="BW180" s="233">
        <f t="shared" si="149"/>
        <v>4397.04</v>
      </c>
      <c r="BX180" s="88">
        <v>13.629021218343601</v>
      </c>
      <c r="BY180" s="90">
        <v>0</v>
      </c>
      <c r="BZ180" s="88">
        <v>0</v>
      </c>
      <c r="CA180" s="88">
        <v>0</v>
      </c>
      <c r="CB180" s="88">
        <v>0</v>
      </c>
      <c r="CC180" s="88">
        <v>0</v>
      </c>
      <c r="CD180" s="88">
        <v>0</v>
      </c>
      <c r="CE180" s="100">
        <v>0</v>
      </c>
      <c r="CF180" s="88">
        <v>0</v>
      </c>
      <c r="CG180" s="88">
        <v>0</v>
      </c>
      <c r="CH180" s="88">
        <v>0</v>
      </c>
      <c r="CI180" s="88">
        <v>0</v>
      </c>
      <c r="CJ180" s="228">
        <v>0</v>
      </c>
      <c r="CK180" s="88">
        <v>0</v>
      </c>
      <c r="CL180" s="88">
        <v>0</v>
      </c>
      <c r="CM180" s="88">
        <v>0</v>
      </c>
      <c r="CN180" s="88">
        <v>0</v>
      </c>
      <c r="CO180" s="88">
        <v>0</v>
      </c>
      <c r="CP180" s="88">
        <v>0</v>
      </c>
      <c r="CQ180" s="229">
        <v>0</v>
      </c>
      <c r="CR180" s="91">
        <v>0</v>
      </c>
      <c r="CS180" s="91">
        <v>0</v>
      </c>
      <c r="CT180" s="91">
        <v>0</v>
      </c>
      <c r="CU180" s="91">
        <v>0</v>
      </c>
      <c r="CV180" s="91">
        <v>0</v>
      </c>
      <c r="CW180" s="91">
        <v>0</v>
      </c>
      <c r="CX180" s="225">
        <v>0</v>
      </c>
      <c r="CY180" s="1265">
        <v>7743.7055999999993</v>
      </c>
      <c r="CZ180" s="90">
        <v>0</v>
      </c>
      <c r="DA180" s="88">
        <v>0</v>
      </c>
      <c r="DB180" s="88">
        <v>0</v>
      </c>
      <c r="DC180" s="88">
        <v>0</v>
      </c>
      <c r="DD180" s="88">
        <v>0</v>
      </c>
      <c r="DE180" s="152">
        <v>0</v>
      </c>
      <c r="DF180" s="230">
        <v>0</v>
      </c>
      <c r="DG180" s="38">
        <v>0</v>
      </c>
      <c r="DH180" s="1237">
        <v>0</v>
      </c>
      <c r="DI180" s="956">
        <v>0</v>
      </c>
      <c r="DJ180" s="956">
        <v>0</v>
      </c>
      <c r="DK180" s="956">
        <v>0</v>
      </c>
      <c r="DL180" s="152">
        <v>0</v>
      </c>
      <c r="DM180" s="160">
        <v>0</v>
      </c>
      <c r="DN180" s="160">
        <v>0</v>
      </c>
      <c r="DO180" s="160">
        <v>0</v>
      </c>
      <c r="DP180" s="160">
        <v>0</v>
      </c>
      <c r="DQ180" s="160">
        <v>0</v>
      </c>
      <c r="DR180" s="230">
        <v>0</v>
      </c>
      <c r="DS180" s="88">
        <v>0</v>
      </c>
      <c r="DT180" s="88">
        <v>0</v>
      </c>
      <c r="DU180" s="88">
        <v>0</v>
      </c>
      <c r="DV180" s="88">
        <v>0</v>
      </c>
      <c r="DW180" s="88">
        <v>0</v>
      </c>
      <c r="DX180" s="88">
        <v>0</v>
      </c>
      <c r="DY180" s="88">
        <v>0</v>
      </c>
      <c r="DZ180" s="88">
        <v>0</v>
      </c>
      <c r="EA180" s="88">
        <v>0</v>
      </c>
      <c r="EB180" s="152">
        <v>0</v>
      </c>
      <c r="EC180" s="52">
        <f t="shared" si="150"/>
        <v>0</v>
      </c>
      <c r="ED180" s="52">
        <f t="shared" si="150"/>
        <v>0</v>
      </c>
      <c r="EE180" s="52">
        <f t="shared" si="150"/>
        <v>0</v>
      </c>
      <c r="EF180" s="52">
        <f t="shared" si="150"/>
        <v>0</v>
      </c>
      <c r="EG180" s="52">
        <f t="shared" si="151"/>
        <v>0</v>
      </c>
      <c r="EH180" s="238">
        <v>0</v>
      </c>
      <c r="EI180" s="211">
        <v>0</v>
      </c>
      <c r="EJ180" s="211">
        <v>0</v>
      </c>
      <c r="EK180" s="211">
        <v>0</v>
      </c>
      <c r="EL180" s="217">
        <f>IF(C180&gt;=Summary!$E$26,MAX(0,SUM(EH180:EK180)),0)</f>
        <v>0</v>
      </c>
      <c r="EM180" s="52">
        <f>IF(C180&gt;=Summary!$E$26,DX180*BL180,0)</f>
        <v>0</v>
      </c>
      <c r="EN180" s="52">
        <f>IF(C180&gt;=Summary!$E$26,DY180*BM180,0)</f>
        <v>0</v>
      </c>
      <c r="EO180" s="52">
        <f>IF(C180&gt;=Summary!$E$26,DZ180*BN180,0)</f>
        <v>0</v>
      </c>
      <c r="EP180" s="52">
        <f>IF(C180&gt;=Summary!$E$26,EA180*BO180,0)</f>
        <v>0</v>
      </c>
      <c r="EQ180" s="52">
        <f>IF(C180&gt;=Summary!$E$26,DX180*BL180+DY180*BM180+DZ180*BN180+EA180*BO180,0)</f>
        <v>0</v>
      </c>
      <c r="ER180" s="826">
        <v>0</v>
      </c>
      <c r="ES180" s="278">
        <v>0</v>
      </c>
      <c r="ET180" s="278">
        <v>0</v>
      </c>
      <c r="EU180" s="278">
        <v>0</v>
      </c>
      <c r="EV180" s="212">
        <f>IF(C180&gt;=Summary!$E$26,MAX(0,SUM(ER180:EU180)),0)</f>
        <v>0</v>
      </c>
      <c r="EW180" s="52"/>
      <c r="EX180" s="1049">
        <f t="shared" si="152"/>
        <v>0</v>
      </c>
      <c r="EY180" s="1045" t="str">
        <f t="shared" si="153"/>
        <v/>
      </c>
      <c r="EZ180" s="1684" t="s">
        <v>525</v>
      </c>
      <c r="FA180" s="1046">
        <f t="shared" si="166"/>
        <v>45</v>
      </c>
      <c r="FB180" s="256">
        <f t="shared" si="154"/>
        <v>11701.8</v>
      </c>
      <c r="FC180" s="194">
        <f t="shared" si="155"/>
        <v>0</v>
      </c>
      <c r="FD180" s="194">
        <f t="shared" si="156"/>
        <v>2659.5</v>
      </c>
      <c r="FE180" s="194">
        <f t="shared" si="157"/>
        <v>0</v>
      </c>
      <c r="FF180" s="194">
        <f t="shared" si="158"/>
        <v>2127.6</v>
      </c>
      <c r="FG180" s="194">
        <f t="shared" si="159"/>
        <v>0</v>
      </c>
      <c r="FH180" s="257">
        <f>IF(EZ180="No",IF((OR(MONTH(C180)=5,MONTH(C180)=6,MONTH(C180)=7,MONTH(C180)=8,MONTH(C180)=9)),Summary!$O$15*12*(AX180+AY180+AZ180+BA180)*(1-$BC180),Summary!$O$15*13*(AX180+AY180+AZ180+BA180)*(1-$BC180)+IF(Summary!$O$16="Yes",(CALC!FA180+Summary!$O$15)*6*(AX180+AY180+AZ180+BA180)*(1-$BC180),0)),0)</f>
        <v>0</v>
      </c>
      <c r="FI180" s="1412">
        <f>IF(MONTH(C180)=5,FI179*(IF(Summary!$E$70="no",(1+(Summary!$E$71*0.8)),1+HLOOKUP(YEAR(C180)-1,CCFMODEL!$I$127:$AF$128,2)*0.8)),+FI179)</f>
        <v>37.078577505431092</v>
      </c>
      <c r="FJ180" s="1411">
        <f>IF(MONTH(C180)=5,FJ179*(IF(Summary!$E$70="no",(1+(Summary!$E$71*0.8)),1+HLOOKUP(YEAR(CALC!C180)-1,CCFMODEL!$I$127:$AF$128,2)*0.8)),FJ179)</f>
        <v>32.407260654353159</v>
      </c>
      <c r="FK180" s="832">
        <f t="shared" si="127"/>
        <v>611384.9566293027</v>
      </c>
      <c r="FL180" s="1412">
        <f>IF(MONTH(C180)=5,FL179*(IF(Summary!$E$70="no",(1+(Summary!$E$71*0.8)),1+HLOOKUP(YEAR(CALC!C180)-1,CCFMODEL!$I$127:$AF$128,2)*0.8)),+FL179)</f>
        <v>77.980405409809876</v>
      </c>
      <c r="FM180" s="1411">
        <f>IF(MONTH(C180)=5,FM179*(IF(Summary!$E$70="no",(1+(Summary!$E$71*0.8)),1+HLOOKUP(YEAR(CALC!C180)-1,CCFMODEL!$I$127:$AF$128,2)*0.8)),+FM179)</f>
        <v>37.217604792665554</v>
      </c>
      <c r="FN180" s="832">
        <f t="shared" si="128"/>
        <v>1305391.9865602171</v>
      </c>
      <c r="FO180" s="194">
        <f t="shared" si="160"/>
        <v>1916776.9431895199</v>
      </c>
      <c r="FP180" s="263">
        <f t="shared" si="177"/>
        <v>11701.8</v>
      </c>
      <c r="FQ180" s="194">
        <f t="shared" si="178"/>
        <v>0</v>
      </c>
      <c r="FR180" s="194">
        <f t="shared" si="179"/>
        <v>2659.5</v>
      </c>
      <c r="FS180" s="194">
        <f t="shared" si="176"/>
        <v>0</v>
      </c>
      <c r="FT180" s="194">
        <f t="shared" si="176"/>
        <v>2127.6</v>
      </c>
      <c r="FU180" s="194">
        <f t="shared" si="176"/>
        <v>0</v>
      </c>
      <c r="FV180" s="257">
        <f t="shared" si="124"/>
        <v>0</v>
      </c>
      <c r="FW180" s="189">
        <f t="shared" si="129"/>
        <v>0</v>
      </c>
      <c r="FX180" s="189">
        <f t="shared" si="130"/>
        <v>0</v>
      </c>
      <c r="FY180" s="189">
        <f t="shared" si="131"/>
        <v>0</v>
      </c>
      <c r="FZ180" s="258">
        <f t="shared" si="132"/>
        <v>0</v>
      </c>
      <c r="GA180" s="1294">
        <f>(SUM(FP180:FV180)+SUM(GU180:HB180)/(1-Summary!$O$25))*CY180/1000</f>
        <v>204296.29962854396</v>
      </c>
      <c r="GB180" s="1369">
        <f>IF($C180&lt;Summary!$M$81,+Summary!$O$81,VLOOKUP(C180,GasTable,19))</f>
        <v>3.4260980118838487</v>
      </c>
      <c r="GC180" s="1370">
        <f>IF(H180&lt;=Summary!$N$84,MIN(GA180,Summary!$O$75*(H180-G180+1)),0)</f>
        <v>0</v>
      </c>
      <c r="GD180" s="1371">
        <f>IF(C180&lt;Summary!$N$84,IF(Summary!$O$75*(H180-G180+1)*0.8&gt;GC180,1,0),0)</f>
        <v>0</v>
      </c>
      <c r="GE180" s="1372">
        <v>0</v>
      </c>
      <c r="GF180" s="1370">
        <f t="shared" si="161"/>
        <v>204296.29962854396</v>
      </c>
      <c r="GG180" s="1371">
        <f>GF180*(IF(Summary!$O$74=1,VLOOKUP($C180,GasTable,16)+Summary!$O$92+Summary!$O$93,VLOOKUP($C180,GasTable,19)+Summary!$O$92+Summary!$O$93))</f>
        <v>710582.98320322856</v>
      </c>
      <c r="GH180" s="1373">
        <v>5310.4519184199653</v>
      </c>
      <c r="GI180" s="1466">
        <v>0</v>
      </c>
      <c r="GJ180" s="1374">
        <f t="shared" si="162"/>
        <v>715893.43512164848</v>
      </c>
      <c r="GK180" s="189">
        <f t="shared" si="133"/>
        <v>26035.973100000003</v>
      </c>
      <c r="GL180" s="266">
        <v>0.51882827519999997</v>
      </c>
      <c r="GM180" s="255">
        <f t="shared" si="134"/>
        <v>0</v>
      </c>
      <c r="GN180" s="189">
        <f>IF(SUM(GU180:HB180)=0,0,IF(Summary!$O$16="Yes",SUM(GX180:HB180),IF(Summary!$O$17="Yes",SUM(GY180:HB180),SUM(GU180:HB180))))</f>
        <v>9547.0731000000014</v>
      </c>
      <c r="GO180" s="203">
        <v>3.4944134884426483</v>
      </c>
      <c r="GP180" s="258">
        <f t="shared" si="163"/>
        <v>33361.421015787972</v>
      </c>
      <c r="GQ180" s="189"/>
      <c r="GR180" s="189"/>
      <c r="GS180" s="189"/>
      <c r="GT180" s="189"/>
      <c r="GU180" s="268">
        <v>3764.0790000000002</v>
      </c>
      <c r="GV180" s="189">
        <v>855.47249999999997</v>
      </c>
      <c r="GW180" s="189">
        <v>684.37800000000027</v>
      </c>
      <c r="GX180" s="189"/>
      <c r="GY180" s="254">
        <v>3011.2631999999999</v>
      </c>
      <c r="GZ180" s="189">
        <v>684.37800000000004</v>
      </c>
      <c r="HA180" s="189">
        <v>547.50239999999997</v>
      </c>
      <c r="HB180" s="255"/>
      <c r="HC180" s="189">
        <v>9547.0731000000014</v>
      </c>
      <c r="HD180" s="189"/>
      <c r="HE180" s="189">
        <v>22276.503900000003</v>
      </c>
      <c r="HF180" s="189">
        <v>624304.60596783541</v>
      </c>
      <c r="HG180" s="189"/>
      <c r="HH180" s="203">
        <v>68.851728540462403</v>
      </c>
      <c r="HI180" s="189">
        <v>1533775.7993533523</v>
      </c>
      <c r="HJ180" s="268">
        <f t="shared" si="135"/>
        <v>0</v>
      </c>
      <c r="HK180" s="189">
        <f t="shared" si="136"/>
        <v>0</v>
      </c>
      <c r="HL180" s="189">
        <f t="shared" si="137"/>
        <v>0</v>
      </c>
      <c r="HM180" s="255">
        <f t="shared" si="138"/>
        <v>0</v>
      </c>
      <c r="HN180" s="189">
        <f t="shared" si="139"/>
        <v>0</v>
      </c>
      <c r="HO180" s="203">
        <f t="shared" si="164"/>
        <v>0</v>
      </c>
      <c r="HP180" s="258">
        <f t="shared" si="140"/>
        <v>0</v>
      </c>
      <c r="HQ180" s="203"/>
      <c r="HR180" s="203"/>
      <c r="HS180" s="203"/>
      <c r="HT180" s="203"/>
      <c r="HU180" s="203"/>
      <c r="HV180" s="203"/>
      <c r="HW180" s="203"/>
      <c r="HX180" s="203"/>
      <c r="HY180" s="203"/>
      <c r="HZ180" s="203"/>
      <c r="IA180" s="203"/>
      <c r="IB180" s="203"/>
      <c r="IC180" s="203"/>
      <c r="ID180" s="203"/>
      <c r="IE180" s="203"/>
      <c r="IF180" s="203"/>
      <c r="IG180" s="203"/>
      <c r="IH180" s="203"/>
      <c r="II180" s="203"/>
      <c r="IJ180" s="203"/>
      <c r="IK180" s="203"/>
      <c r="IL180" s="821"/>
      <c r="IM180" s="820"/>
      <c r="IN180" s="820"/>
      <c r="IR180" s="223"/>
    </row>
    <row r="181" spans="1:252" ht="13.8" thickBot="1">
      <c r="A181" t="str">
        <f t="shared" si="141"/>
        <v>2013Q3</v>
      </c>
      <c r="B181">
        <f t="shared" si="142"/>
        <v>2013</v>
      </c>
      <c r="C181" s="49">
        <f t="shared" si="143"/>
        <v>41518</v>
      </c>
      <c r="D181" s="115">
        <f t="shared" si="144"/>
        <v>2013</v>
      </c>
      <c r="E181" s="10">
        <f t="shared" si="167"/>
        <v>9</v>
      </c>
      <c r="F181" s="248">
        <f t="shared" si="168"/>
        <v>41519</v>
      </c>
      <c r="G181" s="245">
        <v>41518</v>
      </c>
      <c r="H181" s="251">
        <v>41547</v>
      </c>
      <c r="I181" s="959">
        <f t="shared" si="165"/>
        <v>7.1499999999999994E-2</v>
      </c>
      <c r="J181" s="37">
        <f t="shared" si="145"/>
        <v>0.37800506892372887</v>
      </c>
      <c r="K181" s="1036"/>
      <c r="L181" s="37"/>
      <c r="M181" s="1004">
        <v>0</v>
      </c>
      <c r="N181" s="38">
        <f t="shared" si="174"/>
        <v>0</v>
      </c>
      <c r="O181" s="40">
        <f t="shared" si="174"/>
        <v>0</v>
      </c>
      <c r="P181" s="159">
        <f t="shared" si="172"/>
        <v>0</v>
      </c>
      <c r="Q181" s="38">
        <f t="shared" si="180"/>
        <v>0</v>
      </c>
      <c r="R181" s="40">
        <f t="shared" si="180"/>
        <v>0</v>
      </c>
      <c r="S181" s="38">
        <f t="shared" si="180"/>
        <v>0</v>
      </c>
      <c r="T181" s="38">
        <f t="shared" si="180"/>
        <v>0</v>
      </c>
      <c r="U181" s="38">
        <f t="shared" si="180"/>
        <v>0</v>
      </c>
      <c r="V181" s="159">
        <f t="shared" si="180"/>
        <v>0</v>
      </c>
      <c r="W181" s="38">
        <f t="shared" si="180"/>
        <v>0</v>
      </c>
      <c r="X181" s="39">
        <f t="shared" si="180"/>
        <v>0</v>
      </c>
      <c r="Y181" s="46">
        <v>0</v>
      </c>
      <c r="Z181" s="46">
        <v>0</v>
      </c>
      <c r="AA181" s="47">
        <v>0</v>
      </c>
      <c r="AB181" s="46">
        <v>0</v>
      </c>
      <c r="AC181" s="46">
        <v>0</v>
      </c>
      <c r="AD181" s="47">
        <v>0</v>
      </c>
      <c r="AE181" s="46">
        <v>0</v>
      </c>
      <c r="AF181" s="46">
        <v>0</v>
      </c>
      <c r="AG181" s="47">
        <v>0</v>
      </c>
      <c r="AH181" s="46">
        <v>0</v>
      </c>
      <c r="AI181" s="46">
        <v>0</v>
      </c>
      <c r="AJ181" s="47">
        <v>0</v>
      </c>
      <c r="AK181" s="46">
        <v>0</v>
      </c>
      <c r="AL181" s="46">
        <v>0</v>
      </c>
      <c r="AM181" s="47">
        <v>0</v>
      </c>
      <c r="AN181" s="46">
        <v>0</v>
      </c>
      <c r="AO181" s="46">
        <v>0</v>
      </c>
      <c r="AP181" s="47">
        <v>0</v>
      </c>
      <c r="AQ181" s="46">
        <v>0</v>
      </c>
      <c r="AR181" s="46">
        <v>0</v>
      </c>
      <c r="AS181" s="47">
        <v>0</v>
      </c>
      <c r="AT181" s="46">
        <v>0</v>
      </c>
      <c r="AU181" s="46">
        <v>0</v>
      </c>
      <c r="AV181" s="46">
        <v>0</v>
      </c>
      <c r="AW181" s="1545">
        <v>0</v>
      </c>
      <c r="AX181" s="10">
        <f t="shared" si="169"/>
        <v>20</v>
      </c>
      <c r="AY181" s="42">
        <f>IF(AND($E181=MONTH(Summary!$E$24),$D181=YEAR(Summary!$E$24)),Summary!$E$25,1)*IF(G181="",0,INT((H181-MOD(H181,7)-G181)/7)+1-IF(BA181,IF(WEEKDAY(F181)=7,1,0),0))</f>
        <v>4</v>
      </c>
      <c r="AZ181" s="42">
        <f>IF(AND($E181=MONTH(Summary!$E$24),$D181=YEAR(Summary!$E$24)),Summary!$E$25,1)*IF(G181="",0,INT((H181-MOD(H181-1,7)-G181)/7)+1-IF(BA181,IF(WEEKDAY(F181)=1,1,0),0))</f>
        <v>5</v>
      </c>
      <c r="BA181" s="42">
        <v>1</v>
      </c>
      <c r="BB181" s="10">
        <f>IF(AND($E181=MONTH(Summary!$E$24),$D181=YEAR(Summary!$E$24)),Summary!$E$25,1)*IF(G181="",0,H181-G181+1)</f>
        <v>30</v>
      </c>
      <c r="BC181" s="914">
        <f>Summary!$E$19</f>
        <v>1.4999999999999999E-2</v>
      </c>
      <c r="BD181" s="113">
        <v>14184</v>
      </c>
      <c r="BE181" s="171">
        <v>2836.8</v>
      </c>
      <c r="BF181" s="171">
        <v>4255.2</v>
      </c>
      <c r="BG181" s="174"/>
      <c r="BH181" s="1198">
        <v>1</v>
      </c>
      <c r="BI181" s="1198">
        <v>1</v>
      </c>
      <c r="BJ181" s="1198">
        <v>1</v>
      </c>
      <c r="BK181" s="1198">
        <v>1</v>
      </c>
      <c r="BL181" s="95">
        <v>2836.8</v>
      </c>
      <c r="BM181" s="171">
        <v>567.36</v>
      </c>
      <c r="BN181" s="171">
        <v>851.04</v>
      </c>
      <c r="BO181" s="174"/>
      <c r="BP181" s="1198">
        <v>1</v>
      </c>
      <c r="BQ181" s="1199">
        <v>1</v>
      </c>
      <c r="BR181" s="1199">
        <v>1</v>
      </c>
      <c r="BS181" s="1200">
        <v>1</v>
      </c>
      <c r="BT181" s="94">
        <f t="shared" si="146"/>
        <v>21276</v>
      </c>
      <c r="BU181" s="233">
        <f t="shared" si="147"/>
        <v>21276</v>
      </c>
      <c r="BV181" s="92">
        <f t="shared" si="148"/>
        <v>4255.2000000000007</v>
      </c>
      <c r="BW181" s="233">
        <f t="shared" si="149"/>
        <v>4255.2000000000007</v>
      </c>
      <c r="BX181" s="88">
        <v>13.713894592744696</v>
      </c>
      <c r="BY181" s="90">
        <v>0</v>
      </c>
      <c r="BZ181" s="88">
        <v>0</v>
      </c>
      <c r="CA181" s="88">
        <v>0</v>
      </c>
      <c r="CB181" s="88">
        <v>0</v>
      </c>
      <c r="CC181" s="88">
        <v>0</v>
      </c>
      <c r="CD181" s="88">
        <v>0</v>
      </c>
      <c r="CE181" s="100">
        <v>0</v>
      </c>
      <c r="CF181" s="88">
        <v>0</v>
      </c>
      <c r="CG181" s="88">
        <v>0</v>
      </c>
      <c r="CH181" s="88">
        <v>0</v>
      </c>
      <c r="CI181" s="88">
        <v>0</v>
      </c>
      <c r="CJ181" s="228">
        <v>0</v>
      </c>
      <c r="CK181" s="88">
        <v>0</v>
      </c>
      <c r="CL181" s="88">
        <v>0</v>
      </c>
      <c r="CM181" s="88">
        <v>0</v>
      </c>
      <c r="CN181" s="88">
        <v>0</v>
      </c>
      <c r="CO181" s="88">
        <v>0</v>
      </c>
      <c r="CP181" s="88">
        <v>0</v>
      </c>
      <c r="CQ181" s="229">
        <v>0</v>
      </c>
      <c r="CR181" s="91">
        <v>0</v>
      </c>
      <c r="CS181" s="91">
        <v>0</v>
      </c>
      <c r="CT181" s="91">
        <v>0</v>
      </c>
      <c r="CU181" s="91">
        <v>0</v>
      </c>
      <c r="CV181" s="91">
        <v>0</v>
      </c>
      <c r="CW181" s="91">
        <v>0</v>
      </c>
      <c r="CX181" s="225">
        <v>0</v>
      </c>
      <c r="CY181" s="1265">
        <v>7745.0084799999995</v>
      </c>
      <c r="CZ181" s="90">
        <v>0</v>
      </c>
      <c r="DA181" s="88">
        <v>0</v>
      </c>
      <c r="DB181" s="88">
        <v>0</v>
      </c>
      <c r="DC181" s="88">
        <v>0</v>
      </c>
      <c r="DD181" s="88">
        <v>0</v>
      </c>
      <c r="DE181" s="152">
        <v>0</v>
      </c>
      <c r="DF181" s="230">
        <v>0</v>
      </c>
      <c r="DG181" s="38">
        <v>0</v>
      </c>
      <c r="DH181" s="1237">
        <v>0</v>
      </c>
      <c r="DI181" s="956">
        <v>0</v>
      </c>
      <c r="DJ181" s="956">
        <v>0</v>
      </c>
      <c r="DK181" s="956">
        <v>0</v>
      </c>
      <c r="DL181" s="152">
        <v>0</v>
      </c>
      <c r="DM181" s="160">
        <v>0</v>
      </c>
      <c r="DN181" s="160">
        <v>0</v>
      </c>
      <c r="DO181" s="160">
        <v>0</v>
      </c>
      <c r="DP181" s="160">
        <v>0</v>
      </c>
      <c r="DQ181" s="160">
        <v>0</v>
      </c>
      <c r="DR181" s="230">
        <v>0</v>
      </c>
      <c r="DS181" s="88">
        <v>0</v>
      </c>
      <c r="DT181" s="88">
        <v>0</v>
      </c>
      <c r="DU181" s="88">
        <v>0</v>
      </c>
      <c r="DV181" s="88">
        <v>0</v>
      </c>
      <c r="DW181" s="88">
        <v>0</v>
      </c>
      <c r="DX181" s="88">
        <v>0</v>
      </c>
      <c r="DY181" s="88">
        <v>0</v>
      </c>
      <c r="DZ181" s="88">
        <v>0</v>
      </c>
      <c r="EA181" s="88">
        <v>0</v>
      </c>
      <c r="EB181" s="152">
        <v>0</v>
      </c>
      <c r="EC181" s="52">
        <f t="shared" si="150"/>
        <v>0</v>
      </c>
      <c r="ED181" s="52">
        <f t="shared" si="150"/>
        <v>0</v>
      </c>
      <c r="EE181" s="52">
        <f t="shared" si="150"/>
        <v>0</v>
      </c>
      <c r="EF181" s="52">
        <f t="shared" si="150"/>
        <v>0</v>
      </c>
      <c r="EG181" s="52">
        <f t="shared" si="151"/>
        <v>0</v>
      </c>
      <c r="EH181" s="238">
        <v>0</v>
      </c>
      <c r="EI181" s="211">
        <v>0</v>
      </c>
      <c r="EJ181" s="211">
        <v>0</v>
      </c>
      <c r="EK181" s="211">
        <v>0</v>
      </c>
      <c r="EL181" s="217">
        <f>IF(C181&gt;=Summary!$E$26,MAX(0,SUM(EH181:EK181)),0)</f>
        <v>0</v>
      </c>
      <c r="EM181" s="52">
        <f>IF(C181&gt;=Summary!$E$26,DX181*BL181,0)</f>
        <v>0</v>
      </c>
      <c r="EN181" s="52">
        <f>IF(C181&gt;=Summary!$E$26,DY181*BM181,0)</f>
        <v>0</v>
      </c>
      <c r="EO181" s="52">
        <f>IF(C181&gt;=Summary!$E$26,DZ181*BN181,0)</f>
        <v>0</v>
      </c>
      <c r="EP181" s="52">
        <f>IF(C181&gt;=Summary!$E$26,EA181*BO181,0)</f>
        <v>0</v>
      </c>
      <c r="EQ181" s="52">
        <f>IF(C181&gt;=Summary!$E$26,DX181*BL181+DY181*BM181+DZ181*BN181+EA181*BO181,0)</f>
        <v>0</v>
      </c>
      <c r="ER181" s="826">
        <v>0</v>
      </c>
      <c r="ES181" s="278">
        <v>0</v>
      </c>
      <c r="ET181" s="278">
        <v>0</v>
      </c>
      <c r="EU181" s="278">
        <v>0</v>
      </c>
      <c r="EV181" s="212">
        <f>IF(C181&gt;=Summary!$E$26,MAX(0,SUM(ER181:EU181)),0)</f>
        <v>0</v>
      </c>
      <c r="EW181" s="52"/>
      <c r="EX181" s="1049">
        <f t="shared" si="152"/>
        <v>0</v>
      </c>
      <c r="EY181" s="1045" t="str">
        <f t="shared" si="153"/>
        <v/>
      </c>
      <c r="EZ181" s="1684" t="s">
        <v>525</v>
      </c>
      <c r="FA181" s="1046">
        <f t="shared" si="166"/>
        <v>45</v>
      </c>
      <c r="FB181" s="256">
        <f t="shared" si="154"/>
        <v>10638</v>
      </c>
      <c r="FC181" s="194">
        <f t="shared" si="155"/>
        <v>0</v>
      </c>
      <c r="FD181" s="194">
        <f t="shared" si="156"/>
        <v>2127.6</v>
      </c>
      <c r="FE181" s="194">
        <f t="shared" si="157"/>
        <v>0</v>
      </c>
      <c r="FF181" s="194">
        <f t="shared" si="158"/>
        <v>3191.4</v>
      </c>
      <c r="FG181" s="194">
        <f t="shared" si="159"/>
        <v>0</v>
      </c>
      <c r="FH181" s="257">
        <f>IF(EZ181="No",IF((OR(MONTH(C181)=5,MONTH(C181)=6,MONTH(C181)=7,MONTH(C181)=8,MONTH(C181)=9)),Summary!$O$15*12*(AX181+AY181+AZ181+BA181)*(1-$BC181),Summary!$O$15*13*(AX181+AY181+AZ181+BA181)*(1-$BC181)+IF(Summary!$O$16="Yes",(CALC!FA181+Summary!$O$15)*6*(AX181+AY181+AZ181+BA181)*(1-$BC181),0)),0)</f>
        <v>0</v>
      </c>
      <c r="FI181" s="1412">
        <f>IF(MONTH(C181)=5,FI180*(IF(Summary!$E$70="no",(1+(Summary!$E$71*0.8)),1+HLOOKUP(YEAR(C181)-1,CCFMODEL!$I$127:$AF$128,2)*0.8)),+FI180)</f>
        <v>37.078577505431092</v>
      </c>
      <c r="FJ181" s="1411">
        <f>IF(MONTH(C181)=5,FJ180*(IF(Summary!$E$70="no",(1+(Summary!$E$71*0.8)),1+HLOOKUP(YEAR(CALC!C181)-1,CCFMODEL!$I$127:$AF$128,2)*0.8)),FJ180)</f>
        <v>32.407260654353159</v>
      </c>
      <c r="FK181" s="832">
        <f t="shared" si="127"/>
        <v>591662.8612541639</v>
      </c>
      <c r="FL181" s="1412">
        <f>IF(MONTH(C181)=5,FL180*(IF(Summary!$E$70="no",(1+(Summary!$E$71*0.8)),1+HLOOKUP(YEAR(CALC!C181)-1,CCFMODEL!$I$127:$AF$128,2)*0.8)),+FL180)</f>
        <v>77.980405409809876</v>
      </c>
      <c r="FM181" s="1411">
        <f>IF(MONTH(C181)=5,FM180*(IF(Summary!$E$70="no",(1+(Summary!$E$71*0.8)),1+HLOOKUP(YEAR(CALC!C181)-1,CCFMODEL!$I$127:$AF$128,2)*0.8)),+FM180)</f>
        <v>37.217604792665554</v>
      </c>
      <c r="FN181" s="832">
        <f t="shared" si="128"/>
        <v>1263282.5676389199</v>
      </c>
      <c r="FO181" s="194">
        <f t="shared" si="160"/>
        <v>1854945.4288930837</v>
      </c>
      <c r="FP181" s="263">
        <f t="shared" si="177"/>
        <v>10638</v>
      </c>
      <c r="FQ181" s="194">
        <f t="shared" si="178"/>
        <v>0</v>
      </c>
      <c r="FR181" s="194">
        <f t="shared" si="179"/>
        <v>2127.6</v>
      </c>
      <c r="FS181" s="194">
        <f t="shared" si="176"/>
        <v>0</v>
      </c>
      <c r="FT181" s="194">
        <f t="shared" si="176"/>
        <v>3191.4</v>
      </c>
      <c r="FU181" s="194">
        <f t="shared" si="176"/>
        <v>0</v>
      </c>
      <c r="FV181" s="257">
        <f t="shared" si="124"/>
        <v>0</v>
      </c>
      <c r="FW181" s="189">
        <f t="shared" si="129"/>
        <v>0</v>
      </c>
      <c r="FX181" s="189">
        <f t="shared" si="130"/>
        <v>0</v>
      </c>
      <c r="FY181" s="189">
        <f t="shared" si="131"/>
        <v>0</v>
      </c>
      <c r="FZ181" s="258">
        <f t="shared" si="132"/>
        <v>0</v>
      </c>
      <c r="GA181" s="1294">
        <f>(SUM(FP181:FV181)+SUM(GU181:HB181)/(1-Summary!$O$25))*CY181/1000</f>
        <v>197739.36050457598</v>
      </c>
      <c r="GB181" s="1369">
        <f>IF($C181&lt;Summary!$M$81,+Summary!$O$81,VLOOKUP(C181,GasTable,19))</f>
        <v>3.5744299681480443</v>
      </c>
      <c r="GC181" s="1370">
        <f>IF(H181&lt;=Summary!$N$84,MIN(GA181,Summary!$O$75*(H181-G181+1)),0)</f>
        <v>0</v>
      </c>
      <c r="GD181" s="1371">
        <f>IF(C181&lt;Summary!$N$84,IF(Summary!$O$75*(H181-G181+1)*0.8&gt;GC181,1,0),0)</f>
        <v>0</v>
      </c>
      <c r="GE181" s="1372">
        <v>0</v>
      </c>
      <c r="GF181" s="1370">
        <f t="shared" si="161"/>
        <v>197739.36050457598</v>
      </c>
      <c r="GG181" s="1371">
        <f>GF181*(IF(Summary!$O$74=1,VLOOKUP($C181,GasTable,16)+Summary!$O$92+Summary!$O$93,VLOOKUP($C181,GasTable,19)+Summary!$O$92+Summary!$O$93))</f>
        <v>717107.71675227454</v>
      </c>
      <c r="GH181" s="1373">
        <v>5361.6449522220664</v>
      </c>
      <c r="GI181" s="1466">
        <v>0</v>
      </c>
      <c r="GJ181" s="1374">
        <f t="shared" si="162"/>
        <v>722469.36170449667</v>
      </c>
      <c r="GK181" s="189">
        <f t="shared" si="133"/>
        <v>25196.102999999999</v>
      </c>
      <c r="GL181" s="266">
        <v>0.51891556816000006</v>
      </c>
      <c r="GM181" s="255">
        <f t="shared" si="134"/>
        <v>0</v>
      </c>
      <c r="GN181" s="189">
        <f>IF(SUM(GU181:HB181)=0,0,IF(Summary!$O$16="Yes",SUM(GX181:HB181),IF(Summary!$O$17="Yes",SUM(GY181:HB181),SUM(GU181:HB181))))</f>
        <v>9239.1029999999992</v>
      </c>
      <c r="GO181" s="203">
        <v>3.4944134884426483</v>
      </c>
      <c r="GP181" s="258">
        <f t="shared" si="163"/>
        <v>32285.246144310935</v>
      </c>
      <c r="GQ181" s="189"/>
      <c r="GR181" s="189"/>
      <c r="GS181" s="189"/>
      <c r="GT181" s="189"/>
      <c r="GU181" s="268">
        <v>3421.89</v>
      </c>
      <c r="GV181" s="189">
        <v>684.37800000000027</v>
      </c>
      <c r="GW181" s="189">
        <v>1026.5669999999998</v>
      </c>
      <c r="GX181" s="189"/>
      <c r="GY181" s="254">
        <v>2737.5120000000002</v>
      </c>
      <c r="GZ181" s="189">
        <v>547.50239999999997</v>
      </c>
      <c r="HA181" s="189">
        <v>821.25359999999989</v>
      </c>
      <c r="HB181" s="255"/>
      <c r="HC181" s="189">
        <v>9239.1029999999992</v>
      </c>
      <c r="HD181" s="189"/>
      <c r="HE181" s="189">
        <v>21557.906999999999</v>
      </c>
      <c r="HF181" s="189">
        <v>548477.13639796048</v>
      </c>
      <c r="HG181" s="189"/>
      <c r="HH181" s="203">
        <v>61.617164365176322</v>
      </c>
      <c r="HI181" s="189">
        <v>1328337.0989881852</v>
      </c>
      <c r="HJ181" s="268">
        <f t="shared" si="135"/>
        <v>0</v>
      </c>
      <c r="HK181" s="189">
        <f t="shared" si="136"/>
        <v>0</v>
      </c>
      <c r="HL181" s="189">
        <f t="shared" si="137"/>
        <v>0</v>
      </c>
      <c r="HM181" s="255">
        <f t="shared" si="138"/>
        <v>0</v>
      </c>
      <c r="HN181" s="189">
        <f t="shared" si="139"/>
        <v>0</v>
      </c>
      <c r="HO181" s="203">
        <f t="shared" si="164"/>
        <v>0</v>
      </c>
      <c r="HP181" s="258">
        <f t="shared" si="140"/>
        <v>0</v>
      </c>
      <c r="HQ181" s="203"/>
      <c r="HR181" s="203"/>
      <c r="HS181" s="203"/>
      <c r="HT181" s="203"/>
      <c r="HU181" s="203"/>
      <c r="HV181" s="203"/>
      <c r="HW181" s="203"/>
      <c r="HX181" s="203"/>
      <c r="HY181" s="203"/>
      <c r="HZ181" s="203"/>
      <c r="IA181" s="203"/>
      <c r="IB181" s="203"/>
      <c r="IC181" s="203"/>
      <c r="ID181" s="203"/>
      <c r="IE181" s="203"/>
      <c r="IF181" s="203"/>
      <c r="IG181" s="203"/>
      <c r="IH181" s="203"/>
      <c r="II181" s="203"/>
      <c r="IJ181" s="203"/>
      <c r="IK181" s="203"/>
      <c r="IL181" s="821"/>
      <c r="IM181" s="820"/>
      <c r="IN181" s="820"/>
      <c r="IR181" s="223"/>
    </row>
    <row r="182" spans="1:252" ht="13.8" thickBot="1">
      <c r="A182" t="str">
        <f t="shared" si="141"/>
        <v>2013Q4</v>
      </c>
      <c r="B182">
        <f t="shared" si="142"/>
        <v>2013</v>
      </c>
      <c r="C182" s="49">
        <f t="shared" si="143"/>
        <v>41548</v>
      </c>
      <c r="D182" s="115">
        <f t="shared" si="144"/>
        <v>2013</v>
      </c>
      <c r="E182" s="10">
        <f t="shared" si="167"/>
        <v>10</v>
      </c>
      <c r="F182" s="248" t="str">
        <f t="shared" si="168"/>
        <v/>
      </c>
      <c r="G182" s="245">
        <v>41548</v>
      </c>
      <c r="H182" s="251">
        <v>41578</v>
      </c>
      <c r="I182" s="959">
        <f t="shared" si="165"/>
        <v>7.1499999999999994E-2</v>
      </c>
      <c r="J182" s="37">
        <f t="shared" si="145"/>
        <v>0.37575792317183321</v>
      </c>
      <c r="K182" s="1036"/>
      <c r="L182" s="37"/>
      <c r="M182" s="1004">
        <v>0</v>
      </c>
      <c r="N182" s="38">
        <f t="shared" si="174"/>
        <v>0</v>
      </c>
      <c r="O182" s="40">
        <f t="shared" si="174"/>
        <v>0</v>
      </c>
      <c r="P182" s="159">
        <f t="shared" si="172"/>
        <v>0</v>
      </c>
      <c r="Q182" s="38">
        <f t="shared" si="180"/>
        <v>0</v>
      </c>
      <c r="R182" s="40">
        <f t="shared" si="180"/>
        <v>0</v>
      </c>
      <c r="S182" s="38">
        <f t="shared" si="180"/>
        <v>0</v>
      </c>
      <c r="T182" s="38">
        <f t="shared" si="180"/>
        <v>0</v>
      </c>
      <c r="U182" s="38">
        <f t="shared" si="180"/>
        <v>0</v>
      </c>
      <c r="V182" s="159">
        <f t="shared" si="180"/>
        <v>0</v>
      </c>
      <c r="W182" s="38">
        <f t="shared" si="180"/>
        <v>0</v>
      </c>
      <c r="X182" s="39">
        <f t="shared" si="180"/>
        <v>0</v>
      </c>
      <c r="Y182" s="46">
        <v>0</v>
      </c>
      <c r="Z182" s="46">
        <v>0</v>
      </c>
      <c r="AA182" s="47">
        <v>0</v>
      </c>
      <c r="AB182" s="46">
        <v>0</v>
      </c>
      <c r="AC182" s="46">
        <v>0</v>
      </c>
      <c r="AD182" s="47">
        <v>0</v>
      </c>
      <c r="AE182" s="46">
        <v>0</v>
      </c>
      <c r="AF182" s="46">
        <v>0</v>
      </c>
      <c r="AG182" s="47">
        <v>0</v>
      </c>
      <c r="AH182" s="46">
        <v>0</v>
      </c>
      <c r="AI182" s="46">
        <v>0</v>
      </c>
      <c r="AJ182" s="47">
        <v>0</v>
      </c>
      <c r="AK182" s="46">
        <v>0</v>
      </c>
      <c r="AL182" s="46">
        <v>0</v>
      </c>
      <c r="AM182" s="47">
        <v>0</v>
      </c>
      <c r="AN182" s="46">
        <v>0</v>
      </c>
      <c r="AO182" s="46">
        <v>0</v>
      </c>
      <c r="AP182" s="47">
        <v>0</v>
      </c>
      <c r="AQ182" s="46">
        <v>0</v>
      </c>
      <c r="AR182" s="46">
        <v>0</v>
      </c>
      <c r="AS182" s="47">
        <v>0</v>
      </c>
      <c r="AT182" s="46">
        <v>0</v>
      </c>
      <c r="AU182" s="46">
        <v>0</v>
      </c>
      <c r="AV182" s="46">
        <v>0</v>
      </c>
      <c r="AW182" s="1545">
        <v>0</v>
      </c>
      <c r="AX182" s="10">
        <f t="shared" si="169"/>
        <v>23</v>
      </c>
      <c r="AY182" s="42">
        <f>IF(AND($E182=MONTH(Summary!$E$24),$D182=YEAR(Summary!$E$24)),Summary!$E$25,1)*IF(G182="",0,INT((H182-MOD(H182,7)-G182)/7)+1-IF(BA182,IF(WEEKDAY(F182)=7,1,0),0))</f>
        <v>4</v>
      </c>
      <c r="AZ182" s="42">
        <f>IF(AND($E182=MONTH(Summary!$E$24),$D182=YEAR(Summary!$E$24)),Summary!$E$25,1)*IF(G182="",0,INT((H182-MOD(H182-1,7)-G182)/7)+1-IF(BA182,IF(WEEKDAY(F182)=1,1,0),0))</f>
        <v>4</v>
      </c>
      <c r="BA182" s="42">
        <v>0</v>
      </c>
      <c r="BB182" s="10">
        <f>IF(AND($E182=MONTH(Summary!$E$24),$D182=YEAR(Summary!$E$24)),Summary!$E$25,1)*IF(G182="",0,H182-G182+1)</f>
        <v>31</v>
      </c>
      <c r="BC182" s="914">
        <f>Summary!$E$19</f>
        <v>1.4999999999999999E-2</v>
      </c>
      <c r="BD182" s="113">
        <v>16311.6</v>
      </c>
      <c r="BE182" s="171">
        <v>2836.8</v>
      </c>
      <c r="BF182" s="171">
        <v>2836.8</v>
      </c>
      <c r="BG182" s="174"/>
      <c r="BH182" s="1198">
        <v>1</v>
      </c>
      <c r="BI182" s="1198">
        <v>1</v>
      </c>
      <c r="BJ182" s="1198">
        <v>1</v>
      </c>
      <c r="BK182" s="1198">
        <v>1</v>
      </c>
      <c r="BL182" s="95">
        <v>3262.32</v>
      </c>
      <c r="BM182" s="171">
        <v>567.36</v>
      </c>
      <c r="BN182" s="171">
        <v>567.36</v>
      </c>
      <c r="BO182" s="174"/>
      <c r="BP182" s="1198">
        <v>1</v>
      </c>
      <c r="BQ182" s="1199">
        <v>1</v>
      </c>
      <c r="BR182" s="1199">
        <v>1</v>
      </c>
      <c r="BS182" s="1200">
        <v>1</v>
      </c>
      <c r="BT182" s="94">
        <f t="shared" si="146"/>
        <v>21985.200000000001</v>
      </c>
      <c r="BU182" s="233">
        <f t="shared" si="147"/>
        <v>21985.200000000001</v>
      </c>
      <c r="BV182" s="92">
        <f t="shared" si="148"/>
        <v>4397.04</v>
      </c>
      <c r="BW182" s="233">
        <f t="shared" si="149"/>
        <v>4397.04</v>
      </c>
      <c r="BX182" s="88">
        <v>13.796030116358658</v>
      </c>
      <c r="BY182" s="90">
        <v>0</v>
      </c>
      <c r="BZ182" s="88">
        <v>0</v>
      </c>
      <c r="CA182" s="88">
        <v>0</v>
      </c>
      <c r="CB182" s="88">
        <v>0</v>
      </c>
      <c r="CC182" s="88">
        <v>0</v>
      </c>
      <c r="CD182" s="88">
        <v>0</v>
      </c>
      <c r="CE182" s="100">
        <v>0</v>
      </c>
      <c r="CF182" s="88">
        <v>0</v>
      </c>
      <c r="CG182" s="88">
        <v>0</v>
      </c>
      <c r="CH182" s="88">
        <v>0</v>
      </c>
      <c r="CI182" s="88">
        <v>0</v>
      </c>
      <c r="CJ182" s="228">
        <v>0</v>
      </c>
      <c r="CK182" s="88">
        <v>0</v>
      </c>
      <c r="CL182" s="88">
        <v>0</v>
      </c>
      <c r="CM182" s="88">
        <v>0</v>
      </c>
      <c r="CN182" s="88">
        <v>0</v>
      </c>
      <c r="CO182" s="88">
        <v>0</v>
      </c>
      <c r="CP182" s="88">
        <v>0</v>
      </c>
      <c r="CQ182" s="229">
        <v>0</v>
      </c>
      <c r="CR182" s="91">
        <v>0</v>
      </c>
      <c r="CS182" s="91">
        <v>0</v>
      </c>
      <c r="CT182" s="91">
        <v>0</v>
      </c>
      <c r="CU182" s="91">
        <v>0</v>
      </c>
      <c r="CV182" s="91">
        <v>0</v>
      </c>
      <c r="CW182" s="91">
        <v>0</v>
      </c>
      <c r="CX182" s="225">
        <v>0</v>
      </c>
      <c r="CY182" s="1265">
        <v>7746.3113599999997</v>
      </c>
      <c r="CZ182" s="90">
        <v>0</v>
      </c>
      <c r="DA182" s="88">
        <v>0</v>
      </c>
      <c r="DB182" s="88">
        <v>0</v>
      </c>
      <c r="DC182" s="88">
        <v>0</v>
      </c>
      <c r="DD182" s="88">
        <v>0</v>
      </c>
      <c r="DE182" s="152">
        <v>0</v>
      </c>
      <c r="DF182" s="230">
        <v>0</v>
      </c>
      <c r="DG182" s="38">
        <v>0</v>
      </c>
      <c r="DH182" s="1237">
        <v>0</v>
      </c>
      <c r="DI182" s="956">
        <v>0</v>
      </c>
      <c r="DJ182" s="956">
        <v>0</v>
      </c>
      <c r="DK182" s="956">
        <v>0</v>
      </c>
      <c r="DL182" s="152">
        <v>0</v>
      </c>
      <c r="DM182" s="160">
        <v>0</v>
      </c>
      <c r="DN182" s="160">
        <v>0</v>
      </c>
      <c r="DO182" s="160">
        <v>0</v>
      </c>
      <c r="DP182" s="160">
        <v>0</v>
      </c>
      <c r="DQ182" s="160">
        <v>0</v>
      </c>
      <c r="DR182" s="230">
        <v>0</v>
      </c>
      <c r="DS182" s="88">
        <v>0</v>
      </c>
      <c r="DT182" s="88">
        <v>0</v>
      </c>
      <c r="DU182" s="88">
        <v>0</v>
      </c>
      <c r="DV182" s="88">
        <v>0</v>
      </c>
      <c r="DW182" s="88">
        <v>0</v>
      </c>
      <c r="DX182" s="88">
        <v>0</v>
      </c>
      <c r="DY182" s="88">
        <v>0</v>
      </c>
      <c r="DZ182" s="88">
        <v>0</v>
      </c>
      <c r="EA182" s="88">
        <v>0</v>
      </c>
      <c r="EB182" s="152">
        <v>0</v>
      </c>
      <c r="EC182" s="52">
        <f t="shared" si="150"/>
        <v>0</v>
      </c>
      <c r="ED182" s="52">
        <f t="shared" si="150"/>
        <v>0</v>
      </c>
      <c r="EE182" s="52">
        <f t="shared" si="150"/>
        <v>0</v>
      </c>
      <c r="EF182" s="52">
        <f t="shared" si="150"/>
        <v>0</v>
      </c>
      <c r="EG182" s="52">
        <f t="shared" si="151"/>
        <v>0</v>
      </c>
      <c r="EH182" s="238">
        <v>0</v>
      </c>
      <c r="EI182" s="211">
        <v>0</v>
      </c>
      <c r="EJ182" s="211">
        <v>0</v>
      </c>
      <c r="EK182" s="211">
        <v>0</v>
      </c>
      <c r="EL182" s="217">
        <f>IF(C182&gt;=Summary!$E$26,MAX(0,SUM(EH182:EK182)),0)</f>
        <v>0</v>
      </c>
      <c r="EM182" s="52">
        <f>IF(C182&gt;=Summary!$E$26,DX182*BL182,0)</f>
        <v>0</v>
      </c>
      <c r="EN182" s="52">
        <f>IF(C182&gt;=Summary!$E$26,DY182*BM182,0)</f>
        <v>0</v>
      </c>
      <c r="EO182" s="52">
        <f>IF(C182&gt;=Summary!$E$26,DZ182*BN182,0)</f>
        <v>0</v>
      </c>
      <c r="EP182" s="52">
        <f>IF(C182&gt;=Summary!$E$26,EA182*BO182,0)</f>
        <v>0</v>
      </c>
      <c r="EQ182" s="52">
        <f>IF(C182&gt;=Summary!$E$26,DX182*BL182+DY182*BM182+DZ182*BN182+EA182*BO182,0)</f>
        <v>0</v>
      </c>
      <c r="ER182" s="826">
        <v>0</v>
      </c>
      <c r="ES182" s="278">
        <v>0</v>
      </c>
      <c r="ET182" s="278">
        <v>0</v>
      </c>
      <c r="EU182" s="278">
        <v>0</v>
      </c>
      <c r="EV182" s="212">
        <f>IF(C182&gt;=Summary!$E$26,MAX(0,SUM(ER182:EU182)),0)</f>
        <v>0</v>
      </c>
      <c r="EW182" s="52"/>
      <c r="EX182" s="1049">
        <f t="shared" si="152"/>
        <v>0</v>
      </c>
      <c r="EY182" s="1045" t="str">
        <f t="shared" si="153"/>
        <v/>
      </c>
      <c r="EZ182" s="1684" t="s">
        <v>525</v>
      </c>
      <c r="FA182" s="1046">
        <f t="shared" si="166"/>
        <v>45</v>
      </c>
      <c r="FB182" s="256">
        <f t="shared" si="154"/>
        <v>10194.75</v>
      </c>
      <c r="FC182" s="194">
        <f t="shared" si="155"/>
        <v>3058.4250000000002</v>
      </c>
      <c r="FD182" s="194">
        <f t="shared" si="156"/>
        <v>1773</v>
      </c>
      <c r="FE182" s="194">
        <f t="shared" si="157"/>
        <v>531.9</v>
      </c>
      <c r="FF182" s="194">
        <f t="shared" si="158"/>
        <v>1773</v>
      </c>
      <c r="FG182" s="194">
        <f t="shared" si="159"/>
        <v>531.9</v>
      </c>
      <c r="FH182" s="257">
        <f>IF(EZ182="No",IF((OR(MONTH(C182)=5,MONTH(C182)=6,MONTH(C182)=7,MONTH(C182)=8,MONTH(C182)=9)),Summary!$O$15*12*(AX182+AY182+AZ182+BA182)*(1-$BC182),Summary!$O$15*13*(AX182+AY182+AZ182+BA182)*(1-$BC182)+IF(Summary!$O$16="Yes",(CALC!FA182+Summary!$O$15)*6*(AX182+AY182+AZ182+BA182)*(1-$BC182),0)),0)</f>
        <v>0</v>
      </c>
      <c r="FI182" s="1412">
        <f>IF(MONTH(C182)=5,FI181*(IF(Summary!$E$70="no",(1+(Summary!$E$71*0.8)),1+HLOOKUP(YEAR(C182)-1,CCFMODEL!$I$127:$AF$128,2)*0.8)),+FI181)</f>
        <v>37.078577505431092</v>
      </c>
      <c r="FJ182" s="1411">
        <f>IF(MONTH(C182)=5,FJ181*(IF(Summary!$E$70="no",(1+(Summary!$E$71*0.8)),1+HLOOKUP(YEAR(CALC!C182)-1,CCFMODEL!$I$127:$AF$128,2)*0.8)),FJ181)</f>
        <v>32.407260654353159</v>
      </c>
      <c r="FK182" s="832">
        <f t="shared" si="127"/>
        <v>662333.70301507786</v>
      </c>
      <c r="FL182" s="1412">
        <f>IF(MONTH(C182)=5,FL181*(IF(Summary!$E$70="no",(1+(Summary!$E$71*0.8)),1+HLOOKUP(YEAR(CALC!C182)-1,CCFMODEL!$I$127:$AF$128,2)*0.8)),+FL181)</f>
        <v>77.980405409809876</v>
      </c>
      <c r="FM182" s="1411">
        <f>IF(MONTH(C182)=5,FM181*(IF(Summary!$E$70="no",(1+(Summary!$E$71*0.8)),1+HLOOKUP(YEAR(CALC!C182)-1,CCFMODEL!$I$127:$AF$128,2)*0.8)),+FM181)</f>
        <v>37.217604792665554</v>
      </c>
      <c r="FN182" s="832">
        <f t="shared" si="128"/>
        <v>674941.26291498984</v>
      </c>
      <c r="FO182" s="194">
        <f t="shared" si="160"/>
        <v>1337274.9659300677</v>
      </c>
      <c r="FP182" s="263">
        <f t="shared" si="177"/>
        <v>10194.75</v>
      </c>
      <c r="FQ182" s="194">
        <f t="shared" si="178"/>
        <v>3058.4250000000002</v>
      </c>
      <c r="FR182" s="194">
        <f t="shared" si="179"/>
        <v>1773</v>
      </c>
      <c r="FS182" s="194">
        <f t="shared" si="176"/>
        <v>531.9</v>
      </c>
      <c r="FT182" s="194">
        <f t="shared" si="176"/>
        <v>1773</v>
      </c>
      <c r="FU182" s="194">
        <f t="shared" si="176"/>
        <v>531.9</v>
      </c>
      <c r="FV182" s="257">
        <f t="shared" si="124"/>
        <v>0</v>
      </c>
      <c r="FW182" s="189">
        <f t="shared" si="129"/>
        <v>0</v>
      </c>
      <c r="FX182" s="189">
        <f t="shared" si="130"/>
        <v>0</v>
      </c>
      <c r="FY182" s="189">
        <f t="shared" si="131"/>
        <v>0</v>
      </c>
      <c r="FZ182" s="258">
        <f t="shared" si="132"/>
        <v>0</v>
      </c>
      <c r="GA182" s="1294">
        <f>(SUM(FP182:FV182)+SUM(GU182:HB182)/(1-Summary!$O$25))*CY182/1000</f>
        <v>236297.08376022236</v>
      </c>
      <c r="GB182" s="1369">
        <f>IF($C182&lt;Summary!$M$81,+Summary!$O$81,VLOOKUP(C182,GasTable,19))</f>
        <v>3.733275551333862</v>
      </c>
      <c r="GC182" s="1370">
        <f>IF(H182&lt;=Summary!$N$84,MIN(GA182,Summary!$O$75*(H182-G182+1)),0)</f>
        <v>0</v>
      </c>
      <c r="GD182" s="1371">
        <f>IF(C182&lt;Summary!$N$84,IF(Summary!$O$75*(H182-G182+1)*0.8&gt;GC182,1,0),0)</f>
        <v>0</v>
      </c>
      <c r="GE182" s="1372">
        <v>0</v>
      </c>
      <c r="GF182" s="1370">
        <f t="shared" si="161"/>
        <v>236297.08376022236</v>
      </c>
      <c r="GG182" s="1371">
        <f>GF182*(IF(Summary!$O$74=1,VLOOKUP($C182,GasTable,16)+Summary!$O$92+Summary!$O$93,VLOOKUP($C182,GasTable,19)+Summary!$O$92+Summary!$O$93))</f>
        <v>894473.20371743559</v>
      </c>
      <c r="GH182" s="1373">
        <v>5786.5771045674865</v>
      </c>
      <c r="GI182" s="1466">
        <v>0</v>
      </c>
      <c r="GJ182" s="1374">
        <f t="shared" si="162"/>
        <v>900259.78082200303</v>
      </c>
      <c r="GK182" s="189">
        <f t="shared" si="133"/>
        <v>30062.012849999999</v>
      </c>
      <c r="GL182" s="266">
        <v>0.51900286112000005</v>
      </c>
      <c r="GM182" s="255">
        <f t="shared" si="134"/>
        <v>0</v>
      </c>
      <c r="GN182" s="189">
        <f>IF(SUM(GU182:HB182)=0,0,IF(Summary!$O$16="Yes",SUM(GX182:HB182),IF(Summary!$O$17="Yes",SUM(GY182:HB182),SUM(GU182:HB182))))</f>
        <v>12199.037849999999</v>
      </c>
      <c r="GO182" s="203">
        <v>3.4944134884426483</v>
      </c>
      <c r="GP182" s="258">
        <f t="shared" si="163"/>
        <v>42628.482409062402</v>
      </c>
      <c r="GQ182" s="189"/>
      <c r="GR182" s="189"/>
      <c r="GS182" s="189"/>
      <c r="GT182" s="189"/>
      <c r="GU182" s="268">
        <v>5902.7602500000003</v>
      </c>
      <c r="GV182" s="189">
        <v>1026.5670000000002</v>
      </c>
      <c r="GW182" s="189">
        <v>1026.5670000000002</v>
      </c>
      <c r="GX182" s="189"/>
      <c r="GY182" s="254">
        <v>3148.1388000000002</v>
      </c>
      <c r="GZ182" s="189">
        <v>547.50239999999997</v>
      </c>
      <c r="HA182" s="189">
        <v>547.50239999999997</v>
      </c>
      <c r="HB182" s="255"/>
      <c r="HC182" s="189">
        <v>12199.037849999999</v>
      </c>
      <c r="HD182" s="189"/>
      <c r="HE182" s="189">
        <v>20950.521524999996</v>
      </c>
      <c r="HF182" s="189">
        <v>631882.07858452003</v>
      </c>
      <c r="HG182" s="189"/>
      <c r="HH182" s="203">
        <v>50.978442015684351</v>
      </c>
      <c r="HI182" s="189">
        <v>1068024.9467605592</v>
      </c>
      <c r="HJ182" s="268">
        <f t="shared" si="135"/>
        <v>0</v>
      </c>
      <c r="HK182" s="189">
        <f t="shared" si="136"/>
        <v>0</v>
      </c>
      <c r="HL182" s="189">
        <f t="shared" si="137"/>
        <v>0</v>
      </c>
      <c r="HM182" s="255">
        <f t="shared" si="138"/>
        <v>0</v>
      </c>
      <c r="HN182" s="189">
        <f t="shared" si="139"/>
        <v>0</v>
      </c>
      <c r="HO182" s="203">
        <f t="shared" si="164"/>
        <v>0</v>
      </c>
      <c r="HP182" s="258">
        <f t="shared" si="140"/>
        <v>0</v>
      </c>
      <c r="HQ182" s="240"/>
      <c r="HR182" s="1190"/>
      <c r="HS182" s="1189"/>
      <c r="HT182" s="1189"/>
      <c r="HU182" s="203"/>
      <c r="HV182" s="203"/>
      <c r="HW182" s="203"/>
      <c r="HX182" s="203"/>
      <c r="HY182" s="203"/>
      <c r="HZ182" s="203"/>
      <c r="IA182" s="203"/>
      <c r="IB182" s="203"/>
      <c r="IC182" s="203"/>
      <c r="ID182" s="203"/>
      <c r="IE182" s="203"/>
      <c r="IF182" s="203"/>
      <c r="IG182" s="203"/>
      <c r="IH182" s="203"/>
      <c r="II182" s="203"/>
      <c r="IJ182" s="203"/>
      <c r="IK182" s="203"/>
      <c r="IL182" s="821"/>
      <c r="IM182" s="820"/>
      <c r="IN182" s="820"/>
      <c r="IR182" s="223"/>
    </row>
    <row r="183" spans="1:252" ht="13.8" thickBot="1">
      <c r="A183" t="str">
        <f t="shared" si="141"/>
        <v>2013Q4</v>
      </c>
      <c r="B183">
        <f t="shared" si="142"/>
        <v>2013</v>
      </c>
      <c r="C183" s="49">
        <f t="shared" si="143"/>
        <v>41579</v>
      </c>
      <c r="D183" s="115">
        <f t="shared" si="144"/>
        <v>2013</v>
      </c>
      <c r="E183" s="10">
        <f t="shared" si="167"/>
        <v>11</v>
      </c>
      <c r="F183" s="248">
        <f t="shared" si="168"/>
        <v>41606</v>
      </c>
      <c r="G183" s="245">
        <v>41579</v>
      </c>
      <c r="H183" s="251">
        <v>41608</v>
      </c>
      <c r="I183" s="959">
        <f t="shared" si="165"/>
        <v>7.1499999999999994E-2</v>
      </c>
      <c r="J183" s="37">
        <f t="shared" si="145"/>
        <v>0.37359598608801403</v>
      </c>
      <c r="K183" s="1036"/>
      <c r="L183" s="37"/>
      <c r="M183" s="1004">
        <v>0</v>
      </c>
      <c r="N183" s="38">
        <f t="shared" si="174"/>
        <v>0</v>
      </c>
      <c r="O183" s="40">
        <f t="shared" si="174"/>
        <v>0</v>
      </c>
      <c r="P183" s="159">
        <f t="shared" si="172"/>
        <v>0</v>
      </c>
      <c r="Q183" s="38">
        <f t="shared" si="180"/>
        <v>0</v>
      </c>
      <c r="R183" s="40">
        <f t="shared" si="180"/>
        <v>0</v>
      </c>
      <c r="S183" s="38">
        <f t="shared" si="180"/>
        <v>0</v>
      </c>
      <c r="T183" s="38">
        <f t="shared" si="180"/>
        <v>0</v>
      </c>
      <c r="U183" s="38">
        <f t="shared" si="180"/>
        <v>0</v>
      </c>
      <c r="V183" s="159">
        <f t="shared" si="180"/>
        <v>0</v>
      </c>
      <c r="W183" s="38">
        <f t="shared" si="180"/>
        <v>0</v>
      </c>
      <c r="X183" s="39">
        <f t="shared" si="180"/>
        <v>0</v>
      </c>
      <c r="Y183" s="46">
        <v>0</v>
      </c>
      <c r="Z183" s="46">
        <v>0</v>
      </c>
      <c r="AA183" s="47">
        <v>0</v>
      </c>
      <c r="AB183" s="46">
        <v>0</v>
      </c>
      <c r="AC183" s="46">
        <v>0</v>
      </c>
      <c r="AD183" s="47">
        <v>0</v>
      </c>
      <c r="AE183" s="46">
        <v>0</v>
      </c>
      <c r="AF183" s="46">
        <v>0</v>
      </c>
      <c r="AG183" s="47">
        <v>0</v>
      </c>
      <c r="AH183" s="46">
        <v>0</v>
      </c>
      <c r="AI183" s="46">
        <v>0</v>
      </c>
      <c r="AJ183" s="47">
        <v>0</v>
      </c>
      <c r="AK183" s="46">
        <v>0</v>
      </c>
      <c r="AL183" s="46">
        <v>0</v>
      </c>
      <c r="AM183" s="47">
        <v>0</v>
      </c>
      <c r="AN183" s="46">
        <v>0</v>
      </c>
      <c r="AO183" s="46">
        <v>0</v>
      </c>
      <c r="AP183" s="47">
        <v>0</v>
      </c>
      <c r="AQ183" s="46">
        <v>0</v>
      </c>
      <c r="AR183" s="46">
        <v>0</v>
      </c>
      <c r="AS183" s="47">
        <v>0</v>
      </c>
      <c r="AT183" s="46">
        <v>0</v>
      </c>
      <c r="AU183" s="46">
        <v>0</v>
      </c>
      <c r="AV183" s="46">
        <v>0</v>
      </c>
      <c r="AW183" s="1545">
        <v>0</v>
      </c>
      <c r="AX183" s="10">
        <f t="shared" si="169"/>
        <v>20</v>
      </c>
      <c r="AY183" s="42">
        <f>IF(AND($E183=MONTH(Summary!$E$24),$D183=YEAR(Summary!$E$24)),Summary!$E$25,1)*IF(G183="",0,INT((H183-MOD(H183,7)-G183)/7)+1-IF(BA183,IF(WEEKDAY(F183)=7,1,0),0))</f>
        <v>5</v>
      </c>
      <c r="AZ183" s="42">
        <f>IF(AND($E183=MONTH(Summary!$E$24),$D183=YEAR(Summary!$E$24)),Summary!$E$25,1)*IF(G183="",0,INT((H183-MOD(H183-1,7)-G183)/7)+1-IF(BA183,IF(WEEKDAY(F183)=1,1,0),0))</f>
        <v>4</v>
      </c>
      <c r="BA183" s="42">
        <v>1</v>
      </c>
      <c r="BB183" s="10">
        <f>IF(AND($E183=MONTH(Summary!$E$24),$D183=YEAR(Summary!$E$24)),Summary!$E$25,1)*IF(G183="",0,H183-G183+1)</f>
        <v>30</v>
      </c>
      <c r="BC183" s="914">
        <f>Summary!$E$19</f>
        <v>1.4999999999999999E-2</v>
      </c>
      <c r="BD183" s="113">
        <v>14184</v>
      </c>
      <c r="BE183" s="171">
        <v>3546</v>
      </c>
      <c r="BF183" s="171">
        <v>3546</v>
      </c>
      <c r="BG183" s="174"/>
      <c r="BH183" s="1198">
        <v>1</v>
      </c>
      <c r="BI183" s="1198">
        <v>1</v>
      </c>
      <c r="BJ183" s="1198">
        <v>1</v>
      </c>
      <c r="BK183" s="1198">
        <v>1</v>
      </c>
      <c r="BL183" s="95">
        <v>2836.8</v>
      </c>
      <c r="BM183" s="171">
        <v>709.2</v>
      </c>
      <c r="BN183" s="171">
        <v>709.2</v>
      </c>
      <c r="BO183" s="174"/>
      <c r="BP183" s="1198">
        <v>1</v>
      </c>
      <c r="BQ183" s="1199">
        <v>1</v>
      </c>
      <c r="BR183" s="1199">
        <v>1</v>
      </c>
      <c r="BS183" s="1200">
        <v>1</v>
      </c>
      <c r="BT183" s="94">
        <f t="shared" si="146"/>
        <v>21276</v>
      </c>
      <c r="BU183" s="233">
        <f t="shared" si="147"/>
        <v>21276</v>
      </c>
      <c r="BV183" s="92">
        <f t="shared" si="148"/>
        <v>4255.2</v>
      </c>
      <c r="BW183" s="233">
        <f t="shared" si="149"/>
        <v>4255.2</v>
      </c>
      <c r="BX183" s="88">
        <v>13.880903490759753</v>
      </c>
      <c r="BY183" s="90">
        <v>0</v>
      </c>
      <c r="BZ183" s="88">
        <v>0</v>
      </c>
      <c r="CA183" s="88">
        <v>0</v>
      </c>
      <c r="CB183" s="88">
        <v>0</v>
      </c>
      <c r="CC183" s="88">
        <v>0</v>
      </c>
      <c r="CD183" s="88">
        <v>0</v>
      </c>
      <c r="CE183" s="100">
        <v>0</v>
      </c>
      <c r="CF183" s="88">
        <v>0</v>
      </c>
      <c r="CG183" s="88">
        <v>0</v>
      </c>
      <c r="CH183" s="88">
        <v>0</v>
      </c>
      <c r="CI183" s="88">
        <v>0</v>
      </c>
      <c r="CJ183" s="228">
        <v>0</v>
      </c>
      <c r="CK183" s="88">
        <v>0</v>
      </c>
      <c r="CL183" s="88">
        <v>0</v>
      </c>
      <c r="CM183" s="88">
        <v>0</v>
      </c>
      <c r="CN183" s="88">
        <v>0</v>
      </c>
      <c r="CO183" s="88">
        <v>0</v>
      </c>
      <c r="CP183" s="88">
        <v>0</v>
      </c>
      <c r="CQ183" s="229">
        <v>0</v>
      </c>
      <c r="CR183" s="91">
        <v>0</v>
      </c>
      <c r="CS183" s="91">
        <v>0</v>
      </c>
      <c r="CT183" s="91">
        <v>0</v>
      </c>
      <c r="CU183" s="91">
        <v>0</v>
      </c>
      <c r="CV183" s="91">
        <v>0</v>
      </c>
      <c r="CW183" s="91">
        <v>0</v>
      </c>
      <c r="CX183" s="225">
        <v>0</v>
      </c>
      <c r="CY183" s="1265">
        <v>7747.6142399999999</v>
      </c>
      <c r="CZ183" s="90">
        <v>0</v>
      </c>
      <c r="DA183" s="88">
        <v>0</v>
      </c>
      <c r="DB183" s="88">
        <v>0</v>
      </c>
      <c r="DC183" s="88">
        <v>0</v>
      </c>
      <c r="DD183" s="88">
        <v>0</v>
      </c>
      <c r="DE183" s="152">
        <v>0</v>
      </c>
      <c r="DF183" s="230">
        <v>0</v>
      </c>
      <c r="DG183" s="38">
        <v>0</v>
      </c>
      <c r="DH183" s="1237">
        <v>0</v>
      </c>
      <c r="DI183" s="956">
        <v>0</v>
      </c>
      <c r="DJ183" s="956">
        <v>0</v>
      </c>
      <c r="DK183" s="956">
        <v>0</v>
      </c>
      <c r="DL183" s="152">
        <v>0</v>
      </c>
      <c r="DM183" s="160">
        <v>0</v>
      </c>
      <c r="DN183" s="160">
        <v>0</v>
      </c>
      <c r="DO183" s="160">
        <v>0</v>
      </c>
      <c r="DP183" s="160">
        <v>0</v>
      </c>
      <c r="DQ183" s="160">
        <v>0</v>
      </c>
      <c r="DR183" s="230">
        <v>0</v>
      </c>
      <c r="DS183" s="88">
        <v>0</v>
      </c>
      <c r="DT183" s="88">
        <v>0</v>
      </c>
      <c r="DU183" s="88">
        <v>0</v>
      </c>
      <c r="DV183" s="88">
        <v>0</v>
      </c>
      <c r="DW183" s="88">
        <v>0</v>
      </c>
      <c r="DX183" s="88">
        <v>0</v>
      </c>
      <c r="DY183" s="88">
        <v>0</v>
      </c>
      <c r="DZ183" s="88">
        <v>0</v>
      </c>
      <c r="EA183" s="88">
        <v>0</v>
      </c>
      <c r="EB183" s="152">
        <v>0</v>
      </c>
      <c r="EC183" s="52">
        <f t="shared" si="150"/>
        <v>0</v>
      </c>
      <c r="ED183" s="52">
        <f t="shared" si="150"/>
        <v>0</v>
      </c>
      <c r="EE183" s="52">
        <f t="shared" si="150"/>
        <v>0</v>
      </c>
      <c r="EF183" s="52">
        <f t="shared" si="150"/>
        <v>0</v>
      </c>
      <c r="EG183" s="52">
        <f t="shared" si="151"/>
        <v>0</v>
      </c>
      <c r="EH183" s="238">
        <v>0</v>
      </c>
      <c r="EI183" s="211">
        <v>0</v>
      </c>
      <c r="EJ183" s="211">
        <v>0</v>
      </c>
      <c r="EK183" s="211">
        <v>0</v>
      </c>
      <c r="EL183" s="217">
        <f>IF(C183&gt;=Summary!$E$26,MAX(0,SUM(EH183:EK183)),0)</f>
        <v>0</v>
      </c>
      <c r="EM183" s="52">
        <f>IF(C183&gt;=Summary!$E$26,DX183*BL183,0)</f>
        <v>0</v>
      </c>
      <c r="EN183" s="52">
        <f>IF(C183&gt;=Summary!$E$26,DY183*BM183,0)</f>
        <v>0</v>
      </c>
      <c r="EO183" s="52">
        <f>IF(C183&gt;=Summary!$E$26,DZ183*BN183,0)</f>
        <v>0</v>
      </c>
      <c r="EP183" s="52">
        <f>IF(C183&gt;=Summary!$E$26,EA183*BO183,0)</f>
        <v>0</v>
      </c>
      <c r="EQ183" s="52">
        <f>IF(C183&gt;=Summary!$E$26,DX183*BL183+DY183*BM183+DZ183*BN183+EA183*BO183,0)</f>
        <v>0</v>
      </c>
      <c r="ER183" s="826">
        <v>0</v>
      </c>
      <c r="ES183" s="278">
        <v>0</v>
      </c>
      <c r="ET183" s="278">
        <v>0</v>
      </c>
      <c r="EU183" s="278">
        <v>0</v>
      </c>
      <c r="EV183" s="212">
        <f>IF(C183&gt;=Summary!$E$26,MAX(0,SUM(ER183:EU183)),0)</f>
        <v>0</v>
      </c>
      <c r="EW183" s="52"/>
      <c r="EX183" s="1049">
        <f t="shared" si="152"/>
        <v>0</v>
      </c>
      <c r="EY183" s="1045" t="str">
        <f t="shared" si="153"/>
        <v/>
      </c>
      <c r="EZ183" s="1684" t="s">
        <v>525</v>
      </c>
      <c r="FA183" s="1046">
        <f t="shared" si="166"/>
        <v>45</v>
      </c>
      <c r="FB183" s="256">
        <f t="shared" si="154"/>
        <v>8865</v>
      </c>
      <c r="FC183" s="194">
        <f t="shared" si="155"/>
        <v>2659.5</v>
      </c>
      <c r="FD183" s="194">
        <f t="shared" si="156"/>
        <v>2216.25</v>
      </c>
      <c r="FE183" s="194">
        <f t="shared" si="157"/>
        <v>664.875</v>
      </c>
      <c r="FF183" s="194">
        <f t="shared" si="158"/>
        <v>2216.25</v>
      </c>
      <c r="FG183" s="194">
        <f t="shared" si="159"/>
        <v>664.875</v>
      </c>
      <c r="FH183" s="257">
        <f>IF(EZ183="No",IF((OR(MONTH(C183)=5,MONTH(C183)=6,MONTH(C183)=7,MONTH(C183)=8,MONTH(C183)=9)),Summary!$O$15*12*(AX183+AY183+AZ183+BA183)*(1-$BC183),Summary!$O$15*13*(AX183+AY183+AZ183+BA183)*(1-$BC183)+IF(Summary!$O$16="Yes",(CALC!FA183+Summary!$O$15)*6*(AX183+AY183+AZ183+BA183)*(1-$BC183),0)),0)</f>
        <v>0</v>
      </c>
      <c r="FI183" s="1412">
        <f>IF(MONTH(C183)=5,FI182*(IF(Summary!$E$70="no",(1+(Summary!$E$71*0.8)),1+HLOOKUP(YEAR(C183)-1,CCFMODEL!$I$127:$AF$128,2)*0.8)),+FI182)</f>
        <v>37.078577505431092</v>
      </c>
      <c r="FJ183" s="1411">
        <f>IF(MONTH(C183)=5,FJ182*(IF(Summary!$E$70="no",(1+(Summary!$E$71*0.8)),1+HLOOKUP(YEAR(CALC!C183)-1,CCFMODEL!$I$127:$AF$128,2)*0.8)),FJ182)</f>
        <v>32.407260654353159</v>
      </c>
      <c r="FK183" s="832">
        <f t="shared" si="127"/>
        <v>640968.0996920109</v>
      </c>
      <c r="FL183" s="1412">
        <f>IF(MONTH(C183)=5,FL182*(IF(Summary!$E$70="no",(1+(Summary!$E$71*0.8)),1+HLOOKUP(YEAR(CALC!C183)-1,CCFMODEL!$I$127:$AF$128,2)*0.8)),+FL182)</f>
        <v>77.980405409809876</v>
      </c>
      <c r="FM183" s="1411">
        <f>IF(MONTH(C183)=5,FM182*(IF(Summary!$E$70="no",(1+(Summary!$E$71*0.8)),1+HLOOKUP(YEAR(CALC!C183)-1,CCFMODEL!$I$127:$AF$128,2)*0.8)),+FM182)</f>
        <v>37.217604792665554</v>
      </c>
      <c r="FN183" s="832">
        <f t="shared" si="128"/>
        <v>653168.96411128051</v>
      </c>
      <c r="FO183" s="194">
        <f t="shared" si="160"/>
        <v>1294137.0638032914</v>
      </c>
      <c r="FP183" s="263">
        <f t="shared" si="177"/>
        <v>8865</v>
      </c>
      <c r="FQ183" s="194">
        <f t="shared" si="178"/>
        <v>2659.5</v>
      </c>
      <c r="FR183" s="194">
        <f t="shared" si="179"/>
        <v>2216.25</v>
      </c>
      <c r="FS183" s="194">
        <f t="shared" si="176"/>
        <v>664.875</v>
      </c>
      <c r="FT183" s="194">
        <f t="shared" si="176"/>
        <v>2216.25</v>
      </c>
      <c r="FU183" s="194">
        <f t="shared" si="176"/>
        <v>664.875</v>
      </c>
      <c r="FV183" s="257">
        <f t="shared" si="124"/>
        <v>0</v>
      </c>
      <c r="FW183" s="189">
        <f t="shared" si="129"/>
        <v>0</v>
      </c>
      <c r="FX183" s="189">
        <f t="shared" si="130"/>
        <v>0</v>
      </c>
      <c r="FY183" s="189">
        <f t="shared" si="131"/>
        <v>0</v>
      </c>
      <c r="FZ183" s="258">
        <f t="shared" si="132"/>
        <v>0</v>
      </c>
      <c r="GA183" s="1294">
        <f>(SUM(FP183:FV183)+SUM(GU183:HB183)/(1-Summary!$O$25))*CY183/1000</f>
        <v>228713.05879120799</v>
      </c>
      <c r="GB183" s="1369">
        <f>IF($C183&lt;Summary!$M$81,+Summary!$O$81,VLOOKUP(C183,GasTable,19))</f>
        <v>3.8899131866134415</v>
      </c>
      <c r="GC183" s="1370">
        <f>IF(H183&lt;=Summary!$N$84,MIN(GA183,Summary!$O$75*(H183-G183+1)),0)</f>
        <v>0</v>
      </c>
      <c r="GD183" s="1371">
        <f>IF(C183&lt;Summary!$N$84,IF(Summary!$O$75*(H183-G183+1)*0.8&gt;GC183,1,0),0)</f>
        <v>0</v>
      </c>
      <c r="GE183" s="1372">
        <v>0</v>
      </c>
      <c r="GF183" s="1370">
        <f t="shared" si="161"/>
        <v>228713.05879120799</v>
      </c>
      <c r="GG183" s="1371">
        <f>GF183*(IF(Summary!$O$74=1,VLOOKUP($C183,GasTable,16)+Summary!$O$92+Summary!$O$93,VLOOKUP($C183,GasTable,19)+Summary!$O$92+Summary!$O$93))</f>
        <v>901589.89370563719</v>
      </c>
      <c r="GH183" s="1373">
        <v>5834.8697799201627</v>
      </c>
      <c r="GI183" s="1466">
        <v>0</v>
      </c>
      <c r="GJ183" s="1374">
        <f t="shared" si="162"/>
        <v>907424.7634855574</v>
      </c>
      <c r="GK183" s="189">
        <f t="shared" si="133"/>
        <v>29092.270500000002</v>
      </c>
      <c r="GL183" s="266">
        <v>0.51909015408000003</v>
      </c>
      <c r="GM183" s="255">
        <f t="shared" si="134"/>
        <v>0</v>
      </c>
      <c r="GN183" s="189">
        <f>IF(SUM(GU183:HB183)=0,0,IF(Summary!$O$16="Yes",SUM(GX183:HB183),IF(Summary!$O$17="Yes",SUM(GY183:HB183),SUM(GU183:HB183))))</f>
        <v>11805.520500000001</v>
      </c>
      <c r="GO183" s="203">
        <v>3.4944134884426483</v>
      </c>
      <c r="GP183" s="258">
        <f t="shared" si="163"/>
        <v>41253.370073286198</v>
      </c>
      <c r="GQ183" s="189"/>
      <c r="GR183" s="189"/>
      <c r="GS183" s="189"/>
      <c r="GT183" s="189"/>
      <c r="GU183" s="268">
        <v>5132.835</v>
      </c>
      <c r="GV183" s="189">
        <v>1283.20875</v>
      </c>
      <c r="GW183" s="189">
        <v>1283.20875</v>
      </c>
      <c r="GX183" s="189"/>
      <c r="GY183" s="254">
        <v>2737.5120000000002</v>
      </c>
      <c r="GZ183" s="189">
        <v>684.37800000000004</v>
      </c>
      <c r="HA183" s="189">
        <v>684.37800000000004</v>
      </c>
      <c r="HB183" s="255"/>
      <c r="HC183" s="189">
        <v>11805.520500000001</v>
      </c>
      <c r="HD183" s="189"/>
      <c r="HE183" s="189">
        <v>20274.698250000001</v>
      </c>
      <c r="HF183" s="189">
        <v>614937.17353618518</v>
      </c>
      <c r="HG183" s="189"/>
      <c r="HH183" s="203">
        <v>51.782316233283751</v>
      </c>
      <c r="HI183" s="189">
        <v>1049870.8363159047</v>
      </c>
      <c r="HJ183" s="268">
        <f t="shared" si="135"/>
        <v>0</v>
      </c>
      <c r="HK183" s="189">
        <f t="shared" si="136"/>
        <v>0</v>
      </c>
      <c r="HL183" s="189">
        <f t="shared" si="137"/>
        <v>0</v>
      </c>
      <c r="HM183" s="255">
        <f t="shared" si="138"/>
        <v>0</v>
      </c>
      <c r="HN183" s="189">
        <f t="shared" si="139"/>
        <v>0</v>
      </c>
      <c r="HO183" s="203">
        <f t="shared" si="164"/>
        <v>0</v>
      </c>
      <c r="HP183" s="258">
        <f t="shared" si="140"/>
        <v>0</v>
      </c>
      <c r="HQ183" s="241"/>
      <c r="HR183" s="1404"/>
      <c r="HS183" s="764"/>
      <c r="HT183" s="1405"/>
      <c r="HU183" s="1404"/>
      <c r="HV183" s="272"/>
      <c r="HW183" s="1405"/>
      <c r="HX183" s="1406"/>
      <c r="HY183" s="1406"/>
      <c r="HZ183"/>
      <c r="IA183" s="203"/>
      <c r="IB183" s="203"/>
      <c r="IC183" s="203"/>
      <c r="ID183" s="203"/>
      <c r="IE183" s="203"/>
      <c r="IF183" s="203"/>
      <c r="IG183" s="203"/>
      <c r="IH183" s="203"/>
      <c r="II183" s="203"/>
      <c r="IJ183" s="203"/>
      <c r="IK183" s="203"/>
      <c r="IL183" s="821"/>
      <c r="IM183" s="820"/>
      <c r="IN183" s="820"/>
      <c r="IR183" s="223"/>
    </row>
    <row r="184" spans="1:252" ht="13.8" thickBot="1">
      <c r="A184" t="str">
        <f t="shared" si="141"/>
        <v>2013Q4</v>
      </c>
      <c r="B184">
        <f t="shared" si="142"/>
        <v>2013</v>
      </c>
      <c r="C184" s="49">
        <f t="shared" si="143"/>
        <v>41609</v>
      </c>
      <c r="D184" s="115">
        <f t="shared" si="144"/>
        <v>2013</v>
      </c>
      <c r="E184" s="10">
        <f t="shared" si="167"/>
        <v>12</v>
      </c>
      <c r="F184" s="248">
        <f t="shared" si="168"/>
        <v>41633</v>
      </c>
      <c r="G184" s="245">
        <v>41609</v>
      </c>
      <c r="H184" s="251">
        <v>41639</v>
      </c>
      <c r="I184" s="959">
        <f t="shared" si="165"/>
        <v>7.1499999999999994E-2</v>
      </c>
      <c r="J184" s="37">
        <f t="shared" si="145"/>
        <v>0.3713750512326871</v>
      </c>
      <c r="K184" s="1036"/>
      <c r="L184" s="37"/>
      <c r="M184" s="1004">
        <v>0</v>
      </c>
      <c r="N184" s="38">
        <f t="shared" si="174"/>
        <v>0</v>
      </c>
      <c r="O184" s="40">
        <f t="shared" si="174"/>
        <v>0</v>
      </c>
      <c r="P184" s="159">
        <f t="shared" si="172"/>
        <v>0</v>
      </c>
      <c r="Q184" s="38">
        <f t="shared" si="180"/>
        <v>0</v>
      </c>
      <c r="R184" s="40">
        <f t="shared" si="180"/>
        <v>0</v>
      </c>
      <c r="S184" s="38">
        <f t="shared" si="180"/>
        <v>0</v>
      </c>
      <c r="T184" s="38">
        <f t="shared" si="180"/>
        <v>0</v>
      </c>
      <c r="U184" s="38">
        <f t="shared" si="180"/>
        <v>0</v>
      </c>
      <c r="V184" s="159">
        <f t="shared" si="180"/>
        <v>0</v>
      </c>
      <c r="W184" s="38">
        <f t="shared" si="180"/>
        <v>0</v>
      </c>
      <c r="X184" s="39">
        <f t="shared" si="180"/>
        <v>0</v>
      </c>
      <c r="Y184" s="46">
        <v>0</v>
      </c>
      <c r="Z184" s="46">
        <v>0</v>
      </c>
      <c r="AA184" s="47">
        <v>0</v>
      </c>
      <c r="AB184" s="46">
        <v>0</v>
      </c>
      <c r="AC184" s="46">
        <v>0</v>
      </c>
      <c r="AD184" s="47">
        <v>0</v>
      </c>
      <c r="AE184" s="46">
        <v>0</v>
      </c>
      <c r="AF184" s="46">
        <v>0</v>
      </c>
      <c r="AG184" s="47">
        <v>0</v>
      </c>
      <c r="AH184" s="46">
        <v>0</v>
      </c>
      <c r="AI184" s="46">
        <v>0</v>
      </c>
      <c r="AJ184" s="47">
        <v>0</v>
      </c>
      <c r="AK184" s="46">
        <v>0</v>
      </c>
      <c r="AL184" s="46">
        <v>0</v>
      </c>
      <c r="AM184" s="47">
        <v>0</v>
      </c>
      <c r="AN184" s="46">
        <v>0</v>
      </c>
      <c r="AO184" s="46">
        <v>0</v>
      </c>
      <c r="AP184" s="47">
        <v>0</v>
      </c>
      <c r="AQ184" s="46">
        <v>0</v>
      </c>
      <c r="AR184" s="46">
        <v>0</v>
      </c>
      <c r="AS184" s="47">
        <v>0</v>
      </c>
      <c r="AT184" s="46">
        <v>0</v>
      </c>
      <c r="AU184" s="46">
        <v>0</v>
      </c>
      <c r="AV184" s="46">
        <v>0</v>
      </c>
      <c r="AW184" s="1545">
        <v>0</v>
      </c>
      <c r="AX184" s="10">
        <f t="shared" si="169"/>
        <v>21</v>
      </c>
      <c r="AY184" s="42">
        <f>IF(AND($E184=MONTH(Summary!$E$24),$D184=YEAR(Summary!$E$24)),Summary!$E$25,1)*IF(G184="",0,INT((H184-MOD(H184,7)-G184)/7)+1-IF(BA184,IF(WEEKDAY(F184)=7,1,0),0))</f>
        <v>4</v>
      </c>
      <c r="AZ184" s="42">
        <f>IF(AND($E184=MONTH(Summary!$E$24),$D184=YEAR(Summary!$E$24)),Summary!$E$25,1)*IF(G184="",0,INT((H184-MOD(H184-1,7)-G184)/7)+1-IF(BA184,IF(WEEKDAY(F184)=1,1,0),0))</f>
        <v>5</v>
      </c>
      <c r="BA184" s="42">
        <v>1</v>
      </c>
      <c r="BB184" s="10">
        <f>IF(AND($E184=MONTH(Summary!$E$24),$D184=YEAR(Summary!$E$24)),Summary!$E$25,1)*IF(G184="",0,H184-G184+1)</f>
        <v>31</v>
      </c>
      <c r="BC184" s="914">
        <f>Summary!$E$19</f>
        <v>1.4999999999999999E-2</v>
      </c>
      <c r="BD184" s="113">
        <v>14893.2</v>
      </c>
      <c r="BE184" s="171">
        <v>2836.8</v>
      </c>
      <c r="BF184" s="171">
        <v>4255.2</v>
      </c>
      <c r="BG184" s="174"/>
      <c r="BH184" s="1198">
        <v>1</v>
      </c>
      <c r="BI184" s="1198">
        <v>1</v>
      </c>
      <c r="BJ184" s="1198">
        <v>1</v>
      </c>
      <c r="BK184" s="1198">
        <v>1</v>
      </c>
      <c r="BL184" s="95">
        <v>2978.64</v>
      </c>
      <c r="BM184" s="171">
        <v>567.36</v>
      </c>
      <c r="BN184" s="171">
        <v>851.04</v>
      </c>
      <c r="BO184" s="174"/>
      <c r="BP184" s="1198">
        <v>1</v>
      </c>
      <c r="BQ184" s="1199">
        <v>1</v>
      </c>
      <c r="BR184" s="1199">
        <v>1</v>
      </c>
      <c r="BS184" s="1200">
        <v>1</v>
      </c>
      <c r="BT184" s="94">
        <f t="shared" si="146"/>
        <v>21985.200000000001</v>
      </c>
      <c r="BU184" s="233">
        <f t="shared" si="147"/>
        <v>21985.200000000001</v>
      </c>
      <c r="BV184" s="92">
        <f t="shared" si="148"/>
        <v>4397.04</v>
      </c>
      <c r="BW184" s="233">
        <f t="shared" si="149"/>
        <v>4397.04</v>
      </c>
      <c r="BX184" s="88">
        <v>13.963039014373717</v>
      </c>
      <c r="BY184" s="90">
        <v>0</v>
      </c>
      <c r="BZ184" s="88">
        <v>0</v>
      </c>
      <c r="CA184" s="88">
        <v>0</v>
      </c>
      <c r="CB184" s="88">
        <v>0</v>
      </c>
      <c r="CC184" s="88">
        <v>0</v>
      </c>
      <c r="CD184" s="88">
        <v>0</v>
      </c>
      <c r="CE184" s="100">
        <v>0</v>
      </c>
      <c r="CF184" s="88">
        <v>0</v>
      </c>
      <c r="CG184" s="88">
        <v>0</v>
      </c>
      <c r="CH184" s="88">
        <v>0</v>
      </c>
      <c r="CI184" s="88">
        <v>0</v>
      </c>
      <c r="CJ184" s="228">
        <v>0</v>
      </c>
      <c r="CK184" s="88">
        <v>0</v>
      </c>
      <c r="CL184" s="88">
        <v>0</v>
      </c>
      <c r="CM184" s="88">
        <v>0</v>
      </c>
      <c r="CN184" s="88">
        <v>0</v>
      </c>
      <c r="CO184" s="88">
        <v>0</v>
      </c>
      <c r="CP184" s="88">
        <v>0</v>
      </c>
      <c r="CQ184" s="229">
        <v>0</v>
      </c>
      <c r="CR184" s="91">
        <v>0</v>
      </c>
      <c r="CS184" s="91">
        <v>0</v>
      </c>
      <c r="CT184" s="91">
        <v>0</v>
      </c>
      <c r="CU184" s="91">
        <v>0</v>
      </c>
      <c r="CV184" s="91">
        <v>0</v>
      </c>
      <c r="CW184" s="91">
        <v>0</v>
      </c>
      <c r="CX184" s="225">
        <v>0</v>
      </c>
      <c r="CY184" s="1265">
        <v>7748.9171200000001</v>
      </c>
      <c r="CZ184" s="90">
        <v>0</v>
      </c>
      <c r="DA184" s="88">
        <v>0</v>
      </c>
      <c r="DB184" s="88">
        <v>0</v>
      </c>
      <c r="DC184" s="88">
        <v>0</v>
      </c>
      <c r="DD184" s="88">
        <v>0</v>
      </c>
      <c r="DE184" s="152">
        <v>0</v>
      </c>
      <c r="DF184" s="230">
        <v>0</v>
      </c>
      <c r="DG184" s="38">
        <v>0</v>
      </c>
      <c r="DH184" s="1237">
        <v>0</v>
      </c>
      <c r="DI184" s="956">
        <v>0</v>
      </c>
      <c r="DJ184" s="956">
        <v>0</v>
      </c>
      <c r="DK184" s="956">
        <v>0</v>
      </c>
      <c r="DL184" s="152">
        <v>0</v>
      </c>
      <c r="DM184" s="160">
        <v>0</v>
      </c>
      <c r="DN184" s="160">
        <v>0</v>
      </c>
      <c r="DO184" s="160">
        <v>0</v>
      </c>
      <c r="DP184" s="160">
        <v>0</v>
      </c>
      <c r="DQ184" s="160">
        <v>0</v>
      </c>
      <c r="DR184" s="230">
        <v>0</v>
      </c>
      <c r="DS184" s="88">
        <v>0</v>
      </c>
      <c r="DT184" s="88">
        <v>0</v>
      </c>
      <c r="DU184" s="88">
        <v>0</v>
      </c>
      <c r="DV184" s="88">
        <v>0</v>
      </c>
      <c r="DW184" s="88">
        <v>0</v>
      </c>
      <c r="DX184" s="88">
        <v>0</v>
      </c>
      <c r="DY184" s="88">
        <v>0</v>
      </c>
      <c r="DZ184" s="88">
        <v>0</v>
      </c>
      <c r="EA184" s="88">
        <v>0</v>
      </c>
      <c r="EB184" s="152">
        <v>0</v>
      </c>
      <c r="EC184" s="52">
        <f t="shared" si="150"/>
        <v>0</v>
      </c>
      <c r="ED184" s="52">
        <f t="shared" si="150"/>
        <v>0</v>
      </c>
      <c r="EE184" s="52">
        <f t="shared" si="150"/>
        <v>0</v>
      </c>
      <c r="EF184" s="52">
        <f t="shared" si="150"/>
        <v>0</v>
      </c>
      <c r="EG184" s="52">
        <f t="shared" si="151"/>
        <v>0</v>
      </c>
      <c r="EH184" s="238">
        <v>0</v>
      </c>
      <c r="EI184" s="211">
        <v>0</v>
      </c>
      <c r="EJ184" s="211">
        <v>0</v>
      </c>
      <c r="EK184" s="211">
        <v>0</v>
      </c>
      <c r="EL184" s="217">
        <f>IF(C184&gt;=Summary!$E$26,MAX(0,SUM(EH184:EK184)),0)</f>
        <v>0</v>
      </c>
      <c r="EM184" s="52">
        <f>IF(C184&gt;=Summary!$E$26,DX184*BL184,0)</f>
        <v>0</v>
      </c>
      <c r="EN184" s="52">
        <f>IF(C184&gt;=Summary!$E$26,DY184*BM184,0)</f>
        <v>0</v>
      </c>
      <c r="EO184" s="52">
        <f>IF(C184&gt;=Summary!$E$26,DZ184*BN184,0)</f>
        <v>0</v>
      </c>
      <c r="EP184" s="52">
        <f>IF(C184&gt;=Summary!$E$26,EA184*BO184,0)</f>
        <v>0</v>
      </c>
      <c r="EQ184" s="52">
        <f>IF(C184&gt;=Summary!$E$26,DX184*BL184+DY184*BM184+DZ184*BN184+EA184*BO184,0)</f>
        <v>0</v>
      </c>
      <c r="ER184" s="826">
        <v>0</v>
      </c>
      <c r="ES184" s="278">
        <v>0</v>
      </c>
      <c r="ET184" s="278">
        <v>0</v>
      </c>
      <c r="EU184" s="278">
        <v>0</v>
      </c>
      <c r="EV184" s="212">
        <f>IF(C184&gt;=Summary!$E$26,MAX(0,SUM(ER184:EU184)),0)</f>
        <v>0</v>
      </c>
      <c r="EW184" s="52"/>
      <c r="EX184" s="1049">
        <f t="shared" si="152"/>
        <v>0</v>
      </c>
      <c r="EY184" s="1045" t="str">
        <f t="shared" si="153"/>
        <v/>
      </c>
      <c r="EZ184" s="1684" t="s">
        <v>525</v>
      </c>
      <c r="FA184" s="1046">
        <f t="shared" si="166"/>
        <v>45</v>
      </c>
      <c r="FB184" s="256">
        <f t="shared" si="154"/>
        <v>9308.25</v>
      </c>
      <c r="FC184" s="194">
        <f t="shared" si="155"/>
        <v>2792.4749999999999</v>
      </c>
      <c r="FD184" s="194">
        <f t="shared" si="156"/>
        <v>1773</v>
      </c>
      <c r="FE184" s="194">
        <f t="shared" si="157"/>
        <v>531.9</v>
      </c>
      <c r="FF184" s="194">
        <f t="shared" si="158"/>
        <v>2659.5</v>
      </c>
      <c r="FG184" s="194">
        <f t="shared" si="159"/>
        <v>797.85</v>
      </c>
      <c r="FH184" s="257">
        <f>IF(EZ184="No",IF((OR(MONTH(C184)=5,MONTH(C184)=6,MONTH(C184)=7,MONTH(C184)=8,MONTH(C184)=9)),Summary!$O$15*12*(AX184+AY184+AZ184+BA184)*(1-$BC184),Summary!$O$15*13*(AX184+AY184+AZ184+BA184)*(1-$BC184)+IF(Summary!$O$16="Yes",(CALC!FA184+Summary!$O$15)*6*(AX184+AY184+AZ184+BA184)*(1-$BC184),0)),0)</f>
        <v>0</v>
      </c>
      <c r="FI184" s="1412">
        <f>IF(MONTH(C184)=5,FI183*(IF(Summary!$E$70="no",(1+(Summary!$E$71*0.8)),1+HLOOKUP(YEAR(C184)-1,CCFMODEL!$I$127:$AF$128,2)*0.8)),+FI183)</f>
        <v>37.078577505431092</v>
      </c>
      <c r="FJ184" s="1411">
        <f>IF(MONTH(C184)=5,FJ183*(IF(Summary!$E$70="no",(1+(Summary!$E$71*0.8)),1+HLOOKUP(YEAR(CALC!C184)-1,CCFMODEL!$I$127:$AF$128,2)*0.8)),FJ183)</f>
        <v>32.407260654353159</v>
      </c>
      <c r="FK184" s="832">
        <f t="shared" si="127"/>
        <v>662333.70301507786</v>
      </c>
      <c r="FL184" s="1412">
        <f>IF(MONTH(C184)=5,FL183*(IF(Summary!$E$70="no",(1+(Summary!$E$71*0.8)),1+HLOOKUP(YEAR(CALC!C184)-1,CCFMODEL!$I$127:$AF$128,2)*0.8)),+FL183)</f>
        <v>77.980405409809876</v>
      </c>
      <c r="FM184" s="1411">
        <f>IF(MONTH(C184)=5,FM183*(IF(Summary!$E$70="no",(1+(Summary!$E$71*0.8)),1+HLOOKUP(YEAR(CALC!C184)-1,CCFMODEL!$I$127:$AF$128,2)*0.8)),+FM183)</f>
        <v>37.217604792665554</v>
      </c>
      <c r="FN184" s="832">
        <f t="shared" si="128"/>
        <v>674941.26291498984</v>
      </c>
      <c r="FO184" s="194">
        <f t="shared" si="160"/>
        <v>1337274.9659300677</v>
      </c>
      <c r="FP184" s="263">
        <f t="shared" si="177"/>
        <v>9308.25</v>
      </c>
      <c r="FQ184" s="194">
        <f t="shared" si="178"/>
        <v>2792.4749999999999</v>
      </c>
      <c r="FR184" s="194">
        <f t="shared" si="179"/>
        <v>1773</v>
      </c>
      <c r="FS184" s="194">
        <f t="shared" si="176"/>
        <v>531.9</v>
      </c>
      <c r="FT184" s="194">
        <f t="shared" si="176"/>
        <v>2659.5</v>
      </c>
      <c r="FU184" s="194">
        <f t="shared" si="176"/>
        <v>797.85</v>
      </c>
      <c r="FV184" s="257">
        <f t="shared" si="124"/>
        <v>0</v>
      </c>
      <c r="FW184" s="189">
        <f t="shared" si="129"/>
        <v>0</v>
      </c>
      <c r="FX184" s="189">
        <f t="shared" si="130"/>
        <v>0</v>
      </c>
      <c r="FY184" s="189">
        <f t="shared" si="131"/>
        <v>0</v>
      </c>
      <c r="FZ184" s="258">
        <f t="shared" si="132"/>
        <v>0</v>
      </c>
      <c r="GA184" s="1294">
        <f>(SUM(FP184:FV184)+SUM(GU184:HB184)/(1-Summary!$O$25))*CY184/1000</f>
        <v>236376.57107494076</v>
      </c>
      <c r="GB184" s="1369">
        <f>IF($C184&lt;Summary!$M$81,+Summary!$O$81,VLOOKUP(C184,GasTable,19))</f>
        <v>4.0553710379998229</v>
      </c>
      <c r="GC184" s="1370">
        <f>IF(H184&lt;=Summary!$N$84,MIN(GA184,Summary!$O$75*(H184-G184+1)),0)</f>
        <v>0</v>
      </c>
      <c r="GD184" s="1371">
        <f>IF(C184&lt;Summary!$N$84,IF(Summary!$O$75*(H184-G184+1)*0.8&gt;GC184,1,0),0)</f>
        <v>0</v>
      </c>
      <c r="GE184" s="1372">
        <v>0</v>
      </c>
      <c r="GF184" s="1370">
        <f t="shared" si="161"/>
        <v>236376.57107494076</v>
      </c>
      <c r="GG184" s="1371">
        <f>GF184*(IF(Summary!$O$74=1,VLOOKUP($C184,GasTable,16)+Summary!$O$92+Summary!$O$93,VLOOKUP($C184,GasTable,19)+Summary!$O$92+Summary!$O$93))</f>
        <v>970909.91975202586</v>
      </c>
      <c r="GH184" s="1373">
        <v>6285.8251088997258</v>
      </c>
      <c r="GI184" s="1466">
        <v>0</v>
      </c>
      <c r="GJ184" s="1374">
        <f t="shared" si="162"/>
        <v>977195.7448609256</v>
      </c>
      <c r="GK184" s="189">
        <f t="shared" si="133"/>
        <v>30062.012849999999</v>
      </c>
      <c r="GL184" s="266">
        <v>0.51917744704000002</v>
      </c>
      <c r="GM184" s="255">
        <f t="shared" si="134"/>
        <v>0</v>
      </c>
      <c r="GN184" s="189">
        <f>IF(SUM(GU184:HB184)=0,0,IF(Summary!$O$16="Yes",SUM(GX184:HB184),IF(Summary!$O$17="Yes",SUM(GY184:HB184),SUM(GU184:HB184))))</f>
        <v>12199.037849999999</v>
      </c>
      <c r="GO184" s="203">
        <v>3.4944134884426483</v>
      </c>
      <c r="GP184" s="258">
        <f t="shared" si="163"/>
        <v>42628.482409062402</v>
      </c>
      <c r="GQ184" s="189"/>
      <c r="GR184" s="189"/>
      <c r="GS184" s="189"/>
      <c r="GT184" s="189"/>
      <c r="GU184" s="268">
        <v>5389.4767500000007</v>
      </c>
      <c r="GV184" s="189">
        <v>1026.5670000000002</v>
      </c>
      <c r="GW184" s="189">
        <v>1539.8504999999998</v>
      </c>
      <c r="GX184" s="189"/>
      <c r="GY184" s="254">
        <v>2874.3875999999996</v>
      </c>
      <c r="GZ184" s="189">
        <v>547.50239999999997</v>
      </c>
      <c r="HA184" s="189">
        <v>821.25359999999989</v>
      </c>
      <c r="HB184" s="255"/>
      <c r="HC184" s="189">
        <v>12199.037849999999</v>
      </c>
      <c r="HD184" s="189"/>
      <c r="HE184" s="189">
        <v>20950.521524999996</v>
      </c>
      <c r="HF184" s="189">
        <v>612325.06664328533</v>
      </c>
      <c r="HG184" s="189"/>
      <c r="HH184" s="203">
        <v>49.870644600664264</v>
      </c>
      <c r="HI184" s="189">
        <v>1044816.0131718415</v>
      </c>
      <c r="HJ184" s="268">
        <f t="shared" si="135"/>
        <v>0</v>
      </c>
      <c r="HK184" s="189">
        <f t="shared" si="136"/>
        <v>0</v>
      </c>
      <c r="HL184" s="189">
        <f t="shared" si="137"/>
        <v>0</v>
      </c>
      <c r="HM184" s="255">
        <f t="shared" si="138"/>
        <v>0</v>
      </c>
      <c r="HN184" s="189">
        <f t="shared" si="139"/>
        <v>0</v>
      </c>
      <c r="HO184" s="203">
        <f t="shared" si="164"/>
        <v>0</v>
      </c>
      <c r="HP184" s="258">
        <f t="shared" si="140"/>
        <v>0</v>
      </c>
      <c r="HQ184" s="803"/>
      <c r="HR184" s="279"/>
      <c r="HS184" s="236"/>
      <c r="HT184" s="822"/>
      <c r="HU184" s="279"/>
      <c r="HV184" s="236"/>
      <c r="HW184" s="822"/>
      <c r="HX184"/>
      <c r="HY184"/>
      <c r="HZ184"/>
      <c r="IA184" s="203"/>
      <c r="IB184" s="203"/>
      <c r="IC184" s="203"/>
      <c r="ID184" s="203"/>
      <c r="IE184" s="203"/>
      <c r="IF184" s="203"/>
      <c r="IG184" s="203"/>
      <c r="IH184" s="203"/>
      <c r="II184" s="203"/>
      <c r="IJ184" s="203"/>
      <c r="IK184" s="203"/>
      <c r="IL184" s="821"/>
      <c r="IM184" s="820"/>
      <c r="IN184" s="820"/>
      <c r="IR184" s="223"/>
    </row>
    <row r="185" spans="1:252" ht="13.8" thickBot="1">
      <c r="A185" t="str">
        <f t="shared" si="141"/>
        <v>2014Q1</v>
      </c>
      <c r="B185">
        <f t="shared" si="142"/>
        <v>2014</v>
      </c>
      <c r="C185" s="49">
        <f t="shared" si="143"/>
        <v>41640</v>
      </c>
      <c r="D185" s="115">
        <f t="shared" si="144"/>
        <v>2014</v>
      </c>
      <c r="E185" s="10">
        <f t="shared" si="167"/>
        <v>1</v>
      </c>
      <c r="F185" s="248">
        <f t="shared" si="168"/>
        <v>41640</v>
      </c>
      <c r="G185" s="245">
        <v>41640</v>
      </c>
      <c r="H185" s="251">
        <v>41670</v>
      </c>
      <c r="I185" s="959">
        <f t="shared" si="165"/>
        <v>7.1499999999999994E-2</v>
      </c>
      <c r="J185" s="37">
        <f t="shared" si="145"/>
        <v>0.36916731928053709</v>
      </c>
      <c r="K185" s="1036"/>
      <c r="L185" s="37"/>
      <c r="M185" s="1004">
        <v>0</v>
      </c>
      <c r="N185" s="38">
        <f t="shared" si="174"/>
        <v>0</v>
      </c>
      <c r="O185" s="40">
        <f t="shared" si="174"/>
        <v>0</v>
      </c>
      <c r="P185" s="159">
        <f t="shared" si="172"/>
        <v>0</v>
      </c>
      <c r="Q185" s="38">
        <f t="shared" si="180"/>
        <v>0</v>
      </c>
      <c r="R185" s="40">
        <f t="shared" si="180"/>
        <v>0</v>
      </c>
      <c r="S185" s="38">
        <f t="shared" si="180"/>
        <v>0</v>
      </c>
      <c r="T185" s="38">
        <f t="shared" si="180"/>
        <v>0</v>
      </c>
      <c r="U185" s="38">
        <f t="shared" si="180"/>
        <v>0</v>
      </c>
      <c r="V185" s="159">
        <f t="shared" si="180"/>
        <v>0</v>
      </c>
      <c r="W185" s="38">
        <f t="shared" si="180"/>
        <v>0</v>
      </c>
      <c r="X185" s="39">
        <f t="shared" si="180"/>
        <v>0</v>
      </c>
      <c r="Y185" s="46">
        <v>0</v>
      </c>
      <c r="Z185" s="46">
        <v>0</v>
      </c>
      <c r="AA185" s="47">
        <v>0</v>
      </c>
      <c r="AB185" s="46">
        <v>0</v>
      </c>
      <c r="AC185" s="46">
        <v>0</v>
      </c>
      <c r="AD185" s="47">
        <v>0</v>
      </c>
      <c r="AE185" s="46">
        <v>0</v>
      </c>
      <c r="AF185" s="46">
        <v>0</v>
      </c>
      <c r="AG185" s="47">
        <v>0</v>
      </c>
      <c r="AH185" s="46">
        <v>0</v>
      </c>
      <c r="AI185" s="46">
        <v>0</v>
      </c>
      <c r="AJ185" s="47">
        <v>0</v>
      </c>
      <c r="AK185" s="46">
        <v>0</v>
      </c>
      <c r="AL185" s="46">
        <v>0</v>
      </c>
      <c r="AM185" s="47">
        <v>0</v>
      </c>
      <c r="AN185" s="46">
        <v>0</v>
      </c>
      <c r="AO185" s="46">
        <v>0</v>
      </c>
      <c r="AP185" s="47">
        <v>0</v>
      </c>
      <c r="AQ185" s="46">
        <v>0</v>
      </c>
      <c r="AR185" s="46">
        <v>0</v>
      </c>
      <c r="AS185" s="47">
        <v>0</v>
      </c>
      <c r="AT185" s="46">
        <v>0</v>
      </c>
      <c r="AU185" s="46">
        <v>0</v>
      </c>
      <c r="AV185" s="46">
        <v>0</v>
      </c>
      <c r="AW185" s="1545">
        <v>0</v>
      </c>
      <c r="AX185" s="10">
        <f t="shared" si="169"/>
        <v>22</v>
      </c>
      <c r="AY185" s="42">
        <f>IF(AND($E185=MONTH(Summary!$E$24),$D185=YEAR(Summary!$E$24)),Summary!$E$25,1)*IF(G185="",0,INT((H185-MOD(H185,7)-G185)/7)+1-IF(BA185,IF(WEEKDAY(F185)=7,1,0),0))</f>
        <v>4</v>
      </c>
      <c r="AZ185" s="42">
        <f>IF(AND($E185=MONTH(Summary!$E$24),$D185=YEAR(Summary!$E$24)),Summary!$E$25,1)*IF(G185="",0,INT((H185-MOD(H185-1,7)-G185)/7)+1-IF(BA185,IF(WEEKDAY(F185)=1,1,0),0))</f>
        <v>4</v>
      </c>
      <c r="BA185" s="42">
        <v>1</v>
      </c>
      <c r="BB185" s="10">
        <f>IF(AND($E185=MONTH(Summary!$E$24),$D185=YEAR(Summary!$E$24)),Summary!$E$25,1)*IF(G185="",0,H185-G185+1)</f>
        <v>31</v>
      </c>
      <c r="BC185" s="914">
        <f>Summary!$E$19</f>
        <v>1.4999999999999999E-2</v>
      </c>
      <c r="BD185" s="113">
        <v>15602.4</v>
      </c>
      <c r="BE185" s="171">
        <v>2836.8</v>
      </c>
      <c r="BF185" s="171">
        <v>3546</v>
      </c>
      <c r="BG185" s="174"/>
      <c r="BH185" s="1198">
        <v>1</v>
      </c>
      <c r="BI185" s="1198">
        <v>1</v>
      </c>
      <c r="BJ185" s="1198">
        <v>1</v>
      </c>
      <c r="BK185" s="1198">
        <v>1</v>
      </c>
      <c r="BL185" s="95">
        <v>3120.48</v>
      </c>
      <c r="BM185" s="171">
        <v>567.36</v>
      </c>
      <c r="BN185" s="171">
        <v>709.2</v>
      </c>
      <c r="BO185" s="174"/>
      <c r="BP185" s="1198">
        <v>1</v>
      </c>
      <c r="BQ185" s="1199">
        <v>1</v>
      </c>
      <c r="BR185" s="1199">
        <v>1</v>
      </c>
      <c r="BS185" s="1200">
        <v>1</v>
      </c>
      <c r="BT185" s="94">
        <f t="shared" si="146"/>
        <v>21985.200000000001</v>
      </c>
      <c r="BU185" s="233">
        <f t="shared" si="147"/>
        <v>21985.200000000001</v>
      </c>
      <c r="BV185" s="92">
        <f t="shared" si="148"/>
        <v>4397.04</v>
      </c>
      <c r="BW185" s="233">
        <f t="shared" si="149"/>
        <v>4397.04</v>
      </c>
      <c r="BX185" s="88">
        <v>14.047912388774812</v>
      </c>
      <c r="BY185" s="90">
        <v>0</v>
      </c>
      <c r="BZ185" s="88">
        <v>0</v>
      </c>
      <c r="CA185" s="88">
        <v>0</v>
      </c>
      <c r="CB185" s="88">
        <v>0</v>
      </c>
      <c r="CC185" s="88">
        <v>0</v>
      </c>
      <c r="CD185" s="88">
        <v>0</v>
      </c>
      <c r="CE185" s="100">
        <v>0</v>
      </c>
      <c r="CF185" s="88">
        <v>0</v>
      </c>
      <c r="CG185" s="88">
        <v>0</v>
      </c>
      <c r="CH185" s="88">
        <v>0</v>
      </c>
      <c r="CI185" s="88">
        <v>0</v>
      </c>
      <c r="CJ185" s="228">
        <v>0</v>
      </c>
      <c r="CK185" s="88">
        <v>0</v>
      </c>
      <c r="CL185" s="88">
        <v>0</v>
      </c>
      <c r="CM185" s="88">
        <v>0</v>
      </c>
      <c r="CN185" s="88">
        <v>0</v>
      </c>
      <c r="CO185" s="88">
        <v>0</v>
      </c>
      <c r="CP185" s="88">
        <v>0</v>
      </c>
      <c r="CQ185" s="229">
        <v>0</v>
      </c>
      <c r="CR185" s="91">
        <v>0</v>
      </c>
      <c r="CS185" s="91">
        <v>0</v>
      </c>
      <c r="CT185" s="91">
        <v>0</v>
      </c>
      <c r="CU185" s="91">
        <v>0</v>
      </c>
      <c r="CV185" s="91">
        <v>0</v>
      </c>
      <c r="CW185" s="91">
        <v>0</v>
      </c>
      <c r="CX185" s="225">
        <v>0</v>
      </c>
      <c r="CY185" s="1265">
        <v>7750.22</v>
      </c>
      <c r="CZ185" s="90">
        <v>0</v>
      </c>
      <c r="DA185" s="88">
        <v>0</v>
      </c>
      <c r="DB185" s="88">
        <v>0</v>
      </c>
      <c r="DC185" s="88">
        <v>0</v>
      </c>
      <c r="DD185" s="88">
        <v>0</v>
      </c>
      <c r="DE185" s="152">
        <v>0</v>
      </c>
      <c r="DF185" s="230">
        <v>0</v>
      </c>
      <c r="DG185" s="38">
        <v>0</v>
      </c>
      <c r="DH185" s="1237">
        <v>0</v>
      </c>
      <c r="DI185" s="956">
        <v>0</v>
      </c>
      <c r="DJ185" s="956">
        <v>0</v>
      </c>
      <c r="DK185" s="956">
        <v>0</v>
      </c>
      <c r="DL185" s="152">
        <v>0</v>
      </c>
      <c r="DM185" s="160">
        <v>0</v>
      </c>
      <c r="DN185" s="160">
        <v>0</v>
      </c>
      <c r="DO185" s="160">
        <v>0</v>
      </c>
      <c r="DP185" s="160">
        <v>0</v>
      </c>
      <c r="DQ185" s="160">
        <v>0</v>
      </c>
      <c r="DR185" s="230">
        <v>0</v>
      </c>
      <c r="DS185" s="88">
        <v>0</v>
      </c>
      <c r="DT185" s="88">
        <v>0</v>
      </c>
      <c r="DU185" s="88">
        <v>0</v>
      </c>
      <c r="DV185" s="88">
        <v>0</v>
      </c>
      <c r="DW185" s="88">
        <v>0</v>
      </c>
      <c r="DX185" s="88">
        <v>0</v>
      </c>
      <c r="DY185" s="88">
        <v>0</v>
      </c>
      <c r="DZ185" s="88">
        <v>0</v>
      </c>
      <c r="EA185" s="88">
        <v>0</v>
      </c>
      <c r="EB185" s="152">
        <v>0</v>
      </c>
      <c r="EC185" s="52">
        <f t="shared" si="150"/>
        <v>0</v>
      </c>
      <c r="ED185" s="52">
        <f t="shared" si="150"/>
        <v>0</v>
      </c>
      <c r="EE185" s="52">
        <f t="shared" si="150"/>
        <v>0</v>
      </c>
      <c r="EF185" s="52">
        <f t="shared" si="150"/>
        <v>0</v>
      </c>
      <c r="EG185" s="52">
        <f t="shared" si="151"/>
        <v>0</v>
      </c>
      <c r="EH185" s="238">
        <v>0</v>
      </c>
      <c r="EI185" s="211">
        <v>0</v>
      </c>
      <c r="EJ185" s="211">
        <v>0</v>
      </c>
      <c r="EK185" s="211">
        <v>0</v>
      </c>
      <c r="EL185" s="217">
        <f>IF(C185&gt;=Summary!$E$26,MAX(0,SUM(EH185:EK185)),0)</f>
        <v>0</v>
      </c>
      <c r="EM185" s="52">
        <f>IF(C185&gt;=Summary!$E$26,DX185*BL185,0)</f>
        <v>0</v>
      </c>
      <c r="EN185" s="52">
        <f>IF(C185&gt;=Summary!$E$26,DY185*BM185,0)</f>
        <v>0</v>
      </c>
      <c r="EO185" s="52">
        <f>IF(C185&gt;=Summary!$E$26,DZ185*BN185,0)</f>
        <v>0</v>
      </c>
      <c r="EP185" s="52">
        <f>IF(C185&gt;=Summary!$E$26,EA185*BO185,0)</f>
        <v>0</v>
      </c>
      <c r="EQ185" s="52">
        <f>IF(C185&gt;=Summary!$E$26,DX185*BL185+DY185*BM185+DZ185*BN185+EA185*BO185,0)</f>
        <v>0</v>
      </c>
      <c r="ER185" s="826">
        <v>0</v>
      </c>
      <c r="ES185" s="278">
        <v>0</v>
      </c>
      <c r="ET185" s="278">
        <v>0</v>
      </c>
      <c r="EU185" s="278">
        <v>0</v>
      </c>
      <c r="EV185" s="212">
        <f>IF(C185&gt;=Summary!$E$26,MAX(0,SUM(ER185:EU185)),0)</f>
        <v>0</v>
      </c>
      <c r="EW185" s="52"/>
      <c r="EX185" s="1049">
        <f t="shared" si="152"/>
        <v>0</v>
      </c>
      <c r="EY185" s="1045" t="str">
        <f t="shared" si="153"/>
        <v/>
      </c>
      <c r="EZ185" s="1684" t="s">
        <v>525</v>
      </c>
      <c r="FA185" s="1046">
        <f t="shared" si="166"/>
        <v>45</v>
      </c>
      <c r="FB185" s="256">
        <f t="shared" si="154"/>
        <v>9751.5</v>
      </c>
      <c r="FC185" s="194">
        <f t="shared" si="155"/>
        <v>2925.45</v>
      </c>
      <c r="FD185" s="194">
        <f t="shared" si="156"/>
        <v>1773</v>
      </c>
      <c r="FE185" s="194">
        <f t="shared" si="157"/>
        <v>531.9</v>
      </c>
      <c r="FF185" s="194">
        <f t="shared" si="158"/>
        <v>2216.25</v>
      </c>
      <c r="FG185" s="194">
        <f t="shared" si="159"/>
        <v>664.875</v>
      </c>
      <c r="FH185" s="257">
        <f>IF(EZ185="No",IF((OR(MONTH(C185)=5,MONTH(C185)=6,MONTH(C185)=7,MONTH(C185)=8,MONTH(C185)=9)),Summary!$O$15*12*(AX185+AY185+AZ185+BA185)*(1-$BC185),Summary!$O$15*13*(AX185+AY185+AZ185+BA185)*(1-$BC185)+IF(Summary!$O$16="Yes",(CALC!FA185+Summary!$O$15)*6*(AX185+AY185+AZ185+BA185)*(1-$BC185),0)),0)</f>
        <v>0</v>
      </c>
      <c r="FI185" s="1412">
        <f>IF(MONTH(C185)=5,FI184*(IF(Summary!$E$70="no",(1+(Summary!$E$71*0.8)),1+HLOOKUP(YEAR(C185)-1,CCFMODEL!$I$127:$AF$128,2)*0.8)),+FI184)</f>
        <v>37.078577505431092</v>
      </c>
      <c r="FJ185" s="1411">
        <f>IF(MONTH(C185)=5,FJ184*(IF(Summary!$E$70="no",(1+(Summary!$E$71*0.8)),1+HLOOKUP(YEAR(CALC!C185)-1,CCFMODEL!$I$127:$AF$128,2)*0.8)),FJ184)</f>
        <v>32.407260654353159</v>
      </c>
      <c r="FK185" s="832">
        <f t="shared" si="127"/>
        <v>662333.70301507786</v>
      </c>
      <c r="FL185" s="1412">
        <f>IF(MONTH(C185)=5,FL184*(IF(Summary!$E$70="no",(1+(Summary!$E$71*0.8)),1+HLOOKUP(YEAR(CALC!C185)-1,CCFMODEL!$I$127:$AF$128,2)*0.8)),+FL184)</f>
        <v>77.980405409809876</v>
      </c>
      <c r="FM185" s="1411">
        <f>IF(MONTH(C185)=5,FM184*(IF(Summary!$E$70="no",(1+(Summary!$E$71*0.8)),1+HLOOKUP(YEAR(CALC!C185)-1,CCFMODEL!$I$127:$AF$128,2)*0.8)),+FM184)</f>
        <v>37.217604792665554</v>
      </c>
      <c r="FN185" s="832">
        <f t="shared" si="128"/>
        <v>674941.26291498984</v>
      </c>
      <c r="FO185" s="194">
        <f t="shared" si="160"/>
        <v>1337274.9659300677</v>
      </c>
      <c r="FP185" s="263">
        <f t="shared" si="177"/>
        <v>9751.5</v>
      </c>
      <c r="FQ185" s="194">
        <f t="shared" si="178"/>
        <v>2925.45</v>
      </c>
      <c r="FR185" s="194">
        <f t="shared" si="179"/>
        <v>1773</v>
      </c>
      <c r="FS185" s="194">
        <f t="shared" si="176"/>
        <v>531.9</v>
      </c>
      <c r="FT185" s="194">
        <f t="shared" si="176"/>
        <v>2216.25</v>
      </c>
      <c r="FU185" s="194">
        <f t="shared" si="176"/>
        <v>664.875</v>
      </c>
      <c r="FV185" s="257">
        <f t="shared" si="124"/>
        <v>0</v>
      </c>
      <c r="FW185" s="189">
        <f t="shared" si="129"/>
        <v>0</v>
      </c>
      <c r="FX185" s="189">
        <f t="shared" si="130"/>
        <v>0</v>
      </c>
      <c r="FY185" s="189">
        <f t="shared" si="131"/>
        <v>0</v>
      </c>
      <c r="FZ185" s="258">
        <f t="shared" si="132"/>
        <v>0</v>
      </c>
      <c r="GA185" s="1294">
        <f>(SUM(FP185:FV185)+SUM(GU185:HB185)/(1-Summary!$O$25))*CY185/1000</f>
        <v>236416.31473229997</v>
      </c>
      <c r="GB185" s="1369">
        <f>IF($C185&lt;Summary!$M$81,+Summary!$O$81,VLOOKUP(C185,GasTable,19))</f>
        <v>3.8498307565099323</v>
      </c>
      <c r="GC185" s="1370">
        <f>IF(H185&lt;=Summary!$N$84,MIN(GA185,Summary!$O$75*(H185-G185+1)),0)</f>
        <v>0</v>
      </c>
      <c r="GD185" s="1371">
        <f>IF(C185&lt;Summary!$N$84,IF(Summary!$O$75*(H185-G185+1)*0.8&gt;GC185,1,0),0)</f>
        <v>0</v>
      </c>
      <c r="GE185" s="1372">
        <v>0</v>
      </c>
      <c r="GF185" s="1370">
        <f t="shared" si="161"/>
        <v>236416.31473229997</v>
      </c>
      <c r="GG185" s="1371">
        <f>GF185*(IF(Summary!$O$74=1,VLOOKUP($C185,GasTable,16)+Summary!$O$92+Summary!$O$93,VLOOKUP($C185,GasTable,19)+Summary!$O$92+Summary!$O$93))</f>
        <v>922480.0897946934</v>
      </c>
      <c r="GH185" s="1373">
        <v>5967.2376725903951</v>
      </c>
      <c r="GI185" s="1466">
        <v>0</v>
      </c>
      <c r="GJ185" s="1374">
        <f t="shared" si="162"/>
        <v>928447.32746728382</v>
      </c>
      <c r="GK185" s="189">
        <f t="shared" si="133"/>
        <v>30062.012850000003</v>
      </c>
      <c r="GL185" s="266">
        <v>0.51926474000000011</v>
      </c>
      <c r="GM185" s="255">
        <f t="shared" si="134"/>
        <v>0</v>
      </c>
      <c r="GN185" s="189">
        <f>IF(SUM(GU185:HB185)=0,0,IF(Summary!$O$16="Yes",SUM(GX185:HB185),IF(Summary!$O$17="Yes",SUM(GY185:HB185),SUM(GU185:HB185))))</f>
        <v>12199.037849999999</v>
      </c>
      <c r="GO185" s="203">
        <v>3.5992458930959277</v>
      </c>
      <c r="GP185" s="258">
        <f t="shared" si="163"/>
        <v>43907.336881334268</v>
      </c>
      <c r="GQ185" s="189"/>
      <c r="GR185" s="189"/>
      <c r="GS185" s="189"/>
      <c r="GT185" s="189"/>
      <c r="GU185" s="268">
        <v>5646.1184999999996</v>
      </c>
      <c r="GV185" s="189">
        <v>1026.5670000000002</v>
      </c>
      <c r="GW185" s="189">
        <v>1283.20875</v>
      </c>
      <c r="GX185" s="189"/>
      <c r="GY185" s="254">
        <v>3011.2631999999999</v>
      </c>
      <c r="GZ185" s="189">
        <v>547.50239999999997</v>
      </c>
      <c r="HA185" s="189">
        <v>684.37800000000004</v>
      </c>
      <c r="HB185" s="255"/>
      <c r="HC185" s="189">
        <v>12199.037849999999</v>
      </c>
      <c r="HD185" s="189"/>
      <c r="HE185" s="189">
        <v>20950.521524999996</v>
      </c>
      <c r="HF185" s="189">
        <v>612213.15875550685</v>
      </c>
      <c r="HG185" s="189"/>
      <c r="HH185" s="203">
        <v>49.801063447917251</v>
      </c>
      <c r="HI185" s="189">
        <v>1043358.251733481</v>
      </c>
      <c r="HJ185" s="268">
        <f t="shared" si="135"/>
        <v>0</v>
      </c>
      <c r="HK185" s="189">
        <f t="shared" si="136"/>
        <v>0</v>
      </c>
      <c r="HL185" s="189">
        <f t="shared" si="137"/>
        <v>0</v>
      </c>
      <c r="HM185" s="255">
        <f t="shared" si="138"/>
        <v>0</v>
      </c>
      <c r="HN185" s="189">
        <f t="shared" si="139"/>
        <v>0</v>
      </c>
      <c r="HO185" s="203">
        <f t="shared" si="164"/>
        <v>0</v>
      </c>
      <c r="HP185" s="258">
        <f t="shared" si="140"/>
        <v>0</v>
      </c>
      <c r="HQ185" s="804"/>
      <c r="HR185" s="267"/>
      <c r="HS185" s="277"/>
      <c r="HT185" s="271"/>
      <c r="HU185" s="267"/>
      <c r="HV185" s="1407"/>
      <c r="HW185" s="271"/>
      <c r="HX185" s="1407"/>
      <c r="HY185" s="1407"/>
      <c r="HZ185"/>
      <c r="IA185" s="203"/>
      <c r="IB185" s="203"/>
      <c r="IC185" s="203"/>
      <c r="ID185" s="203"/>
      <c r="IE185" s="203"/>
      <c r="IF185" s="203"/>
      <c r="IG185" s="203"/>
      <c r="IH185" s="203"/>
      <c r="II185" s="203"/>
      <c r="IJ185" s="203"/>
      <c r="IK185" s="203"/>
      <c r="IL185" s="821"/>
      <c r="IM185" s="820"/>
      <c r="IN185" s="820"/>
      <c r="IR185" s="223"/>
    </row>
    <row r="186" spans="1:252" ht="13.8" thickBot="1">
      <c r="A186" t="str">
        <f t="shared" si="141"/>
        <v>2014Q1</v>
      </c>
      <c r="B186">
        <f t="shared" si="142"/>
        <v>2014</v>
      </c>
      <c r="C186" s="49">
        <f t="shared" si="143"/>
        <v>41671</v>
      </c>
      <c r="D186" s="115">
        <f t="shared" si="144"/>
        <v>2014</v>
      </c>
      <c r="E186" s="10">
        <f t="shared" si="167"/>
        <v>2</v>
      </c>
      <c r="F186" s="248" t="str">
        <f t="shared" si="168"/>
        <v/>
      </c>
      <c r="G186" s="245">
        <v>41671</v>
      </c>
      <c r="H186" s="251">
        <v>41698</v>
      </c>
      <c r="I186" s="959">
        <f t="shared" si="165"/>
        <v>7.1499999999999994E-2</v>
      </c>
      <c r="J186" s="37">
        <f t="shared" si="145"/>
        <v>0.3671845216892673</v>
      </c>
      <c r="K186" s="1036"/>
      <c r="L186" s="37"/>
      <c r="M186" s="1004">
        <v>0</v>
      </c>
      <c r="N186" s="38">
        <f t="shared" si="174"/>
        <v>0</v>
      </c>
      <c r="O186" s="40">
        <f t="shared" si="174"/>
        <v>0</v>
      </c>
      <c r="P186" s="159">
        <f t="shared" si="172"/>
        <v>0</v>
      </c>
      <c r="Q186" s="38">
        <f t="shared" si="180"/>
        <v>0</v>
      </c>
      <c r="R186" s="40">
        <f t="shared" si="180"/>
        <v>0</v>
      </c>
      <c r="S186" s="38">
        <f t="shared" si="180"/>
        <v>0</v>
      </c>
      <c r="T186" s="38">
        <f t="shared" si="180"/>
        <v>0</v>
      </c>
      <c r="U186" s="38">
        <f t="shared" si="180"/>
        <v>0</v>
      </c>
      <c r="V186" s="159">
        <f t="shared" si="180"/>
        <v>0</v>
      </c>
      <c r="W186" s="38">
        <f t="shared" si="180"/>
        <v>0</v>
      </c>
      <c r="X186" s="39">
        <f t="shared" si="180"/>
        <v>0</v>
      </c>
      <c r="Y186" s="46">
        <v>0</v>
      </c>
      <c r="Z186" s="46">
        <v>0</v>
      </c>
      <c r="AA186" s="47">
        <v>0</v>
      </c>
      <c r="AB186" s="46">
        <v>0</v>
      </c>
      <c r="AC186" s="46">
        <v>0</v>
      </c>
      <c r="AD186" s="47">
        <v>0</v>
      </c>
      <c r="AE186" s="46">
        <v>0</v>
      </c>
      <c r="AF186" s="46">
        <v>0</v>
      </c>
      <c r="AG186" s="47">
        <v>0</v>
      </c>
      <c r="AH186" s="46">
        <v>0</v>
      </c>
      <c r="AI186" s="46">
        <v>0</v>
      </c>
      <c r="AJ186" s="47">
        <v>0</v>
      </c>
      <c r="AK186" s="46">
        <v>0</v>
      </c>
      <c r="AL186" s="46">
        <v>0</v>
      </c>
      <c r="AM186" s="47">
        <v>0</v>
      </c>
      <c r="AN186" s="46">
        <v>0</v>
      </c>
      <c r="AO186" s="46">
        <v>0</v>
      </c>
      <c r="AP186" s="47">
        <v>0</v>
      </c>
      <c r="AQ186" s="46">
        <v>0</v>
      </c>
      <c r="AR186" s="46">
        <v>0</v>
      </c>
      <c r="AS186" s="47">
        <v>0</v>
      </c>
      <c r="AT186" s="46">
        <v>0</v>
      </c>
      <c r="AU186" s="46">
        <v>0</v>
      </c>
      <c r="AV186" s="46">
        <v>0</v>
      </c>
      <c r="AW186" s="1545">
        <v>0</v>
      </c>
      <c r="AX186" s="10">
        <f t="shared" si="169"/>
        <v>20</v>
      </c>
      <c r="AY186" s="42">
        <f>IF(AND($E186=MONTH(Summary!$E$24),$D186=YEAR(Summary!$E$24)),Summary!$E$25,1)*IF(G186="",0,INT((H186-MOD(H186,7)-G186)/7)+1-IF(BA186,IF(WEEKDAY(F186)=7,1,0),0))</f>
        <v>4</v>
      </c>
      <c r="AZ186" s="42">
        <f>IF(AND($E186=MONTH(Summary!$E$24),$D186=YEAR(Summary!$E$24)),Summary!$E$25,1)*IF(G186="",0,INT((H186-MOD(H186-1,7)-G186)/7)+1-IF(BA186,IF(WEEKDAY(F186)=1,1,0),0))</f>
        <v>4</v>
      </c>
      <c r="BA186" s="42">
        <v>0</v>
      </c>
      <c r="BB186" s="10">
        <f>IF(AND($E186=MONTH(Summary!$E$24),$D186=YEAR(Summary!$E$24)),Summary!$E$25,1)*IF(G186="",0,H186-G186+1)</f>
        <v>28</v>
      </c>
      <c r="BC186" s="914">
        <f>Summary!$E$19</f>
        <v>1.4999999999999999E-2</v>
      </c>
      <c r="BD186" s="113">
        <v>14184</v>
      </c>
      <c r="BE186" s="171">
        <v>2836.8</v>
      </c>
      <c r="BF186" s="171">
        <v>2836.8</v>
      </c>
      <c r="BG186" s="174"/>
      <c r="BH186" s="1198">
        <v>1</v>
      </c>
      <c r="BI186" s="1198">
        <v>1</v>
      </c>
      <c r="BJ186" s="1198">
        <v>1</v>
      </c>
      <c r="BK186" s="1198">
        <v>1</v>
      </c>
      <c r="BL186" s="95">
        <v>2836.8</v>
      </c>
      <c r="BM186" s="171">
        <v>567.36</v>
      </c>
      <c r="BN186" s="171">
        <v>567.36</v>
      </c>
      <c r="BO186" s="174"/>
      <c r="BP186" s="1198">
        <v>1</v>
      </c>
      <c r="BQ186" s="1199">
        <v>1</v>
      </c>
      <c r="BR186" s="1199">
        <v>1</v>
      </c>
      <c r="BS186" s="1200">
        <v>1</v>
      </c>
      <c r="BT186" s="94">
        <f t="shared" si="146"/>
        <v>19857.599999999999</v>
      </c>
      <c r="BU186" s="233">
        <f t="shared" si="147"/>
        <v>19857.599999999999</v>
      </c>
      <c r="BV186" s="92">
        <f t="shared" si="148"/>
        <v>3971.5200000000004</v>
      </c>
      <c r="BW186" s="233">
        <f t="shared" si="149"/>
        <v>3971.5200000000004</v>
      </c>
      <c r="BX186" s="88">
        <v>14.132785763175907</v>
      </c>
      <c r="BY186" s="90">
        <v>0</v>
      </c>
      <c r="BZ186" s="88">
        <v>0</v>
      </c>
      <c r="CA186" s="88">
        <v>0</v>
      </c>
      <c r="CB186" s="88">
        <v>0</v>
      </c>
      <c r="CC186" s="88">
        <v>0</v>
      </c>
      <c r="CD186" s="88">
        <v>0</v>
      </c>
      <c r="CE186" s="100">
        <v>0</v>
      </c>
      <c r="CF186" s="88">
        <v>0</v>
      </c>
      <c r="CG186" s="88">
        <v>0</v>
      </c>
      <c r="CH186" s="88">
        <v>0</v>
      </c>
      <c r="CI186" s="88">
        <v>0</v>
      </c>
      <c r="CJ186" s="22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0</v>
      </c>
      <c r="CP186" s="88">
        <v>0</v>
      </c>
      <c r="CQ186" s="229">
        <v>0</v>
      </c>
      <c r="CR186" s="91">
        <v>0</v>
      </c>
      <c r="CS186" s="91">
        <v>0</v>
      </c>
      <c r="CT186" s="91">
        <v>0</v>
      </c>
      <c r="CU186" s="91">
        <v>0</v>
      </c>
      <c r="CV186" s="91">
        <v>0</v>
      </c>
      <c r="CW186" s="91">
        <v>0</v>
      </c>
      <c r="CX186" s="225">
        <v>0</v>
      </c>
      <c r="CY186" s="1265">
        <v>7751.5228799999995</v>
      </c>
      <c r="CZ186" s="90">
        <v>0</v>
      </c>
      <c r="DA186" s="88">
        <v>0</v>
      </c>
      <c r="DB186" s="88">
        <v>0</v>
      </c>
      <c r="DC186" s="88">
        <v>0</v>
      </c>
      <c r="DD186" s="88">
        <v>0</v>
      </c>
      <c r="DE186" s="152">
        <v>0</v>
      </c>
      <c r="DF186" s="230">
        <v>0</v>
      </c>
      <c r="DG186" s="38">
        <v>0</v>
      </c>
      <c r="DH186" s="1237">
        <v>0</v>
      </c>
      <c r="DI186" s="956">
        <v>0</v>
      </c>
      <c r="DJ186" s="956">
        <v>0</v>
      </c>
      <c r="DK186" s="956">
        <v>0</v>
      </c>
      <c r="DL186" s="152">
        <v>0</v>
      </c>
      <c r="DM186" s="160">
        <v>0</v>
      </c>
      <c r="DN186" s="160">
        <v>0</v>
      </c>
      <c r="DO186" s="160">
        <v>0</v>
      </c>
      <c r="DP186" s="160">
        <v>0</v>
      </c>
      <c r="DQ186" s="160">
        <v>0</v>
      </c>
      <c r="DR186" s="230">
        <v>0</v>
      </c>
      <c r="DS186" s="88">
        <v>0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0</v>
      </c>
      <c r="DZ186" s="88">
        <v>0</v>
      </c>
      <c r="EA186" s="88">
        <v>0</v>
      </c>
      <c r="EB186" s="152">
        <v>0</v>
      </c>
      <c r="EC186" s="52">
        <f t="shared" si="150"/>
        <v>0</v>
      </c>
      <c r="ED186" s="52">
        <f t="shared" si="150"/>
        <v>0</v>
      </c>
      <c r="EE186" s="52">
        <f t="shared" si="150"/>
        <v>0</v>
      </c>
      <c r="EF186" s="52">
        <f t="shared" si="150"/>
        <v>0</v>
      </c>
      <c r="EG186" s="52">
        <f t="shared" si="151"/>
        <v>0</v>
      </c>
      <c r="EH186" s="238">
        <v>0</v>
      </c>
      <c r="EI186" s="211">
        <v>0</v>
      </c>
      <c r="EJ186" s="211">
        <v>0</v>
      </c>
      <c r="EK186" s="211">
        <v>0</v>
      </c>
      <c r="EL186" s="217">
        <f>IF(C186&gt;=Summary!$E$26,MAX(0,SUM(EH186:EK186)),0)</f>
        <v>0</v>
      </c>
      <c r="EM186" s="52">
        <f>IF(C186&gt;=Summary!$E$26,DX186*BL186,0)</f>
        <v>0</v>
      </c>
      <c r="EN186" s="52">
        <f>IF(C186&gt;=Summary!$E$26,DY186*BM186,0)</f>
        <v>0</v>
      </c>
      <c r="EO186" s="52">
        <f>IF(C186&gt;=Summary!$E$26,DZ186*BN186,0)</f>
        <v>0</v>
      </c>
      <c r="EP186" s="52">
        <f>IF(C186&gt;=Summary!$E$26,EA186*BO186,0)</f>
        <v>0</v>
      </c>
      <c r="EQ186" s="52">
        <f>IF(C186&gt;=Summary!$E$26,DX186*BL186+DY186*BM186+DZ186*BN186+EA186*BO186,0)</f>
        <v>0</v>
      </c>
      <c r="ER186" s="826">
        <v>0</v>
      </c>
      <c r="ES186" s="278">
        <v>0</v>
      </c>
      <c r="ET186" s="278">
        <v>0</v>
      </c>
      <c r="EU186" s="278">
        <v>0</v>
      </c>
      <c r="EV186" s="212">
        <f>IF(C186&gt;=Summary!$E$26,MAX(0,SUM(ER186:EU186)),0)</f>
        <v>0</v>
      </c>
      <c r="EW186" s="52"/>
      <c r="EX186" s="1049">
        <f t="shared" si="152"/>
        <v>0</v>
      </c>
      <c r="EY186" s="1045" t="str">
        <f t="shared" si="153"/>
        <v/>
      </c>
      <c r="EZ186" s="1684" t="s">
        <v>525</v>
      </c>
      <c r="FA186" s="1046">
        <f t="shared" si="166"/>
        <v>45</v>
      </c>
      <c r="FB186" s="256">
        <f t="shared" si="154"/>
        <v>8865</v>
      </c>
      <c r="FC186" s="194">
        <f t="shared" si="155"/>
        <v>2659.5</v>
      </c>
      <c r="FD186" s="194">
        <f t="shared" si="156"/>
        <v>1773</v>
      </c>
      <c r="FE186" s="194">
        <f t="shared" si="157"/>
        <v>531.9</v>
      </c>
      <c r="FF186" s="194">
        <f t="shared" si="158"/>
        <v>1773</v>
      </c>
      <c r="FG186" s="194">
        <f t="shared" si="159"/>
        <v>531.9</v>
      </c>
      <c r="FH186" s="257">
        <f>IF(EZ186="No",IF((OR(MONTH(C186)=5,MONTH(C186)=6,MONTH(C186)=7,MONTH(C186)=8,MONTH(C186)=9)),Summary!$O$15*12*(AX186+AY186+AZ186+BA186)*(1-$BC186),Summary!$O$15*13*(AX186+AY186+AZ186+BA186)*(1-$BC186)+IF(Summary!$O$16="Yes",(CALC!FA186+Summary!$O$15)*6*(AX186+AY186+AZ186+BA186)*(1-$BC186),0)),0)</f>
        <v>0</v>
      </c>
      <c r="FI186" s="1412">
        <f>IF(MONTH(C186)=5,FI185*(IF(Summary!$E$70="no",(1+(Summary!$E$71*0.8)),1+HLOOKUP(YEAR(C186)-1,CCFMODEL!$I$127:$AF$128,2)*0.8)),+FI185)</f>
        <v>37.078577505431092</v>
      </c>
      <c r="FJ186" s="1411">
        <f>IF(MONTH(C186)=5,FJ185*(IF(Summary!$E$70="no",(1+(Summary!$E$71*0.8)),1+HLOOKUP(YEAR(CALC!C186)-1,CCFMODEL!$I$127:$AF$128,2)*0.8)),FJ185)</f>
        <v>32.407260654353159</v>
      </c>
      <c r="FK186" s="832">
        <f t="shared" si="127"/>
        <v>598236.89304587687</v>
      </c>
      <c r="FL186" s="1412">
        <f>IF(MONTH(C186)=5,FL185*(IF(Summary!$E$70="no",(1+(Summary!$E$71*0.8)),1+HLOOKUP(YEAR(CALC!C186)-1,CCFMODEL!$I$127:$AF$128,2)*0.8)),+FL185)</f>
        <v>77.980405409809876</v>
      </c>
      <c r="FM186" s="1411">
        <f>IF(MONTH(C186)=5,FM185*(IF(Summary!$E$70="no",(1+(Summary!$E$71*0.8)),1+HLOOKUP(YEAR(CALC!C186)-1,CCFMODEL!$I$127:$AF$128,2)*0.8)),+FM185)</f>
        <v>37.217604792665554</v>
      </c>
      <c r="FN186" s="832">
        <f t="shared" si="128"/>
        <v>609624.36650386173</v>
      </c>
      <c r="FO186" s="194">
        <f t="shared" si="160"/>
        <v>1207861.2595497386</v>
      </c>
      <c r="FP186" s="263">
        <f t="shared" si="177"/>
        <v>8865</v>
      </c>
      <c r="FQ186" s="194">
        <f t="shared" si="178"/>
        <v>2659.5</v>
      </c>
      <c r="FR186" s="194">
        <f t="shared" si="179"/>
        <v>1773</v>
      </c>
      <c r="FS186" s="194">
        <f t="shared" si="176"/>
        <v>531.9</v>
      </c>
      <c r="FT186" s="194">
        <f t="shared" si="176"/>
        <v>1773</v>
      </c>
      <c r="FU186" s="194">
        <f t="shared" si="176"/>
        <v>531.9</v>
      </c>
      <c r="FV186" s="257">
        <f t="shared" si="124"/>
        <v>0</v>
      </c>
      <c r="FW186" s="189">
        <f t="shared" si="129"/>
        <v>0</v>
      </c>
      <c r="FX186" s="189">
        <f t="shared" si="130"/>
        <v>0</v>
      </c>
      <c r="FY186" s="189">
        <f t="shared" si="131"/>
        <v>0</v>
      </c>
      <c r="FZ186" s="258">
        <f t="shared" si="132"/>
        <v>0</v>
      </c>
      <c r="GA186" s="1294">
        <f>(SUM(FP186:FV186)+SUM(GU186:HB186)/(1-Summary!$O$25))*CY186/1000</f>
        <v>213573.21402936956</v>
      </c>
      <c r="GB186" s="1369">
        <f>IF($C186&lt;Summary!$M$81,+Summary!$O$81,VLOOKUP(C186,GasTable,19))</f>
        <v>3.555770032680571</v>
      </c>
      <c r="GC186" s="1370">
        <f>IF(H186&lt;=Summary!$N$84,MIN(GA186,Summary!$O$75*(H186-G186+1)),0)</f>
        <v>0</v>
      </c>
      <c r="GD186" s="1371">
        <f>IF(C186&lt;Summary!$N$84,IF(Summary!$O$75*(H186-G186+1)*0.8&gt;GC186,1,0),0)</f>
        <v>0</v>
      </c>
      <c r="GE186" s="1372">
        <v>0</v>
      </c>
      <c r="GF186" s="1370">
        <f t="shared" si="161"/>
        <v>213573.21402936956</v>
      </c>
      <c r="GG186" s="1371">
        <f>GF186*(IF(Summary!$O$74=1,VLOOKUP($C186,GasTable,16)+Summary!$O$92+Summary!$O$93,VLOOKUP($C186,GasTable,19)+Summary!$O$92+Summary!$O$93))</f>
        <v>770544.39867983619</v>
      </c>
      <c r="GH186" s="1373">
        <v>4978.078045752799</v>
      </c>
      <c r="GI186" s="1466">
        <v>0</v>
      </c>
      <c r="GJ186" s="1374">
        <f t="shared" si="162"/>
        <v>775522.47672558902</v>
      </c>
      <c r="GK186" s="189">
        <f t="shared" si="133"/>
        <v>27152.785799999998</v>
      </c>
      <c r="GL186" s="266">
        <v>0.51935203295999999</v>
      </c>
      <c r="GM186" s="255">
        <f t="shared" si="134"/>
        <v>0</v>
      </c>
      <c r="GN186" s="189">
        <f>IF(SUM(GU186:HB186)=0,0,IF(Summary!$O$16="Yes",SUM(GX186:HB186),IF(Summary!$O$17="Yes",SUM(GY186:HB186),SUM(GU186:HB186))))</f>
        <v>11018.485799999999</v>
      </c>
      <c r="GO186" s="203">
        <v>3.5992458930959277</v>
      </c>
      <c r="GP186" s="258">
        <f t="shared" si="163"/>
        <v>39658.239763785794</v>
      </c>
      <c r="GQ186" s="189"/>
      <c r="GR186" s="189"/>
      <c r="GS186" s="189"/>
      <c r="GT186" s="189"/>
      <c r="GU186" s="268">
        <v>5132.835</v>
      </c>
      <c r="GV186" s="189">
        <v>1026.5670000000002</v>
      </c>
      <c r="GW186" s="189">
        <v>1026.5670000000002</v>
      </c>
      <c r="GX186" s="189"/>
      <c r="GY186" s="254">
        <v>2737.5120000000002</v>
      </c>
      <c r="GZ186" s="189">
        <v>547.50239999999997</v>
      </c>
      <c r="HA186" s="189">
        <v>547.50239999999997</v>
      </c>
      <c r="HB186" s="255"/>
      <c r="HC186" s="189">
        <v>11018.485799999999</v>
      </c>
      <c r="HD186" s="189"/>
      <c r="HE186" s="189">
        <v>18923.051699999996</v>
      </c>
      <c r="HF186" s="189">
        <v>470662.59367995738</v>
      </c>
      <c r="HG186" s="189"/>
      <c r="HH186" s="203">
        <v>42.396811846461205</v>
      </c>
      <c r="HI186" s="189">
        <v>802277.06248575775</v>
      </c>
      <c r="HJ186" s="268">
        <f t="shared" si="135"/>
        <v>0</v>
      </c>
      <c r="HK186" s="189">
        <f t="shared" si="136"/>
        <v>0</v>
      </c>
      <c r="HL186" s="189">
        <f t="shared" si="137"/>
        <v>0</v>
      </c>
      <c r="HM186" s="255">
        <f t="shared" si="138"/>
        <v>0</v>
      </c>
      <c r="HN186" s="189">
        <f t="shared" si="139"/>
        <v>0</v>
      </c>
      <c r="HO186" s="203">
        <f t="shared" si="164"/>
        <v>0</v>
      </c>
      <c r="HP186" s="258">
        <f t="shared" si="140"/>
        <v>0</v>
      </c>
      <c r="HQ186" s="804"/>
      <c r="HR186" s="268"/>
      <c r="HS186" s="38"/>
      <c r="HT186" s="255"/>
      <c r="HU186" s="268"/>
      <c r="HV186" s="1408"/>
      <c r="HW186" s="255"/>
      <c r="HX186" s="1408"/>
      <c r="HY186" s="1408"/>
      <c r="HZ186" s="20"/>
      <c r="IA186" s="203"/>
      <c r="IB186" s="203"/>
      <c r="IC186" s="203"/>
      <c r="ID186" s="203"/>
      <c r="IE186" s="203"/>
      <c r="IF186" s="203"/>
      <c r="IG186" s="203"/>
      <c r="IH186" s="203"/>
      <c r="II186" s="203"/>
      <c r="IJ186" s="203"/>
      <c r="IK186" s="203"/>
      <c r="IL186" s="821"/>
      <c r="IM186" s="820"/>
      <c r="IN186" s="820"/>
      <c r="IR186" s="223"/>
    </row>
    <row r="187" spans="1:252" ht="13.8" thickBot="1">
      <c r="A187" t="str">
        <f t="shared" si="141"/>
        <v>2014Q1</v>
      </c>
      <c r="B187">
        <f t="shared" si="142"/>
        <v>2014</v>
      </c>
      <c r="C187" s="49">
        <f t="shared" si="143"/>
        <v>41699</v>
      </c>
      <c r="D187" s="115">
        <f t="shared" si="144"/>
        <v>2014</v>
      </c>
      <c r="E187" s="10">
        <f t="shared" si="167"/>
        <v>3</v>
      </c>
      <c r="F187" s="248" t="str">
        <f t="shared" si="168"/>
        <v/>
      </c>
      <c r="G187" s="245">
        <v>41699</v>
      </c>
      <c r="H187" s="251">
        <v>41729</v>
      </c>
      <c r="I187" s="959">
        <f t="shared" si="165"/>
        <v>7.1499999999999994E-2</v>
      </c>
      <c r="J187" s="37">
        <f t="shared" si="145"/>
        <v>0.36500170138893323</v>
      </c>
      <c r="K187" s="1036"/>
      <c r="L187" s="37"/>
      <c r="M187" s="1004">
        <v>0</v>
      </c>
      <c r="N187" s="38">
        <f t="shared" si="174"/>
        <v>0</v>
      </c>
      <c r="O187" s="40">
        <f t="shared" si="174"/>
        <v>0</v>
      </c>
      <c r="P187" s="159">
        <f t="shared" si="172"/>
        <v>0</v>
      </c>
      <c r="Q187" s="38">
        <f t="shared" si="180"/>
        <v>0</v>
      </c>
      <c r="R187" s="40">
        <f t="shared" si="180"/>
        <v>0</v>
      </c>
      <c r="S187" s="38">
        <f t="shared" si="180"/>
        <v>0</v>
      </c>
      <c r="T187" s="38">
        <f t="shared" si="180"/>
        <v>0</v>
      </c>
      <c r="U187" s="38">
        <f t="shared" si="180"/>
        <v>0</v>
      </c>
      <c r="V187" s="159">
        <f t="shared" si="180"/>
        <v>0</v>
      </c>
      <c r="W187" s="38">
        <f t="shared" si="180"/>
        <v>0</v>
      </c>
      <c r="X187" s="39">
        <f t="shared" si="180"/>
        <v>0</v>
      </c>
      <c r="Y187" s="46">
        <v>0</v>
      </c>
      <c r="Z187" s="46">
        <v>0</v>
      </c>
      <c r="AA187" s="47">
        <v>0</v>
      </c>
      <c r="AB187" s="46">
        <v>0</v>
      </c>
      <c r="AC187" s="46">
        <v>0</v>
      </c>
      <c r="AD187" s="47">
        <v>0</v>
      </c>
      <c r="AE187" s="46">
        <v>0</v>
      </c>
      <c r="AF187" s="46">
        <v>0</v>
      </c>
      <c r="AG187" s="47">
        <v>0</v>
      </c>
      <c r="AH187" s="46">
        <v>0</v>
      </c>
      <c r="AI187" s="46">
        <v>0</v>
      </c>
      <c r="AJ187" s="47">
        <v>0</v>
      </c>
      <c r="AK187" s="46">
        <v>0</v>
      </c>
      <c r="AL187" s="46">
        <v>0</v>
      </c>
      <c r="AM187" s="47">
        <v>0</v>
      </c>
      <c r="AN187" s="46">
        <v>0</v>
      </c>
      <c r="AO187" s="46">
        <v>0</v>
      </c>
      <c r="AP187" s="47">
        <v>0</v>
      </c>
      <c r="AQ187" s="46">
        <v>0</v>
      </c>
      <c r="AR187" s="46">
        <v>0</v>
      </c>
      <c r="AS187" s="47">
        <v>0</v>
      </c>
      <c r="AT187" s="46">
        <v>0</v>
      </c>
      <c r="AU187" s="46">
        <v>0</v>
      </c>
      <c r="AV187" s="46">
        <v>0</v>
      </c>
      <c r="AW187" s="1545">
        <v>0</v>
      </c>
      <c r="AX187" s="10">
        <f t="shared" si="169"/>
        <v>21</v>
      </c>
      <c r="AY187" s="42">
        <f>IF(AND($E187=MONTH(Summary!$E$24),$D187=YEAR(Summary!$E$24)),Summary!$E$25,1)*IF(G187="",0,INT((H187-MOD(H187,7)-G187)/7)+1-IF(BA187,IF(WEEKDAY(F187)=7,1,0),0))</f>
        <v>5</v>
      </c>
      <c r="AZ187" s="42">
        <f>IF(AND($E187=MONTH(Summary!$E$24),$D187=YEAR(Summary!$E$24)),Summary!$E$25,1)*IF(G187="",0,INT((H187-MOD(H187-1,7)-G187)/7)+1-IF(BA187,IF(WEEKDAY(F187)=1,1,0),0))</f>
        <v>5</v>
      </c>
      <c r="BA187" s="42">
        <v>0</v>
      </c>
      <c r="BB187" s="10">
        <f>IF(AND($E187=MONTH(Summary!$E$24),$D187=YEAR(Summary!$E$24)),Summary!$E$25,1)*IF(G187="",0,H187-G187+1)</f>
        <v>31</v>
      </c>
      <c r="BC187" s="914">
        <f>Summary!$E$19</f>
        <v>1.4999999999999999E-2</v>
      </c>
      <c r="BD187" s="113">
        <v>14893.2</v>
      </c>
      <c r="BE187" s="171">
        <v>3546</v>
      </c>
      <c r="BF187" s="171">
        <v>3546</v>
      </c>
      <c r="BG187" s="174"/>
      <c r="BH187" s="1198">
        <v>1</v>
      </c>
      <c r="BI187" s="1198">
        <v>1</v>
      </c>
      <c r="BJ187" s="1198">
        <v>1</v>
      </c>
      <c r="BK187" s="1198">
        <v>1</v>
      </c>
      <c r="BL187" s="95">
        <v>2978.64</v>
      </c>
      <c r="BM187" s="171">
        <v>709.2</v>
      </c>
      <c r="BN187" s="171">
        <v>709.2</v>
      </c>
      <c r="BO187" s="174"/>
      <c r="BP187" s="1198">
        <v>1</v>
      </c>
      <c r="BQ187" s="1199">
        <v>1</v>
      </c>
      <c r="BR187" s="1199">
        <v>1</v>
      </c>
      <c r="BS187" s="1200">
        <v>1</v>
      </c>
      <c r="BT187" s="94">
        <f t="shared" si="146"/>
        <v>21985.200000000001</v>
      </c>
      <c r="BU187" s="233">
        <f t="shared" si="147"/>
        <v>21985.200000000001</v>
      </c>
      <c r="BV187" s="92">
        <f t="shared" si="148"/>
        <v>4397.04</v>
      </c>
      <c r="BW187" s="233">
        <f t="shared" si="149"/>
        <v>4397.04</v>
      </c>
      <c r="BX187" s="88">
        <v>14.209445585215606</v>
      </c>
      <c r="BY187" s="90">
        <v>0</v>
      </c>
      <c r="BZ187" s="88">
        <v>0</v>
      </c>
      <c r="CA187" s="88">
        <v>0</v>
      </c>
      <c r="CB187" s="88">
        <v>0</v>
      </c>
      <c r="CC187" s="88">
        <v>0</v>
      </c>
      <c r="CD187" s="88">
        <v>0</v>
      </c>
      <c r="CE187" s="100">
        <v>0</v>
      </c>
      <c r="CF187" s="88">
        <v>0</v>
      </c>
      <c r="CG187" s="88">
        <v>0</v>
      </c>
      <c r="CH187" s="88">
        <v>0</v>
      </c>
      <c r="CI187" s="88">
        <v>0</v>
      </c>
      <c r="CJ187" s="228">
        <v>0</v>
      </c>
      <c r="CK187" s="88">
        <v>0</v>
      </c>
      <c r="CL187" s="88">
        <v>0</v>
      </c>
      <c r="CM187" s="88">
        <v>0</v>
      </c>
      <c r="CN187" s="88">
        <v>0</v>
      </c>
      <c r="CO187" s="88">
        <v>0</v>
      </c>
      <c r="CP187" s="88">
        <v>0</v>
      </c>
      <c r="CQ187" s="229">
        <v>0</v>
      </c>
      <c r="CR187" s="91">
        <v>0</v>
      </c>
      <c r="CS187" s="91">
        <v>0</v>
      </c>
      <c r="CT187" s="91">
        <v>0</v>
      </c>
      <c r="CU187" s="91">
        <v>0</v>
      </c>
      <c r="CV187" s="91">
        <v>0</v>
      </c>
      <c r="CW187" s="91">
        <v>0</v>
      </c>
      <c r="CX187" s="225">
        <v>0</v>
      </c>
      <c r="CY187" s="1265">
        <v>7752.8257599999997</v>
      </c>
      <c r="CZ187" s="90">
        <v>0</v>
      </c>
      <c r="DA187" s="88">
        <v>0</v>
      </c>
      <c r="DB187" s="88">
        <v>0</v>
      </c>
      <c r="DC187" s="88">
        <v>0</v>
      </c>
      <c r="DD187" s="88">
        <v>0</v>
      </c>
      <c r="DE187" s="152">
        <v>0</v>
      </c>
      <c r="DF187" s="230">
        <v>0</v>
      </c>
      <c r="DG187" s="38">
        <v>0</v>
      </c>
      <c r="DH187" s="1237">
        <v>0</v>
      </c>
      <c r="DI187" s="956">
        <v>0</v>
      </c>
      <c r="DJ187" s="956">
        <v>0</v>
      </c>
      <c r="DK187" s="956">
        <v>0</v>
      </c>
      <c r="DL187" s="152">
        <v>0</v>
      </c>
      <c r="DM187" s="160">
        <v>0</v>
      </c>
      <c r="DN187" s="160">
        <v>0</v>
      </c>
      <c r="DO187" s="160">
        <v>0</v>
      </c>
      <c r="DP187" s="160">
        <v>0</v>
      </c>
      <c r="DQ187" s="160">
        <v>0</v>
      </c>
      <c r="DR187" s="230">
        <v>0</v>
      </c>
      <c r="DS187" s="88">
        <v>0</v>
      </c>
      <c r="DT187" s="88">
        <v>0</v>
      </c>
      <c r="DU187" s="88">
        <v>0</v>
      </c>
      <c r="DV187" s="88">
        <v>0</v>
      </c>
      <c r="DW187" s="88">
        <v>0</v>
      </c>
      <c r="DX187" s="88">
        <v>0</v>
      </c>
      <c r="DY187" s="88">
        <v>0</v>
      </c>
      <c r="DZ187" s="88">
        <v>0</v>
      </c>
      <c r="EA187" s="88">
        <v>0</v>
      </c>
      <c r="EB187" s="152">
        <v>0</v>
      </c>
      <c r="EC187" s="52">
        <f t="shared" si="150"/>
        <v>0</v>
      </c>
      <c r="ED187" s="52">
        <f t="shared" si="150"/>
        <v>0</v>
      </c>
      <c r="EE187" s="52">
        <f t="shared" si="150"/>
        <v>0</v>
      </c>
      <c r="EF187" s="52">
        <f t="shared" si="150"/>
        <v>0</v>
      </c>
      <c r="EG187" s="52">
        <f t="shared" si="151"/>
        <v>0</v>
      </c>
      <c r="EH187" s="238">
        <v>0</v>
      </c>
      <c r="EI187" s="211">
        <v>0</v>
      </c>
      <c r="EJ187" s="211">
        <v>0</v>
      </c>
      <c r="EK187" s="211">
        <v>0</v>
      </c>
      <c r="EL187" s="217">
        <f>IF(C187&gt;=Summary!$E$26,MAX(0,SUM(EH187:EK187)),0)</f>
        <v>0</v>
      </c>
      <c r="EM187" s="52">
        <f>IF(C187&gt;=Summary!$E$26,DX187*BL187,0)</f>
        <v>0</v>
      </c>
      <c r="EN187" s="52">
        <f>IF(C187&gt;=Summary!$E$26,DY187*BM187,0)</f>
        <v>0</v>
      </c>
      <c r="EO187" s="52">
        <f>IF(C187&gt;=Summary!$E$26,DZ187*BN187,0)</f>
        <v>0</v>
      </c>
      <c r="EP187" s="52">
        <f>IF(C187&gt;=Summary!$E$26,EA187*BO187,0)</f>
        <v>0</v>
      </c>
      <c r="EQ187" s="52">
        <f>IF(C187&gt;=Summary!$E$26,DX187*BL187+DY187*BM187+DZ187*BN187+EA187*BO187,0)</f>
        <v>0</v>
      </c>
      <c r="ER187" s="826">
        <v>0</v>
      </c>
      <c r="ES187" s="278">
        <v>0</v>
      </c>
      <c r="ET187" s="278">
        <v>0</v>
      </c>
      <c r="EU187" s="278">
        <v>0</v>
      </c>
      <c r="EV187" s="212">
        <f>IF(C187&gt;=Summary!$E$26,MAX(0,SUM(ER187:EU187)),0)</f>
        <v>0</v>
      </c>
      <c r="EW187" s="52"/>
      <c r="EX187" s="1049">
        <f t="shared" si="152"/>
        <v>0</v>
      </c>
      <c r="EY187" s="1045" t="str">
        <f t="shared" si="153"/>
        <v/>
      </c>
      <c r="EZ187" s="1684" t="s">
        <v>525</v>
      </c>
      <c r="FA187" s="1046">
        <f t="shared" si="166"/>
        <v>45</v>
      </c>
      <c r="FB187" s="256">
        <f t="shared" si="154"/>
        <v>9308.25</v>
      </c>
      <c r="FC187" s="194">
        <f t="shared" si="155"/>
        <v>2792.4749999999999</v>
      </c>
      <c r="FD187" s="194">
        <f t="shared" si="156"/>
        <v>2216.25</v>
      </c>
      <c r="FE187" s="194">
        <f t="shared" si="157"/>
        <v>664.875</v>
      </c>
      <c r="FF187" s="194">
        <f t="shared" si="158"/>
        <v>2216.25</v>
      </c>
      <c r="FG187" s="194">
        <f t="shared" si="159"/>
        <v>664.875</v>
      </c>
      <c r="FH187" s="257">
        <f>IF(EZ187="No",IF((OR(MONTH(C187)=5,MONTH(C187)=6,MONTH(C187)=7,MONTH(C187)=8,MONTH(C187)=9)),Summary!$O$15*12*(AX187+AY187+AZ187+BA187)*(1-$BC187),Summary!$O$15*13*(AX187+AY187+AZ187+BA187)*(1-$BC187)+IF(Summary!$O$16="Yes",(CALC!FA187+Summary!$O$15)*6*(AX187+AY187+AZ187+BA187)*(1-$BC187),0)),0)</f>
        <v>0</v>
      </c>
      <c r="FI187" s="1412">
        <f>IF(MONTH(C187)=5,FI186*(IF(Summary!$E$70="no",(1+(Summary!$E$71*0.8)),1+HLOOKUP(YEAR(C187)-1,CCFMODEL!$I$127:$AF$128,2)*0.8)),+FI186)</f>
        <v>37.078577505431092</v>
      </c>
      <c r="FJ187" s="1411">
        <f>IF(MONTH(C187)=5,FJ186*(IF(Summary!$E$70="no",(1+(Summary!$E$71*0.8)),1+HLOOKUP(YEAR(CALC!C187)-1,CCFMODEL!$I$127:$AF$128,2)*0.8)),FJ186)</f>
        <v>32.407260654353159</v>
      </c>
      <c r="FK187" s="832">
        <f t="shared" si="127"/>
        <v>662333.70301507786</v>
      </c>
      <c r="FL187" s="1412">
        <f>IF(MONTH(C187)=5,FL186*(IF(Summary!$E$70="no",(1+(Summary!$E$71*0.8)),1+HLOOKUP(YEAR(CALC!C187)-1,CCFMODEL!$I$127:$AF$128,2)*0.8)),+FL186)</f>
        <v>77.980405409809876</v>
      </c>
      <c r="FM187" s="1411">
        <f>IF(MONTH(C187)=5,FM186*(IF(Summary!$E$70="no",(1+(Summary!$E$71*0.8)),1+HLOOKUP(YEAR(CALC!C187)-1,CCFMODEL!$I$127:$AF$128,2)*0.8)),+FM186)</f>
        <v>37.217604792665554</v>
      </c>
      <c r="FN187" s="832">
        <f t="shared" si="128"/>
        <v>674941.26291498984</v>
      </c>
      <c r="FO187" s="194">
        <f t="shared" si="160"/>
        <v>1337274.9659300677</v>
      </c>
      <c r="FP187" s="263">
        <f t="shared" si="177"/>
        <v>9308.25</v>
      </c>
      <c r="FQ187" s="194">
        <f t="shared" si="178"/>
        <v>2792.4749999999999</v>
      </c>
      <c r="FR187" s="194">
        <f t="shared" si="179"/>
        <v>2216.25</v>
      </c>
      <c r="FS187" s="194">
        <f t="shared" si="176"/>
        <v>664.875</v>
      </c>
      <c r="FT187" s="194">
        <f t="shared" si="176"/>
        <v>2216.25</v>
      </c>
      <c r="FU187" s="194">
        <f t="shared" si="176"/>
        <v>664.875</v>
      </c>
      <c r="FV187" s="257">
        <f t="shared" si="124"/>
        <v>0</v>
      </c>
      <c r="FW187" s="189">
        <f t="shared" si="129"/>
        <v>0</v>
      </c>
      <c r="FX187" s="189">
        <f t="shared" si="130"/>
        <v>0</v>
      </c>
      <c r="FY187" s="189">
        <f t="shared" si="131"/>
        <v>0</v>
      </c>
      <c r="FZ187" s="258">
        <f t="shared" si="132"/>
        <v>0</v>
      </c>
      <c r="GA187" s="1294">
        <f>(SUM(FP187:FV187)+SUM(GU187:HB187)/(1-Summary!$O$25))*CY187/1000</f>
        <v>236495.80204701837</v>
      </c>
      <c r="GB187" s="1369">
        <f>IF($C187&lt;Summary!$M$81,+Summary!$O$81,VLOOKUP(C187,GasTable,19))</f>
        <v>3.3648840530978883</v>
      </c>
      <c r="GC187" s="1370">
        <f>IF(H187&lt;=Summary!$N$84,MIN(GA187,Summary!$O$75*(H187-G187+1)),0)</f>
        <v>0</v>
      </c>
      <c r="GD187" s="1371">
        <f>IF(C187&lt;Summary!$N$84,IF(Summary!$O$75*(H187-G187+1)*0.8&gt;GC187,1,0),0)</f>
        <v>0</v>
      </c>
      <c r="GE187" s="1372">
        <v>0</v>
      </c>
      <c r="GF187" s="1370">
        <f t="shared" si="161"/>
        <v>236495.80204701837</v>
      </c>
      <c r="GG187" s="1371">
        <f>GF187*(IF(Summary!$O$74=1,VLOOKUP($C187,GasTable,16)+Summary!$O$92+Summary!$O$93,VLOOKUP($C187,GasTable,19)+Summary!$O$92+Summary!$O$93))</f>
        <v>808102.3842192567</v>
      </c>
      <c r="GH187" s="1373">
        <v>5215.5702823017273</v>
      </c>
      <c r="GI187" s="1466">
        <v>0</v>
      </c>
      <c r="GJ187" s="1374">
        <f t="shared" si="162"/>
        <v>813317.95450155844</v>
      </c>
      <c r="GK187" s="189">
        <f t="shared" si="133"/>
        <v>30062.012850000003</v>
      </c>
      <c r="GL187" s="266">
        <v>0.51943932591999997</v>
      </c>
      <c r="GM187" s="255">
        <f t="shared" si="134"/>
        <v>0</v>
      </c>
      <c r="GN187" s="189">
        <f>IF(SUM(GU187:HB187)=0,0,IF(Summary!$O$16="Yes",SUM(GX187:HB187),IF(Summary!$O$17="Yes",SUM(GY187:HB187),SUM(GU187:HB187))))</f>
        <v>12199.037850000001</v>
      </c>
      <c r="GO187" s="203">
        <v>3.5992458930959277</v>
      </c>
      <c r="GP187" s="258">
        <f t="shared" si="163"/>
        <v>43907.336881334275</v>
      </c>
      <c r="GQ187" s="189"/>
      <c r="GR187" s="189"/>
      <c r="GS187" s="189"/>
      <c r="GT187" s="189"/>
      <c r="GU187" s="268">
        <v>5389.4767500000007</v>
      </c>
      <c r="GV187" s="189">
        <v>1283.20875</v>
      </c>
      <c r="GW187" s="189">
        <v>1283.20875</v>
      </c>
      <c r="GX187" s="189"/>
      <c r="GY187" s="254">
        <v>2874.3875999999996</v>
      </c>
      <c r="GZ187" s="189">
        <v>684.37800000000004</v>
      </c>
      <c r="HA187" s="189">
        <v>684.37800000000004</v>
      </c>
      <c r="HB187" s="255"/>
      <c r="HC187" s="189">
        <v>12199.037850000001</v>
      </c>
      <c r="HD187" s="189"/>
      <c r="HE187" s="189">
        <v>20950.521525</v>
      </c>
      <c r="HF187" s="189">
        <v>483006.05333267211</v>
      </c>
      <c r="HG187" s="189"/>
      <c r="HH187" s="203">
        <v>38.944032463382626</v>
      </c>
      <c r="HI187" s="189">
        <v>815897.79039439652</v>
      </c>
      <c r="HJ187" s="268">
        <f t="shared" si="135"/>
        <v>0</v>
      </c>
      <c r="HK187" s="189">
        <f t="shared" si="136"/>
        <v>0</v>
      </c>
      <c r="HL187" s="189">
        <f t="shared" si="137"/>
        <v>0</v>
      </c>
      <c r="HM187" s="255">
        <f t="shared" si="138"/>
        <v>0</v>
      </c>
      <c r="HN187" s="189">
        <f t="shared" si="139"/>
        <v>0</v>
      </c>
      <c r="HO187" s="203">
        <f t="shared" si="164"/>
        <v>0</v>
      </c>
      <c r="HP187" s="258">
        <f t="shared" si="140"/>
        <v>0</v>
      </c>
      <c r="HQ187" s="804"/>
      <c r="HR187" s="268"/>
      <c r="HS187" s="38"/>
      <c r="HT187" s="255"/>
      <c r="HU187" s="268"/>
      <c r="HV187" s="1408"/>
      <c r="HW187" s="255"/>
      <c r="HX187" s="1408"/>
      <c r="HY187" s="1408"/>
      <c r="HZ187"/>
      <c r="IA187" s="203"/>
      <c r="IB187" s="203"/>
      <c r="IC187" s="203"/>
      <c r="ID187" s="203"/>
      <c r="IE187" s="203"/>
      <c r="IF187" s="203"/>
      <c r="IG187" s="203"/>
      <c r="IH187" s="203"/>
      <c r="II187" s="203"/>
      <c r="IJ187" s="203"/>
      <c r="IK187" s="203"/>
      <c r="IL187" s="821"/>
      <c r="IM187" s="820"/>
      <c r="IN187" s="820"/>
      <c r="IR187" s="223"/>
    </row>
    <row r="188" spans="1:252" ht="13.8" thickBot="1">
      <c r="A188" t="str">
        <f t="shared" si="141"/>
        <v>2014Q2</v>
      </c>
      <c r="B188">
        <f t="shared" si="142"/>
        <v>2014</v>
      </c>
      <c r="C188" s="49">
        <f t="shared" si="143"/>
        <v>41730</v>
      </c>
      <c r="D188" s="115">
        <f t="shared" si="144"/>
        <v>2014</v>
      </c>
      <c r="E188" s="10">
        <f t="shared" si="167"/>
        <v>4</v>
      </c>
      <c r="F188" s="248" t="str">
        <f t="shared" si="168"/>
        <v/>
      </c>
      <c r="G188" s="245">
        <v>41730</v>
      </c>
      <c r="H188" s="251">
        <v>41759</v>
      </c>
      <c r="I188" s="959">
        <f t="shared" si="165"/>
        <v>7.1499999999999994E-2</v>
      </c>
      <c r="J188" s="37">
        <f t="shared" si="145"/>
        <v>0.36290165062425794</v>
      </c>
      <c r="K188" s="1036"/>
      <c r="L188" s="37"/>
      <c r="M188" s="1004">
        <v>0</v>
      </c>
      <c r="N188" s="38">
        <f t="shared" si="174"/>
        <v>0</v>
      </c>
      <c r="O188" s="40">
        <f t="shared" si="174"/>
        <v>0</v>
      </c>
      <c r="P188" s="159">
        <f t="shared" si="172"/>
        <v>0</v>
      </c>
      <c r="Q188" s="38">
        <f t="shared" si="180"/>
        <v>0</v>
      </c>
      <c r="R188" s="40">
        <f t="shared" si="180"/>
        <v>0</v>
      </c>
      <c r="S188" s="38">
        <f t="shared" si="180"/>
        <v>0</v>
      </c>
      <c r="T188" s="38">
        <f t="shared" si="180"/>
        <v>0</v>
      </c>
      <c r="U188" s="38">
        <f t="shared" si="180"/>
        <v>0</v>
      </c>
      <c r="V188" s="159">
        <f t="shared" si="180"/>
        <v>0</v>
      </c>
      <c r="W188" s="38">
        <f t="shared" si="180"/>
        <v>0</v>
      </c>
      <c r="X188" s="39">
        <f t="shared" si="180"/>
        <v>0</v>
      </c>
      <c r="Y188" s="46">
        <v>0</v>
      </c>
      <c r="Z188" s="46">
        <v>0</v>
      </c>
      <c r="AA188" s="47">
        <v>0</v>
      </c>
      <c r="AB188" s="46">
        <v>0</v>
      </c>
      <c r="AC188" s="46">
        <v>0</v>
      </c>
      <c r="AD188" s="47">
        <v>0</v>
      </c>
      <c r="AE188" s="46">
        <v>0</v>
      </c>
      <c r="AF188" s="46">
        <v>0</v>
      </c>
      <c r="AG188" s="47">
        <v>0</v>
      </c>
      <c r="AH188" s="46">
        <v>0</v>
      </c>
      <c r="AI188" s="46">
        <v>0</v>
      </c>
      <c r="AJ188" s="47">
        <v>0</v>
      </c>
      <c r="AK188" s="46">
        <v>0</v>
      </c>
      <c r="AL188" s="46">
        <v>0</v>
      </c>
      <c r="AM188" s="47">
        <v>0</v>
      </c>
      <c r="AN188" s="46">
        <v>0</v>
      </c>
      <c r="AO188" s="46">
        <v>0</v>
      </c>
      <c r="AP188" s="47">
        <v>0</v>
      </c>
      <c r="AQ188" s="46">
        <v>0</v>
      </c>
      <c r="AR188" s="46">
        <v>0</v>
      </c>
      <c r="AS188" s="47">
        <v>0</v>
      </c>
      <c r="AT188" s="46">
        <v>0</v>
      </c>
      <c r="AU188" s="46">
        <v>0</v>
      </c>
      <c r="AV188" s="46">
        <v>0</v>
      </c>
      <c r="AW188" s="1545">
        <v>0</v>
      </c>
      <c r="AX188" s="10">
        <f t="shared" si="169"/>
        <v>22</v>
      </c>
      <c r="AY188" s="42">
        <f>IF(AND($E188=MONTH(Summary!$E$24),$D188=YEAR(Summary!$E$24)),Summary!$E$25,1)*IF(G188="",0,INT((H188-MOD(H188,7)-G188)/7)+1-IF(BA188,IF(WEEKDAY(F188)=7,1,0),0))</f>
        <v>4</v>
      </c>
      <c r="AZ188" s="42">
        <f>IF(AND($E188=MONTH(Summary!$E$24),$D188=YEAR(Summary!$E$24)),Summary!$E$25,1)*IF(G188="",0,INT((H188-MOD(H188-1,7)-G188)/7)+1-IF(BA188,IF(WEEKDAY(F188)=1,1,0),0))</f>
        <v>4</v>
      </c>
      <c r="BA188" s="42">
        <v>0</v>
      </c>
      <c r="BB188" s="10">
        <f>IF(AND($E188=MONTH(Summary!$E$24),$D188=YEAR(Summary!$E$24)),Summary!$E$25,1)*IF(G188="",0,H188-G188+1)</f>
        <v>30</v>
      </c>
      <c r="BC188" s="914">
        <f>Summary!$E$19</f>
        <v>1.4999999999999999E-2</v>
      </c>
      <c r="BD188" s="113">
        <v>15602.4</v>
      </c>
      <c r="BE188" s="171">
        <v>2836.8</v>
      </c>
      <c r="BF188" s="171">
        <v>2836.8</v>
      </c>
      <c r="BG188" s="174"/>
      <c r="BH188" s="1198">
        <v>1</v>
      </c>
      <c r="BI188" s="1198">
        <v>1</v>
      </c>
      <c r="BJ188" s="1198">
        <v>1</v>
      </c>
      <c r="BK188" s="1198">
        <v>1</v>
      </c>
      <c r="BL188" s="95">
        <v>3120.48</v>
      </c>
      <c r="BM188" s="171">
        <v>567.36</v>
      </c>
      <c r="BN188" s="171">
        <v>567.36</v>
      </c>
      <c r="BO188" s="174"/>
      <c r="BP188" s="1198">
        <v>1</v>
      </c>
      <c r="BQ188" s="1199">
        <v>1</v>
      </c>
      <c r="BR188" s="1199">
        <v>1</v>
      </c>
      <c r="BS188" s="1200">
        <v>1</v>
      </c>
      <c r="BT188" s="94">
        <f t="shared" si="146"/>
        <v>21276</v>
      </c>
      <c r="BU188" s="233">
        <f t="shared" si="147"/>
        <v>21276</v>
      </c>
      <c r="BV188" s="92">
        <f t="shared" si="148"/>
        <v>4255.2</v>
      </c>
      <c r="BW188" s="233">
        <f t="shared" si="149"/>
        <v>4255.2</v>
      </c>
      <c r="BX188" s="88">
        <v>14.294318959616701</v>
      </c>
      <c r="BY188" s="90">
        <v>0</v>
      </c>
      <c r="BZ188" s="88">
        <v>0</v>
      </c>
      <c r="CA188" s="88">
        <v>0</v>
      </c>
      <c r="CB188" s="88">
        <v>0</v>
      </c>
      <c r="CC188" s="88">
        <v>0</v>
      </c>
      <c r="CD188" s="88">
        <v>0</v>
      </c>
      <c r="CE188" s="100">
        <v>0</v>
      </c>
      <c r="CF188" s="88">
        <v>0</v>
      </c>
      <c r="CG188" s="88">
        <v>0</v>
      </c>
      <c r="CH188" s="88">
        <v>0</v>
      </c>
      <c r="CI188" s="88">
        <v>0</v>
      </c>
      <c r="CJ188" s="228">
        <v>0</v>
      </c>
      <c r="CK188" s="88">
        <v>0</v>
      </c>
      <c r="CL188" s="88">
        <v>0</v>
      </c>
      <c r="CM188" s="88">
        <v>0</v>
      </c>
      <c r="CN188" s="88">
        <v>0</v>
      </c>
      <c r="CO188" s="88">
        <v>0</v>
      </c>
      <c r="CP188" s="88">
        <v>0</v>
      </c>
      <c r="CQ188" s="229">
        <v>0</v>
      </c>
      <c r="CR188" s="91">
        <v>0</v>
      </c>
      <c r="CS188" s="91">
        <v>0</v>
      </c>
      <c r="CT188" s="91">
        <v>0</v>
      </c>
      <c r="CU188" s="91">
        <v>0</v>
      </c>
      <c r="CV188" s="91">
        <v>0</v>
      </c>
      <c r="CW188" s="91">
        <v>0</v>
      </c>
      <c r="CX188" s="225">
        <v>0</v>
      </c>
      <c r="CY188" s="1265">
        <v>7754.1286399999999</v>
      </c>
      <c r="CZ188" s="90">
        <v>0</v>
      </c>
      <c r="DA188" s="88">
        <v>0</v>
      </c>
      <c r="DB188" s="88">
        <v>0</v>
      </c>
      <c r="DC188" s="88">
        <v>0</v>
      </c>
      <c r="DD188" s="88">
        <v>0</v>
      </c>
      <c r="DE188" s="152">
        <v>0</v>
      </c>
      <c r="DF188" s="230">
        <v>0</v>
      </c>
      <c r="DG188" s="38">
        <v>0</v>
      </c>
      <c r="DH188" s="1237">
        <v>0</v>
      </c>
      <c r="DI188" s="956">
        <v>0</v>
      </c>
      <c r="DJ188" s="956">
        <v>0</v>
      </c>
      <c r="DK188" s="956">
        <v>0</v>
      </c>
      <c r="DL188" s="152">
        <v>0</v>
      </c>
      <c r="DM188" s="160">
        <v>0</v>
      </c>
      <c r="DN188" s="160">
        <v>0</v>
      </c>
      <c r="DO188" s="160">
        <v>0</v>
      </c>
      <c r="DP188" s="160">
        <v>0</v>
      </c>
      <c r="DQ188" s="160">
        <v>0</v>
      </c>
      <c r="DR188" s="230">
        <v>0</v>
      </c>
      <c r="DS188" s="88">
        <v>0</v>
      </c>
      <c r="DT188" s="88">
        <v>0</v>
      </c>
      <c r="DU188" s="88">
        <v>0</v>
      </c>
      <c r="DV188" s="88">
        <v>0</v>
      </c>
      <c r="DW188" s="88">
        <v>0</v>
      </c>
      <c r="DX188" s="88">
        <v>0</v>
      </c>
      <c r="DY188" s="88">
        <v>0</v>
      </c>
      <c r="DZ188" s="88">
        <v>0</v>
      </c>
      <c r="EA188" s="88">
        <v>0</v>
      </c>
      <c r="EB188" s="152">
        <v>0</v>
      </c>
      <c r="EC188" s="52">
        <f t="shared" si="150"/>
        <v>0</v>
      </c>
      <c r="ED188" s="52">
        <f t="shared" si="150"/>
        <v>0</v>
      </c>
      <c r="EE188" s="52">
        <f t="shared" si="150"/>
        <v>0</v>
      </c>
      <c r="EF188" s="52">
        <f t="shared" si="150"/>
        <v>0</v>
      </c>
      <c r="EG188" s="52">
        <f t="shared" si="151"/>
        <v>0</v>
      </c>
      <c r="EH188" s="238">
        <v>0</v>
      </c>
      <c r="EI188" s="211">
        <v>0</v>
      </c>
      <c r="EJ188" s="211">
        <v>0</v>
      </c>
      <c r="EK188" s="211">
        <v>0</v>
      </c>
      <c r="EL188" s="217">
        <f>IF(C188&gt;=Summary!$E$26,MAX(0,SUM(EH188:EK188)),0)</f>
        <v>0</v>
      </c>
      <c r="EM188" s="52">
        <f>IF(C188&gt;=Summary!$E$26,DX188*BL188,0)</f>
        <v>0</v>
      </c>
      <c r="EN188" s="52">
        <f>IF(C188&gt;=Summary!$E$26,DY188*BM188,0)</f>
        <v>0</v>
      </c>
      <c r="EO188" s="52">
        <f>IF(C188&gt;=Summary!$E$26,DZ188*BN188,0)</f>
        <v>0</v>
      </c>
      <c r="EP188" s="52">
        <f>IF(C188&gt;=Summary!$E$26,EA188*BO188,0)</f>
        <v>0</v>
      </c>
      <c r="EQ188" s="52">
        <f>IF(C188&gt;=Summary!$E$26,DX188*BL188+DY188*BM188+DZ188*BN188+EA188*BO188,0)</f>
        <v>0</v>
      </c>
      <c r="ER188" s="826">
        <v>0</v>
      </c>
      <c r="ES188" s="278">
        <v>0</v>
      </c>
      <c r="ET188" s="278">
        <v>0</v>
      </c>
      <c r="EU188" s="278">
        <v>0</v>
      </c>
      <c r="EV188" s="212">
        <f>IF(C188&gt;=Summary!$E$26,MAX(0,SUM(ER188:EU188)),0)</f>
        <v>0</v>
      </c>
      <c r="EW188" s="52"/>
      <c r="EX188" s="1049">
        <f t="shared" si="152"/>
        <v>0</v>
      </c>
      <c r="EY188" s="1045" t="str">
        <f t="shared" si="153"/>
        <v/>
      </c>
      <c r="EZ188" s="1684" t="s">
        <v>525</v>
      </c>
      <c r="FA188" s="1046">
        <f t="shared" si="166"/>
        <v>45</v>
      </c>
      <c r="FB188" s="256">
        <f t="shared" si="154"/>
        <v>9751.5</v>
      </c>
      <c r="FC188" s="194">
        <f t="shared" si="155"/>
        <v>2925.45</v>
      </c>
      <c r="FD188" s="194">
        <f t="shared" si="156"/>
        <v>1773</v>
      </c>
      <c r="FE188" s="194">
        <f t="shared" si="157"/>
        <v>531.9</v>
      </c>
      <c r="FF188" s="194">
        <f t="shared" si="158"/>
        <v>1773</v>
      </c>
      <c r="FG188" s="194">
        <f t="shared" si="159"/>
        <v>531.9</v>
      </c>
      <c r="FH188" s="257">
        <f>IF(EZ188="No",IF((OR(MONTH(C188)=5,MONTH(C188)=6,MONTH(C188)=7,MONTH(C188)=8,MONTH(C188)=9)),Summary!$O$15*12*(AX188+AY188+AZ188+BA188)*(1-$BC188),Summary!$O$15*13*(AX188+AY188+AZ188+BA188)*(1-$BC188)+IF(Summary!$O$16="Yes",(CALC!FA188+Summary!$O$15)*6*(AX188+AY188+AZ188+BA188)*(1-$BC188),0)),0)</f>
        <v>0</v>
      </c>
      <c r="FI188" s="1412">
        <f>IF(MONTH(C188)=5,FI187*(IF(Summary!$E$70="no",(1+(Summary!$E$71*0.8)),1+HLOOKUP(YEAR(C188)-1,CCFMODEL!$I$127:$AF$128,2)*0.8)),+FI187)</f>
        <v>37.078577505431092</v>
      </c>
      <c r="FJ188" s="1411">
        <f>IF(MONTH(C188)=5,FJ187*(IF(Summary!$E$70="no",(1+(Summary!$E$71*0.8)),1+HLOOKUP(YEAR(CALC!C188)-1,CCFMODEL!$I$127:$AF$128,2)*0.8)),FJ187)</f>
        <v>32.407260654353159</v>
      </c>
      <c r="FK188" s="832">
        <f t="shared" si="127"/>
        <v>640968.0996920109</v>
      </c>
      <c r="FL188" s="1412">
        <f>IF(MONTH(C188)=5,FL187*(IF(Summary!$E$70="no",(1+(Summary!$E$71*0.8)),1+HLOOKUP(YEAR(CALC!C188)-1,CCFMODEL!$I$127:$AF$128,2)*0.8)),+FL187)</f>
        <v>77.980405409809876</v>
      </c>
      <c r="FM188" s="1411">
        <f>IF(MONTH(C188)=5,FM187*(IF(Summary!$E$70="no",(1+(Summary!$E$71*0.8)),1+HLOOKUP(YEAR(CALC!C188)-1,CCFMODEL!$I$127:$AF$128,2)*0.8)),+FM187)</f>
        <v>37.217604792665554</v>
      </c>
      <c r="FN188" s="832">
        <f t="shared" si="128"/>
        <v>653168.96411128051</v>
      </c>
      <c r="FO188" s="194">
        <f t="shared" si="160"/>
        <v>1294137.0638032914</v>
      </c>
      <c r="FP188" s="263">
        <f t="shared" si="177"/>
        <v>9751.5</v>
      </c>
      <c r="FQ188" s="194">
        <f t="shared" si="178"/>
        <v>2925.45</v>
      </c>
      <c r="FR188" s="194">
        <f t="shared" si="179"/>
        <v>1773</v>
      </c>
      <c r="FS188" s="194">
        <f t="shared" si="176"/>
        <v>531.9</v>
      </c>
      <c r="FT188" s="194">
        <f t="shared" si="176"/>
        <v>1773</v>
      </c>
      <c r="FU188" s="194">
        <f t="shared" si="176"/>
        <v>531.9</v>
      </c>
      <c r="FV188" s="257">
        <f t="shared" si="124"/>
        <v>0</v>
      </c>
      <c r="FW188" s="189">
        <f t="shared" si="129"/>
        <v>0</v>
      </c>
      <c r="FX188" s="189">
        <f t="shared" si="130"/>
        <v>0</v>
      </c>
      <c r="FY188" s="189">
        <f t="shared" si="131"/>
        <v>0</v>
      </c>
      <c r="FZ188" s="258">
        <f t="shared" si="132"/>
        <v>0</v>
      </c>
      <c r="GA188" s="1294">
        <f>(SUM(FP188:FV188)+SUM(GU188:HB188)/(1-Summary!$O$25))*CY188/1000</f>
        <v>228905.36681068799</v>
      </c>
      <c r="GB188" s="1369">
        <f>IF($C188&lt;Summary!$M$81,+Summary!$O$81,VLOOKUP(C188,GasTable,19))</f>
        <v>3.263935129407217</v>
      </c>
      <c r="GC188" s="1370">
        <f>IF(H188&lt;=Summary!$N$84,MIN(GA188,Summary!$O$75*(H188-G188+1)),0)</f>
        <v>0</v>
      </c>
      <c r="GD188" s="1371">
        <f>IF(C188&lt;Summary!$N$84,IF(Summary!$O$75*(H188-G188+1)*0.8&gt;GC188,1,0),0)</f>
        <v>0</v>
      </c>
      <c r="GE188" s="1372">
        <v>0</v>
      </c>
      <c r="GF188" s="1370">
        <f t="shared" si="161"/>
        <v>228905.36681068799</v>
      </c>
      <c r="GG188" s="1371">
        <f>GF188*(IF(Summary!$O$74=1,VLOOKUP($C188,GasTable,16)+Summary!$O$92+Summary!$O$93,VLOOKUP($C188,GasTable,19)+Summary!$O$92+Summary!$O$93))</f>
        <v>759058.2376540862</v>
      </c>
      <c r="GH188" s="1373">
        <v>4895.9026941108259</v>
      </c>
      <c r="GI188" s="1466">
        <v>0</v>
      </c>
      <c r="GJ188" s="1374">
        <f t="shared" si="162"/>
        <v>763954.14034819708</v>
      </c>
      <c r="GK188" s="189">
        <f t="shared" si="133"/>
        <v>29092.270500000002</v>
      </c>
      <c r="GL188" s="266">
        <v>0.51952661887999996</v>
      </c>
      <c r="GM188" s="255">
        <f t="shared" si="134"/>
        <v>0</v>
      </c>
      <c r="GN188" s="189">
        <f>IF(SUM(GU188:HB188)=0,0,IF(Summary!$O$16="Yes",SUM(GX188:HB188),IF(Summary!$O$17="Yes",SUM(GY188:HB188),SUM(GU188:HB188))))</f>
        <v>11805.520499999999</v>
      </c>
      <c r="GO188" s="203">
        <v>3.5992458930959277</v>
      </c>
      <c r="GP188" s="258">
        <f t="shared" si="163"/>
        <v>42490.971175484781</v>
      </c>
      <c r="GQ188" s="189"/>
      <c r="GR188" s="189"/>
      <c r="GS188" s="189"/>
      <c r="GT188" s="189"/>
      <c r="GU188" s="268">
        <v>5646.1184999999996</v>
      </c>
      <c r="GV188" s="189">
        <v>1026.5670000000002</v>
      </c>
      <c r="GW188" s="189">
        <v>1026.5670000000002</v>
      </c>
      <c r="GX188" s="189"/>
      <c r="GY188" s="254">
        <v>3011.2631999999999</v>
      </c>
      <c r="GZ188" s="189">
        <v>547.50239999999997</v>
      </c>
      <c r="HA188" s="189">
        <v>547.50239999999997</v>
      </c>
      <c r="HB188" s="255"/>
      <c r="HC188" s="189">
        <v>11805.520499999999</v>
      </c>
      <c r="HD188" s="189"/>
      <c r="HE188" s="189">
        <v>20274.698249999998</v>
      </c>
      <c r="HF188" s="189">
        <v>468575.0434183933</v>
      </c>
      <c r="HG188" s="189"/>
      <c r="HH188" s="203">
        <v>38.973975804261485</v>
      </c>
      <c r="HI188" s="189">
        <v>790185.59903420252</v>
      </c>
      <c r="HJ188" s="268">
        <f t="shared" si="135"/>
        <v>0</v>
      </c>
      <c r="HK188" s="189">
        <f t="shared" si="136"/>
        <v>0</v>
      </c>
      <c r="HL188" s="189">
        <f t="shared" si="137"/>
        <v>0</v>
      </c>
      <c r="HM188" s="255">
        <f t="shared" si="138"/>
        <v>0</v>
      </c>
      <c r="HN188" s="189">
        <f t="shared" si="139"/>
        <v>0</v>
      </c>
      <c r="HO188" s="203">
        <f t="shared" si="164"/>
        <v>0</v>
      </c>
      <c r="HP188" s="258">
        <f t="shared" si="140"/>
        <v>0</v>
      </c>
      <c r="HQ188" s="804"/>
      <c r="HR188" s="268"/>
      <c r="HS188" s="38"/>
      <c r="HT188" s="255"/>
      <c r="HU188" s="268"/>
      <c r="HV188" s="1408"/>
      <c r="HW188" s="255"/>
      <c r="HX188" s="1408"/>
      <c r="HY188" s="1408"/>
      <c r="HZ188"/>
      <c r="IA188" s="203"/>
      <c r="IB188" s="203"/>
      <c r="IC188" s="203"/>
      <c r="ID188" s="203"/>
      <c r="IE188" s="203"/>
      <c r="IF188" s="203"/>
      <c r="IG188" s="203"/>
      <c r="IH188" s="203"/>
      <c r="II188" s="203"/>
      <c r="IJ188" s="203"/>
      <c r="IK188" s="203"/>
      <c r="IL188" s="821"/>
      <c r="IM188" s="820"/>
      <c r="IN188" s="820"/>
      <c r="IR188" s="223"/>
    </row>
    <row r="189" spans="1:252" ht="13.8" thickBot="1">
      <c r="A189" t="str">
        <f t="shared" si="141"/>
        <v>2014Q2</v>
      </c>
      <c r="B189">
        <f t="shared" si="142"/>
        <v>2014</v>
      </c>
      <c r="C189" s="49">
        <f t="shared" si="143"/>
        <v>41760</v>
      </c>
      <c r="D189" s="115">
        <f t="shared" si="144"/>
        <v>2014</v>
      </c>
      <c r="E189" s="10">
        <f t="shared" si="167"/>
        <v>5</v>
      </c>
      <c r="F189" s="248">
        <f t="shared" si="168"/>
        <v>41785</v>
      </c>
      <c r="G189" s="245">
        <v>41760</v>
      </c>
      <c r="H189" s="251">
        <v>41790</v>
      </c>
      <c r="I189" s="959">
        <f t="shared" si="165"/>
        <v>7.1499999999999994E-2</v>
      </c>
      <c r="J189" s="37">
        <f t="shared" si="145"/>
        <v>0.36074429092302923</v>
      </c>
      <c r="K189" s="1036"/>
      <c r="L189" s="37"/>
      <c r="M189" s="1004">
        <v>0</v>
      </c>
      <c r="N189" s="38">
        <f t="shared" ref="N189:O208" si="181">M189</f>
        <v>0</v>
      </c>
      <c r="O189" s="40">
        <f t="shared" si="181"/>
        <v>0</v>
      </c>
      <c r="P189" s="159">
        <f t="shared" si="172"/>
        <v>0</v>
      </c>
      <c r="Q189" s="38">
        <f t="shared" ref="Q189:X198" si="182">P189</f>
        <v>0</v>
      </c>
      <c r="R189" s="40">
        <f t="shared" si="182"/>
        <v>0</v>
      </c>
      <c r="S189" s="38">
        <f t="shared" si="182"/>
        <v>0</v>
      </c>
      <c r="T189" s="38">
        <f t="shared" si="182"/>
        <v>0</v>
      </c>
      <c r="U189" s="38">
        <f t="shared" si="182"/>
        <v>0</v>
      </c>
      <c r="V189" s="159">
        <f t="shared" si="182"/>
        <v>0</v>
      </c>
      <c r="W189" s="38">
        <f t="shared" si="182"/>
        <v>0</v>
      </c>
      <c r="X189" s="39">
        <f t="shared" si="182"/>
        <v>0</v>
      </c>
      <c r="Y189" s="46">
        <v>0</v>
      </c>
      <c r="Z189" s="46">
        <v>0</v>
      </c>
      <c r="AA189" s="47">
        <v>0</v>
      </c>
      <c r="AB189" s="46">
        <v>0</v>
      </c>
      <c r="AC189" s="46">
        <v>0</v>
      </c>
      <c r="AD189" s="47">
        <v>0</v>
      </c>
      <c r="AE189" s="46">
        <v>0</v>
      </c>
      <c r="AF189" s="46">
        <v>0</v>
      </c>
      <c r="AG189" s="47">
        <v>0</v>
      </c>
      <c r="AH189" s="46">
        <v>0</v>
      </c>
      <c r="AI189" s="46">
        <v>0</v>
      </c>
      <c r="AJ189" s="47">
        <v>0</v>
      </c>
      <c r="AK189" s="46">
        <v>0</v>
      </c>
      <c r="AL189" s="46">
        <v>0</v>
      </c>
      <c r="AM189" s="47">
        <v>0</v>
      </c>
      <c r="AN189" s="46">
        <v>0</v>
      </c>
      <c r="AO189" s="46">
        <v>0</v>
      </c>
      <c r="AP189" s="47">
        <v>0</v>
      </c>
      <c r="AQ189" s="46">
        <v>0</v>
      </c>
      <c r="AR189" s="46">
        <v>0</v>
      </c>
      <c r="AS189" s="47">
        <v>0</v>
      </c>
      <c r="AT189" s="46">
        <v>0</v>
      </c>
      <c r="AU189" s="46">
        <v>0</v>
      </c>
      <c r="AV189" s="46">
        <v>0</v>
      </c>
      <c r="AW189" s="1545">
        <v>0</v>
      </c>
      <c r="AX189" s="10">
        <f t="shared" si="169"/>
        <v>21</v>
      </c>
      <c r="AY189" s="42">
        <f>IF(AND($E189=MONTH(Summary!$E$24),$D189=YEAR(Summary!$E$24)),Summary!$E$25,1)*IF(G189="",0,INT((H189-MOD(H189,7)-G189)/7)+1-IF(BA189,IF(WEEKDAY(F189)=7,1,0),0))</f>
        <v>5</v>
      </c>
      <c r="AZ189" s="42">
        <f>IF(AND($E189=MONTH(Summary!$E$24),$D189=YEAR(Summary!$E$24)),Summary!$E$25,1)*IF(G189="",0,INT((H189-MOD(H189-1,7)-G189)/7)+1-IF(BA189,IF(WEEKDAY(F189)=1,1,0),0))</f>
        <v>4</v>
      </c>
      <c r="BA189" s="42">
        <v>1</v>
      </c>
      <c r="BB189" s="10">
        <f>IF(AND($E189=MONTH(Summary!$E$24),$D189=YEAR(Summary!$E$24)),Summary!$E$25,1)*IF(G189="",0,H189-G189+1)</f>
        <v>31</v>
      </c>
      <c r="BC189" s="914">
        <f>Summary!$E$19</f>
        <v>1.4999999999999999E-2</v>
      </c>
      <c r="BD189" s="113">
        <v>14893.2</v>
      </c>
      <c r="BE189" s="171">
        <v>3546</v>
      </c>
      <c r="BF189" s="171">
        <v>3546</v>
      </c>
      <c r="BG189" s="174"/>
      <c r="BH189" s="1198">
        <v>1</v>
      </c>
      <c r="BI189" s="1198">
        <v>1</v>
      </c>
      <c r="BJ189" s="1198">
        <v>1</v>
      </c>
      <c r="BK189" s="1198">
        <v>1</v>
      </c>
      <c r="BL189" s="95">
        <v>2978.64</v>
      </c>
      <c r="BM189" s="171">
        <v>709.2</v>
      </c>
      <c r="BN189" s="171">
        <v>709.2</v>
      </c>
      <c r="BO189" s="174"/>
      <c r="BP189" s="1198">
        <v>1</v>
      </c>
      <c r="BQ189" s="1199">
        <v>1</v>
      </c>
      <c r="BR189" s="1199">
        <v>1</v>
      </c>
      <c r="BS189" s="1200">
        <v>1</v>
      </c>
      <c r="BT189" s="94">
        <f t="shared" si="146"/>
        <v>21985.200000000001</v>
      </c>
      <c r="BU189" s="233">
        <f t="shared" si="147"/>
        <v>21985.200000000001</v>
      </c>
      <c r="BV189" s="92">
        <f t="shared" si="148"/>
        <v>4397.04</v>
      </c>
      <c r="BW189" s="233">
        <f t="shared" si="149"/>
        <v>4397.04</v>
      </c>
      <c r="BX189" s="88">
        <v>14.376454483230663</v>
      </c>
      <c r="BY189" s="90">
        <v>0</v>
      </c>
      <c r="BZ189" s="88">
        <v>0</v>
      </c>
      <c r="CA189" s="88">
        <v>0</v>
      </c>
      <c r="CB189" s="88">
        <v>0</v>
      </c>
      <c r="CC189" s="88">
        <v>0</v>
      </c>
      <c r="CD189" s="88">
        <v>0</v>
      </c>
      <c r="CE189" s="100">
        <v>0</v>
      </c>
      <c r="CF189" s="88">
        <v>0</v>
      </c>
      <c r="CG189" s="88">
        <v>0</v>
      </c>
      <c r="CH189" s="88">
        <v>0</v>
      </c>
      <c r="CI189" s="88">
        <v>0</v>
      </c>
      <c r="CJ189" s="228">
        <v>0</v>
      </c>
      <c r="CK189" s="88">
        <v>0</v>
      </c>
      <c r="CL189" s="88">
        <v>0</v>
      </c>
      <c r="CM189" s="88">
        <v>0</v>
      </c>
      <c r="CN189" s="88">
        <v>0</v>
      </c>
      <c r="CO189" s="88">
        <v>0</v>
      </c>
      <c r="CP189" s="88">
        <v>0</v>
      </c>
      <c r="CQ189" s="229">
        <v>0</v>
      </c>
      <c r="CR189" s="91">
        <v>0</v>
      </c>
      <c r="CS189" s="91">
        <v>0</v>
      </c>
      <c r="CT189" s="91">
        <v>0</v>
      </c>
      <c r="CU189" s="91">
        <v>0</v>
      </c>
      <c r="CV189" s="91">
        <v>0</v>
      </c>
      <c r="CW189" s="91">
        <v>0</v>
      </c>
      <c r="CX189" s="225">
        <v>0</v>
      </c>
      <c r="CY189" s="1265">
        <v>7755.4315200000001</v>
      </c>
      <c r="CZ189" s="90">
        <v>0</v>
      </c>
      <c r="DA189" s="88">
        <v>0</v>
      </c>
      <c r="DB189" s="88">
        <v>0</v>
      </c>
      <c r="DC189" s="88">
        <v>0</v>
      </c>
      <c r="DD189" s="88">
        <v>0</v>
      </c>
      <c r="DE189" s="152">
        <v>0</v>
      </c>
      <c r="DF189" s="230">
        <v>0</v>
      </c>
      <c r="DG189" s="38">
        <v>0</v>
      </c>
      <c r="DH189" s="1237">
        <v>0</v>
      </c>
      <c r="DI189" s="956">
        <v>0</v>
      </c>
      <c r="DJ189" s="956">
        <v>0</v>
      </c>
      <c r="DK189" s="956">
        <v>0</v>
      </c>
      <c r="DL189" s="152">
        <v>0</v>
      </c>
      <c r="DM189" s="160">
        <v>0</v>
      </c>
      <c r="DN189" s="160">
        <v>0</v>
      </c>
      <c r="DO189" s="160">
        <v>0</v>
      </c>
      <c r="DP189" s="160">
        <v>0</v>
      </c>
      <c r="DQ189" s="160">
        <v>0</v>
      </c>
      <c r="DR189" s="230">
        <v>0</v>
      </c>
      <c r="DS189" s="88">
        <v>0</v>
      </c>
      <c r="DT189" s="88">
        <v>0</v>
      </c>
      <c r="DU189" s="88">
        <v>0</v>
      </c>
      <c r="DV189" s="88">
        <v>0</v>
      </c>
      <c r="DW189" s="88">
        <v>0</v>
      </c>
      <c r="DX189" s="88">
        <v>0</v>
      </c>
      <c r="DY189" s="88">
        <v>0</v>
      </c>
      <c r="DZ189" s="88">
        <v>0</v>
      </c>
      <c r="EA189" s="88">
        <v>0</v>
      </c>
      <c r="EB189" s="152">
        <v>0</v>
      </c>
      <c r="EC189" s="52">
        <f t="shared" si="150"/>
        <v>0</v>
      </c>
      <c r="ED189" s="52">
        <f t="shared" si="150"/>
        <v>0</v>
      </c>
      <c r="EE189" s="52">
        <f t="shared" si="150"/>
        <v>0</v>
      </c>
      <c r="EF189" s="52">
        <f t="shared" si="150"/>
        <v>0</v>
      </c>
      <c r="EG189" s="52">
        <f t="shared" si="151"/>
        <v>0</v>
      </c>
      <c r="EH189" s="238">
        <v>0</v>
      </c>
      <c r="EI189" s="211">
        <v>0</v>
      </c>
      <c r="EJ189" s="211">
        <v>0</v>
      </c>
      <c r="EK189" s="211">
        <v>0</v>
      </c>
      <c r="EL189" s="217">
        <f>IF(C189&gt;=Summary!$E$26,MAX(0,SUM(EH189:EK189)),0)</f>
        <v>0</v>
      </c>
      <c r="EM189" s="52">
        <f>IF(C189&gt;=Summary!$E$26,DX189*BL189,0)</f>
        <v>0</v>
      </c>
      <c r="EN189" s="52">
        <f>IF(C189&gt;=Summary!$E$26,DY189*BM189,0)</f>
        <v>0</v>
      </c>
      <c r="EO189" s="52">
        <f>IF(C189&gt;=Summary!$E$26,DZ189*BN189,0)</f>
        <v>0</v>
      </c>
      <c r="EP189" s="52">
        <f>IF(C189&gt;=Summary!$E$26,EA189*BO189,0)</f>
        <v>0</v>
      </c>
      <c r="EQ189" s="52">
        <f>IF(C189&gt;=Summary!$E$26,DX189*BL189+DY189*BM189+DZ189*BN189+EA189*BO189,0)</f>
        <v>0</v>
      </c>
      <c r="ER189" s="826">
        <v>0</v>
      </c>
      <c r="ES189" s="278">
        <v>0</v>
      </c>
      <c r="ET189" s="278">
        <v>0</v>
      </c>
      <c r="EU189" s="278">
        <v>0</v>
      </c>
      <c r="EV189" s="212">
        <f>IF(C189&gt;=Summary!$E$26,MAX(0,SUM(ER189:EU189)),0)</f>
        <v>0</v>
      </c>
      <c r="EW189" s="52"/>
      <c r="EX189" s="1049">
        <f t="shared" si="152"/>
        <v>0</v>
      </c>
      <c r="EY189" s="1045" t="str">
        <f t="shared" si="153"/>
        <v/>
      </c>
      <c r="EZ189" s="1684" t="s">
        <v>525</v>
      </c>
      <c r="FA189" s="1046">
        <f t="shared" si="166"/>
        <v>45</v>
      </c>
      <c r="FB189" s="256">
        <f t="shared" si="154"/>
        <v>11169.9</v>
      </c>
      <c r="FC189" s="194">
        <f t="shared" si="155"/>
        <v>0</v>
      </c>
      <c r="FD189" s="194">
        <f t="shared" si="156"/>
        <v>2659.5</v>
      </c>
      <c r="FE189" s="194">
        <f t="shared" si="157"/>
        <v>0</v>
      </c>
      <c r="FF189" s="194">
        <f t="shared" si="158"/>
        <v>2659.5</v>
      </c>
      <c r="FG189" s="194">
        <f t="shared" si="159"/>
        <v>0</v>
      </c>
      <c r="FH189" s="257">
        <f>IF(EZ189="No",IF((OR(MONTH(C189)=5,MONTH(C189)=6,MONTH(C189)=7,MONTH(C189)=8,MONTH(C189)=9)),Summary!$O$15*12*(AX189+AY189+AZ189+BA189)*(1-$BC189),Summary!$O$15*13*(AX189+AY189+AZ189+BA189)*(1-$BC189)+IF(Summary!$O$16="Yes",(CALC!FA189+Summary!$O$15)*6*(AX189+AY189+AZ189+BA189)*(1-$BC189),0)),0)</f>
        <v>0</v>
      </c>
      <c r="FI189" s="1412">
        <f>IF(MONTH(C189)=5,FI188*(IF(Summary!$E$70="no",(1+(Summary!$E$71*0.8)),1+HLOOKUP(YEAR(C189)-1,CCFMODEL!$I$127:$AF$128,2)*0.8)),+FI188)</f>
        <v>37.968463365561441</v>
      </c>
      <c r="FJ189" s="1411">
        <f>IF(MONTH(C189)=5,FJ188*(IF(Summary!$E$70="no",(1+(Summary!$E$71*0.8)),1+HLOOKUP(YEAR(CALC!C189)-1,CCFMODEL!$I$127:$AF$128,2)*0.8)),FJ188)</f>
        <v>33.185034910057638</v>
      </c>
      <c r="FK189" s="832">
        <f t="shared" si="127"/>
        <v>626058.19558840606</v>
      </c>
      <c r="FL189" s="1412">
        <f>IF(MONTH(C189)=5,FL188*(IF(Summary!$E$70="no",(1+(Summary!$E$71*0.8)),1+HLOOKUP(YEAR(CALC!C189)-1,CCFMODEL!$I$127:$AF$128,2)*0.8)),+FL188)</f>
        <v>79.85193513964532</v>
      </c>
      <c r="FM189" s="1411">
        <f>IF(MONTH(C189)=5,FM188*(IF(Summary!$E$70="no",(1+(Summary!$E$71*0.8)),1+HLOOKUP(YEAR(CALC!C189)-1,CCFMODEL!$I$127:$AF$128,2)*0.8)),+FM188)</f>
        <v>38.110827307689526</v>
      </c>
      <c r="FN189" s="832">
        <f t="shared" si="128"/>
        <v>1336721.3942376627</v>
      </c>
      <c r="FO189" s="194">
        <f t="shared" si="160"/>
        <v>1962779.5898260688</v>
      </c>
      <c r="FP189" s="263">
        <f t="shared" si="177"/>
        <v>11169.9</v>
      </c>
      <c r="FQ189" s="194">
        <f t="shared" si="178"/>
        <v>0</v>
      </c>
      <c r="FR189" s="194">
        <f t="shared" si="179"/>
        <v>2659.5</v>
      </c>
      <c r="FS189" s="194">
        <f t="shared" si="176"/>
        <v>0</v>
      </c>
      <c r="FT189" s="194">
        <f t="shared" si="176"/>
        <v>2659.5</v>
      </c>
      <c r="FU189" s="194">
        <f t="shared" si="176"/>
        <v>0</v>
      </c>
      <c r="FV189" s="257">
        <f t="shared" si="124"/>
        <v>0</v>
      </c>
      <c r="FW189" s="189">
        <f t="shared" si="129"/>
        <v>0</v>
      </c>
      <c r="FX189" s="189">
        <f t="shared" si="130"/>
        <v>0</v>
      </c>
      <c r="FY189" s="189">
        <f t="shared" si="131"/>
        <v>0</v>
      </c>
      <c r="FZ189" s="258">
        <f t="shared" si="132"/>
        <v>0</v>
      </c>
      <c r="GA189" s="1294">
        <f>(SUM(FP189:FV189)+SUM(GU189:HB189)/(1-Summary!$O$25))*CY189/1000</f>
        <v>204605.65566420482</v>
      </c>
      <c r="GB189" s="1369">
        <f>IF($C189&lt;Summary!$M$81,+Summary!$O$81,VLOOKUP(C189,GasTable,19))</f>
        <v>3.2393195403081334</v>
      </c>
      <c r="GC189" s="1370">
        <f>IF(H189&lt;=Summary!$N$84,MIN(GA189,Summary!$O$75*(H189-G189+1)),0)</f>
        <v>0</v>
      </c>
      <c r="GD189" s="1371">
        <f>IF(C189&lt;Summary!$N$84,IF(Summary!$O$75*(H189-G189+1)*0.8&gt;GC189,1,0),0)</f>
        <v>0</v>
      </c>
      <c r="GE189" s="1372">
        <v>0</v>
      </c>
      <c r="GF189" s="1370">
        <f t="shared" si="161"/>
        <v>204605.65566420482</v>
      </c>
      <c r="GG189" s="1371">
        <f>GF189*(IF(Summary!$O$74=1,VLOOKUP($C189,GasTable,16)+Summary!$O$92+Summary!$O$93,VLOOKUP($C189,GasTable,19)+Summary!$O$92+Summary!$O$93))</f>
        <v>673443.05311072129</v>
      </c>
      <c r="GH189" s="1373">
        <v>5020.9452874776071</v>
      </c>
      <c r="GI189" s="1466">
        <v>0</v>
      </c>
      <c r="GJ189" s="1374">
        <f t="shared" si="162"/>
        <v>678463.99839819886</v>
      </c>
      <c r="GK189" s="189">
        <f t="shared" si="133"/>
        <v>26035.973100000003</v>
      </c>
      <c r="GL189" s="266">
        <v>0.51961391184000005</v>
      </c>
      <c r="GM189" s="255">
        <f t="shared" si="134"/>
        <v>0</v>
      </c>
      <c r="GN189" s="189">
        <f>IF(SUM(GU189:HB189)=0,0,IF(Summary!$O$16="Yes",SUM(GX189:HB189),IF(Summary!$O$17="Yes",SUM(GY189:HB189),SUM(GU189:HB189))))</f>
        <v>9547.0731000000014</v>
      </c>
      <c r="GO189" s="203">
        <v>3.5992458930959277</v>
      </c>
      <c r="GP189" s="258">
        <f t="shared" si="163"/>
        <v>34362.263646261614</v>
      </c>
      <c r="GQ189" s="189"/>
      <c r="GR189" s="189"/>
      <c r="GS189" s="189"/>
      <c r="GT189" s="189"/>
      <c r="GU189" s="268">
        <v>3592.9845000000009</v>
      </c>
      <c r="GV189" s="189">
        <v>855.47249999999997</v>
      </c>
      <c r="GW189" s="189">
        <v>855.47249999999997</v>
      </c>
      <c r="GX189" s="189"/>
      <c r="GY189" s="254">
        <v>2874.3875999999996</v>
      </c>
      <c r="GZ189" s="189">
        <v>684.37800000000004</v>
      </c>
      <c r="HA189" s="189">
        <v>684.37800000000004</v>
      </c>
      <c r="HB189" s="255"/>
      <c r="HC189" s="189">
        <v>9547.0731000000014</v>
      </c>
      <c r="HD189" s="189"/>
      <c r="HE189" s="189">
        <v>22276.503900000003</v>
      </c>
      <c r="HF189" s="189">
        <v>369515.14446095139</v>
      </c>
      <c r="HG189" s="189"/>
      <c r="HH189" s="203">
        <v>39.215239340553921</v>
      </c>
      <c r="HI189" s="189">
        <v>873578.43210928293</v>
      </c>
      <c r="HJ189" s="268">
        <f t="shared" si="135"/>
        <v>0</v>
      </c>
      <c r="HK189" s="189">
        <f t="shared" si="136"/>
        <v>0</v>
      </c>
      <c r="HL189" s="189">
        <f t="shared" si="137"/>
        <v>0</v>
      </c>
      <c r="HM189" s="255">
        <f t="shared" si="138"/>
        <v>0</v>
      </c>
      <c r="HN189" s="189">
        <f t="shared" si="139"/>
        <v>0</v>
      </c>
      <c r="HO189" s="203">
        <f t="shared" si="164"/>
        <v>0</v>
      </c>
      <c r="HP189" s="258">
        <f t="shared" si="140"/>
        <v>0</v>
      </c>
      <c r="HQ189" s="804"/>
      <c r="HR189" s="268"/>
      <c r="HS189" s="38"/>
      <c r="HT189" s="255"/>
      <c r="HU189" s="268"/>
      <c r="HV189" s="1408"/>
      <c r="HW189" s="255"/>
      <c r="HX189" s="1408"/>
      <c r="HY189" s="1408"/>
      <c r="HZ189"/>
      <c r="IA189" s="203"/>
      <c r="IB189" s="203"/>
      <c r="IC189" s="203"/>
      <c r="ID189" s="203"/>
      <c r="IE189" s="203"/>
      <c r="IF189" s="203"/>
      <c r="IG189" s="203"/>
      <c r="IH189" s="203"/>
      <c r="II189" s="203"/>
      <c r="IJ189" s="203"/>
      <c r="IK189" s="203"/>
      <c r="IL189" s="821"/>
      <c r="IM189" s="820"/>
      <c r="IN189" s="820"/>
      <c r="IR189" s="223"/>
    </row>
    <row r="190" spans="1:252" ht="13.8" thickBot="1">
      <c r="A190" t="str">
        <f t="shared" si="141"/>
        <v>2014Q2</v>
      </c>
      <c r="B190">
        <f t="shared" si="142"/>
        <v>2014</v>
      </c>
      <c r="C190" s="49">
        <f t="shared" si="143"/>
        <v>41791</v>
      </c>
      <c r="D190" s="115">
        <f t="shared" si="144"/>
        <v>2014</v>
      </c>
      <c r="E190" s="10">
        <f t="shared" si="167"/>
        <v>6</v>
      </c>
      <c r="F190" s="248" t="str">
        <f t="shared" si="168"/>
        <v/>
      </c>
      <c r="G190" s="245">
        <v>41791</v>
      </c>
      <c r="H190" s="251">
        <v>41820</v>
      </c>
      <c r="I190" s="959">
        <f t="shared" si="165"/>
        <v>7.1499999999999994E-2</v>
      </c>
      <c r="J190" s="37">
        <f t="shared" si="145"/>
        <v>0.35866873532665156</v>
      </c>
      <c r="K190" s="1036"/>
      <c r="L190" s="37"/>
      <c r="M190" s="1004">
        <v>0</v>
      </c>
      <c r="N190" s="38">
        <f t="shared" si="181"/>
        <v>0</v>
      </c>
      <c r="O190" s="40">
        <f t="shared" si="181"/>
        <v>0</v>
      </c>
      <c r="P190" s="159">
        <f t="shared" si="172"/>
        <v>0</v>
      </c>
      <c r="Q190" s="38">
        <f t="shared" si="182"/>
        <v>0</v>
      </c>
      <c r="R190" s="40">
        <f t="shared" si="182"/>
        <v>0</v>
      </c>
      <c r="S190" s="38">
        <f t="shared" si="182"/>
        <v>0</v>
      </c>
      <c r="T190" s="38">
        <f t="shared" si="182"/>
        <v>0</v>
      </c>
      <c r="U190" s="38">
        <f t="shared" si="182"/>
        <v>0</v>
      </c>
      <c r="V190" s="159">
        <f t="shared" si="182"/>
        <v>0</v>
      </c>
      <c r="W190" s="38">
        <f t="shared" si="182"/>
        <v>0</v>
      </c>
      <c r="X190" s="39">
        <f t="shared" si="182"/>
        <v>0</v>
      </c>
      <c r="Y190" s="46">
        <v>0</v>
      </c>
      <c r="Z190" s="46">
        <v>0</v>
      </c>
      <c r="AA190" s="47">
        <v>0</v>
      </c>
      <c r="AB190" s="46">
        <v>0</v>
      </c>
      <c r="AC190" s="46">
        <v>0</v>
      </c>
      <c r="AD190" s="47">
        <v>0</v>
      </c>
      <c r="AE190" s="46">
        <v>0</v>
      </c>
      <c r="AF190" s="46">
        <v>0</v>
      </c>
      <c r="AG190" s="47">
        <v>0</v>
      </c>
      <c r="AH190" s="46">
        <v>0</v>
      </c>
      <c r="AI190" s="46">
        <v>0</v>
      </c>
      <c r="AJ190" s="47">
        <v>0</v>
      </c>
      <c r="AK190" s="46">
        <v>0</v>
      </c>
      <c r="AL190" s="46">
        <v>0</v>
      </c>
      <c r="AM190" s="47">
        <v>0</v>
      </c>
      <c r="AN190" s="46">
        <v>0</v>
      </c>
      <c r="AO190" s="46">
        <v>0</v>
      </c>
      <c r="AP190" s="47">
        <v>0</v>
      </c>
      <c r="AQ190" s="46">
        <v>0</v>
      </c>
      <c r="AR190" s="46">
        <v>0</v>
      </c>
      <c r="AS190" s="47">
        <v>0</v>
      </c>
      <c r="AT190" s="46">
        <v>0</v>
      </c>
      <c r="AU190" s="46">
        <v>0</v>
      </c>
      <c r="AV190" s="46">
        <v>0</v>
      </c>
      <c r="AW190" s="1545">
        <v>0</v>
      </c>
      <c r="AX190" s="10">
        <f t="shared" si="169"/>
        <v>21</v>
      </c>
      <c r="AY190" s="42">
        <f>IF(AND($E190=MONTH(Summary!$E$24),$D190=YEAR(Summary!$E$24)),Summary!$E$25,1)*IF(G190="",0,INT((H190-MOD(H190,7)-G190)/7)+1-IF(BA190,IF(WEEKDAY(F190)=7,1,0),0))</f>
        <v>4</v>
      </c>
      <c r="AZ190" s="42">
        <f>IF(AND($E190=MONTH(Summary!$E$24),$D190=YEAR(Summary!$E$24)),Summary!$E$25,1)*IF(G190="",0,INT((H190-MOD(H190-1,7)-G190)/7)+1-IF(BA190,IF(WEEKDAY(F190)=1,1,0),0))</f>
        <v>5</v>
      </c>
      <c r="BA190" s="42">
        <v>0</v>
      </c>
      <c r="BB190" s="10">
        <f>IF(AND($E190=MONTH(Summary!$E$24),$D190=YEAR(Summary!$E$24)),Summary!$E$25,1)*IF(G190="",0,H190-G190+1)</f>
        <v>30</v>
      </c>
      <c r="BC190" s="914">
        <f>Summary!$E$19</f>
        <v>1.4999999999999999E-2</v>
      </c>
      <c r="BD190" s="113">
        <v>14893.2</v>
      </c>
      <c r="BE190" s="171">
        <v>2836.8</v>
      </c>
      <c r="BF190" s="171">
        <v>3546</v>
      </c>
      <c r="BG190" s="174"/>
      <c r="BH190" s="1198">
        <v>1</v>
      </c>
      <c r="BI190" s="1198">
        <v>1</v>
      </c>
      <c r="BJ190" s="1198">
        <v>1</v>
      </c>
      <c r="BK190" s="1198">
        <v>1</v>
      </c>
      <c r="BL190" s="95">
        <v>2978.64</v>
      </c>
      <c r="BM190" s="171">
        <v>567.36</v>
      </c>
      <c r="BN190" s="171">
        <v>709.2</v>
      </c>
      <c r="BO190" s="174"/>
      <c r="BP190" s="1198">
        <v>1</v>
      </c>
      <c r="BQ190" s="1199">
        <v>1</v>
      </c>
      <c r="BR190" s="1199">
        <v>1</v>
      </c>
      <c r="BS190" s="1200">
        <v>1</v>
      </c>
      <c r="BT190" s="94">
        <f t="shared" si="146"/>
        <v>21276</v>
      </c>
      <c r="BU190" s="233">
        <f t="shared" si="147"/>
        <v>21276</v>
      </c>
      <c r="BV190" s="92">
        <f t="shared" si="148"/>
        <v>4255.2</v>
      </c>
      <c r="BW190" s="233">
        <f t="shared" si="149"/>
        <v>4255.2</v>
      </c>
      <c r="BX190" s="88">
        <v>14.461327857631758</v>
      </c>
      <c r="BY190" s="90">
        <v>0</v>
      </c>
      <c r="BZ190" s="88">
        <v>0</v>
      </c>
      <c r="CA190" s="88">
        <v>0</v>
      </c>
      <c r="CB190" s="88">
        <v>0</v>
      </c>
      <c r="CC190" s="88">
        <v>0</v>
      </c>
      <c r="CD190" s="88">
        <v>0</v>
      </c>
      <c r="CE190" s="100">
        <v>0</v>
      </c>
      <c r="CF190" s="88">
        <v>0</v>
      </c>
      <c r="CG190" s="88">
        <v>0</v>
      </c>
      <c r="CH190" s="88">
        <v>0</v>
      </c>
      <c r="CI190" s="88">
        <v>0</v>
      </c>
      <c r="CJ190" s="228">
        <v>0</v>
      </c>
      <c r="CK190" s="88">
        <v>0</v>
      </c>
      <c r="CL190" s="88">
        <v>0</v>
      </c>
      <c r="CM190" s="88">
        <v>0</v>
      </c>
      <c r="CN190" s="88">
        <v>0</v>
      </c>
      <c r="CO190" s="88">
        <v>0</v>
      </c>
      <c r="CP190" s="88">
        <v>0</v>
      </c>
      <c r="CQ190" s="229">
        <v>0</v>
      </c>
      <c r="CR190" s="91">
        <v>0</v>
      </c>
      <c r="CS190" s="91">
        <v>0</v>
      </c>
      <c r="CT190" s="91">
        <v>0</v>
      </c>
      <c r="CU190" s="91">
        <v>0</v>
      </c>
      <c r="CV190" s="91">
        <v>0</v>
      </c>
      <c r="CW190" s="91">
        <v>0</v>
      </c>
      <c r="CX190" s="225">
        <v>0</v>
      </c>
      <c r="CY190" s="1265">
        <v>7756.7344000000003</v>
      </c>
      <c r="CZ190" s="90">
        <v>0</v>
      </c>
      <c r="DA190" s="88">
        <v>0</v>
      </c>
      <c r="DB190" s="88">
        <v>0</v>
      </c>
      <c r="DC190" s="88">
        <v>0</v>
      </c>
      <c r="DD190" s="88">
        <v>0</v>
      </c>
      <c r="DE190" s="152">
        <v>0</v>
      </c>
      <c r="DF190" s="230">
        <v>0</v>
      </c>
      <c r="DG190" s="38">
        <v>0</v>
      </c>
      <c r="DH190" s="1237">
        <v>0</v>
      </c>
      <c r="DI190" s="956">
        <v>0</v>
      </c>
      <c r="DJ190" s="956">
        <v>0</v>
      </c>
      <c r="DK190" s="956">
        <v>0</v>
      </c>
      <c r="DL190" s="152">
        <v>0</v>
      </c>
      <c r="DM190" s="160">
        <v>0</v>
      </c>
      <c r="DN190" s="160">
        <v>0</v>
      </c>
      <c r="DO190" s="160">
        <v>0</v>
      </c>
      <c r="DP190" s="160">
        <v>0</v>
      </c>
      <c r="DQ190" s="160">
        <v>0</v>
      </c>
      <c r="DR190" s="230">
        <v>0</v>
      </c>
      <c r="DS190" s="88">
        <v>0</v>
      </c>
      <c r="DT190" s="88">
        <v>0</v>
      </c>
      <c r="DU190" s="88">
        <v>0</v>
      </c>
      <c r="DV190" s="88">
        <v>0</v>
      </c>
      <c r="DW190" s="88">
        <v>0</v>
      </c>
      <c r="DX190" s="88">
        <v>0</v>
      </c>
      <c r="DY190" s="88">
        <v>0</v>
      </c>
      <c r="DZ190" s="88">
        <v>0</v>
      </c>
      <c r="EA190" s="88">
        <v>0</v>
      </c>
      <c r="EB190" s="152">
        <v>0</v>
      </c>
      <c r="EC190" s="52">
        <f t="shared" si="150"/>
        <v>0</v>
      </c>
      <c r="ED190" s="52">
        <f t="shared" si="150"/>
        <v>0</v>
      </c>
      <c r="EE190" s="52">
        <f t="shared" si="150"/>
        <v>0</v>
      </c>
      <c r="EF190" s="52">
        <f t="shared" si="150"/>
        <v>0</v>
      </c>
      <c r="EG190" s="52">
        <f t="shared" si="151"/>
        <v>0</v>
      </c>
      <c r="EH190" s="238">
        <v>0</v>
      </c>
      <c r="EI190" s="211">
        <v>0</v>
      </c>
      <c r="EJ190" s="211">
        <v>0</v>
      </c>
      <c r="EK190" s="211">
        <v>0</v>
      </c>
      <c r="EL190" s="217">
        <f>IF(C190&gt;=Summary!$E$26,MAX(0,SUM(EH190:EK190)),0)</f>
        <v>0</v>
      </c>
      <c r="EM190" s="52">
        <f>IF(C190&gt;=Summary!$E$26,DX190*BL190,0)</f>
        <v>0</v>
      </c>
      <c r="EN190" s="52">
        <f>IF(C190&gt;=Summary!$E$26,DY190*BM190,0)</f>
        <v>0</v>
      </c>
      <c r="EO190" s="52">
        <f>IF(C190&gt;=Summary!$E$26,DZ190*BN190,0)</f>
        <v>0</v>
      </c>
      <c r="EP190" s="52">
        <f>IF(C190&gt;=Summary!$E$26,EA190*BO190,0)</f>
        <v>0</v>
      </c>
      <c r="EQ190" s="52">
        <f>IF(C190&gt;=Summary!$E$26,DX190*BL190+DY190*BM190+DZ190*BN190+EA190*BO190,0)</f>
        <v>0</v>
      </c>
      <c r="ER190" s="826">
        <v>0</v>
      </c>
      <c r="ES190" s="278">
        <v>0</v>
      </c>
      <c r="ET190" s="278">
        <v>0</v>
      </c>
      <c r="EU190" s="278">
        <v>0</v>
      </c>
      <c r="EV190" s="212">
        <f>IF(C190&gt;=Summary!$E$26,MAX(0,SUM(ER190:EU190)),0)</f>
        <v>0</v>
      </c>
      <c r="EW190" s="52"/>
      <c r="EX190" s="1049">
        <f t="shared" si="152"/>
        <v>0</v>
      </c>
      <c r="EY190" s="1045" t="str">
        <f t="shared" si="153"/>
        <v/>
      </c>
      <c r="EZ190" s="1684" t="s">
        <v>525</v>
      </c>
      <c r="FA190" s="1046">
        <f t="shared" si="166"/>
        <v>45</v>
      </c>
      <c r="FB190" s="256">
        <f t="shared" si="154"/>
        <v>11169.9</v>
      </c>
      <c r="FC190" s="194">
        <f t="shared" si="155"/>
        <v>0</v>
      </c>
      <c r="FD190" s="194">
        <f t="shared" si="156"/>
        <v>2127.6</v>
      </c>
      <c r="FE190" s="194">
        <f t="shared" si="157"/>
        <v>0</v>
      </c>
      <c r="FF190" s="194">
        <f t="shared" si="158"/>
        <v>2659.5</v>
      </c>
      <c r="FG190" s="194">
        <f t="shared" si="159"/>
        <v>0</v>
      </c>
      <c r="FH190" s="257">
        <f>IF(EZ190="No",IF((OR(MONTH(C190)=5,MONTH(C190)=6,MONTH(C190)=7,MONTH(C190)=8,MONTH(C190)=9)),Summary!$O$15*12*(AX190+AY190+AZ190+BA190)*(1-$BC190),Summary!$O$15*13*(AX190+AY190+AZ190+BA190)*(1-$BC190)+IF(Summary!$O$16="Yes",(CALC!FA190+Summary!$O$15)*6*(AX190+AY190+AZ190+BA190)*(1-$BC190),0)),0)</f>
        <v>0</v>
      </c>
      <c r="FI190" s="1412">
        <f>IF(MONTH(C190)=5,FI189*(IF(Summary!$E$70="no",(1+(Summary!$E$71*0.8)),1+HLOOKUP(YEAR(C190)-1,CCFMODEL!$I$127:$AF$128,2)*0.8)),+FI189)</f>
        <v>37.968463365561441</v>
      </c>
      <c r="FJ190" s="1411">
        <f>IF(MONTH(C190)=5,FJ189*(IF(Summary!$E$70="no",(1+(Summary!$E$71*0.8)),1+HLOOKUP(YEAR(CALC!C190)-1,CCFMODEL!$I$127:$AF$128,2)*0.8)),FJ189)</f>
        <v>33.185034910057638</v>
      </c>
      <c r="FK190" s="832">
        <f t="shared" si="127"/>
        <v>605862.76992426394</v>
      </c>
      <c r="FL190" s="1412">
        <f>IF(MONTH(C190)=5,FL189*(IF(Summary!$E$70="no",(1+(Summary!$E$71*0.8)),1+HLOOKUP(YEAR(CALC!C190)-1,CCFMODEL!$I$127:$AF$128,2)*0.8)),+FL189)</f>
        <v>79.85193513964532</v>
      </c>
      <c r="FM190" s="1411">
        <f>IF(MONTH(C190)=5,FM189*(IF(Summary!$E$70="no",(1+(Summary!$E$71*0.8)),1+HLOOKUP(YEAR(CALC!C190)-1,CCFMODEL!$I$127:$AF$128,2)*0.8)),+FM189)</f>
        <v>38.110827307689526</v>
      </c>
      <c r="FN190" s="832">
        <f t="shared" si="128"/>
        <v>1293601.3492622541</v>
      </c>
      <c r="FO190" s="194">
        <f t="shared" si="160"/>
        <v>1899464.119186518</v>
      </c>
      <c r="FP190" s="263">
        <f t="shared" si="177"/>
        <v>11169.9</v>
      </c>
      <c r="FQ190" s="194">
        <f t="shared" si="178"/>
        <v>0</v>
      </c>
      <c r="FR190" s="194">
        <f t="shared" si="179"/>
        <v>2127.6</v>
      </c>
      <c r="FS190" s="194">
        <f t="shared" si="176"/>
        <v>0</v>
      </c>
      <c r="FT190" s="194">
        <f t="shared" si="176"/>
        <v>2659.5</v>
      </c>
      <c r="FU190" s="194">
        <f t="shared" si="176"/>
        <v>0</v>
      </c>
      <c r="FV190" s="257">
        <f t="shared" si="124"/>
        <v>0</v>
      </c>
      <c r="FW190" s="189">
        <f t="shared" si="129"/>
        <v>0</v>
      </c>
      <c r="FX190" s="189">
        <f t="shared" si="130"/>
        <v>0</v>
      </c>
      <c r="FY190" s="189">
        <f t="shared" si="131"/>
        <v>0</v>
      </c>
      <c r="FZ190" s="258">
        <f t="shared" si="132"/>
        <v>0</v>
      </c>
      <c r="GA190" s="1294">
        <f>(SUM(FP190:FV190)+SUM(GU190:HB190)/(1-Summary!$O$25))*CY190/1000</f>
        <v>198038.73731328003</v>
      </c>
      <c r="GB190" s="1369">
        <f>IF($C190&lt;Summary!$M$81,+Summary!$O$81,VLOOKUP(C190,GasTable,19))</f>
        <v>3.2784486502320576</v>
      </c>
      <c r="GC190" s="1370">
        <f>IF(H190&lt;=Summary!$N$84,MIN(GA190,Summary!$O$75*(H190-G190+1)),0)</f>
        <v>0</v>
      </c>
      <c r="GD190" s="1371">
        <f>IF(C190&lt;Summary!$N$84,IF(Summary!$O$75*(H190-G190+1)*0.8&gt;GC190,1,0),0)</f>
        <v>0</v>
      </c>
      <c r="GE190" s="1372">
        <v>0</v>
      </c>
      <c r="GF190" s="1370">
        <f t="shared" si="161"/>
        <v>198038.73731328003</v>
      </c>
      <c r="GG190" s="1371">
        <f>GF190*(IF(Summary!$O$74=1,VLOOKUP($C190,GasTable,16)+Summary!$O$92+Summary!$O$93,VLOOKUP($C190,GasTable,19)+Summary!$O$92+Summary!$O$93))</f>
        <v>659577.64925240586</v>
      </c>
      <c r="GH190" s="1373">
        <v>4917.6729753480868</v>
      </c>
      <c r="GI190" s="1466">
        <v>0</v>
      </c>
      <c r="GJ190" s="1374">
        <f t="shared" si="162"/>
        <v>664495.32222775393</v>
      </c>
      <c r="GK190" s="189">
        <f t="shared" si="133"/>
        <v>25196.103000000003</v>
      </c>
      <c r="GL190" s="266">
        <v>0.51970120480000004</v>
      </c>
      <c r="GM190" s="255">
        <f t="shared" si="134"/>
        <v>0</v>
      </c>
      <c r="GN190" s="189">
        <f>IF(SUM(GU190:HB190)=0,0,IF(Summary!$O$16="Yes",SUM(GX190:HB190),IF(Summary!$O$17="Yes",SUM(GY190:HB190),SUM(GU190:HB190))))</f>
        <v>9239.103000000001</v>
      </c>
      <c r="GO190" s="203">
        <v>3.5992458930959277</v>
      </c>
      <c r="GP190" s="258">
        <f t="shared" si="163"/>
        <v>33253.803528640266</v>
      </c>
      <c r="GQ190" s="189"/>
      <c r="GR190" s="189"/>
      <c r="GS190" s="189"/>
      <c r="GT190" s="189"/>
      <c r="GU190" s="268">
        <v>3592.9845000000009</v>
      </c>
      <c r="GV190" s="189">
        <v>684.37800000000027</v>
      </c>
      <c r="GW190" s="189">
        <v>855.47249999999997</v>
      </c>
      <c r="GX190" s="189"/>
      <c r="GY190" s="254">
        <v>2874.3875999999996</v>
      </c>
      <c r="GZ190" s="189">
        <v>547.50239999999997</v>
      </c>
      <c r="HA190" s="189">
        <v>684.37800000000004</v>
      </c>
      <c r="HB190" s="255"/>
      <c r="HC190" s="189">
        <v>9239.103000000001</v>
      </c>
      <c r="HD190" s="189"/>
      <c r="HE190" s="189">
        <v>21557.906999999999</v>
      </c>
      <c r="HF190" s="189">
        <v>379760.64002766513</v>
      </c>
      <c r="HG190" s="189"/>
      <c r="HH190" s="203">
        <v>42.522254480519905</v>
      </c>
      <c r="HI190" s="189">
        <v>916690.80752138142</v>
      </c>
      <c r="HJ190" s="268">
        <f t="shared" si="135"/>
        <v>0</v>
      </c>
      <c r="HK190" s="189">
        <f t="shared" si="136"/>
        <v>0</v>
      </c>
      <c r="HL190" s="189">
        <f t="shared" si="137"/>
        <v>0</v>
      </c>
      <c r="HM190" s="255">
        <f t="shared" si="138"/>
        <v>0</v>
      </c>
      <c r="HN190" s="189">
        <f t="shared" si="139"/>
        <v>0</v>
      </c>
      <c r="HO190" s="203">
        <f t="shared" si="164"/>
        <v>0</v>
      </c>
      <c r="HP190" s="258">
        <f t="shared" si="140"/>
        <v>0</v>
      </c>
      <c r="HQ190" s="804"/>
      <c r="HR190" s="268"/>
      <c r="HS190" s="1408"/>
      <c r="HT190" s="255"/>
      <c r="HU190" s="268"/>
      <c r="HV190" s="1408"/>
      <c r="HW190" s="255"/>
      <c r="HX190" s="1408"/>
      <c r="HY190" s="1408"/>
      <c r="HZ190"/>
      <c r="IA190" s="203"/>
      <c r="IB190" s="203"/>
      <c r="IC190" s="203"/>
      <c r="ID190" s="203"/>
      <c r="IE190" s="203"/>
      <c r="IF190" s="203"/>
      <c r="IG190" s="203"/>
      <c r="IH190" s="203"/>
      <c r="II190" s="203"/>
      <c r="IJ190" s="203"/>
      <c r="IK190" s="203"/>
      <c r="IL190" s="821"/>
      <c r="IM190" s="820"/>
      <c r="IN190" s="820"/>
      <c r="IR190" s="223"/>
    </row>
    <row r="191" spans="1:252" ht="13.8" thickBot="1">
      <c r="A191" t="str">
        <f t="shared" si="141"/>
        <v>2014Q3</v>
      </c>
      <c r="B191">
        <f t="shared" si="142"/>
        <v>2014</v>
      </c>
      <c r="C191" s="49">
        <f t="shared" si="143"/>
        <v>41821</v>
      </c>
      <c r="D191" s="115">
        <f t="shared" si="144"/>
        <v>2014</v>
      </c>
      <c r="E191" s="10">
        <f t="shared" si="167"/>
        <v>7</v>
      </c>
      <c r="F191" s="248">
        <f t="shared" si="168"/>
        <v>41824</v>
      </c>
      <c r="G191" s="245">
        <v>41821</v>
      </c>
      <c r="H191" s="251">
        <v>41851</v>
      </c>
      <c r="I191" s="959">
        <f t="shared" si="165"/>
        <v>7.1499999999999994E-2</v>
      </c>
      <c r="J191" s="37">
        <f t="shared" si="145"/>
        <v>0.35653653924996426</v>
      </c>
      <c r="K191" s="1036"/>
      <c r="L191" s="37"/>
      <c r="M191" s="1004">
        <v>0</v>
      </c>
      <c r="N191" s="38">
        <f t="shared" si="181"/>
        <v>0</v>
      </c>
      <c r="O191" s="40">
        <f t="shared" si="181"/>
        <v>0</v>
      </c>
      <c r="P191" s="159">
        <f t="shared" si="172"/>
        <v>0</v>
      </c>
      <c r="Q191" s="38">
        <f t="shared" si="182"/>
        <v>0</v>
      </c>
      <c r="R191" s="40">
        <f t="shared" si="182"/>
        <v>0</v>
      </c>
      <c r="S191" s="38">
        <f t="shared" si="182"/>
        <v>0</v>
      </c>
      <c r="T191" s="38">
        <f t="shared" si="182"/>
        <v>0</v>
      </c>
      <c r="U191" s="38">
        <f t="shared" si="182"/>
        <v>0</v>
      </c>
      <c r="V191" s="159">
        <f t="shared" si="182"/>
        <v>0</v>
      </c>
      <c r="W191" s="38">
        <f t="shared" si="182"/>
        <v>0</v>
      </c>
      <c r="X191" s="39">
        <f t="shared" si="182"/>
        <v>0</v>
      </c>
      <c r="Y191" s="46">
        <v>0</v>
      </c>
      <c r="Z191" s="46">
        <v>0</v>
      </c>
      <c r="AA191" s="47">
        <v>0</v>
      </c>
      <c r="AB191" s="46">
        <v>0</v>
      </c>
      <c r="AC191" s="46">
        <v>0</v>
      </c>
      <c r="AD191" s="47">
        <v>0</v>
      </c>
      <c r="AE191" s="46">
        <v>0</v>
      </c>
      <c r="AF191" s="46">
        <v>0</v>
      </c>
      <c r="AG191" s="47">
        <v>0</v>
      </c>
      <c r="AH191" s="46">
        <v>0</v>
      </c>
      <c r="AI191" s="46">
        <v>0</v>
      </c>
      <c r="AJ191" s="47">
        <v>0</v>
      </c>
      <c r="AK191" s="46">
        <v>0</v>
      </c>
      <c r="AL191" s="46">
        <v>0</v>
      </c>
      <c r="AM191" s="47">
        <v>0</v>
      </c>
      <c r="AN191" s="46">
        <v>0</v>
      </c>
      <c r="AO191" s="46">
        <v>0</v>
      </c>
      <c r="AP191" s="47">
        <v>0</v>
      </c>
      <c r="AQ191" s="46">
        <v>0</v>
      </c>
      <c r="AR191" s="46">
        <v>0</v>
      </c>
      <c r="AS191" s="47">
        <v>0</v>
      </c>
      <c r="AT191" s="46">
        <v>0</v>
      </c>
      <c r="AU191" s="46">
        <v>0</v>
      </c>
      <c r="AV191" s="46">
        <v>0</v>
      </c>
      <c r="AW191" s="1545">
        <v>0</v>
      </c>
      <c r="AX191" s="10">
        <f t="shared" si="169"/>
        <v>22</v>
      </c>
      <c r="AY191" s="42">
        <f>IF(AND($E191=MONTH(Summary!$E$24),$D191=YEAR(Summary!$E$24)),Summary!$E$25,1)*IF(G191="",0,INT((H191-MOD(H191,7)-G191)/7)+1-IF(BA191,IF(WEEKDAY(F191)=7,1,0),0))</f>
        <v>4</v>
      </c>
      <c r="AZ191" s="42">
        <f>IF(AND($E191=MONTH(Summary!$E$24),$D191=YEAR(Summary!$E$24)),Summary!$E$25,1)*IF(G191="",0,INT((H191-MOD(H191-1,7)-G191)/7)+1-IF(BA191,IF(WEEKDAY(F191)=1,1,0),0))</f>
        <v>4</v>
      </c>
      <c r="BA191" s="42">
        <v>1</v>
      </c>
      <c r="BB191" s="10">
        <f>IF(AND($E191=MONTH(Summary!$E$24),$D191=YEAR(Summary!$E$24)),Summary!$E$25,1)*IF(G191="",0,H191-G191+1)</f>
        <v>31</v>
      </c>
      <c r="BC191" s="914">
        <f>Summary!$E$19</f>
        <v>1.4999999999999999E-2</v>
      </c>
      <c r="BD191" s="113">
        <v>15602.4</v>
      </c>
      <c r="BE191" s="171">
        <v>2836.8</v>
      </c>
      <c r="BF191" s="171">
        <v>3546</v>
      </c>
      <c r="BG191" s="174"/>
      <c r="BH191" s="1198">
        <v>1</v>
      </c>
      <c r="BI191" s="1198">
        <v>1</v>
      </c>
      <c r="BJ191" s="1198">
        <v>1</v>
      </c>
      <c r="BK191" s="1198">
        <v>1</v>
      </c>
      <c r="BL191" s="95">
        <v>3120.48</v>
      </c>
      <c r="BM191" s="171">
        <v>567.36</v>
      </c>
      <c r="BN191" s="171">
        <v>709.2</v>
      </c>
      <c r="BO191" s="174"/>
      <c r="BP191" s="1198">
        <v>1</v>
      </c>
      <c r="BQ191" s="1199">
        <v>1</v>
      </c>
      <c r="BR191" s="1199">
        <v>1</v>
      </c>
      <c r="BS191" s="1200">
        <v>1</v>
      </c>
      <c r="BT191" s="94">
        <f t="shared" si="146"/>
        <v>21985.200000000001</v>
      </c>
      <c r="BU191" s="233">
        <f t="shared" si="147"/>
        <v>21985.200000000001</v>
      </c>
      <c r="BV191" s="92">
        <f t="shared" si="148"/>
        <v>4397.04</v>
      </c>
      <c r="BW191" s="233">
        <f t="shared" si="149"/>
        <v>4397.04</v>
      </c>
      <c r="BX191" s="88">
        <v>14.543463381245722</v>
      </c>
      <c r="BY191" s="90">
        <v>0</v>
      </c>
      <c r="BZ191" s="88">
        <v>0</v>
      </c>
      <c r="CA191" s="88">
        <v>0</v>
      </c>
      <c r="CB191" s="88">
        <v>0</v>
      </c>
      <c r="CC191" s="88">
        <v>0</v>
      </c>
      <c r="CD191" s="88">
        <v>0</v>
      </c>
      <c r="CE191" s="100">
        <v>0</v>
      </c>
      <c r="CF191" s="88">
        <v>0</v>
      </c>
      <c r="CG191" s="88">
        <v>0</v>
      </c>
      <c r="CH191" s="88">
        <v>0</v>
      </c>
      <c r="CI191" s="88">
        <v>0</v>
      </c>
      <c r="CJ191" s="228">
        <v>0</v>
      </c>
      <c r="CK191" s="88">
        <v>0</v>
      </c>
      <c r="CL191" s="88">
        <v>0</v>
      </c>
      <c r="CM191" s="88">
        <v>0</v>
      </c>
      <c r="CN191" s="88">
        <v>0</v>
      </c>
      <c r="CO191" s="88">
        <v>0</v>
      </c>
      <c r="CP191" s="88">
        <v>0</v>
      </c>
      <c r="CQ191" s="229">
        <v>0</v>
      </c>
      <c r="CR191" s="91">
        <v>0</v>
      </c>
      <c r="CS191" s="91">
        <v>0</v>
      </c>
      <c r="CT191" s="91">
        <v>0</v>
      </c>
      <c r="CU191" s="91">
        <v>0</v>
      </c>
      <c r="CV191" s="91">
        <v>0</v>
      </c>
      <c r="CW191" s="91">
        <v>0</v>
      </c>
      <c r="CX191" s="225">
        <v>0</v>
      </c>
      <c r="CY191" s="1265">
        <v>7758.0372800000005</v>
      </c>
      <c r="CZ191" s="90">
        <v>0</v>
      </c>
      <c r="DA191" s="88">
        <v>0</v>
      </c>
      <c r="DB191" s="88">
        <v>0</v>
      </c>
      <c r="DC191" s="88">
        <v>0</v>
      </c>
      <c r="DD191" s="88">
        <v>0</v>
      </c>
      <c r="DE191" s="152">
        <v>0</v>
      </c>
      <c r="DF191" s="230">
        <v>0</v>
      </c>
      <c r="DG191" s="38">
        <v>0</v>
      </c>
      <c r="DH191" s="1237">
        <v>0</v>
      </c>
      <c r="DI191" s="956">
        <v>0</v>
      </c>
      <c r="DJ191" s="956">
        <v>0</v>
      </c>
      <c r="DK191" s="956">
        <v>0</v>
      </c>
      <c r="DL191" s="152">
        <v>0</v>
      </c>
      <c r="DM191" s="160">
        <v>0</v>
      </c>
      <c r="DN191" s="160">
        <v>0</v>
      </c>
      <c r="DO191" s="160">
        <v>0</v>
      </c>
      <c r="DP191" s="160">
        <v>0</v>
      </c>
      <c r="DQ191" s="160">
        <v>0</v>
      </c>
      <c r="DR191" s="230">
        <v>0</v>
      </c>
      <c r="DS191" s="88">
        <v>0</v>
      </c>
      <c r="DT191" s="88">
        <v>0</v>
      </c>
      <c r="DU191" s="88">
        <v>0</v>
      </c>
      <c r="DV191" s="88">
        <v>0</v>
      </c>
      <c r="DW191" s="88">
        <v>0</v>
      </c>
      <c r="DX191" s="88">
        <v>0</v>
      </c>
      <c r="DY191" s="88">
        <v>0</v>
      </c>
      <c r="DZ191" s="88">
        <v>0</v>
      </c>
      <c r="EA191" s="88">
        <v>0</v>
      </c>
      <c r="EB191" s="152">
        <v>0</v>
      </c>
      <c r="EC191" s="52">
        <f t="shared" si="150"/>
        <v>0</v>
      </c>
      <c r="ED191" s="52">
        <f t="shared" si="150"/>
        <v>0</v>
      </c>
      <c r="EE191" s="52">
        <f t="shared" si="150"/>
        <v>0</v>
      </c>
      <c r="EF191" s="52">
        <f t="shared" si="150"/>
        <v>0</v>
      </c>
      <c r="EG191" s="52">
        <f t="shared" si="151"/>
        <v>0</v>
      </c>
      <c r="EH191" s="238">
        <v>0</v>
      </c>
      <c r="EI191" s="211">
        <v>0</v>
      </c>
      <c r="EJ191" s="211">
        <v>0</v>
      </c>
      <c r="EK191" s="211">
        <v>0</v>
      </c>
      <c r="EL191" s="217">
        <f>IF(C191&gt;=Summary!$E$26,MAX(0,SUM(EH191:EK191)),0)</f>
        <v>0</v>
      </c>
      <c r="EM191" s="52">
        <f>IF(C191&gt;=Summary!$E$26,DX191*BL191,0)</f>
        <v>0</v>
      </c>
      <c r="EN191" s="52">
        <f>IF(C191&gt;=Summary!$E$26,DY191*BM191,0)</f>
        <v>0</v>
      </c>
      <c r="EO191" s="52">
        <f>IF(C191&gt;=Summary!$E$26,DZ191*BN191,0)</f>
        <v>0</v>
      </c>
      <c r="EP191" s="52">
        <f>IF(C191&gt;=Summary!$E$26,EA191*BO191,0)</f>
        <v>0</v>
      </c>
      <c r="EQ191" s="52">
        <f>IF(C191&gt;=Summary!$E$26,DX191*BL191+DY191*BM191+DZ191*BN191+EA191*BO191,0)</f>
        <v>0</v>
      </c>
      <c r="ER191" s="826">
        <v>0</v>
      </c>
      <c r="ES191" s="278">
        <v>0</v>
      </c>
      <c r="ET191" s="278">
        <v>0</v>
      </c>
      <c r="EU191" s="278">
        <v>0</v>
      </c>
      <c r="EV191" s="212">
        <f>IF(C191&gt;=Summary!$E$26,MAX(0,SUM(ER191:EU191)),0)</f>
        <v>0</v>
      </c>
      <c r="EW191" s="52"/>
      <c r="EX191" s="1049">
        <f t="shared" si="152"/>
        <v>0</v>
      </c>
      <c r="EY191" s="1045" t="str">
        <f t="shared" si="153"/>
        <v/>
      </c>
      <c r="EZ191" s="1684" t="s">
        <v>525</v>
      </c>
      <c r="FA191" s="1046">
        <f t="shared" si="166"/>
        <v>45</v>
      </c>
      <c r="FB191" s="256">
        <f t="shared" si="154"/>
        <v>11701.8</v>
      </c>
      <c r="FC191" s="194">
        <f t="shared" si="155"/>
        <v>0</v>
      </c>
      <c r="FD191" s="194">
        <f t="shared" si="156"/>
        <v>2127.6</v>
      </c>
      <c r="FE191" s="194">
        <f t="shared" si="157"/>
        <v>0</v>
      </c>
      <c r="FF191" s="194">
        <f t="shared" si="158"/>
        <v>2659.5</v>
      </c>
      <c r="FG191" s="194">
        <f t="shared" si="159"/>
        <v>0</v>
      </c>
      <c r="FH191" s="257">
        <f>IF(EZ191="No",IF((OR(MONTH(C191)=5,MONTH(C191)=6,MONTH(C191)=7,MONTH(C191)=8,MONTH(C191)=9)),Summary!$O$15*12*(AX191+AY191+AZ191+BA191)*(1-$BC191),Summary!$O$15*13*(AX191+AY191+AZ191+BA191)*(1-$BC191)+IF(Summary!$O$16="Yes",(CALC!FA191+Summary!$O$15)*6*(AX191+AY191+AZ191+BA191)*(1-$BC191),0)),0)</f>
        <v>0</v>
      </c>
      <c r="FI191" s="1412">
        <f>IF(MONTH(C191)=5,FI190*(IF(Summary!$E$70="no",(1+(Summary!$E$71*0.8)),1+HLOOKUP(YEAR(C191)-1,CCFMODEL!$I$127:$AF$128,2)*0.8)),+FI190)</f>
        <v>37.968463365561441</v>
      </c>
      <c r="FJ191" s="1411">
        <f>IF(MONTH(C191)=5,FJ190*(IF(Summary!$E$70="no",(1+(Summary!$E$71*0.8)),1+HLOOKUP(YEAR(CALC!C191)-1,CCFMODEL!$I$127:$AF$128,2)*0.8)),FJ190)</f>
        <v>33.185034910057638</v>
      </c>
      <c r="FK191" s="832">
        <f t="shared" si="127"/>
        <v>626058.19558840606</v>
      </c>
      <c r="FL191" s="1412">
        <f>IF(MONTH(C191)=5,FL190*(IF(Summary!$E$70="no",(1+(Summary!$E$71*0.8)),1+HLOOKUP(YEAR(CALC!C191)-1,CCFMODEL!$I$127:$AF$128,2)*0.8)),+FL190)</f>
        <v>79.85193513964532</v>
      </c>
      <c r="FM191" s="1411">
        <f>IF(MONTH(C191)=5,FM190*(IF(Summary!$E$70="no",(1+(Summary!$E$71*0.8)),1+HLOOKUP(YEAR(CALC!C191)-1,CCFMODEL!$I$127:$AF$128,2)*0.8)),+FM190)</f>
        <v>38.110827307689526</v>
      </c>
      <c r="FN191" s="832">
        <f t="shared" si="128"/>
        <v>1336721.3942376627</v>
      </c>
      <c r="FO191" s="194">
        <f t="shared" si="160"/>
        <v>1962779.5898260688</v>
      </c>
      <c r="FP191" s="263">
        <f t="shared" si="177"/>
        <v>11701.8</v>
      </c>
      <c r="FQ191" s="194">
        <f t="shared" si="178"/>
        <v>0</v>
      </c>
      <c r="FR191" s="194">
        <f t="shared" si="179"/>
        <v>2127.6</v>
      </c>
      <c r="FS191" s="194">
        <f t="shared" si="176"/>
        <v>0</v>
      </c>
      <c r="FT191" s="194">
        <f t="shared" si="176"/>
        <v>2659.5</v>
      </c>
      <c r="FU191" s="194">
        <f t="shared" si="176"/>
        <v>0</v>
      </c>
      <c r="FV191" s="257">
        <f t="shared" si="124"/>
        <v>0</v>
      </c>
      <c r="FW191" s="189">
        <f t="shared" si="129"/>
        <v>0</v>
      </c>
      <c r="FX191" s="189">
        <f t="shared" si="130"/>
        <v>0</v>
      </c>
      <c r="FY191" s="189">
        <f t="shared" si="131"/>
        <v>0</v>
      </c>
      <c r="FZ191" s="258">
        <f t="shared" si="132"/>
        <v>0</v>
      </c>
      <c r="GA191" s="1294">
        <f>(SUM(FP191:FV191)+SUM(GU191:HB191)/(1-Summary!$O$25))*CY191/1000</f>
        <v>204674.40144990722</v>
      </c>
      <c r="GB191" s="1369">
        <f>IF($C191&lt;Summary!$M$81,+Summary!$O$81,VLOOKUP(C191,GasTable,19))</f>
        <v>3.3679374808947613</v>
      </c>
      <c r="GC191" s="1370">
        <f>IF(H191&lt;=Summary!$N$84,MIN(GA191,Summary!$O$75*(H191-G191+1)),0)</f>
        <v>0</v>
      </c>
      <c r="GD191" s="1371">
        <f>IF(C191&lt;Summary!$N$84,IF(Summary!$O$75*(H191-G191+1)*0.8&gt;GC191,1,0),0)</f>
        <v>0</v>
      </c>
      <c r="GE191" s="1372">
        <v>0</v>
      </c>
      <c r="GF191" s="1370">
        <f t="shared" si="161"/>
        <v>204674.40144990722</v>
      </c>
      <c r="GG191" s="1371">
        <f>GF191*(IF(Summary!$O$74=1,VLOOKUP($C191,GasTable,16)+Summary!$O$92+Summary!$O$93,VLOOKUP($C191,GasTable,19)+Summary!$O$92+Summary!$O$93))</f>
        <v>699994.12433838379</v>
      </c>
      <c r="GH191" s="1373">
        <v>5220.3030953868802</v>
      </c>
      <c r="GI191" s="1466">
        <v>0</v>
      </c>
      <c r="GJ191" s="1374">
        <f t="shared" si="162"/>
        <v>705214.42743377062</v>
      </c>
      <c r="GK191" s="189">
        <f t="shared" si="133"/>
        <v>26035.973100000007</v>
      </c>
      <c r="GL191" s="266">
        <v>0.51978849776000002</v>
      </c>
      <c r="GM191" s="255">
        <f t="shared" si="134"/>
        <v>0</v>
      </c>
      <c r="GN191" s="189">
        <f>IF(SUM(GU191:HB191)=0,0,IF(Summary!$O$16="Yes",SUM(GX191:HB191),IF(Summary!$O$17="Yes",SUM(GY191:HB191),SUM(GU191:HB191))))</f>
        <v>9547.0730999999996</v>
      </c>
      <c r="GO191" s="203">
        <v>3.5992458930959277</v>
      </c>
      <c r="GP191" s="258">
        <f t="shared" si="163"/>
        <v>34362.263646261606</v>
      </c>
      <c r="GQ191" s="189"/>
      <c r="GR191" s="189"/>
      <c r="GS191" s="189"/>
      <c r="GT191" s="189"/>
      <c r="GU191" s="268">
        <v>3764.0790000000002</v>
      </c>
      <c r="GV191" s="189">
        <v>684.37800000000027</v>
      </c>
      <c r="GW191" s="189">
        <v>855.47249999999997</v>
      </c>
      <c r="GX191" s="189"/>
      <c r="GY191" s="254">
        <v>3011.2631999999999</v>
      </c>
      <c r="GZ191" s="189">
        <v>547.50239999999997</v>
      </c>
      <c r="HA191" s="189">
        <v>684.37800000000004</v>
      </c>
      <c r="HB191" s="255"/>
      <c r="HC191" s="189">
        <v>9547.0730999999996</v>
      </c>
      <c r="HD191" s="189"/>
      <c r="HE191" s="189">
        <v>22276.5039</v>
      </c>
      <c r="HF191" s="189">
        <v>520304.63563702884</v>
      </c>
      <c r="HG191" s="189"/>
      <c r="HH191" s="203">
        <v>57.712931371353925</v>
      </c>
      <c r="HI191" s="189">
        <v>1285642.3407743981</v>
      </c>
      <c r="HJ191" s="268">
        <f t="shared" si="135"/>
        <v>0</v>
      </c>
      <c r="HK191" s="189">
        <f t="shared" si="136"/>
        <v>0</v>
      </c>
      <c r="HL191" s="189">
        <f t="shared" si="137"/>
        <v>0</v>
      </c>
      <c r="HM191" s="255">
        <f t="shared" si="138"/>
        <v>0</v>
      </c>
      <c r="HN191" s="189">
        <f t="shared" si="139"/>
        <v>0</v>
      </c>
      <c r="HO191" s="203">
        <f t="shared" si="164"/>
        <v>0</v>
      </c>
      <c r="HP191" s="258">
        <f t="shared" si="140"/>
        <v>0</v>
      </c>
      <c r="HQ191" s="804"/>
      <c r="HR191" s="268"/>
      <c r="HS191" s="1408"/>
      <c r="HT191" s="255"/>
      <c r="HU191" s="268"/>
      <c r="HV191" s="1408"/>
      <c r="HW191" s="255"/>
      <c r="HX191" s="1408"/>
      <c r="HY191" s="1408"/>
      <c r="HZ191"/>
      <c r="IA191" s="203"/>
      <c r="IB191" s="203"/>
      <c r="IC191" s="203"/>
      <c r="ID191" s="203"/>
      <c r="IE191" s="203"/>
      <c r="IF191" s="203"/>
      <c r="IG191" s="203"/>
      <c r="IH191" s="203"/>
      <c r="II191" s="203"/>
      <c r="IJ191" s="203"/>
      <c r="IK191" s="203"/>
      <c r="IL191" s="821"/>
      <c r="IM191" s="820"/>
      <c r="IN191" s="820"/>
      <c r="IR191" s="223"/>
    </row>
    <row r="192" spans="1:252" ht="13.8" thickBot="1">
      <c r="A192" t="str">
        <f t="shared" si="141"/>
        <v>2014Q3</v>
      </c>
      <c r="B192">
        <f t="shared" si="142"/>
        <v>2014</v>
      </c>
      <c r="C192" s="49">
        <f t="shared" si="143"/>
        <v>41852</v>
      </c>
      <c r="D192" s="115">
        <f t="shared" si="144"/>
        <v>2014</v>
      </c>
      <c r="E192" s="10">
        <f t="shared" si="167"/>
        <v>8</v>
      </c>
      <c r="F192" s="248" t="str">
        <f t="shared" si="168"/>
        <v/>
      </c>
      <c r="G192" s="245">
        <v>41852</v>
      </c>
      <c r="H192" s="251">
        <v>41882</v>
      </c>
      <c r="I192" s="959">
        <f t="shared" si="165"/>
        <v>7.1499999999999994E-2</v>
      </c>
      <c r="J192" s="37">
        <f t="shared" si="145"/>
        <v>0.35441701854657182</v>
      </c>
      <c r="K192" s="1036"/>
      <c r="L192" s="37"/>
      <c r="M192" s="1004">
        <v>0</v>
      </c>
      <c r="N192" s="38">
        <f t="shared" si="181"/>
        <v>0</v>
      </c>
      <c r="O192" s="40">
        <f t="shared" si="181"/>
        <v>0</v>
      </c>
      <c r="P192" s="159">
        <f t="shared" si="172"/>
        <v>0</v>
      </c>
      <c r="Q192" s="38">
        <f t="shared" si="182"/>
        <v>0</v>
      </c>
      <c r="R192" s="40">
        <f t="shared" si="182"/>
        <v>0</v>
      </c>
      <c r="S192" s="38">
        <f t="shared" si="182"/>
        <v>0</v>
      </c>
      <c r="T192" s="38">
        <f t="shared" si="182"/>
        <v>0</v>
      </c>
      <c r="U192" s="38">
        <f t="shared" si="182"/>
        <v>0</v>
      </c>
      <c r="V192" s="159">
        <f t="shared" si="182"/>
        <v>0</v>
      </c>
      <c r="W192" s="38">
        <f t="shared" si="182"/>
        <v>0</v>
      </c>
      <c r="X192" s="39">
        <f t="shared" si="182"/>
        <v>0</v>
      </c>
      <c r="Y192" s="46">
        <v>0</v>
      </c>
      <c r="Z192" s="46">
        <v>0</v>
      </c>
      <c r="AA192" s="47">
        <v>0</v>
      </c>
      <c r="AB192" s="46">
        <v>0</v>
      </c>
      <c r="AC192" s="46">
        <v>0</v>
      </c>
      <c r="AD192" s="47">
        <v>0</v>
      </c>
      <c r="AE192" s="46">
        <v>0</v>
      </c>
      <c r="AF192" s="46">
        <v>0</v>
      </c>
      <c r="AG192" s="47">
        <v>0</v>
      </c>
      <c r="AH192" s="46">
        <v>0</v>
      </c>
      <c r="AI192" s="46">
        <v>0</v>
      </c>
      <c r="AJ192" s="47">
        <v>0</v>
      </c>
      <c r="AK192" s="46">
        <v>0</v>
      </c>
      <c r="AL192" s="46">
        <v>0</v>
      </c>
      <c r="AM192" s="47">
        <v>0</v>
      </c>
      <c r="AN192" s="46">
        <v>0</v>
      </c>
      <c r="AO192" s="46">
        <v>0</v>
      </c>
      <c r="AP192" s="47">
        <v>0</v>
      </c>
      <c r="AQ192" s="46">
        <v>0</v>
      </c>
      <c r="AR192" s="46">
        <v>0</v>
      </c>
      <c r="AS192" s="47">
        <v>0</v>
      </c>
      <c r="AT192" s="46">
        <v>0</v>
      </c>
      <c r="AU192" s="46">
        <v>0</v>
      </c>
      <c r="AV192" s="46">
        <v>0</v>
      </c>
      <c r="AW192" s="1545">
        <v>0</v>
      </c>
      <c r="AX192" s="10">
        <f t="shared" si="169"/>
        <v>21</v>
      </c>
      <c r="AY192" s="42">
        <f>IF(AND($E192=MONTH(Summary!$E$24),$D192=YEAR(Summary!$E$24)),Summary!$E$25,1)*IF(G192="",0,INT((H192-MOD(H192,7)-G192)/7)+1-IF(BA192,IF(WEEKDAY(F192)=7,1,0),0))</f>
        <v>5</v>
      </c>
      <c r="AZ192" s="42">
        <f>IF(AND($E192=MONTH(Summary!$E$24),$D192=YEAR(Summary!$E$24)),Summary!$E$25,1)*IF(G192="",0,INT((H192-MOD(H192-1,7)-G192)/7)+1-IF(BA192,IF(WEEKDAY(F192)=1,1,0),0))</f>
        <v>5</v>
      </c>
      <c r="BA192" s="42">
        <v>0</v>
      </c>
      <c r="BB192" s="10">
        <f>IF(AND($E192=MONTH(Summary!$E$24),$D192=YEAR(Summary!$E$24)),Summary!$E$25,1)*IF(G192="",0,H192-G192+1)</f>
        <v>31</v>
      </c>
      <c r="BC192" s="914">
        <f>Summary!$E$19</f>
        <v>1.4999999999999999E-2</v>
      </c>
      <c r="BD192" s="113">
        <v>14893.2</v>
      </c>
      <c r="BE192" s="171">
        <v>3546</v>
      </c>
      <c r="BF192" s="171">
        <v>3546</v>
      </c>
      <c r="BG192" s="174"/>
      <c r="BH192" s="1198">
        <v>1</v>
      </c>
      <c r="BI192" s="1198">
        <v>1</v>
      </c>
      <c r="BJ192" s="1198">
        <v>1</v>
      </c>
      <c r="BK192" s="1198">
        <v>1</v>
      </c>
      <c r="BL192" s="95">
        <v>2978.64</v>
      </c>
      <c r="BM192" s="171">
        <v>709.2</v>
      </c>
      <c r="BN192" s="171">
        <v>709.2</v>
      </c>
      <c r="BO192" s="174"/>
      <c r="BP192" s="1198">
        <v>1</v>
      </c>
      <c r="BQ192" s="1199">
        <v>1</v>
      </c>
      <c r="BR192" s="1199">
        <v>1</v>
      </c>
      <c r="BS192" s="1200">
        <v>1</v>
      </c>
      <c r="BT192" s="94">
        <f t="shared" si="146"/>
        <v>21985.200000000001</v>
      </c>
      <c r="BU192" s="233">
        <f t="shared" si="147"/>
        <v>21985.200000000001</v>
      </c>
      <c r="BV192" s="92">
        <f t="shared" si="148"/>
        <v>4397.04</v>
      </c>
      <c r="BW192" s="233">
        <f t="shared" si="149"/>
        <v>4397.04</v>
      </c>
      <c r="BX192" s="88">
        <v>14.628336755646817</v>
      </c>
      <c r="BY192" s="90">
        <v>0</v>
      </c>
      <c r="BZ192" s="88">
        <v>0</v>
      </c>
      <c r="CA192" s="88">
        <v>0</v>
      </c>
      <c r="CB192" s="88">
        <v>0</v>
      </c>
      <c r="CC192" s="88">
        <v>0</v>
      </c>
      <c r="CD192" s="88">
        <v>0</v>
      </c>
      <c r="CE192" s="100">
        <v>0</v>
      </c>
      <c r="CF192" s="88">
        <v>0</v>
      </c>
      <c r="CG192" s="88">
        <v>0</v>
      </c>
      <c r="CH192" s="88">
        <v>0</v>
      </c>
      <c r="CI192" s="88">
        <v>0</v>
      </c>
      <c r="CJ192" s="228">
        <v>0</v>
      </c>
      <c r="CK192" s="88">
        <v>0</v>
      </c>
      <c r="CL192" s="88">
        <v>0</v>
      </c>
      <c r="CM192" s="88">
        <v>0</v>
      </c>
      <c r="CN192" s="88">
        <v>0</v>
      </c>
      <c r="CO192" s="88">
        <v>0</v>
      </c>
      <c r="CP192" s="88">
        <v>0</v>
      </c>
      <c r="CQ192" s="229">
        <v>0</v>
      </c>
      <c r="CR192" s="91">
        <v>0</v>
      </c>
      <c r="CS192" s="91">
        <v>0</v>
      </c>
      <c r="CT192" s="91">
        <v>0</v>
      </c>
      <c r="CU192" s="91">
        <v>0</v>
      </c>
      <c r="CV192" s="91">
        <v>0</v>
      </c>
      <c r="CW192" s="91">
        <v>0</v>
      </c>
      <c r="CX192" s="225">
        <v>0</v>
      </c>
      <c r="CY192" s="1265">
        <v>7759.3401599999997</v>
      </c>
      <c r="CZ192" s="90">
        <v>0</v>
      </c>
      <c r="DA192" s="88">
        <v>0</v>
      </c>
      <c r="DB192" s="88">
        <v>0</v>
      </c>
      <c r="DC192" s="88">
        <v>0</v>
      </c>
      <c r="DD192" s="88">
        <v>0</v>
      </c>
      <c r="DE192" s="152">
        <v>0</v>
      </c>
      <c r="DF192" s="230">
        <v>0</v>
      </c>
      <c r="DG192" s="38">
        <v>0</v>
      </c>
      <c r="DH192" s="1237">
        <v>0</v>
      </c>
      <c r="DI192" s="956">
        <v>0</v>
      </c>
      <c r="DJ192" s="956">
        <v>0</v>
      </c>
      <c r="DK192" s="956">
        <v>0</v>
      </c>
      <c r="DL192" s="152">
        <v>0</v>
      </c>
      <c r="DM192" s="160">
        <v>0</v>
      </c>
      <c r="DN192" s="160">
        <v>0</v>
      </c>
      <c r="DO192" s="160">
        <v>0</v>
      </c>
      <c r="DP192" s="160">
        <v>0</v>
      </c>
      <c r="DQ192" s="160">
        <v>0</v>
      </c>
      <c r="DR192" s="230">
        <v>0</v>
      </c>
      <c r="DS192" s="88">
        <v>0</v>
      </c>
      <c r="DT192" s="88">
        <v>0</v>
      </c>
      <c r="DU192" s="88">
        <v>0</v>
      </c>
      <c r="DV192" s="88">
        <v>0</v>
      </c>
      <c r="DW192" s="88">
        <v>0</v>
      </c>
      <c r="DX192" s="88">
        <v>0</v>
      </c>
      <c r="DY192" s="88">
        <v>0</v>
      </c>
      <c r="DZ192" s="88">
        <v>0</v>
      </c>
      <c r="EA192" s="88">
        <v>0</v>
      </c>
      <c r="EB192" s="152">
        <v>0</v>
      </c>
      <c r="EC192" s="52">
        <f t="shared" si="150"/>
        <v>0</v>
      </c>
      <c r="ED192" s="52">
        <f t="shared" si="150"/>
        <v>0</v>
      </c>
      <c r="EE192" s="52">
        <f t="shared" si="150"/>
        <v>0</v>
      </c>
      <c r="EF192" s="52">
        <f t="shared" si="150"/>
        <v>0</v>
      </c>
      <c r="EG192" s="52">
        <f t="shared" si="151"/>
        <v>0</v>
      </c>
      <c r="EH192" s="238">
        <v>0</v>
      </c>
      <c r="EI192" s="211">
        <v>0</v>
      </c>
      <c r="EJ192" s="211">
        <v>0</v>
      </c>
      <c r="EK192" s="211">
        <v>0</v>
      </c>
      <c r="EL192" s="217">
        <f>IF(C192&gt;=Summary!$E$26,MAX(0,SUM(EH192:EK192)),0)</f>
        <v>0</v>
      </c>
      <c r="EM192" s="52">
        <f>IF(C192&gt;=Summary!$E$26,DX192*BL192,0)</f>
        <v>0</v>
      </c>
      <c r="EN192" s="52">
        <f>IF(C192&gt;=Summary!$E$26,DY192*BM192,0)</f>
        <v>0</v>
      </c>
      <c r="EO192" s="52">
        <f>IF(C192&gt;=Summary!$E$26,DZ192*BN192,0)</f>
        <v>0</v>
      </c>
      <c r="EP192" s="52">
        <f>IF(C192&gt;=Summary!$E$26,EA192*BO192,0)</f>
        <v>0</v>
      </c>
      <c r="EQ192" s="52">
        <f>IF(C192&gt;=Summary!$E$26,DX192*BL192+DY192*BM192+DZ192*BN192+EA192*BO192,0)</f>
        <v>0</v>
      </c>
      <c r="ER192" s="826">
        <v>0</v>
      </c>
      <c r="ES192" s="278">
        <v>0</v>
      </c>
      <c r="ET192" s="278">
        <v>0</v>
      </c>
      <c r="EU192" s="278">
        <v>0</v>
      </c>
      <c r="EV192" s="212">
        <f>IF(C192&gt;=Summary!$E$26,MAX(0,SUM(ER192:EU192)),0)</f>
        <v>0</v>
      </c>
      <c r="EW192" s="52"/>
      <c r="EX192" s="1049">
        <f t="shared" si="152"/>
        <v>0</v>
      </c>
      <c r="EY192" s="1045" t="str">
        <f t="shared" si="153"/>
        <v/>
      </c>
      <c r="EZ192" s="1684" t="s">
        <v>525</v>
      </c>
      <c r="FA192" s="1046">
        <f t="shared" si="166"/>
        <v>45</v>
      </c>
      <c r="FB192" s="256">
        <f t="shared" si="154"/>
        <v>11169.9</v>
      </c>
      <c r="FC192" s="194">
        <f t="shared" si="155"/>
        <v>0</v>
      </c>
      <c r="FD192" s="194">
        <f t="shared" si="156"/>
        <v>2659.5</v>
      </c>
      <c r="FE192" s="194">
        <f t="shared" si="157"/>
        <v>0</v>
      </c>
      <c r="FF192" s="194">
        <f t="shared" si="158"/>
        <v>2659.5</v>
      </c>
      <c r="FG192" s="194">
        <f t="shared" si="159"/>
        <v>0</v>
      </c>
      <c r="FH192" s="257">
        <f>IF(EZ192="No",IF((OR(MONTH(C192)=5,MONTH(C192)=6,MONTH(C192)=7,MONTH(C192)=8,MONTH(C192)=9)),Summary!$O$15*12*(AX192+AY192+AZ192+BA192)*(1-$BC192),Summary!$O$15*13*(AX192+AY192+AZ192+BA192)*(1-$BC192)+IF(Summary!$O$16="Yes",(CALC!FA192+Summary!$O$15)*6*(AX192+AY192+AZ192+BA192)*(1-$BC192),0)),0)</f>
        <v>0</v>
      </c>
      <c r="FI192" s="1412">
        <f>IF(MONTH(C192)=5,FI191*(IF(Summary!$E$70="no",(1+(Summary!$E$71*0.8)),1+HLOOKUP(YEAR(C192)-1,CCFMODEL!$I$127:$AF$128,2)*0.8)),+FI191)</f>
        <v>37.968463365561441</v>
      </c>
      <c r="FJ192" s="1411">
        <f>IF(MONTH(C192)=5,FJ191*(IF(Summary!$E$70="no",(1+(Summary!$E$71*0.8)),1+HLOOKUP(YEAR(CALC!C192)-1,CCFMODEL!$I$127:$AF$128,2)*0.8)),FJ191)</f>
        <v>33.185034910057638</v>
      </c>
      <c r="FK192" s="832">
        <f t="shared" si="127"/>
        <v>626058.19558840606</v>
      </c>
      <c r="FL192" s="1412">
        <f>IF(MONTH(C192)=5,FL191*(IF(Summary!$E$70="no",(1+(Summary!$E$71*0.8)),1+HLOOKUP(YEAR(CALC!C192)-1,CCFMODEL!$I$127:$AF$128,2)*0.8)),+FL191)</f>
        <v>79.85193513964532</v>
      </c>
      <c r="FM192" s="1411">
        <f>IF(MONTH(C192)=5,FM191*(IF(Summary!$E$70="no",(1+(Summary!$E$71*0.8)),1+HLOOKUP(YEAR(CALC!C192)-1,CCFMODEL!$I$127:$AF$128,2)*0.8)),+FM191)</f>
        <v>38.110827307689526</v>
      </c>
      <c r="FN192" s="832">
        <f t="shared" si="128"/>
        <v>1336721.3942376627</v>
      </c>
      <c r="FO192" s="194">
        <f t="shared" si="160"/>
        <v>1962779.5898260688</v>
      </c>
      <c r="FP192" s="263">
        <f t="shared" si="177"/>
        <v>11169.9</v>
      </c>
      <c r="FQ192" s="194">
        <f t="shared" si="178"/>
        <v>0</v>
      </c>
      <c r="FR192" s="194">
        <f t="shared" si="179"/>
        <v>2659.5</v>
      </c>
      <c r="FS192" s="194">
        <f t="shared" si="176"/>
        <v>0</v>
      </c>
      <c r="FT192" s="194">
        <f t="shared" si="176"/>
        <v>2659.5</v>
      </c>
      <c r="FU192" s="194">
        <f t="shared" si="176"/>
        <v>0</v>
      </c>
      <c r="FV192" s="257">
        <f t="shared" si="124"/>
        <v>0</v>
      </c>
      <c r="FW192" s="189">
        <f t="shared" si="129"/>
        <v>0</v>
      </c>
      <c r="FX192" s="189">
        <f t="shared" si="130"/>
        <v>0</v>
      </c>
      <c r="FY192" s="189">
        <f t="shared" si="131"/>
        <v>0</v>
      </c>
      <c r="FZ192" s="258">
        <f t="shared" si="132"/>
        <v>0</v>
      </c>
      <c r="GA192" s="1294">
        <f>(SUM(FP192:FV192)+SUM(GU192:HB192)/(1-Summary!$O$25))*CY192/1000</f>
        <v>204708.77434275844</v>
      </c>
      <c r="GB192" s="1369">
        <f>IF($C192&lt;Summary!$M$81,+Summary!$O$81,VLOOKUP(C192,GasTable,19))</f>
        <v>3.4950302062269887</v>
      </c>
      <c r="GC192" s="1370">
        <f>IF(H192&lt;=Summary!$N$84,MIN(GA192,Summary!$O$75*(H192-G192+1)),0)</f>
        <v>0</v>
      </c>
      <c r="GD192" s="1371">
        <f>IF(C192&lt;Summary!$N$84,IF(Summary!$O$75*(H192-G192+1)*0.8&gt;GC192,1,0),0)</f>
        <v>0</v>
      </c>
      <c r="GE192" s="1372">
        <v>0</v>
      </c>
      <c r="GF192" s="1370">
        <f t="shared" si="161"/>
        <v>204708.77434275844</v>
      </c>
      <c r="GG192" s="1371">
        <f>GF192*(IF(Summary!$O$74=1,VLOOKUP($C192,GasTable,16)+Summary!$O$92+Summary!$O$93,VLOOKUP($C192,GasTable,19)+Summary!$O$92+Summary!$O$93))</f>
        <v>726128.67695090279</v>
      </c>
      <c r="GH192" s="1373">
        <v>5417.2968196518323</v>
      </c>
      <c r="GI192" s="1466">
        <v>0</v>
      </c>
      <c r="GJ192" s="1374">
        <f t="shared" si="162"/>
        <v>731545.97377055464</v>
      </c>
      <c r="GK192" s="189">
        <f t="shared" si="133"/>
        <v>26035.973100000003</v>
      </c>
      <c r="GL192" s="266">
        <v>0.51987579072000001</v>
      </c>
      <c r="GM192" s="255">
        <f t="shared" si="134"/>
        <v>0</v>
      </c>
      <c r="GN192" s="189">
        <f>IF(SUM(GU192:HB192)=0,0,IF(Summary!$O$16="Yes",SUM(GX192:HB192),IF(Summary!$O$17="Yes",SUM(GY192:HB192),SUM(GU192:HB192))))</f>
        <v>9547.0731000000014</v>
      </c>
      <c r="GO192" s="203">
        <v>3.5992458930959277</v>
      </c>
      <c r="GP192" s="258">
        <f t="shared" si="163"/>
        <v>34362.263646261614</v>
      </c>
      <c r="GQ192" s="189"/>
      <c r="GR192" s="189"/>
      <c r="GS192" s="189"/>
      <c r="GT192" s="189"/>
      <c r="GU192" s="268">
        <v>3592.9845000000009</v>
      </c>
      <c r="GV192" s="189">
        <v>855.47249999999997</v>
      </c>
      <c r="GW192" s="189">
        <v>855.47249999999997</v>
      </c>
      <c r="GX192" s="189"/>
      <c r="GY192" s="254">
        <v>2874.3875999999996</v>
      </c>
      <c r="GZ192" s="189">
        <v>684.37800000000004</v>
      </c>
      <c r="HA192" s="189">
        <v>684.37800000000004</v>
      </c>
      <c r="HB192" s="255"/>
      <c r="HC192" s="189">
        <v>9547.0731000000014</v>
      </c>
      <c r="HD192" s="189"/>
      <c r="HE192" s="189">
        <v>22276.503900000003</v>
      </c>
      <c r="HF192" s="189">
        <v>614605.14473050553</v>
      </c>
      <c r="HG192" s="189"/>
      <c r="HH192" s="203">
        <v>67.782018873550584</v>
      </c>
      <c r="HI192" s="189">
        <v>1509946.4077865235</v>
      </c>
      <c r="HJ192" s="268">
        <f t="shared" si="135"/>
        <v>0</v>
      </c>
      <c r="HK192" s="189">
        <f t="shared" si="136"/>
        <v>0</v>
      </c>
      <c r="HL192" s="189">
        <f t="shared" si="137"/>
        <v>0</v>
      </c>
      <c r="HM192" s="255">
        <f t="shared" si="138"/>
        <v>0</v>
      </c>
      <c r="HN192" s="189">
        <f t="shared" si="139"/>
        <v>0</v>
      </c>
      <c r="HO192" s="203">
        <f t="shared" si="164"/>
        <v>0</v>
      </c>
      <c r="HP192" s="258">
        <f t="shared" si="140"/>
        <v>0</v>
      </c>
      <c r="HQ192" s="804"/>
      <c r="HR192" s="268"/>
      <c r="HS192" s="1408"/>
      <c r="HT192" s="255"/>
      <c r="HU192" s="268"/>
      <c r="HV192" s="1408"/>
      <c r="HW192" s="255"/>
      <c r="HX192" s="1408"/>
      <c r="HY192" s="1408"/>
      <c r="HZ192"/>
      <c r="IA192" s="203"/>
      <c r="IB192" s="203"/>
      <c r="IC192" s="203"/>
      <c r="ID192" s="203"/>
      <c r="IE192" s="203"/>
      <c r="IF192" s="203"/>
      <c r="IG192" s="203"/>
      <c r="IH192" s="203"/>
      <c r="II192" s="203"/>
      <c r="IJ192" s="203"/>
      <c r="IK192" s="203"/>
      <c r="IL192" s="821"/>
      <c r="IM192" s="820"/>
      <c r="IN192" s="820"/>
      <c r="IR192" s="223"/>
    </row>
    <row r="193" spans="1:252" ht="13.8" thickBot="1">
      <c r="A193" t="str">
        <f t="shared" si="141"/>
        <v>2014Q3</v>
      </c>
      <c r="B193">
        <f t="shared" si="142"/>
        <v>2014</v>
      </c>
      <c r="C193" s="49">
        <f t="shared" si="143"/>
        <v>41883</v>
      </c>
      <c r="D193" s="115">
        <f t="shared" si="144"/>
        <v>2014</v>
      </c>
      <c r="E193" s="10">
        <f t="shared" si="167"/>
        <v>9</v>
      </c>
      <c r="F193" s="248">
        <f t="shared" si="168"/>
        <v>41883</v>
      </c>
      <c r="G193" s="245">
        <v>41883</v>
      </c>
      <c r="H193" s="251">
        <v>41912</v>
      </c>
      <c r="I193" s="959">
        <f t="shared" si="165"/>
        <v>7.1499999999999994E-2</v>
      </c>
      <c r="J193" s="37">
        <f t="shared" si="145"/>
        <v>0.35237786714541269</v>
      </c>
      <c r="K193" s="1036"/>
      <c r="L193" s="37"/>
      <c r="M193" s="1004">
        <v>0</v>
      </c>
      <c r="N193" s="38">
        <f t="shared" si="181"/>
        <v>0</v>
      </c>
      <c r="O193" s="40">
        <f t="shared" si="181"/>
        <v>0</v>
      </c>
      <c r="P193" s="159">
        <f t="shared" si="172"/>
        <v>0</v>
      </c>
      <c r="Q193" s="38">
        <f t="shared" si="182"/>
        <v>0</v>
      </c>
      <c r="R193" s="40">
        <f t="shared" si="182"/>
        <v>0</v>
      </c>
      <c r="S193" s="38">
        <f t="shared" si="182"/>
        <v>0</v>
      </c>
      <c r="T193" s="38">
        <f t="shared" si="182"/>
        <v>0</v>
      </c>
      <c r="U193" s="38">
        <f t="shared" si="182"/>
        <v>0</v>
      </c>
      <c r="V193" s="159">
        <f t="shared" si="182"/>
        <v>0</v>
      </c>
      <c r="W193" s="38">
        <f t="shared" si="182"/>
        <v>0</v>
      </c>
      <c r="X193" s="39">
        <f t="shared" si="182"/>
        <v>0</v>
      </c>
      <c r="Y193" s="46">
        <v>0</v>
      </c>
      <c r="Z193" s="46">
        <v>0</v>
      </c>
      <c r="AA193" s="47">
        <v>0</v>
      </c>
      <c r="AB193" s="46">
        <v>0</v>
      </c>
      <c r="AC193" s="46">
        <v>0</v>
      </c>
      <c r="AD193" s="47">
        <v>0</v>
      </c>
      <c r="AE193" s="46">
        <v>0</v>
      </c>
      <c r="AF193" s="46">
        <v>0</v>
      </c>
      <c r="AG193" s="47">
        <v>0</v>
      </c>
      <c r="AH193" s="46">
        <v>0</v>
      </c>
      <c r="AI193" s="46">
        <v>0</v>
      </c>
      <c r="AJ193" s="47">
        <v>0</v>
      </c>
      <c r="AK193" s="46">
        <v>0</v>
      </c>
      <c r="AL193" s="46">
        <v>0</v>
      </c>
      <c r="AM193" s="47">
        <v>0</v>
      </c>
      <c r="AN193" s="46">
        <v>0</v>
      </c>
      <c r="AO193" s="46">
        <v>0</v>
      </c>
      <c r="AP193" s="47">
        <v>0</v>
      </c>
      <c r="AQ193" s="46">
        <v>0</v>
      </c>
      <c r="AR193" s="46">
        <v>0</v>
      </c>
      <c r="AS193" s="47">
        <v>0</v>
      </c>
      <c r="AT193" s="46">
        <v>0</v>
      </c>
      <c r="AU193" s="46">
        <v>0</v>
      </c>
      <c r="AV193" s="46">
        <v>0</v>
      </c>
      <c r="AW193" s="1545">
        <v>0</v>
      </c>
      <c r="AX193" s="10">
        <f t="shared" si="169"/>
        <v>21</v>
      </c>
      <c r="AY193" s="42">
        <f>IF(AND($E193=MONTH(Summary!$E$24),$D193=YEAR(Summary!$E$24)),Summary!$E$25,1)*IF(G193="",0,INT((H193-MOD(H193,7)-G193)/7)+1-IF(BA193,IF(WEEKDAY(F193)=7,1,0),0))</f>
        <v>4</v>
      </c>
      <c r="AZ193" s="42">
        <f>IF(AND($E193=MONTH(Summary!$E$24),$D193=YEAR(Summary!$E$24)),Summary!$E$25,1)*IF(G193="",0,INT((H193-MOD(H193-1,7)-G193)/7)+1-IF(BA193,IF(WEEKDAY(F193)=1,1,0),0))</f>
        <v>4</v>
      </c>
      <c r="BA193" s="42">
        <v>1</v>
      </c>
      <c r="BB193" s="10">
        <f>IF(AND($E193=MONTH(Summary!$E$24),$D193=YEAR(Summary!$E$24)),Summary!$E$25,1)*IF(G193="",0,H193-G193+1)</f>
        <v>30</v>
      </c>
      <c r="BC193" s="914">
        <f>Summary!$E$19</f>
        <v>1.4999999999999999E-2</v>
      </c>
      <c r="BD193" s="113">
        <v>14893.2</v>
      </c>
      <c r="BE193" s="171">
        <v>2836.8</v>
      </c>
      <c r="BF193" s="171">
        <v>3546</v>
      </c>
      <c r="BG193" s="174"/>
      <c r="BH193" s="1198">
        <v>1</v>
      </c>
      <c r="BI193" s="1198">
        <v>1</v>
      </c>
      <c r="BJ193" s="1198">
        <v>1</v>
      </c>
      <c r="BK193" s="1198">
        <v>1</v>
      </c>
      <c r="BL193" s="95">
        <v>2978.64</v>
      </c>
      <c r="BM193" s="171">
        <v>567.36</v>
      </c>
      <c r="BN193" s="171">
        <v>709.2</v>
      </c>
      <c r="BO193" s="174"/>
      <c r="BP193" s="1198">
        <v>1</v>
      </c>
      <c r="BQ193" s="1199">
        <v>1</v>
      </c>
      <c r="BR193" s="1199">
        <v>1</v>
      </c>
      <c r="BS193" s="1200">
        <v>1</v>
      </c>
      <c r="BT193" s="94">
        <f t="shared" si="146"/>
        <v>21276</v>
      </c>
      <c r="BU193" s="233">
        <f t="shared" si="147"/>
        <v>21276</v>
      </c>
      <c r="BV193" s="92">
        <f t="shared" si="148"/>
        <v>4255.2</v>
      </c>
      <c r="BW193" s="233">
        <f t="shared" si="149"/>
        <v>4255.2</v>
      </c>
      <c r="BX193" s="88">
        <v>14.713210130047912</v>
      </c>
      <c r="BY193" s="90">
        <v>0</v>
      </c>
      <c r="BZ193" s="88">
        <v>0</v>
      </c>
      <c r="CA193" s="88">
        <v>0</v>
      </c>
      <c r="CB193" s="88">
        <v>0</v>
      </c>
      <c r="CC193" s="88">
        <v>0</v>
      </c>
      <c r="CD193" s="88">
        <v>0</v>
      </c>
      <c r="CE193" s="100">
        <v>0</v>
      </c>
      <c r="CF193" s="88">
        <v>0</v>
      </c>
      <c r="CG193" s="88">
        <v>0</v>
      </c>
      <c r="CH193" s="88">
        <v>0</v>
      </c>
      <c r="CI193" s="88">
        <v>0</v>
      </c>
      <c r="CJ193" s="228">
        <v>0</v>
      </c>
      <c r="CK193" s="88">
        <v>0</v>
      </c>
      <c r="CL193" s="88">
        <v>0</v>
      </c>
      <c r="CM193" s="88">
        <v>0</v>
      </c>
      <c r="CN193" s="88">
        <v>0</v>
      </c>
      <c r="CO193" s="88">
        <v>0</v>
      </c>
      <c r="CP193" s="88">
        <v>0</v>
      </c>
      <c r="CQ193" s="229">
        <v>0</v>
      </c>
      <c r="CR193" s="91">
        <v>0</v>
      </c>
      <c r="CS193" s="91">
        <v>0</v>
      </c>
      <c r="CT193" s="91">
        <v>0</v>
      </c>
      <c r="CU193" s="91">
        <v>0</v>
      </c>
      <c r="CV193" s="91">
        <v>0</v>
      </c>
      <c r="CW193" s="91">
        <v>0</v>
      </c>
      <c r="CX193" s="225">
        <v>0</v>
      </c>
      <c r="CY193" s="1265">
        <v>7760.6430399999999</v>
      </c>
      <c r="CZ193" s="90">
        <v>0</v>
      </c>
      <c r="DA193" s="88">
        <v>0</v>
      </c>
      <c r="DB193" s="88">
        <v>0</v>
      </c>
      <c r="DC193" s="88">
        <v>0</v>
      </c>
      <c r="DD193" s="88">
        <v>0</v>
      </c>
      <c r="DE193" s="152">
        <v>0</v>
      </c>
      <c r="DF193" s="230">
        <v>0</v>
      </c>
      <c r="DG193" s="38">
        <v>0</v>
      </c>
      <c r="DH193" s="1237">
        <v>0</v>
      </c>
      <c r="DI193" s="956">
        <v>0</v>
      </c>
      <c r="DJ193" s="956">
        <v>0</v>
      </c>
      <c r="DK193" s="956">
        <v>0</v>
      </c>
      <c r="DL193" s="152">
        <v>0</v>
      </c>
      <c r="DM193" s="160">
        <v>0</v>
      </c>
      <c r="DN193" s="160">
        <v>0</v>
      </c>
      <c r="DO193" s="160">
        <v>0</v>
      </c>
      <c r="DP193" s="160">
        <v>0</v>
      </c>
      <c r="DQ193" s="160">
        <v>0</v>
      </c>
      <c r="DR193" s="230">
        <v>0</v>
      </c>
      <c r="DS193" s="88">
        <v>0</v>
      </c>
      <c r="DT193" s="88">
        <v>0</v>
      </c>
      <c r="DU193" s="88">
        <v>0</v>
      </c>
      <c r="DV193" s="88">
        <v>0</v>
      </c>
      <c r="DW193" s="88">
        <v>0</v>
      </c>
      <c r="DX193" s="88">
        <v>0</v>
      </c>
      <c r="DY193" s="88">
        <v>0</v>
      </c>
      <c r="DZ193" s="88">
        <v>0</v>
      </c>
      <c r="EA193" s="88">
        <v>0</v>
      </c>
      <c r="EB193" s="152">
        <v>0</v>
      </c>
      <c r="EC193" s="52">
        <f t="shared" si="150"/>
        <v>0</v>
      </c>
      <c r="ED193" s="52">
        <f t="shared" si="150"/>
        <v>0</v>
      </c>
      <c r="EE193" s="52">
        <f t="shared" si="150"/>
        <v>0</v>
      </c>
      <c r="EF193" s="52">
        <f t="shared" si="150"/>
        <v>0</v>
      </c>
      <c r="EG193" s="52">
        <f t="shared" si="151"/>
        <v>0</v>
      </c>
      <c r="EH193" s="238">
        <v>0</v>
      </c>
      <c r="EI193" s="211">
        <v>0</v>
      </c>
      <c r="EJ193" s="211">
        <v>0</v>
      </c>
      <c r="EK193" s="211">
        <v>0</v>
      </c>
      <c r="EL193" s="217">
        <f>IF(C193&gt;=Summary!$E$26,MAX(0,SUM(EH193:EK193)),0)</f>
        <v>0</v>
      </c>
      <c r="EM193" s="52">
        <f>IF(C193&gt;=Summary!$E$26,DX193*BL193,0)</f>
        <v>0</v>
      </c>
      <c r="EN193" s="52">
        <f>IF(C193&gt;=Summary!$E$26,DY193*BM193,0)</f>
        <v>0</v>
      </c>
      <c r="EO193" s="52">
        <f>IF(C193&gt;=Summary!$E$26,DZ193*BN193,0)</f>
        <v>0</v>
      </c>
      <c r="EP193" s="52">
        <f>IF(C193&gt;=Summary!$E$26,EA193*BO193,0)</f>
        <v>0</v>
      </c>
      <c r="EQ193" s="52">
        <f>IF(C193&gt;=Summary!$E$26,DX193*BL193+DY193*BM193+DZ193*BN193+EA193*BO193,0)</f>
        <v>0</v>
      </c>
      <c r="ER193" s="826">
        <v>0</v>
      </c>
      <c r="ES193" s="278">
        <v>0</v>
      </c>
      <c r="ET193" s="278">
        <v>0</v>
      </c>
      <c r="EU193" s="278">
        <v>0</v>
      </c>
      <c r="EV193" s="212">
        <f>IF(C193&gt;=Summary!$E$26,MAX(0,SUM(ER193:EU193)),0)</f>
        <v>0</v>
      </c>
      <c r="EW193" s="52"/>
      <c r="EX193" s="1049">
        <f t="shared" si="152"/>
        <v>0</v>
      </c>
      <c r="EY193" s="1045" t="str">
        <f t="shared" si="153"/>
        <v/>
      </c>
      <c r="EZ193" s="1684" t="s">
        <v>525</v>
      </c>
      <c r="FA193" s="1046">
        <f t="shared" si="166"/>
        <v>45</v>
      </c>
      <c r="FB193" s="256">
        <f t="shared" si="154"/>
        <v>11169.9</v>
      </c>
      <c r="FC193" s="194">
        <f t="shared" si="155"/>
        <v>0</v>
      </c>
      <c r="FD193" s="194">
        <f t="shared" si="156"/>
        <v>2127.6</v>
      </c>
      <c r="FE193" s="194">
        <f t="shared" si="157"/>
        <v>0</v>
      </c>
      <c r="FF193" s="194">
        <f t="shared" si="158"/>
        <v>2659.5</v>
      </c>
      <c r="FG193" s="194">
        <f t="shared" si="159"/>
        <v>0</v>
      </c>
      <c r="FH193" s="257">
        <f>IF(EZ193="No",IF((OR(MONTH(C193)=5,MONTH(C193)=6,MONTH(C193)=7,MONTH(C193)=8,MONTH(C193)=9)),Summary!$O$15*12*(AX193+AY193+AZ193+BA193)*(1-$BC193),Summary!$O$15*13*(AX193+AY193+AZ193+BA193)*(1-$BC193)+IF(Summary!$O$16="Yes",(CALC!FA193+Summary!$O$15)*6*(AX193+AY193+AZ193+BA193)*(1-$BC193),0)),0)</f>
        <v>0</v>
      </c>
      <c r="FI193" s="1412">
        <f>IF(MONTH(C193)=5,FI192*(IF(Summary!$E$70="no",(1+(Summary!$E$71*0.8)),1+HLOOKUP(YEAR(C193)-1,CCFMODEL!$I$127:$AF$128,2)*0.8)),+FI192)</f>
        <v>37.968463365561441</v>
      </c>
      <c r="FJ193" s="1411">
        <f>IF(MONTH(C193)=5,FJ192*(IF(Summary!$E$70="no",(1+(Summary!$E$71*0.8)),1+HLOOKUP(YEAR(CALC!C193)-1,CCFMODEL!$I$127:$AF$128,2)*0.8)),FJ192)</f>
        <v>33.185034910057638</v>
      </c>
      <c r="FK193" s="832">
        <f t="shared" si="127"/>
        <v>605862.76992426394</v>
      </c>
      <c r="FL193" s="1412">
        <f>IF(MONTH(C193)=5,FL192*(IF(Summary!$E$70="no",(1+(Summary!$E$71*0.8)),1+HLOOKUP(YEAR(CALC!C193)-1,CCFMODEL!$I$127:$AF$128,2)*0.8)),+FL192)</f>
        <v>79.85193513964532</v>
      </c>
      <c r="FM193" s="1411">
        <f>IF(MONTH(C193)=5,FM192*(IF(Summary!$E$70="no",(1+(Summary!$E$71*0.8)),1+HLOOKUP(YEAR(CALC!C193)-1,CCFMODEL!$I$127:$AF$128,2)*0.8)),+FM192)</f>
        <v>38.110827307689526</v>
      </c>
      <c r="FN193" s="832">
        <f t="shared" si="128"/>
        <v>1293601.3492622541</v>
      </c>
      <c r="FO193" s="194">
        <f t="shared" si="160"/>
        <v>1899464.119186518</v>
      </c>
      <c r="FP193" s="263">
        <f t="shared" si="177"/>
        <v>11169.9</v>
      </c>
      <c r="FQ193" s="194">
        <f t="shared" si="178"/>
        <v>0</v>
      </c>
      <c r="FR193" s="194">
        <f t="shared" si="179"/>
        <v>2127.6</v>
      </c>
      <c r="FS193" s="194">
        <f t="shared" si="176"/>
        <v>0</v>
      </c>
      <c r="FT193" s="194">
        <f t="shared" si="176"/>
        <v>2659.5</v>
      </c>
      <c r="FU193" s="194">
        <f t="shared" si="176"/>
        <v>0</v>
      </c>
      <c r="FV193" s="257">
        <f t="shared" si="124"/>
        <v>0</v>
      </c>
      <c r="FW193" s="189">
        <f t="shared" si="129"/>
        <v>0</v>
      </c>
      <c r="FX193" s="189">
        <f t="shared" si="130"/>
        <v>0</v>
      </c>
      <c r="FY193" s="189">
        <f t="shared" si="131"/>
        <v>0</v>
      </c>
      <c r="FZ193" s="258">
        <f t="shared" si="132"/>
        <v>0</v>
      </c>
      <c r="GA193" s="1294">
        <f>(SUM(FP193:FV193)+SUM(GU193:HB193)/(1-Summary!$O$25))*CY193/1000</f>
        <v>198138.52958284802</v>
      </c>
      <c r="GB193" s="1369">
        <f>IF($C193&lt;Summary!$M$81,+Summary!$O$81,VLOOKUP(C193,GasTable,19))</f>
        <v>3.646346562587456</v>
      </c>
      <c r="GC193" s="1370">
        <f>IF(H193&lt;=Summary!$N$84,MIN(GA193,Summary!$O$75*(H193-G193+1)),0)</f>
        <v>0</v>
      </c>
      <c r="GD193" s="1371">
        <f>IF(C193&lt;Summary!$N$84,IF(Summary!$O$75*(H193-G193+1)*0.8&gt;GC193,1,0),0)</f>
        <v>0</v>
      </c>
      <c r="GE193" s="1372">
        <v>0</v>
      </c>
      <c r="GF193" s="1370">
        <f t="shared" si="161"/>
        <v>198138.52958284802</v>
      </c>
      <c r="GG193" s="1371">
        <f>GF193*(IF(Summary!$O$74=1,VLOOKUP($C193,GasTable,16)+Summary!$O$92+Summary!$O$93,VLOOKUP($C193,GasTable,19)+Summary!$O$92+Summary!$O$93))</f>
        <v>732804.76365181722</v>
      </c>
      <c r="GH193" s="1373">
        <v>5469.519843881184</v>
      </c>
      <c r="GI193" s="1466">
        <v>0</v>
      </c>
      <c r="GJ193" s="1374">
        <f t="shared" si="162"/>
        <v>738274.28349569836</v>
      </c>
      <c r="GK193" s="189">
        <f t="shared" si="133"/>
        <v>25196.103000000003</v>
      </c>
      <c r="GL193" s="266">
        <v>0.5199630836800001</v>
      </c>
      <c r="GM193" s="255">
        <f t="shared" si="134"/>
        <v>0</v>
      </c>
      <c r="GN193" s="189">
        <f>IF(SUM(GU193:HB193)=0,0,IF(Summary!$O$16="Yes",SUM(GX193:HB193),IF(Summary!$O$17="Yes",SUM(GY193:HB193),SUM(GU193:HB193))))</f>
        <v>9239.103000000001</v>
      </c>
      <c r="GO193" s="203">
        <v>3.5992458930959277</v>
      </c>
      <c r="GP193" s="258">
        <f t="shared" si="163"/>
        <v>33253.803528640266</v>
      </c>
      <c r="GQ193" s="189"/>
      <c r="GR193" s="189"/>
      <c r="GS193" s="189"/>
      <c r="GT193" s="189"/>
      <c r="GU193" s="268">
        <v>3592.9845000000009</v>
      </c>
      <c r="GV193" s="189">
        <v>684.37800000000027</v>
      </c>
      <c r="GW193" s="189">
        <v>855.47249999999997</v>
      </c>
      <c r="GX193" s="189"/>
      <c r="GY193" s="254">
        <v>2874.3875999999996</v>
      </c>
      <c r="GZ193" s="189">
        <v>547.50239999999997</v>
      </c>
      <c r="HA193" s="189">
        <v>684.37800000000004</v>
      </c>
      <c r="HB193" s="255"/>
      <c r="HC193" s="189">
        <v>9239.103000000001</v>
      </c>
      <c r="HD193" s="189"/>
      <c r="HE193" s="189">
        <v>21557.906999999999</v>
      </c>
      <c r="HF193" s="189">
        <v>543917.23236397526</v>
      </c>
      <c r="HG193" s="189"/>
      <c r="HH193" s="203">
        <v>61.104894413147484</v>
      </c>
      <c r="HI193" s="189">
        <v>1317293.6310034529</v>
      </c>
      <c r="HJ193" s="268">
        <f t="shared" si="135"/>
        <v>0</v>
      </c>
      <c r="HK193" s="189">
        <f t="shared" si="136"/>
        <v>0</v>
      </c>
      <c r="HL193" s="189">
        <f t="shared" si="137"/>
        <v>0</v>
      </c>
      <c r="HM193" s="255">
        <f t="shared" si="138"/>
        <v>0</v>
      </c>
      <c r="HN193" s="189">
        <f t="shared" si="139"/>
        <v>0</v>
      </c>
      <c r="HO193" s="203">
        <f t="shared" si="164"/>
        <v>0</v>
      </c>
      <c r="HP193" s="258">
        <f t="shared" si="140"/>
        <v>0</v>
      </c>
      <c r="HQ193" s="804"/>
      <c r="HR193" s="268"/>
      <c r="HS193" s="1408"/>
      <c r="HT193" s="255"/>
      <c r="HU193" s="268"/>
      <c r="HV193" s="1408"/>
      <c r="HW193" s="255"/>
      <c r="HX193" s="1408"/>
      <c r="HY193" s="1408"/>
      <c r="HZ193"/>
      <c r="IA193" s="203"/>
      <c r="IB193" s="203"/>
      <c r="IC193" s="203"/>
      <c r="ID193" s="203"/>
      <c r="IE193" s="203"/>
      <c r="IF193" s="203"/>
      <c r="IG193" s="203"/>
      <c r="IH193" s="203"/>
      <c r="II193" s="203"/>
      <c r="IJ193" s="203"/>
      <c r="IK193" s="203"/>
      <c r="IL193" s="821"/>
      <c r="IM193" s="820"/>
      <c r="IN193" s="820"/>
      <c r="IR193" s="223"/>
    </row>
    <row r="194" spans="1:252" ht="13.8" thickBot="1">
      <c r="A194" t="str">
        <f t="shared" si="141"/>
        <v>2014Q4</v>
      </c>
      <c r="B194">
        <f t="shared" si="142"/>
        <v>2014</v>
      </c>
      <c r="C194" s="49">
        <f t="shared" si="143"/>
        <v>41913</v>
      </c>
      <c r="D194" s="115">
        <f t="shared" si="144"/>
        <v>2014</v>
      </c>
      <c r="E194" s="10">
        <f t="shared" si="167"/>
        <v>10</v>
      </c>
      <c r="F194" s="248" t="str">
        <f t="shared" si="168"/>
        <v/>
      </c>
      <c r="G194" s="245">
        <v>41913</v>
      </c>
      <c r="H194" s="251">
        <v>41943</v>
      </c>
      <c r="I194" s="959">
        <f t="shared" si="165"/>
        <v>7.1499999999999994E-2</v>
      </c>
      <c r="J194" s="37">
        <f t="shared" si="145"/>
        <v>0.35028306870931647</v>
      </c>
      <c r="K194" s="1036"/>
      <c r="L194" s="37"/>
      <c r="M194" s="1004">
        <v>0</v>
      </c>
      <c r="N194" s="38">
        <f t="shared" si="181"/>
        <v>0</v>
      </c>
      <c r="O194" s="40">
        <f t="shared" si="181"/>
        <v>0</v>
      </c>
      <c r="P194" s="159">
        <f t="shared" si="172"/>
        <v>0</v>
      </c>
      <c r="Q194" s="38">
        <f t="shared" si="182"/>
        <v>0</v>
      </c>
      <c r="R194" s="40">
        <f t="shared" si="182"/>
        <v>0</v>
      </c>
      <c r="S194" s="38">
        <f t="shared" si="182"/>
        <v>0</v>
      </c>
      <c r="T194" s="38">
        <f t="shared" si="182"/>
        <v>0</v>
      </c>
      <c r="U194" s="38">
        <f t="shared" si="182"/>
        <v>0</v>
      </c>
      <c r="V194" s="159">
        <f t="shared" si="182"/>
        <v>0</v>
      </c>
      <c r="W194" s="38">
        <f t="shared" si="182"/>
        <v>0</v>
      </c>
      <c r="X194" s="39">
        <f t="shared" si="182"/>
        <v>0</v>
      </c>
      <c r="Y194" s="46">
        <v>0</v>
      </c>
      <c r="Z194" s="46">
        <v>0</v>
      </c>
      <c r="AA194" s="47">
        <v>0</v>
      </c>
      <c r="AB194" s="46">
        <v>0</v>
      </c>
      <c r="AC194" s="46">
        <v>0</v>
      </c>
      <c r="AD194" s="47">
        <v>0</v>
      </c>
      <c r="AE194" s="46">
        <v>0</v>
      </c>
      <c r="AF194" s="46">
        <v>0</v>
      </c>
      <c r="AG194" s="47">
        <v>0</v>
      </c>
      <c r="AH194" s="46">
        <v>0</v>
      </c>
      <c r="AI194" s="46">
        <v>0</v>
      </c>
      <c r="AJ194" s="47">
        <v>0</v>
      </c>
      <c r="AK194" s="46">
        <v>0</v>
      </c>
      <c r="AL194" s="46">
        <v>0</v>
      </c>
      <c r="AM194" s="47">
        <v>0</v>
      </c>
      <c r="AN194" s="46">
        <v>0</v>
      </c>
      <c r="AO194" s="46">
        <v>0</v>
      </c>
      <c r="AP194" s="47">
        <v>0</v>
      </c>
      <c r="AQ194" s="46">
        <v>0</v>
      </c>
      <c r="AR194" s="46">
        <v>0</v>
      </c>
      <c r="AS194" s="47">
        <v>0</v>
      </c>
      <c r="AT194" s="46">
        <v>0</v>
      </c>
      <c r="AU194" s="46">
        <v>0</v>
      </c>
      <c r="AV194" s="46">
        <v>0</v>
      </c>
      <c r="AW194" s="1545">
        <v>0</v>
      </c>
      <c r="AX194" s="10">
        <f t="shared" si="169"/>
        <v>23</v>
      </c>
      <c r="AY194" s="42">
        <f>IF(AND($E194=MONTH(Summary!$E$24),$D194=YEAR(Summary!$E$24)),Summary!$E$25,1)*IF(G194="",0,INT((H194-MOD(H194,7)-G194)/7)+1-IF(BA194,IF(WEEKDAY(F194)=7,1,0),0))</f>
        <v>4</v>
      </c>
      <c r="AZ194" s="42">
        <f>IF(AND($E194=MONTH(Summary!$E$24),$D194=YEAR(Summary!$E$24)),Summary!$E$25,1)*IF(G194="",0,INT((H194-MOD(H194-1,7)-G194)/7)+1-IF(BA194,IF(WEEKDAY(F194)=1,1,0),0))</f>
        <v>4</v>
      </c>
      <c r="BA194" s="42">
        <v>0</v>
      </c>
      <c r="BB194" s="10">
        <f>IF(AND($E194=MONTH(Summary!$E$24),$D194=YEAR(Summary!$E$24)),Summary!$E$25,1)*IF(G194="",0,H194-G194+1)</f>
        <v>31</v>
      </c>
      <c r="BC194" s="914">
        <f>Summary!$E$19</f>
        <v>1.4999999999999999E-2</v>
      </c>
      <c r="BD194" s="113">
        <v>16311.6</v>
      </c>
      <c r="BE194" s="171">
        <v>2836.8</v>
      </c>
      <c r="BF194" s="171">
        <v>2836.8</v>
      </c>
      <c r="BG194" s="174"/>
      <c r="BH194" s="1198">
        <v>1</v>
      </c>
      <c r="BI194" s="1198">
        <v>1</v>
      </c>
      <c r="BJ194" s="1198">
        <v>1</v>
      </c>
      <c r="BK194" s="1198">
        <v>1</v>
      </c>
      <c r="BL194" s="95">
        <v>3262.32</v>
      </c>
      <c r="BM194" s="171">
        <v>567.36</v>
      </c>
      <c r="BN194" s="171">
        <v>567.36</v>
      </c>
      <c r="BO194" s="174"/>
      <c r="BP194" s="1198">
        <v>1</v>
      </c>
      <c r="BQ194" s="1199">
        <v>1</v>
      </c>
      <c r="BR194" s="1199">
        <v>1</v>
      </c>
      <c r="BS194" s="1200">
        <v>1</v>
      </c>
      <c r="BT194" s="94">
        <f t="shared" si="146"/>
        <v>21985.200000000001</v>
      </c>
      <c r="BU194" s="233">
        <f t="shared" si="147"/>
        <v>21985.200000000001</v>
      </c>
      <c r="BV194" s="92">
        <f t="shared" si="148"/>
        <v>4397.04</v>
      </c>
      <c r="BW194" s="233">
        <f t="shared" si="149"/>
        <v>4397.04</v>
      </c>
      <c r="BX194" s="88">
        <v>14.795345653661876</v>
      </c>
      <c r="BY194" s="90">
        <v>0</v>
      </c>
      <c r="BZ194" s="88">
        <v>0</v>
      </c>
      <c r="CA194" s="88">
        <v>0</v>
      </c>
      <c r="CB194" s="88">
        <v>0</v>
      </c>
      <c r="CC194" s="88">
        <v>0</v>
      </c>
      <c r="CD194" s="88">
        <v>0</v>
      </c>
      <c r="CE194" s="100">
        <v>0</v>
      </c>
      <c r="CF194" s="88">
        <v>0</v>
      </c>
      <c r="CG194" s="88">
        <v>0</v>
      </c>
      <c r="CH194" s="88">
        <v>0</v>
      </c>
      <c r="CI194" s="88">
        <v>0</v>
      </c>
      <c r="CJ194" s="228">
        <v>0</v>
      </c>
      <c r="CK194" s="88">
        <v>0</v>
      </c>
      <c r="CL194" s="88">
        <v>0</v>
      </c>
      <c r="CM194" s="88">
        <v>0</v>
      </c>
      <c r="CN194" s="88">
        <v>0</v>
      </c>
      <c r="CO194" s="88">
        <v>0</v>
      </c>
      <c r="CP194" s="88">
        <v>0</v>
      </c>
      <c r="CQ194" s="229">
        <v>0</v>
      </c>
      <c r="CR194" s="91">
        <v>0</v>
      </c>
      <c r="CS194" s="91">
        <v>0</v>
      </c>
      <c r="CT194" s="91">
        <v>0</v>
      </c>
      <c r="CU194" s="91">
        <v>0</v>
      </c>
      <c r="CV194" s="91">
        <v>0</v>
      </c>
      <c r="CW194" s="91">
        <v>0</v>
      </c>
      <c r="CX194" s="225">
        <v>0</v>
      </c>
      <c r="CY194" s="1265">
        <v>7761.9459200000001</v>
      </c>
      <c r="CZ194" s="90">
        <v>0</v>
      </c>
      <c r="DA194" s="88">
        <v>0</v>
      </c>
      <c r="DB194" s="88">
        <v>0</v>
      </c>
      <c r="DC194" s="88">
        <v>0</v>
      </c>
      <c r="DD194" s="88">
        <v>0</v>
      </c>
      <c r="DE194" s="152">
        <v>0</v>
      </c>
      <c r="DF194" s="230">
        <v>0</v>
      </c>
      <c r="DG194" s="38">
        <v>0</v>
      </c>
      <c r="DH194" s="1237">
        <v>0</v>
      </c>
      <c r="DI194" s="956">
        <v>0</v>
      </c>
      <c r="DJ194" s="956">
        <v>0</v>
      </c>
      <c r="DK194" s="956">
        <v>0</v>
      </c>
      <c r="DL194" s="152">
        <v>0</v>
      </c>
      <c r="DM194" s="160">
        <v>0</v>
      </c>
      <c r="DN194" s="160">
        <v>0</v>
      </c>
      <c r="DO194" s="160">
        <v>0</v>
      </c>
      <c r="DP194" s="160">
        <v>0</v>
      </c>
      <c r="DQ194" s="160">
        <v>0</v>
      </c>
      <c r="DR194" s="230">
        <v>0</v>
      </c>
      <c r="DS194" s="88">
        <v>0</v>
      </c>
      <c r="DT194" s="88">
        <v>0</v>
      </c>
      <c r="DU194" s="88">
        <v>0</v>
      </c>
      <c r="DV194" s="88">
        <v>0</v>
      </c>
      <c r="DW194" s="88">
        <v>0</v>
      </c>
      <c r="DX194" s="88">
        <v>0</v>
      </c>
      <c r="DY194" s="88">
        <v>0</v>
      </c>
      <c r="DZ194" s="88">
        <v>0</v>
      </c>
      <c r="EA194" s="88">
        <v>0</v>
      </c>
      <c r="EB194" s="152">
        <v>0</v>
      </c>
      <c r="EC194" s="52">
        <f t="shared" si="150"/>
        <v>0</v>
      </c>
      <c r="ED194" s="52">
        <f t="shared" si="150"/>
        <v>0</v>
      </c>
      <c r="EE194" s="52">
        <f t="shared" si="150"/>
        <v>0</v>
      </c>
      <c r="EF194" s="52">
        <f t="shared" si="150"/>
        <v>0</v>
      </c>
      <c r="EG194" s="52">
        <f t="shared" si="151"/>
        <v>0</v>
      </c>
      <c r="EH194" s="238">
        <v>0</v>
      </c>
      <c r="EI194" s="211">
        <v>0</v>
      </c>
      <c r="EJ194" s="211">
        <v>0</v>
      </c>
      <c r="EK194" s="211">
        <v>0</v>
      </c>
      <c r="EL194" s="217">
        <f>IF(C194&gt;=Summary!$E$26,MAX(0,SUM(EH194:EK194)),0)</f>
        <v>0</v>
      </c>
      <c r="EM194" s="52">
        <f>IF(C194&gt;=Summary!$E$26,DX194*BL194,0)</f>
        <v>0</v>
      </c>
      <c r="EN194" s="52">
        <f>IF(C194&gt;=Summary!$E$26,DY194*BM194,0)</f>
        <v>0</v>
      </c>
      <c r="EO194" s="52">
        <f>IF(C194&gt;=Summary!$E$26,DZ194*BN194,0)</f>
        <v>0</v>
      </c>
      <c r="EP194" s="52">
        <f>IF(C194&gt;=Summary!$E$26,EA194*BO194,0)</f>
        <v>0</v>
      </c>
      <c r="EQ194" s="52">
        <f>IF(C194&gt;=Summary!$E$26,DX194*BL194+DY194*BM194+DZ194*BN194+EA194*BO194,0)</f>
        <v>0</v>
      </c>
      <c r="ER194" s="826">
        <v>0</v>
      </c>
      <c r="ES194" s="278">
        <v>0</v>
      </c>
      <c r="ET194" s="278">
        <v>0</v>
      </c>
      <c r="EU194" s="278">
        <v>0</v>
      </c>
      <c r="EV194" s="212">
        <f>IF(C194&gt;=Summary!$E$26,MAX(0,SUM(ER194:EU194)),0)</f>
        <v>0</v>
      </c>
      <c r="EW194" s="52"/>
      <c r="EX194" s="1049">
        <f t="shared" si="152"/>
        <v>0</v>
      </c>
      <c r="EY194" s="1045" t="str">
        <f t="shared" si="153"/>
        <v/>
      </c>
      <c r="EZ194" s="1684" t="s">
        <v>525</v>
      </c>
      <c r="FA194" s="1046">
        <f t="shared" si="166"/>
        <v>45</v>
      </c>
      <c r="FB194" s="256">
        <f t="shared" si="154"/>
        <v>10194.75</v>
      </c>
      <c r="FC194" s="194">
        <f t="shared" si="155"/>
        <v>3058.4250000000002</v>
      </c>
      <c r="FD194" s="194">
        <f t="shared" si="156"/>
        <v>1773</v>
      </c>
      <c r="FE194" s="194">
        <f t="shared" si="157"/>
        <v>531.9</v>
      </c>
      <c r="FF194" s="194">
        <f t="shared" si="158"/>
        <v>1773</v>
      </c>
      <c r="FG194" s="194">
        <f t="shared" si="159"/>
        <v>531.9</v>
      </c>
      <c r="FH194" s="257">
        <f>IF(EZ194="No",IF((OR(MONTH(C194)=5,MONTH(C194)=6,MONTH(C194)=7,MONTH(C194)=8,MONTH(C194)=9)),Summary!$O$15*12*(AX194+AY194+AZ194+BA194)*(1-$BC194),Summary!$O$15*13*(AX194+AY194+AZ194+BA194)*(1-$BC194)+IF(Summary!$O$16="Yes",(CALC!FA194+Summary!$O$15)*6*(AX194+AY194+AZ194+BA194)*(1-$BC194),0)),0)</f>
        <v>0</v>
      </c>
      <c r="FI194" s="1412">
        <f>IF(MONTH(C194)=5,FI193*(IF(Summary!$E$70="no",(1+(Summary!$E$71*0.8)),1+HLOOKUP(YEAR(C194)-1,CCFMODEL!$I$127:$AF$128,2)*0.8)),+FI193)</f>
        <v>37.968463365561441</v>
      </c>
      <c r="FJ194" s="1411">
        <f>IF(MONTH(C194)=5,FJ193*(IF(Summary!$E$70="no",(1+(Summary!$E$71*0.8)),1+HLOOKUP(YEAR(CALC!C194)-1,CCFMODEL!$I$127:$AF$128,2)*0.8)),FJ193)</f>
        <v>33.185034910057638</v>
      </c>
      <c r="FK194" s="832">
        <f t="shared" si="127"/>
        <v>678229.71188743983</v>
      </c>
      <c r="FL194" s="1412">
        <f>IF(MONTH(C194)=5,FL193*(IF(Summary!$E$70="no",(1+(Summary!$E$71*0.8)),1+HLOOKUP(YEAR(CALC!C194)-1,CCFMODEL!$I$127:$AF$128,2)*0.8)),+FL193)</f>
        <v>79.85193513964532</v>
      </c>
      <c r="FM194" s="1411">
        <f>IF(MONTH(C194)=5,FM193*(IF(Summary!$E$70="no",(1+(Summary!$E$71*0.8)),1+HLOOKUP(YEAR(CALC!C194)-1,CCFMODEL!$I$127:$AF$128,2)*0.8)),+FM193)</f>
        <v>38.110827307689526</v>
      </c>
      <c r="FN194" s="832">
        <f t="shared" si="128"/>
        <v>691139.85322494956</v>
      </c>
      <c r="FO194" s="194">
        <f t="shared" si="160"/>
        <v>1369369.5651123894</v>
      </c>
      <c r="FP194" s="263">
        <f t="shared" si="177"/>
        <v>10194.75</v>
      </c>
      <c r="FQ194" s="194">
        <f t="shared" si="178"/>
        <v>3058.4250000000002</v>
      </c>
      <c r="FR194" s="194">
        <f t="shared" si="179"/>
        <v>1773</v>
      </c>
      <c r="FS194" s="194">
        <f t="shared" si="176"/>
        <v>531.9</v>
      </c>
      <c r="FT194" s="194">
        <f t="shared" si="176"/>
        <v>1773</v>
      </c>
      <c r="FU194" s="194">
        <f t="shared" si="176"/>
        <v>531.9</v>
      </c>
      <c r="FV194" s="257">
        <f t="shared" si="124"/>
        <v>0</v>
      </c>
      <c r="FW194" s="189">
        <f t="shared" si="129"/>
        <v>0</v>
      </c>
      <c r="FX194" s="189">
        <f t="shared" si="130"/>
        <v>0</v>
      </c>
      <c r="FY194" s="189">
        <f t="shared" si="131"/>
        <v>0</v>
      </c>
      <c r="FZ194" s="258">
        <f t="shared" si="132"/>
        <v>0</v>
      </c>
      <c r="GA194" s="1294">
        <f>(SUM(FP194:FV194)+SUM(GU194:HB194)/(1-Summary!$O$25))*CY194/1000</f>
        <v>236774.00764853277</v>
      </c>
      <c r="GB194" s="1369">
        <f>IF($C194&lt;Summary!$M$81,+Summary!$O$81,VLOOKUP(C194,GasTable,19))</f>
        <v>3.8083880772885825</v>
      </c>
      <c r="GC194" s="1370">
        <f>IF(H194&lt;=Summary!$N$84,MIN(GA194,Summary!$O$75*(H194-G194+1)),0)</f>
        <v>0</v>
      </c>
      <c r="GD194" s="1371">
        <f>IF(C194&lt;Summary!$N$84,IF(Summary!$O$75*(H194-G194+1)*0.8&gt;GC194,1,0),0)</f>
        <v>0</v>
      </c>
      <c r="GE194" s="1372">
        <v>0</v>
      </c>
      <c r="GF194" s="1370">
        <f t="shared" si="161"/>
        <v>236774.00764853277</v>
      </c>
      <c r="GG194" s="1371">
        <f>GF194*(IF(Summary!$O$74=1,VLOOKUP($C194,GasTable,16)+Summary!$O$92+Summary!$O$93,VLOOKUP($C194,GasTable,19)+Summary!$O$92+Summary!$O$93))</f>
        <v>914063.23353899643</v>
      </c>
      <c r="GH194" s="1373">
        <v>5903.0015197973025</v>
      </c>
      <c r="GI194" s="1466">
        <v>0</v>
      </c>
      <c r="GJ194" s="1374">
        <f t="shared" si="162"/>
        <v>919966.23505879368</v>
      </c>
      <c r="GK194" s="189">
        <f t="shared" si="133"/>
        <v>30062.012849999999</v>
      </c>
      <c r="GL194" s="266">
        <v>0.52005037664000009</v>
      </c>
      <c r="GM194" s="255">
        <f t="shared" si="134"/>
        <v>0</v>
      </c>
      <c r="GN194" s="189">
        <f>IF(SUM(GU194:HB194)=0,0,IF(Summary!$O$16="Yes",SUM(GX194:HB194),IF(Summary!$O$17="Yes",SUM(GY194:HB194),SUM(GU194:HB194))))</f>
        <v>12199.037849999999</v>
      </c>
      <c r="GO194" s="203">
        <v>3.5992458930959277</v>
      </c>
      <c r="GP194" s="258">
        <f t="shared" si="163"/>
        <v>43907.336881334268</v>
      </c>
      <c r="GQ194" s="189"/>
      <c r="GR194" s="189"/>
      <c r="GS194" s="189"/>
      <c r="GT194" s="189"/>
      <c r="GU194" s="268">
        <v>5902.7602500000003</v>
      </c>
      <c r="GV194" s="189">
        <v>1026.5670000000002</v>
      </c>
      <c r="GW194" s="189">
        <v>1026.5670000000002</v>
      </c>
      <c r="GX194" s="189"/>
      <c r="GY194" s="254">
        <v>3148.1388000000002</v>
      </c>
      <c r="GZ194" s="189">
        <v>547.50239999999997</v>
      </c>
      <c r="HA194" s="189">
        <v>547.50239999999997</v>
      </c>
      <c r="HB194" s="255"/>
      <c r="HC194" s="189">
        <v>12199.037849999999</v>
      </c>
      <c r="HD194" s="189"/>
      <c r="HE194" s="189">
        <v>20950.521524999996</v>
      </c>
      <c r="HF194" s="189">
        <v>651638.5508163023</v>
      </c>
      <c r="HG194" s="189"/>
      <c r="HH194" s="203">
        <v>52.572337788703457</v>
      </c>
      <c r="HI194" s="189">
        <v>1101417.8944618024</v>
      </c>
      <c r="HJ194" s="268">
        <f t="shared" si="135"/>
        <v>0</v>
      </c>
      <c r="HK194" s="189">
        <f t="shared" si="136"/>
        <v>0</v>
      </c>
      <c r="HL194" s="189">
        <f t="shared" si="137"/>
        <v>0</v>
      </c>
      <c r="HM194" s="255">
        <f t="shared" si="138"/>
        <v>0</v>
      </c>
      <c r="HN194" s="189">
        <f t="shared" si="139"/>
        <v>0</v>
      </c>
      <c r="HO194" s="203">
        <f t="shared" si="164"/>
        <v>0</v>
      </c>
      <c r="HP194" s="258">
        <f t="shared" si="140"/>
        <v>0</v>
      </c>
      <c r="HQ194" s="804"/>
      <c r="HR194" s="268"/>
      <c r="HS194" s="1408"/>
      <c r="HT194" s="255"/>
      <c r="HU194" s="268"/>
      <c r="HV194" s="1408"/>
      <c r="HW194" s="255"/>
      <c r="HX194" s="1408"/>
      <c r="HY194" s="1408"/>
      <c r="HZ194"/>
      <c r="IA194" s="203"/>
      <c r="IB194" s="203"/>
      <c r="IC194" s="203"/>
      <c r="ID194" s="203"/>
      <c r="IE194" s="203"/>
      <c r="IF194" s="203"/>
      <c r="IG194" s="203"/>
      <c r="IH194" s="203"/>
      <c r="II194" s="203"/>
      <c r="IJ194" s="203"/>
      <c r="IK194" s="203"/>
      <c r="IL194" s="821"/>
      <c r="IM194" s="820"/>
      <c r="IN194" s="820"/>
      <c r="IR194" s="223"/>
    </row>
    <row r="195" spans="1:252" ht="13.8" thickBot="1">
      <c r="A195" t="str">
        <f t="shared" si="141"/>
        <v>2014Q4</v>
      </c>
      <c r="B195">
        <f t="shared" si="142"/>
        <v>2014</v>
      </c>
      <c r="C195" s="49">
        <f t="shared" si="143"/>
        <v>41944</v>
      </c>
      <c r="D195" s="115">
        <f t="shared" si="144"/>
        <v>2014</v>
      </c>
      <c r="E195" s="10">
        <f t="shared" si="167"/>
        <v>11</v>
      </c>
      <c r="F195" s="248">
        <f t="shared" si="168"/>
        <v>41970</v>
      </c>
      <c r="G195" s="245">
        <v>41944</v>
      </c>
      <c r="H195" s="251">
        <v>41973</v>
      </c>
      <c r="I195" s="959">
        <f t="shared" si="165"/>
        <v>7.1499999999999994E-2</v>
      </c>
      <c r="J195" s="37">
        <f t="shared" si="145"/>
        <v>0.34826770214117009</v>
      </c>
      <c r="K195" s="1036"/>
      <c r="L195" s="37"/>
      <c r="M195" s="1004">
        <v>0</v>
      </c>
      <c r="N195" s="38">
        <f t="shared" si="181"/>
        <v>0</v>
      </c>
      <c r="O195" s="40">
        <f t="shared" si="181"/>
        <v>0</v>
      </c>
      <c r="P195" s="159">
        <f t="shared" si="172"/>
        <v>0</v>
      </c>
      <c r="Q195" s="38">
        <f t="shared" si="182"/>
        <v>0</v>
      </c>
      <c r="R195" s="40">
        <f t="shared" si="182"/>
        <v>0</v>
      </c>
      <c r="S195" s="38">
        <f t="shared" si="182"/>
        <v>0</v>
      </c>
      <c r="T195" s="38">
        <f t="shared" si="182"/>
        <v>0</v>
      </c>
      <c r="U195" s="38">
        <f t="shared" si="182"/>
        <v>0</v>
      </c>
      <c r="V195" s="159">
        <f t="shared" si="182"/>
        <v>0</v>
      </c>
      <c r="W195" s="38">
        <f t="shared" si="182"/>
        <v>0</v>
      </c>
      <c r="X195" s="39">
        <f t="shared" si="182"/>
        <v>0</v>
      </c>
      <c r="Y195" s="46">
        <v>0</v>
      </c>
      <c r="Z195" s="46">
        <v>0</v>
      </c>
      <c r="AA195" s="47">
        <v>0</v>
      </c>
      <c r="AB195" s="46">
        <v>0</v>
      </c>
      <c r="AC195" s="46">
        <v>0</v>
      </c>
      <c r="AD195" s="47">
        <v>0</v>
      </c>
      <c r="AE195" s="46">
        <v>0</v>
      </c>
      <c r="AF195" s="46">
        <v>0</v>
      </c>
      <c r="AG195" s="47">
        <v>0</v>
      </c>
      <c r="AH195" s="46">
        <v>0</v>
      </c>
      <c r="AI195" s="46">
        <v>0</v>
      </c>
      <c r="AJ195" s="47">
        <v>0</v>
      </c>
      <c r="AK195" s="46">
        <v>0</v>
      </c>
      <c r="AL195" s="46">
        <v>0</v>
      </c>
      <c r="AM195" s="47">
        <v>0</v>
      </c>
      <c r="AN195" s="46">
        <v>0</v>
      </c>
      <c r="AO195" s="46">
        <v>0</v>
      </c>
      <c r="AP195" s="47">
        <v>0</v>
      </c>
      <c r="AQ195" s="46">
        <v>0</v>
      </c>
      <c r="AR195" s="46">
        <v>0</v>
      </c>
      <c r="AS195" s="47">
        <v>0</v>
      </c>
      <c r="AT195" s="46">
        <v>0</v>
      </c>
      <c r="AU195" s="46">
        <v>0</v>
      </c>
      <c r="AV195" s="46">
        <v>0</v>
      </c>
      <c r="AW195" s="1545">
        <v>0</v>
      </c>
      <c r="AX195" s="10">
        <f t="shared" si="169"/>
        <v>19</v>
      </c>
      <c r="AY195" s="42">
        <f>IF(AND($E195=MONTH(Summary!$E$24),$D195=YEAR(Summary!$E$24)),Summary!$E$25,1)*IF(G195="",0,INT((H195-MOD(H195,7)-G195)/7)+1-IF(BA195,IF(WEEKDAY(F195)=7,1,0),0))</f>
        <v>5</v>
      </c>
      <c r="AZ195" s="42">
        <f>IF(AND($E195=MONTH(Summary!$E$24),$D195=YEAR(Summary!$E$24)),Summary!$E$25,1)*IF(G195="",0,INT((H195-MOD(H195-1,7)-G195)/7)+1-IF(BA195,IF(WEEKDAY(F195)=1,1,0),0))</f>
        <v>5</v>
      </c>
      <c r="BA195" s="42">
        <v>1</v>
      </c>
      <c r="BB195" s="10">
        <f>IF(AND($E195=MONTH(Summary!$E$24),$D195=YEAR(Summary!$E$24)),Summary!$E$25,1)*IF(G195="",0,H195-G195+1)</f>
        <v>30</v>
      </c>
      <c r="BC195" s="914">
        <f>Summary!$E$19</f>
        <v>1.4999999999999999E-2</v>
      </c>
      <c r="BD195" s="113">
        <v>13474.8</v>
      </c>
      <c r="BE195" s="171">
        <v>3546</v>
      </c>
      <c r="BF195" s="171">
        <v>4255.2</v>
      </c>
      <c r="BG195" s="174"/>
      <c r="BH195" s="1198">
        <v>1</v>
      </c>
      <c r="BI195" s="1198">
        <v>1</v>
      </c>
      <c r="BJ195" s="1198">
        <v>1</v>
      </c>
      <c r="BK195" s="1198">
        <v>1</v>
      </c>
      <c r="BL195" s="95">
        <v>2694.96</v>
      </c>
      <c r="BM195" s="171">
        <v>709.2</v>
      </c>
      <c r="BN195" s="171">
        <v>851.04</v>
      </c>
      <c r="BO195" s="174"/>
      <c r="BP195" s="1198">
        <v>1</v>
      </c>
      <c r="BQ195" s="1199">
        <v>1</v>
      </c>
      <c r="BR195" s="1199">
        <v>1</v>
      </c>
      <c r="BS195" s="1200">
        <v>1</v>
      </c>
      <c r="BT195" s="94">
        <f t="shared" si="146"/>
        <v>21276</v>
      </c>
      <c r="BU195" s="233">
        <f t="shared" si="147"/>
        <v>21276</v>
      </c>
      <c r="BV195" s="92">
        <f t="shared" si="148"/>
        <v>4255.2</v>
      </c>
      <c r="BW195" s="233">
        <f t="shared" si="149"/>
        <v>4255.2</v>
      </c>
      <c r="BX195" s="88">
        <v>14.880219028062971</v>
      </c>
      <c r="BY195" s="90">
        <v>0</v>
      </c>
      <c r="BZ195" s="88">
        <v>0</v>
      </c>
      <c r="CA195" s="88">
        <v>0</v>
      </c>
      <c r="CB195" s="88">
        <v>0</v>
      </c>
      <c r="CC195" s="88">
        <v>0</v>
      </c>
      <c r="CD195" s="88">
        <v>0</v>
      </c>
      <c r="CE195" s="100">
        <v>0</v>
      </c>
      <c r="CF195" s="88">
        <v>0</v>
      </c>
      <c r="CG195" s="88">
        <v>0</v>
      </c>
      <c r="CH195" s="88">
        <v>0</v>
      </c>
      <c r="CI195" s="88">
        <v>0</v>
      </c>
      <c r="CJ195" s="228">
        <v>0</v>
      </c>
      <c r="CK195" s="88">
        <v>0</v>
      </c>
      <c r="CL195" s="88">
        <v>0</v>
      </c>
      <c r="CM195" s="88">
        <v>0</v>
      </c>
      <c r="CN195" s="88">
        <v>0</v>
      </c>
      <c r="CO195" s="88">
        <v>0</v>
      </c>
      <c r="CP195" s="88">
        <v>0</v>
      </c>
      <c r="CQ195" s="229">
        <v>0</v>
      </c>
      <c r="CR195" s="91">
        <v>0</v>
      </c>
      <c r="CS195" s="91">
        <v>0</v>
      </c>
      <c r="CT195" s="91">
        <v>0</v>
      </c>
      <c r="CU195" s="91">
        <v>0</v>
      </c>
      <c r="CV195" s="91">
        <v>0</v>
      </c>
      <c r="CW195" s="91">
        <v>0</v>
      </c>
      <c r="CX195" s="225">
        <v>0</v>
      </c>
      <c r="CY195" s="1265">
        <v>7763.2488000000003</v>
      </c>
      <c r="CZ195" s="90">
        <v>0</v>
      </c>
      <c r="DA195" s="88">
        <v>0</v>
      </c>
      <c r="DB195" s="88">
        <v>0</v>
      </c>
      <c r="DC195" s="88">
        <v>0</v>
      </c>
      <c r="DD195" s="88">
        <v>0</v>
      </c>
      <c r="DE195" s="152">
        <v>0</v>
      </c>
      <c r="DF195" s="230">
        <v>0</v>
      </c>
      <c r="DG195" s="38">
        <v>0</v>
      </c>
      <c r="DH195" s="1237">
        <v>0</v>
      </c>
      <c r="DI195" s="956">
        <v>0</v>
      </c>
      <c r="DJ195" s="956">
        <v>0</v>
      </c>
      <c r="DK195" s="956">
        <v>0</v>
      </c>
      <c r="DL195" s="152">
        <v>0</v>
      </c>
      <c r="DM195" s="160">
        <v>0</v>
      </c>
      <c r="DN195" s="160">
        <v>0</v>
      </c>
      <c r="DO195" s="160">
        <v>0</v>
      </c>
      <c r="DP195" s="160">
        <v>0</v>
      </c>
      <c r="DQ195" s="160">
        <v>0</v>
      </c>
      <c r="DR195" s="230">
        <v>0</v>
      </c>
      <c r="DS195" s="88">
        <v>0</v>
      </c>
      <c r="DT195" s="88">
        <v>0</v>
      </c>
      <c r="DU195" s="88">
        <v>0</v>
      </c>
      <c r="DV195" s="88">
        <v>0</v>
      </c>
      <c r="DW195" s="88">
        <v>0</v>
      </c>
      <c r="DX195" s="88">
        <v>0</v>
      </c>
      <c r="DY195" s="88">
        <v>0</v>
      </c>
      <c r="DZ195" s="88">
        <v>0</v>
      </c>
      <c r="EA195" s="88">
        <v>0</v>
      </c>
      <c r="EB195" s="152">
        <v>0</v>
      </c>
      <c r="EC195" s="52">
        <f t="shared" si="150"/>
        <v>0</v>
      </c>
      <c r="ED195" s="52">
        <f t="shared" si="150"/>
        <v>0</v>
      </c>
      <c r="EE195" s="52">
        <f t="shared" si="150"/>
        <v>0</v>
      </c>
      <c r="EF195" s="52">
        <f t="shared" si="150"/>
        <v>0</v>
      </c>
      <c r="EG195" s="52">
        <f t="shared" si="151"/>
        <v>0</v>
      </c>
      <c r="EH195" s="238">
        <v>0</v>
      </c>
      <c r="EI195" s="211">
        <v>0</v>
      </c>
      <c r="EJ195" s="211">
        <v>0</v>
      </c>
      <c r="EK195" s="211">
        <v>0</v>
      </c>
      <c r="EL195" s="217">
        <f>IF(C195&gt;=Summary!$E$26,MAX(0,SUM(EH195:EK195)),0)</f>
        <v>0</v>
      </c>
      <c r="EM195" s="52">
        <f>IF(C195&gt;=Summary!$E$26,DX195*BL195,0)</f>
        <v>0</v>
      </c>
      <c r="EN195" s="52">
        <f>IF(C195&gt;=Summary!$E$26,DY195*BM195,0)</f>
        <v>0</v>
      </c>
      <c r="EO195" s="52">
        <f>IF(C195&gt;=Summary!$E$26,DZ195*BN195,0)</f>
        <v>0</v>
      </c>
      <c r="EP195" s="52">
        <f>IF(C195&gt;=Summary!$E$26,EA195*BO195,0)</f>
        <v>0</v>
      </c>
      <c r="EQ195" s="52">
        <f>IF(C195&gt;=Summary!$E$26,DX195*BL195+DY195*BM195+DZ195*BN195+EA195*BO195,0)</f>
        <v>0</v>
      </c>
      <c r="ER195" s="826">
        <v>0</v>
      </c>
      <c r="ES195" s="278">
        <v>0</v>
      </c>
      <c r="ET195" s="278">
        <v>0</v>
      </c>
      <c r="EU195" s="278">
        <v>0</v>
      </c>
      <c r="EV195" s="212">
        <f>IF(C195&gt;=Summary!$E$26,MAX(0,SUM(ER195:EU195)),0)</f>
        <v>0</v>
      </c>
      <c r="EW195" s="52"/>
      <c r="EX195" s="1049">
        <f t="shared" si="152"/>
        <v>0</v>
      </c>
      <c r="EY195" s="1045" t="str">
        <f t="shared" si="153"/>
        <v/>
      </c>
      <c r="EZ195" s="1684" t="s">
        <v>525</v>
      </c>
      <c r="FA195" s="1046">
        <f t="shared" si="166"/>
        <v>45</v>
      </c>
      <c r="FB195" s="256">
        <f t="shared" si="154"/>
        <v>8421.75</v>
      </c>
      <c r="FC195" s="194">
        <f t="shared" si="155"/>
        <v>2526.5250000000001</v>
      </c>
      <c r="FD195" s="194">
        <f t="shared" si="156"/>
        <v>2216.25</v>
      </c>
      <c r="FE195" s="194">
        <f t="shared" si="157"/>
        <v>664.875</v>
      </c>
      <c r="FF195" s="194">
        <f t="shared" si="158"/>
        <v>2659.5</v>
      </c>
      <c r="FG195" s="194">
        <f t="shared" si="159"/>
        <v>797.85</v>
      </c>
      <c r="FH195" s="257">
        <f>IF(EZ195="No",IF((OR(MONTH(C195)=5,MONTH(C195)=6,MONTH(C195)=7,MONTH(C195)=8,MONTH(C195)=9)),Summary!$O$15*12*(AX195+AY195+AZ195+BA195)*(1-$BC195),Summary!$O$15*13*(AX195+AY195+AZ195+BA195)*(1-$BC195)+IF(Summary!$O$16="Yes",(CALC!FA195+Summary!$O$15)*6*(AX195+AY195+AZ195+BA195)*(1-$BC195),0)),0)</f>
        <v>0</v>
      </c>
      <c r="FI195" s="1412">
        <f>IF(MONTH(C195)=5,FI194*(IF(Summary!$E$70="no",(1+(Summary!$E$71*0.8)),1+HLOOKUP(YEAR(C195)-1,CCFMODEL!$I$127:$AF$128,2)*0.8)),+FI194)</f>
        <v>37.968463365561441</v>
      </c>
      <c r="FJ195" s="1411">
        <f>IF(MONTH(C195)=5,FJ194*(IF(Summary!$E$70="no",(1+(Summary!$E$71*0.8)),1+HLOOKUP(YEAR(CALC!C195)-1,CCFMODEL!$I$127:$AF$128,2)*0.8)),FJ194)</f>
        <v>33.185034910057638</v>
      </c>
      <c r="FK195" s="832">
        <f t="shared" si="127"/>
        <v>656351.33408461919</v>
      </c>
      <c r="FL195" s="1412">
        <f>IF(MONTH(C195)=5,FL194*(IF(Summary!$E$70="no",(1+(Summary!$E$71*0.8)),1+HLOOKUP(YEAR(CALC!C195)-1,CCFMODEL!$I$127:$AF$128,2)*0.8)),+FL194)</f>
        <v>79.85193513964532</v>
      </c>
      <c r="FM195" s="1411">
        <f>IF(MONTH(C195)=5,FM194*(IF(Summary!$E$70="no",(1+(Summary!$E$71*0.8)),1+HLOOKUP(YEAR(CALC!C195)-1,CCFMODEL!$I$127:$AF$128,2)*0.8)),+FM194)</f>
        <v>38.110827307689526</v>
      </c>
      <c r="FN195" s="832">
        <f t="shared" si="128"/>
        <v>668845.01924995123</v>
      </c>
      <c r="FO195" s="194">
        <f t="shared" si="160"/>
        <v>1325196.3533345703</v>
      </c>
      <c r="FP195" s="263">
        <f t="shared" si="177"/>
        <v>8421.75</v>
      </c>
      <c r="FQ195" s="194">
        <f t="shared" si="178"/>
        <v>2526.5250000000001</v>
      </c>
      <c r="FR195" s="194">
        <f t="shared" si="179"/>
        <v>2216.25</v>
      </c>
      <c r="FS195" s="194">
        <f t="shared" si="176"/>
        <v>664.875</v>
      </c>
      <c r="FT195" s="194">
        <f t="shared" si="176"/>
        <v>2659.5</v>
      </c>
      <c r="FU195" s="194">
        <f t="shared" si="176"/>
        <v>797.85</v>
      </c>
      <c r="FV195" s="257">
        <f t="shared" si="124"/>
        <v>0</v>
      </c>
      <c r="FW195" s="189">
        <f t="shared" si="129"/>
        <v>0</v>
      </c>
      <c r="FX195" s="189">
        <f t="shared" si="130"/>
        <v>0</v>
      </c>
      <c r="FY195" s="189">
        <f t="shared" si="131"/>
        <v>0</v>
      </c>
      <c r="FZ195" s="258">
        <f t="shared" si="132"/>
        <v>0</v>
      </c>
      <c r="GA195" s="1294">
        <f>(SUM(FP195:FV195)+SUM(GU195:HB195)/(1-Summary!$O$25))*CY195/1000</f>
        <v>229174.59803795998</v>
      </c>
      <c r="GB195" s="1369">
        <f>IF($C195&lt;Summary!$M$81,+Summary!$O$81,VLOOKUP(C195,GasTable,19))</f>
        <v>3.9681772207500905</v>
      </c>
      <c r="GC195" s="1370">
        <f>IF(H195&lt;=Summary!$N$84,MIN(GA195,Summary!$O$75*(H195-G195+1)),0)</f>
        <v>0</v>
      </c>
      <c r="GD195" s="1371">
        <f>IF(C195&lt;Summary!$N$84,IF(Summary!$O$75*(H195-G195+1)*0.8&gt;GC195,1,0),0)</f>
        <v>0</v>
      </c>
      <c r="GE195" s="1372">
        <v>0</v>
      </c>
      <c r="GF195" s="1370">
        <f t="shared" si="161"/>
        <v>229174.59803795998</v>
      </c>
      <c r="GG195" s="1371">
        <f>GF195*(IF(Summary!$O$74=1,VLOOKUP($C195,GasTable,16)+Summary!$O$92+Summary!$O$93,VLOOKUP($C195,GasTable,19)+Summary!$O$92+Summary!$O$93))</f>
        <v>921345.41606656881</v>
      </c>
      <c r="GH195" s="1373">
        <v>5952.2658311251362</v>
      </c>
      <c r="GI195" s="1466">
        <v>0</v>
      </c>
      <c r="GJ195" s="1374">
        <f t="shared" si="162"/>
        <v>927297.6818976939</v>
      </c>
      <c r="GK195" s="189">
        <f t="shared" si="133"/>
        <v>29092.270500000002</v>
      </c>
      <c r="GL195" s="266">
        <v>0.52013766960000007</v>
      </c>
      <c r="GM195" s="255">
        <f t="shared" si="134"/>
        <v>0</v>
      </c>
      <c r="GN195" s="189">
        <f>IF(SUM(GU195:HB195)=0,0,IF(Summary!$O$16="Yes",SUM(GX195:HB195),IF(Summary!$O$17="Yes",SUM(GY195:HB195),SUM(GU195:HB195))))</f>
        <v>11805.520499999999</v>
      </c>
      <c r="GO195" s="203">
        <v>3.5992458930959277</v>
      </c>
      <c r="GP195" s="258">
        <f t="shared" si="163"/>
        <v>42490.971175484781</v>
      </c>
      <c r="GQ195" s="189"/>
      <c r="GR195" s="189"/>
      <c r="GS195" s="189"/>
      <c r="GT195" s="189"/>
      <c r="GU195" s="268">
        <v>4876.1932499999994</v>
      </c>
      <c r="GV195" s="189">
        <v>1283.20875</v>
      </c>
      <c r="GW195" s="189">
        <v>1539.8504999999998</v>
      </c>
      <c r="GX195" s="189"/>
      <c r="GY195" s="254">
        <v>2600.6363999999999</v>
      </c>
      <c r="GZ195" s="189">
        <v>684.37800000000004</v>
      </c>
      <c r="HA195" s="189">
        <v>821.25359999999989</v>
      </c>
      <c r="HB195" s="255"/>
      <c r="HC195" s="189">
        <v>11805.520499999999</v>
      </c>
      <c r="HD195" s="189"/>
      <c r="HE195" s="189">
        <v>20274.698249999998</v>
      </c>
      <c r="HF195" s="189">
        <v>632391.78399289341</v>
      </c>
      <c r="HG195" s="189"/>
      <c r="HH195" s="203">
        <v>53.252125178481428</v>
      </c>
      <c r="HI195" s="189">
        <v>1079670.7691649382</v>
      </c>
      <c r="HJ195" s="268">
        <f t="shared" si="135"/>
        <v>0</v>
      </c>
      <c r="HK195" s="189">
        <f t="shared" si="136"/>
        <v>0</v>
      </c>
      <c r="HL195" s="189">
        <f t="shared" si="137"/>
        <v>0</v>
      </c>
      <c r="HM195" s="255">
        <f t="shared" si="138"/>
        <v>0</v>
      </c>
      <c r="HN195" s="189">
        <f t="shared" si="139"/>
        <v>0</v>
      </c>
      <c r="HO195" s="203">
        <f t="shared" si="164"/>
        <v>0</v>
      </c>
      <c r="HP195" s="258">
        <f t="shared" si="140"/>
        <v>0</v>
      </c>
      <c r="HQ195" s="804"/>
      <c r="HR195" s="268"/>
      <c r="HS195" s="1408"/>
      <c r="HT195" s="255"/>
      <c r="HU195" s="268"/>
      <c r="HV195" s="1408"/>
      <c r="HW195" s="255"/>
      <c r="HX195" s="1408"/>
      <c r="HY195" s="1408"/>
      <c r="HZ195"/>
      <c r="IA195" s="203"/>
      <c r="IB195" s="203"/>
      <c r="IC195" s="203"/>
      <c r="ID195" s="203"/>
      <c r="IE195" s="203"/>
      <c r="IF195" s="203"/>
      <c r="IG195" s="203"/>
      <c r="IH195" s="203"/>
      <c r="II195" s="203"/>
      <c r="IJ195" s="203"/>
      <c r="IK195" s="203"/>
      <c r="IL195" s="821"/>
      <c r="IM195" s="820"/>
      <c r="IN195" s="820"/>
      <c r="IR195" s="223"/>
    </row>
    <row r="196" spans="1:252" ht="13.8" thickBot="1">
      <c r="A196" t="str">
        <f t="shared" si="141"/>
        <v>2014Q4</v>
      </c>
      <c r="B196">
        <f t="shared" si="142"/>
        <v>2014</v>
      </c>
      <c r="C196" s="49">
        <f t="shared" si="143"/>
        <v>41974</v>
      </c>
      <c r="D196" s="115">
        <f t="shared" si="144"/>
        <v>2014</v>
      </c>
      <c r="E196" s="10">
        <f t="shared" si="167"/>
        <v>12</v>
      </c>
      <c r="F196" s="248">
        <f t="shared" si="168"/>
        <v>41998</v>
      </c>
      <c r="G196" s="245">
        <v>41974</v>
      </c>
      <c r="H196" s="251">
        <v>42004</v>
      </c>
      <c r="I196" s="959">
        <f t="shared" si="165"/>
        <v>7.1499999999999994E-2</v>
      </c>
      <c r="J196" s="37">
        <f t="shared" si="145"/>
        <v>0.34619733760977034</v>
      </c>
      <c r="K196" s="1036"/>
      <c r="L196" s="37"/>
      <c r="M196" s="1004">
        <v>0</v>
      </c>
      <c r="N196" s="38">
        <f t="shared" si="181"/>
        <v>0</v>
      </c>
      <c r="O196" s="40">
        <f t="shared" si="181"/>
        <v>0</v>
      </c>
      <c r="P196" s="159">
        <f t="shared" si="172"/>
        <v>0</v>
      </c>
      <c r="Q196" s="38">
        <f t="shared" si="182"/>
        <v>0</v>
      </c>
      <c r="R196" s="40">
        <f t="shared" si="182"/>
        <v>0</v>
      </c>
      <c r="S196" s="38">
        <f t="shared" si="182"/>
        <v>0</v>
      </c>
      <c r="T196" s="38">
        <f t="shared" si="182"/>
        <v>0</v>
      </c>
      <c r="U196" s="38">
        <f t="shared" si="182"/>
        <v>0</v>
      </c>
      <c r="V196" s="159">
        <f t="shared" si="182"/>
        <v>0</v>
      </c>
      <c r="W196" s="38">
        <f t="shared" si="182"/>
        <v>0</v>
      </c>
      <c r="X196" s="39">
        <f t="shared" si="182"/>
        <v>0</v>
      </c>
      <c r="Y196" s="46">
        <v>0</v>
      </c>
      <c r="Z196" s="46">
        <v>0</v>
      </c>
      <c r="AA196" s="47">
        <v>0</v>
      </c>
      <c r="AB196" s="46">
        <v>0</v>
      </c>
      <c r="AC196" s="46">
        <v>0</v>
      </c>
      <c r="AD196" s="47">
        <v>0</v>
      </c>
      <c r="AE196" s="46">
        <v>0</v>
      </c>
      <c r="AF196" s="46">
        <v>0</v>
      </c>
      <c r="AG196" s="47">
        <v>0</v>
      </c>
      <c r="AH196" s="46">
        <v>0</v>
      </c>
      <c r="AI196" s="46">
        <v>0</v>
      </c>
      <c r="AJ196" s="47">
        <v>0</v>
      </c>
      <c r="AK196" s="46">
        <v>0</v>
      </c>
      <c r="AL196" s="46">
        <v>0</v>
      </c>
      <c r="AM196" s="47">
        <v>0</v>
      </c>
      <c r="AN196" s="46">
        <v>0</v>
      </c>
      <c r="AO196" s="46">
        <v>0</v>
      </c>
      <c r="AP196" s="47">
        <v>0</v>
      </c>
      <c r="AQ196" s="46">
        <v>0</v>
      </c>
      <c r="AR196" s="46">
        <v>0</v>
      </c>
      <c r="AS196" s="47">
        <v>0</v>
      </c>
      <c r="AT196" s="46">
        <v>0</v>
      </c>
      <c r="AU196" s="46">
        <v>0</v>
      </c>
      <c r="AV196" s="46">
        <v>0</v>
      </c>
      <c r="AW196" s="1545">
        <v>0</v>
      </c>
      <c r="AX196" s="10">
        <f t="shared" si="169"/>
        <v>22</v>
      </c>
      <c r="AY196" s="42">
        <f>IF(AND($E196=MONTH(Summary!$E$24),$D196=YEAR(Summary!$E$24)),Summary!$E$25,1)*IF(G196="",0,INT((H196-MOD(H196,7)-G196)/7)+1-IF(BA196,IF(WEEKDAY(F196)=7,1,0),0))</f>
        <v>4</v>
      </c>
      <c r="AZ196" s="42">
        <f>IF(AND($E196=MONTH(Summary!$E$24),$D196=YEAR(Summary!$E$24)),Summary!$E$25,1)*IF(G196="",0,INT((H196-MOD(H196-1,7)-G196)/7)+1-IF(BA196,IF(WEEKDAY(F196)=1,1,0),0))</f>
        <v>4</v>
      </c>
      <c r="BA196" s="42">
        <v>1</v>
      </c>
      <c r="BB196" s="10">
        <f>IF(AND($E196=MONTH(Summary!$E$24),$D196=YEAR(Summary!$E$24)),Summary!$E$25,1)*IF(G196="",0,H196-G196+1)</f>
        <v>31</v>
      </c>
      <c r="BC196" s="914">
        <f>Summary!$E$19</f>
        <v>1.4999999999999999E-2</v>
      </c>
      <c r="BD196" s="113">
        <v>15602.4</v>
      </c>
      <c r="BE196" s="171">
        <v>2836.8</v>
      </c>
      <c r="BF196" s="171">
        <v>3546</v>
      </c>
      <c r="BG196" s="174"/>
      <c r="BH196" s="1198">
        <v>1</v>
      </c>
      <c r="BI196" s="1198">
        <v>1</v>
      </c>
      <c r="BJ196" s="1198">
        <v>1</v>
      </c>
      <c r="BK196" s="1198">
        <v>1</v>
      </c>
      <c r="BL196" s="95">
        <v>3120.48</v>
      </c>
      <c r="BM196" s="171">
        <v>567.36</v>
      </c>
      <c r="BN196" s="171">
        <v>709.2</v>
      </c>
      <c r="BO196" s="174"/>
      <c r="BP196" s="1198">
        <v>1</v>
      </c>
      <c r="BQ196" s="1199">
        <v>1</v>
      </c>
      <c r="BR196" s="1199">
        <v>1</v>
      </c>
      <c r="BS196" s="1200">
        <v>1</v>
      </c>
      <c r="BT196" s="94">
        <f t="shared" si="146"/>
        <v>21985.200000000001</v>
      </c>
      <c r="BU196" s="233">
        <f t="shared" si="147"/>
        <v>21985.200000000001</v>
      </c>
      <c r="BV196" s="92">
        <f t="shared" si="148"/>
        <v>4397.04</v>
      </c>
      <c r="BW196" s="233">
        <f t="shared" si="149"/>
        <v>4397.04</v>
      </c>
      <c r="BX196" s="88">
        <v>14.962354551676933</v>
      </c>
      <c r="BY196" s="90">
        <v>0</v>
      </c>
      <c r="BZ196" s="88">
        <v>0</v>
      </c>
      <c r="CA196" s="88">
        <v>0</v>
      </c>
      <c r="CB196" s="88">
        <v>0</v>
      </c>
      <c r="CC196" s="88">
        <v>0</v>
      </c>
      <c r="CD196" s="88">
        <v>0</v>
      </c>
      <c r="CE196" s="100">
        <v>0</v>
      </c>
      <c r="CF196" s="88">
        <v>0</v>
      </c>
      <c r="CG196" s="88">
        <v>0</v>
      </c>
      <c r="CH196" s="88">
        <v>0</v>
      </c>
      <c r="CI196" s="88">
        <v>0</v>
      </c>
      <c r="CJ196" s="228">
        <v>0</v>
      </c>
      <c r="CK196" s="88">
        <v>0</v>
      </c>
      <c r="CL196" s="88">
        <v>0</v>
      </c>
      <c r="CM196" s="88">
        <v>0</v>
      </c>
      <c r="CN196" s="88">
        <v>0</v>
      </c>
      <c r="CO196" s="88">
        <v>0</v>
      </c>
      <c r="CP196" s="88">
        <v>0</v>
      </c>
      <c r="CQ196" s="229">
        <v>0</v>
      </c>
      <c r="CR196" s="91">
        <v>0</v>
      </c>
      <c r="CS196" s="91">
        <v>0</v>
      </c>
      <c r="CT196" s="91">
        <v>0</v>
      </c>
      <c r="CU196" s="91">
        <v>0</v>
      </c>
      <c r="CV196" s="91">
        <v>0</v>
      </c>
      <c r="CW196" s="91">
        <v>0</v>
      </c>
      <c r="CX196" s="225">
        <v>0</v>
      </c>
      <c r="CY196" s="1265">
        <v>7764.5516800000005</v>
      </c>
      <c r="CZ196" s="90">
        <v>0</v>
      </c>
      <c r="DA196" s="88">
        <v>0</v>
      </c>
      <c r="DB196" s="88">
        <v>0</v>
      </c>
      <c r="DC196" s="88">
        <v>0</v>
      </c>
      <c r="DD196" s="88">
        <v>0</v>
      </c>
      <c r="DE196" s="152">
        <v>0</v>
      </c>
      <c r="DF196" s="230">
        <v>0</v>
      </c>
      <c r="DG196" s="38">
        <v>0</v>
      </c>
      <c r="DH196" s="1237">
        <v>0</v>
      </c>
      <c r="DI196" s="956">
        <v>0</v>
      </c>
      <c r="DJ196" s="956">
        <v>0</v>
      </c>
      <c r="DK196" s="956">
        <v>0</v>
      </c>
      <c r="DL196" s="152">
        <v>0</v>
      </c>
      <c r="DM196" s="160">
        <v>0</v>
      </c>
      <c r="DN196" s="160">
        <v>0</v>
      </c>
      <c r="DO196" s="160">
        <v>0</v>
      </c>
      <c r="DP196" s="160">
        <v>0</v>
      </c>
      <c r="DQ196" s="160">
        <v>0</v>
      </c>
      <c r="DR196" s="230">
        <v>0</v>
      </c>
      <c r="DS196" s="88">
        <v>0</v>
      </c>
      <c r="DT196" s="88">
        <v>0</v>
      </c>
      <c r="DU196" s="88">
        <v>0</v>
      </c>
      <c r="DV196" s="88">
        <v>0</v>
      </c>
      <c r="DW196" s="88">
        <v>0</v>
      </c>
      <c r="DX196" s="88">
        <v>0</v>
      </c>
      <c r="DY196" s="88">
        <v>0</v>
      </c>
      <c r="DZ196" s="88">
        <v>0</v>
      </c>
      <c r="EA196" s="88">
        <v>0</v>
      </c>
      <c r="EB196" s="152">
        <v>0</v>
      </c>
      <c r="EC196" s="52">
        <f t="shared" si="150"/>
        <v>0</v>
      </c>
      <c r="ED196" s="52">
        <f t="shared" si="150"/>
        <v>0</v>
      </c>
      <c r="EE196" s="52">
        <f t="shared" si="150"/>
        <v>0</v>
      </c>
      <c r="EF196" s="52">
        <f t="shared" si="150"/>
        <v>0</v>
      </c>
      <c r="EG196" s="52">
        <f t="shared" si="151"/>
        <v>0</v>
      </c>
      <c r="EH196" s="238">
        <v>0</v>
      </c>
      <c r="EI196" s="211">
        <v>0</v>
      </c>
      <c r="EJ196" s="211">
        <v>0</v>
      </c>
      <c r="EK196" s="211">
        <v>0</v>
      </c>
      <c r="EL196" s="217">
        <f>IF(C196&gt;=Summary!$E$26,MAX(0,SUM(EH196:EK196)),0)</f>
        <v>0</v>
      </c>
      <c r="EM196" s="52">
        <f>IF(C196&gt;=Summary!$E$26,DX196*BL196,0)</f>
        <v>0</v>
      </c>
      <c r="EN196" s="52">
        <f>IF(C196&gt;=Summary!$E$26,DY196*BM196,0)</f>
        <v>0</v>
      </c>
      <c r="EO196" s="52">
        <f>IF(C196&gt;=Summary!$E$26,DZ196*BN196,0)</f>
        <v>0</v>
      </c>
      <c r="EP196" s="52">
        <f>IF(C196&gt;=Summary!$E$26,EA196*BO196,0)</f>
        <v>0</v>
      </c>
      <c r="EQ196" s="52">
        <f>IF(C196&gt;=Summary!$E$26,DX196*BL196+DY196*BM196+DZ196*BN196+EA196*BO196,0)</f>
        <v>0</v>
      </c>
      <c r="ER196" s="826">
        <v>0</v>
      </c>
      <c r="ES196" s="278">
        <v>0</v>
      </c>
      <c r="ET196" s="278">
        <v>0</v>
      </c>
      <c r="EU196" s="278">
        <v>0</v>
      </c>
      <c r="EV196" s="212">
        <f>IF(C196&gt;=Summary!$E$26,MAX(0,SUM(ER196:EU196)),0)</f>
        <v>0</v>
      </c>
      <c r="EW196" s="52"/>
      <c r="EX196" s="1049">
        <f t="shared" si="152"/>
        <v>0</v>
      </c>
      <c r="EY196" s="1045" t="str">
        <f t="shared" si="153"/>
        <v/>
      </c>
      <c r="EZ196" s="1684" t="s">
        <v>525</v>
      </c>
      <c r="FA196" s="1046">
        <f t="shared" si="166"/>
        <v>45</v>
      </c>
      <c r="FB196" s="256">
        <f t="shared" si="154"/>
        <v>9751.5</v>
      </c>
      <c r="FC196" s="194">
        <f t="shared" si="155"/>
        <v>2925.45</v>
      </c>
      <c r="FD196" s="194">
        <f t="shared" si="156"/>
        <v>1773</v>
      </c>
      <c r="FE196" s="194">
        <f t="shared" si="157"/>
        <v>531.9</v>
      </c>
      <c r="FF196" s="194">
        <f t="shared" si="158"/>
        <v>2216.25</v>
      </c>
      <c r="FG196" s="194">
        <f t="shared" si="159"/>
        <v>664.875</v>
      </c>
      <c r="FH196" s="257">
        <f>IF(EZ196="No",IF((OR(MONTH(C196)=5,MONTH(C196)=6,MONTH(C196)=7,MONTH(C196)=8,MONTH(C196)=9)),Summary!$O$15*12*(AX196+AY196+AZ196+BA196)*(1-$BC196),Summary!$O$15*13*(AX196+AY196+AZ196+BA196)*(1-$BC196)+IF(Summary!$O$16="Yes",(CALC!FA196+Summary!$O$15)*6*(AX196+AY196+AZ196+BA196)*(1-$BC196),0)),0)</f>
        <v>0</v>
      </c>
      <c r="FI196" s="1412">
        <f>IF(MONTH(C196)=5,FI195*(IF(Summary!$E$70="no",(1+(Summary!$E$71*0.8)),1+HLOOKUP(YEAR(C196)-1,CCFMODEL!$I$127:$AF$128,2)*0.8)),+FI195)</f>
        <v>37.968463365561441</v>
      </c>
      <c r="FJ196" s="1411">
        <f>IF(MONTH(C196)=5,FJ195*(IF(Summary!$E$70="no",(1+(Summary!$E$71*0.8)),1+HLOOKUP(YEAR(CALC!C196)-1,CCFMODEL!$I$127:$AF$128,2)*0.8)),FJ195)</f>
        <v>33.185034910057638</v>
      </c>
      <c r="FK196" s="832">
        <f t="shared" si="127"/>
        <v>678229.71188743983</v>
      </c>
      <c r="FL196" s="1412">
        <f>IF(MONTH(C196)=5,FL195*(IF(Summary!$E$70="no",(1+(Summary!$E$71*0.8)),1+HLOOKUP(YEAR(CALC!C196)-1,CCFMODEL!$I$127:$AF$128,2)*0.8)),+FL195)</f>
        <v>79.85193513964532</v>
      </c>
      <c r="FM196" s="1411">
        <f>IF(MONTH(C196)=5,FM195*(IF(Summary!$E$70="no",(1+(Summary!$E$71*0.8)),1+HLOOKUP(YEAR(CALC!C196)-1,CCFMODEL!$I$127:$AF$128,2)*0.8)),+FM195)</f>
        <v>38.110827307689526</v>
      </c>
      <c r="FN196" s="832">
        <f t="shared" si="128"/>
        <v>691139.85322494956</v>
      </c>
      <c r="FO196" s="194">
        <f t="shared" si="160"/>
        <v>1369369.5651123894</v>
      </c>
      <c r="FP196" s="263">
        <f t="shared" si="177"/>
        <v>9751.5</v>
      </c>
      <c r="FQ196" s="194">
        <f t="shared" si="178"/>
        <v>2925.45</v>
      </c>
      <c r="FR196" s="194">
        <f t="shared" si="179"/>
        <v>1773</v>
      </c>
      <c r="FS196" s="194">
        <f t="shared" si="176"/>
        <v>531.9</v>
      </c>
      <c r="FT196" s="194">
        <f t="shared" si="176"/>
        <v>2216.25</v>
      </c>
      <c r="FU196" s="194">
        <f t="shared" si="176"/>
        <v>664.875</v>
      </c>
      <c r="FV196" s="257">
        <f t="shared" si="176"/>
        <v>0</v>
      </c>
      <c r="FW196" s="189">
        <f t="shared" si="129"/>
        <v>0</v>
      </c>
      <c r="FX196" s="189">
        <f t="shared" si="130"/>
        <v>0</v>
      </c>
      <c r="FY196" s="189">
        <f t="shared" si="131"/>
        <v>0</v>
      </c>
      <c r="FZ196" s="258">
        <f t="shared" si="132"/>
        <v>0</v>
      </c>
      <c r="GA196" s="1294">
        <f>(SUM(FP196:FV196)+SUM(GU196:HB196)/(1-Summary!$O$25))*CY196/1000</f>
        <v>236853.49496325117</v>
      </c>
      <c r="GB196" s="1369">
        <f>IF($C196&lt;Summary!$M$81,+Summary!$O$81,VLOOKUP(C196,GasTable,19))</f>
        <v>4.1369640407555268</v>
      </c>
      <c r="GC196" s="1370">
        <f>IF(H196&lt;=Summary!$N$84,MIN(GA196,Summary!$O$75*(H196-G196+1)),0)</f>
        <v>0</v>
      </c>
      <c r="GD196" s="1371">
        <f>IF(C196&lt;Summary!$N$84,IF(Summary!$O$75*(H196-G196+1)*0.8&gt;GC196,1,0),0)</f>
        <v>0</v>
      </c>
      <c r="GE196" s="1372">
        <v>0</v>
      </c>
      <c r="GF196" s="1370">
        <f t="shared" si="161"/>
        <v>236853.49496325117</v>
      </c>
      <c r="GG196" s="1371">
        <f>GF196*(IF(Summary!$O$74=1,VLOOKUP($C196,GasTable,16)+Summary!$O$92+Summary!$O$93,VLOOKUP($C196,GasTable,19)+Summary!$O$92+Summary!$O$93))</f>
        <v>992194.45867782587</v>
      </c>
      <c r="GH196" s="1373">
        <v>6412.2942631710666</v>
      </c>
      <c r="GI196" s="1466">
        <v>0</v>
      </c>
      <c r="GJ196" s="1374">
        <f t="shared" si="162"/>
        <v>998606.7529409969</v>
      </c>
      <c r="GK196" s="189">
        <f t="shared" si="133"/>
        <v>30062.012850000003</v>
      </c>
      <c r="GL196" s="266">
        <v>0.52022496256000006</v>
      </c>
      <c r="GM196" s="255">
        <f t="shared" si="134"/>
        <v>0</v>
      </c>
      <c r="GN196" s="189">
        <f>IF(SUM(GU196:HB196)=0,0,IF(Summary!$O$16="Yes",SUM(GX196:HB196),IF(Summary!$O$17="Yes",SUM(GY196:HB196),SUM(GU196:HB196))))</f>
        <v>12199.037849999999</v>
      </c>
      <c r="GO196" s="203">
        <v>3.5992458930959277</v>
      </c>
      <c r="GP196" s="258">
        <f t="shared" si="163"/>
        <v>43907.336881334268</v>
      </c>
      <c r="GQ196" s="189"/>
      <c r="GR196" s="189"/>
      <c r="GS196" s="189"/>
      <c r="GT196" s="189"/>
      <c r="GU196" s="268">
        <v>5646.1184999999996</v>
      </c>
      <c r="GV196" s="189">
        <v>1026.5670000000002</v>
      </c>
      <c r="GW196" s="189">
        <v>1283.20875</v>
      </c>
      <c r="GX196" s="189"/>
      <c r="GY196" s="254">
        <v>3011.2631999999999</v>
      </c>
      <c r="GZ196" s="189">
        <v>547.50239999999997</v>
      </c>
      <c r="HA196" s="189">
        <v>684.37800000000004</v>
      </c>
      <c r="HB196" s="255"/>
      <c r="HC196" s="189">
        <v>12199.037849999999</v>
      </c>
      <c r="HD196" s="189"/>
      <c r="HE196" s="189">
        <v>20950.521524999996</v>
      </c>
      <c r="HF196" s="189">
        <v>630048.52437998075</v>
      </c>
      <c r="HG196" s="189"/>
      <c r="HH196" s="203">
        <v>51.314126682374543</v>
      </c>
      <c r="HI196" s="189">
        <v>1075057.7155956645</v>
      </c>
      <c r="HJ196" s="268">
        <f t="shared" si="135"/>
        <v>0</v>
      </c>
      <c r="HK196" s="189">
        <f t="shared" si="136"/>
        <v>0</v>
      </c>
      <c r="HL196" s="189">
        <f t="shared" si="137"/>
        <v>0</v>
      </c>
      <c r="HM196" s="255">
        <f t="shared" si="138"/>
        <v>0</v>
      </c>
      <c r="HN196" s="189">
        <f t="shared" si="139"/>
        <v>0</v>
      </c>
      <c r="HO196" s="203">
        <f t="shared" si="164"/>
        <v>0</v>
      </c>
      <c r="HP196" s="258">
        <f t="shared" si="140"/>
        <v>0</v>
      </c>
      <c r="HQ196" s="804"/>
      <c r="HR196" s="268"/>
      <c r="HS196" s="1408"/>
      <c r="HT196" s="255"/>
      <c r="HU196" s="268"/>
      <c r="HV196" s="1408"/>
      <c r="HW196" s="255"/>
      <c r="HX196" s="1408"/>
      <c r="HY196" s="1408"/>
      <c r="HZ196"/>
      <c r="IA196" s="203"/>
      <c r="IB196" s="203"/>
      <c r="IC196" s="203"/>
      <c r="ID196" s="203"/>
      <c r="IE196" s="203"/>
      <c r="IF196" s="203"/>
      <c r="IG196" s="203"/>
      <c r="IH196" s="203"/>
      <c r="II196" s="203"/>
      <c r="IJ196" s="203"/>
      <c r="IK196" s="203"/>
      <c r="IL196" s="821"/>
      <c r="IM196" s="820"/>
      <c r="IN196" s="820"/>
      <c r="IR196" s="223"/>
    </row>
    <row r="197" spans="1:252" ht="13.8" thickBot="1">
      <c r="A197" t="str">
        <f t="shared" si="141"/>
        <v>2015Q1</v>
      </c>
      <c r="B197">
        <f t="shared" si="142"/>
        <v>2015</v>
      </c>
      <c r="C197" s="49">
        <f t="shared" si="143"/>
        <v>42005</v>
      </c>
      <c r="D197" s="115">
        <f t="shared" si="144"/>
        <v>2015</v>
      </c>
      <c r="E197" s="10">
        <f t="shared" si="167"/>
        <v>1</v>
      </c>
      <c r="F197" s="248">
        <f t="shared" si="168"/>
        <v>42005</v>
      </c>
      <c r="G197" s="245">
        <v>42005</v>
      </c>
      <c r="H197" s="251">
        <v>42035</v>
      </c>
      <c r="I197" s="959">
        <f t="shared" si="165"/>
        <v>7.1499999999999994E-2</v>
      </c>
      <c r="J197" s="37">
        <f t="shared" si="145"/>
        <v>0.3441392808785671</v>
      </c>
      <c r="K197" s="1036"/>
      <c r="L197" s="37"/>
      <c r="M197" s="1004">
        <v>0</v>
      </c>
      <c r="N197" s="38">
        <f t="shared" si="181"/>
        <v>0</v>
      </c>
      <c r="O197" s="40">
        <f t="shared" si="181"/>
        <v>0</v>
      </c>
      <c r="P197" s="159">
        <f t="shared" si="172"/>
        <v>0</v>
      </c>
      <c r="Q197" s="38">
        <f t="shared" si="182"/>
        <v>0</v>
      </c>
      <c r="R197" s="40">
        <f t="shared" si="182"/>
        <v>0</v>
      </c>
      <c r="S197" s="38">
        <f t="shared" si="182"/>
        <v>0</v>
      </c>
      <c r="T197" s="38">
        <f t="shared" si="182"/>
        <v>0</v>
      </c>
      <c r="U197" s="38">
        <f t="shared" si="182"/>
        <v>0</v>
      </c>
      <c r="V197" s="159">
        <f t="shared" si="182"/>
        <v>0</v>
      </c>
      <c r="W197" s="38">
        <f t="shared" si="182"/>
        <v>0</v>
      </c>
      <c r="X197" s="39">
        <f t="shared" si="182"/>
        <v>0</v>
      </c>
      <c r="Y197" s="46">
        <v>0</v>
      </c>
      <c r="Z197" s="46">
        <v>0</v>
      </c>
      <c r="AA197" s="47">
        <v>0</v>
      </c>
      <c r="AB197" s="46">
        <v>0</v>
      </c>
      <c r="AC197" s="46">
        <v>0</v>
      </c>
      <c r="AD197" s="47">
        <v>0</v>
      </c>
      <c r="AE197" s="46">
        <v>0</v>
      </c>
      <c r="AF197" s="46">
        <v>0</v>
      </c>
      <c r="AG197" s="47">
        <v>0</v>
      </c>
      <c r="AH197" s="46">
        <v>0</v>
      </c>
      <c r="AI197" s="46">
        <v>0</v>
      </c>
      <c r="AJ197" s="47">
        <v>0</v>
      </c>
      <c r="AK197" s="46">
        <v>0</v>
      </c>
      <c r="AL197" s="46">
        <v>0</v>
      </c>
      <c r="AM197" s="47">
        <v>0</v>
      </c>
      <c r="AN197" s="46">
        <v>0</v>
      </c>
      <c r="AO197" s="46">
        <v>0</v>
      </c>
      <c r="AP197" s="47">
        <v>0</v>
      </c>
      <c r="AQ197" s="46">
        <v>0</v>
      </c>
      <c r="AR197" s="46">
        <v>0</v>
      </c>
      <c r="AS197" s="47">
        <v>0</v>
      </c>
      <c r="AT197" s="46">
        <v>0</v>
      </c>
      <c r="AU197" s="46">
        <v>0</v>
      </c>
      <c r="AV197" s="46">
        <v>0</v>
      </c>
      <c r="AW197" s="1545">
        <v>0</v>
      </c>
      <c r="AX197" s="10">
        <f t="shared" si="169"/>
        <v>21</v>
      </c>
      <c r="AY197" s="42">
        <f>IF(AND($E197=MONTH(Summary!$E$24),$D197=YEAR(Summary!$E$24)),Summary!$E$25,1)*IF(G197="",0,INT((H197-MOD(H197,7)-G197)/7)+1-IF(BA197,IF(WEEKDAY(F197)=7,1,0),0))</f>
        <v>5</v>
      </c>
      <c r="AZ197" s="42">
        <f>IF(AND($E197=MONTH(Summary!$E$24),$D197=YEAR(Summary!$E$24)),Summary!$E$25,1)*IF(G197="",0,INT((H197-MOD(H197-1,7)-G197)/7)+1-IF(BA197,IF(WEEKDAY(F197)=1,1,0),0))</f>
        <v>4</v>
      </c>
      <c r="BA197" s="42">
        <v>1</v>
      </c>
      <c r="BB197" s="10">
        <f>IF(AND($E197=MONTH(Summary!$E$24),$D197=YEAR(Summary!$E$24)),Summary!$E$25,1)*IF(G197="",0,H197-G197+1)</f>
        <v>31</v>
      </c>
      <c r="BC197" s="914">
        <f>Summary!$E$19</f>
        <v>1.4999999999999999E-2</v>
      </c>
      <c r="BD197" s="113">
        <v>14893.2</v>
      </c>
      <c r="BE197" s="171">
        <v>3546</v>
      </c>
      <c r="BF197" s="171">
        <v>3546</v>
      </c>
      <c r="BG197" s="174"/>
      <c r="BH197" s="1198">
        <v>1</v>
      </c>
      <c r="BI197" s="1198">
        <v>1</v>
      </c>
      <c r="BJ197" s="1198">
        <v>1</v>
      </c>
      <c r="BK197" s="1198">
        <v>1</v>
      </c>
      <c r="BL197" s="95">
        <v>2978.64</v>
      </c>
      <c r="BM197" s="171">
        <v>709.2</v>
      </c>
      <c r="BN197" s="171">
        <v>709.2</v>
      </c>
      <c r="BO197" s="174"/>
      <c r="BP197" s="1198">
        <v>1</v>
      </c>
      <c r="BQ197" s="1199">
        <v>1</v>
      </c>
      <c r="BR197" s="1199">
        <v>1</v>
      </c>
      <c r="BS197" s="1200">
        <v>1</v>
      </c>
      <c r="BT197" s="94">
        <f t="shared" si="146"/>
        <v>21985.200000000001</v>
      </c>
      <c r="BU197" s="233">
        <f t="shared" si="147"/>
        <v>21985.200000000001</v>
      </c>
      <c r="BV197" s="92">
        <f t="shared" si="148"/>
        <v>4397.04</v>
      </c>
      <c r="BW197" s="233">
        <f t="shared" si="149"/>
        <v>4397.04</v>
      </c>
      <c r="BX197" s="88">
        <v>15.047227926078028</v>
      </c>
      <c r="BY197" s="90">
        <v>0</v>
      </c>
      <c r="BZ197" s="88">
        <v>0</v>
      </c>
      <c r="CA197" s="88">
        <v>0</v>
      </c>
      <c r="CB197" s="88">
        <v>0</v>
      </c>
      <c r="CC197" s="88">
        <v>0</v>
      </c>
      <c r="CD197" s="88">
        <v>0</v>
      </c>
      <c r="CE197" s="100">
        <v>0</v>
      </c>
      <c r="CF197" s="88">
        <v>0</v>
      </c>
      <c r="CG197" s="88">
        <v>0</v>
      </c>
      <c r="CH197" s="88">
        <v>0</v>
      </c>
      <c r="CI197" s="88">
        <v>0</v>
      </c>
      <c r="CJ197" s="228">
        <v>0</v>
      </c>
      <c r="CK197" s="88">
        <v>0</v>
      </c>
      <c r="CL197" s="88">
        <v>0</v>
      </c>
      <c r="CM197" s="88">
        <v>0</v>
      </c>
      <c r="CN197" s="88">
        <v>0</v>
      </c>
      <c r="CO197" s="88">
        <v>0</v>
      </c>
      <c r="CP197" s="88">
        <v>0</v>
      </c>
      <c r="CQ197" s="229">
        <v>0</v>
      </c>
      <c r="CR197" s="91">
        <v>0</v>
      </c>
      <c r="CS197" s="91">
        <v>0</v>
      </c>
      <c r="CT197" s="91">
        <v>0</v>
      </c>
      <c r="CU197" s="91">
        <v>0</v>
      </c>
      <c r="CV197" s="91">
        <v>0</v>
      </c>
      <c r="CW197" s="91">
        <v>0</v>
      </c>
      <c r="CX197" s="225">
        <v>0</v>
      </c>
      <c r="CY197" s="1265">
        <v>7765.8545599999998</v>
      </c>
      <c r="CZ197" s="90">
        <v>0</v>
      </c>
      <c r="DA197" s="88">
        <v>0</v>
      </c>
      <c r="DB197" s="88">
        <v>0</v>
      </c>
      <c r="DC197" s="88">
        <v>0</v>
      </c>
      <c r="DD197" s="88">
        <v>0</v>
      </c>
      <c r="DE197" s="152">
        <v>0</v>
      </c>
      <c r="DF197" s="230">
        <v>0</v>
      </c>
      <c r="DG197" s="38">
        <v>0</v>
      </c>
      <c r="DH197" s="1237">
        <v>0</v>
      </c>
      <c r="DI197" s="956">
        <v>0</v>
      </c>
      <c r="DJ197" s="956">
        <v>0</v>
      </c>
      <c r="DK197" s="956">
        <v>0</v>
      </c>
      <c r="DL197" s="152">
        <v>0</v>
      </c>
      <c r="DM197" s="160">
        <v>0</v>
      </c>
      <c r="DN197" s="160">
        <v>0</v>
      </c>
      <c r="DO197" s="160">
        <v>0</v>
      </c>
      <c r="DP197" s="160">
        <v>0</v>
      </c>
      <c r="DQ197" s="160">
        <v>0</v>
      </c>
      <c r="DR197" s="230">
        <v>0</v>
      </c>
      <c r="DS197" s="88">
        <v>0</v>
      </c>
      <c r="DT197" s="88">
        <v>0</v>
      </c>
      <c r="DU197" s="88">
        <v>0</v>
      </c>
      <c r="DV197" s="88">
        <v>0</v>
      </c>
      <c r="DW197" s="88">
        <v>0</v>
      </c>
      <c r="DX197" s="88">
        <v>0</v>
      </c>
      <c r="DY197" s="88">
        <v>0</v>
      </c>
      <c r="DZ197" s="88">
        <v>0</v>
      </c>
      <c r="EA197" s="88">
        <v>0</v>
      </c>
      <c r="EB197" s="152">
        <v>0</v>
      </c>
      <c r="EC197" s="52">
        <f t="shared" si="150"/>
        <v>0</v>
      </c>
      <c r="ED197" s="52">
        <f t="shared" si="150"/>
        <v>0</v>
      </c>
      <c r="EE197" s="52">
        <f t="shared" si="150"/>
        <v>0</v>
      </c>
      <c r="EF197" s="52">
        <f t="shared" si="150"/>
        <v>0</v>
      </c>
      <c r="EG197" s="52">
        <f t="shared" si="151"/>
        <v>0</v>
      </c>
      <c r="EH197" s="238">
        <v>0</v>
      </c>
      <c r="EI197" s="211">
        <v>0</v>
      </c>
      <c r="EJ197" s="211">
        <v>0</v>
      </c>
      <c r="EK197" s="211">
        <v>0</v>
      </c>
      <c r="EL197" s="217">
        <f>IF(C197&gt;=Summary!$E$26,MAX(0,SUM(EH197:EK197)),0)</f>
        <v>0</v>
      </c>
      <c r="EM197" s="52">
        <f>IF(C197&gt;=Summary!$E$26,DX197*BL197,0)</f>
        <v>0</v>
      </c>
      <c r="EN197" s="52">
        <f>IF(C197&gt;=Summary!$E$26,DY197*BM197,0)</f>
        <v>0</v>
      </c>
      <c r="EO197" s="52">
        <f>IF(C197&gt;=Summary!$E$26,DZ197*BN197,0)</f>
        <v>0</v>
      </c>
      <c r="EP197" s="52">
        <f>IF(C197&gt;=Summary!$E$26,EA197*BO197,0)</f>
        <v>0</v>
      </c>
      <c r="EQ197" s="52">
        <f>IF(C197&gt;=Summary!$E$26,DX197*BL197+DY197*BM197+DZ197*BN197+EA197*BO197,0)</f>
        <v>0</v>
      </c>
      <c r="ER197" s="826">
        <v>0</v>
      </c>
      <c r="ES197" s="278">
        <v>0</v>
      </c>
      <c r="ET197" s="278">
        <v>0</v>
      </c>
      <c r="EU197" s="278">
        <v>0</v>
      </c>
      <c r="EV197" s="212">
        <f>IF(C197&gt;=Summary!$E$26,MAX(0,SUM(ER197:EU197)),0)</f>
        <v>0</v>
      </c>
      <c r="EW197" s="52"/>
      <c r="EX197" s="1049">
        <f t="shared" si="152"/>
        <v>0</v>
      </c>
      <c r="EY197" s="1045" t="str">
        <f t="shared" si="153"/>
        <v/>
      </c>
      <c r="EZ197" s="1684" t="s">
        <v>525</v>
      </c>
      <c r="FA197" s="1046">
        <f t="shared" si="166"/>
        <v>45</v>
      </c>
      <c r="FB197" s="256">
        <f t="shared" si="154"/>
        <v>9308.25</v>
      </c>
      <c r="FC197" s="194">
        <f t="shared" si="155"/>
        <v>2792.4749999999999</v>
      </c>
      <c r="FD197" s="194">
        <f t="shared" si="156"/>
        <v>2216.25</v>
      </c>
      <c r="FE197" s="194">
        <f t="shared" si="157"/>
        <v>664.875</v>
      </c>
      <c r="FF197" s="194">
        <f t="shared" si="158"/>
        <v>2216.25</v>
      </c>
      <c r="FG197" s="194">
        <f t="shared" si="159"/>
        <v>664.875</v>
      </c>
      <c r="FH197" s="257">
        <f>IF(EZ197="No",IF((OR(MONTH(C197)=5,MONTH(C197)=6,MONTH(C197)=7,MONTH(C197)=8,MONTH(C197)=9)),Summary!$O$15*12*(AX197+AY197+AZ197+BA197)*(1-$BC197),Summary!$O$15*13*(AX197+AY197+AZ197+BA197)*(1-$BC197)+IF(Summary!$O$16="Yes",(CALC!FA197+Summary!$O$15)*6*(AX197+AY197+AZ197+BA197)*(1-$BC197),0)),0)</f>
        <v>0</v>
      </c>
      <c r="FI197" s="1412">
        <f>IF(MONTH(C197)=5,FI196*(IF(Summary!$E$70="no",(1+(Summary!$E$71*0.8)),1+HLOOKUP(YEAR(C197)-1,CCFMODEL!$I$127:$AF$128,2)*0.8)),+FI196)</f>
        <v>37.968463365561441</v>
      </c>
      <c r="FJ197" s="1411">
        <f>IF(MONTH(C197)=5,FJ196*(IF(Summary!$E$70="no",(1+(Summary!$E$71*0.8)),1+HLOOKUP(YEAR(CALC!C197)-1,CCFMODEL!$I$127:$AF$128,2)*0.8)),FJ196)</f>
        <v>33.185034910057638</v>
      </c>
      <c r="FK197" s="832">
        <f t="shared" si="127"/>
        <v>678229.71188743983</v>
      </c>
      <c r="FL197" s="1412">
        <f>IF(MONTH(C197)=5,FL196*(IF(Summary!$E$70="no",(1+(Summary!$E$71*0.8)),1+HLOOKUP(YEAR(CALC!C197)-1,CCFMODEL!$I$127:$AF$128,2)*0.8)),+FL196)</f>
        <v>79.85193513964532</v>
      </c>
      <c r="FM197" s="1411">
        <f>IF(MONTH(C197)=5,FM196*(IF(Summary!$E$70="no",(1+(Summary!$E$71*0.8)),1+HLOOKUP(YEAR(CALC!C197)-1,CCFMODEL!$I$127:$AF$128,2)*0.8)),+FM196)</f>
        <v>38.110827307689526</v>
      </c>
      <c r="FN197" s="832">
        <f t="shared" si="128"/>
        <v>691139.85322494956</v>
      </c>
      <c r="FO197" s="194">
        <f t="shared" si="160"/>
        <v>1369369.5651123894</v>
      </c>
      <c r="FP197" s="263">
        <f t="shared" si="177"/>
        <v>9308.25</v>
      </c>
      <c r="FQ197" s="194">
        <f t="shared" si="178"/>
        <v>2792.4749999999999</v>
      </c>
      <c r="FR197" s="194">
        <f t="shared" si="179"/>
        <v>2216.25</v>
      </c>
      <c r="FS197" s="194">
        <f t="shared" si="176"/>
        <v>664.875</v>
      </c>
      <c r="FT197" s="194">
        <f t="shared" si="176"/>
        <v>2216.25</v>
      </c>
      <c r="FU197" s="194">
        <f t="shared" si="176"/>
        <v>664.875</v>
      </c>
      <c r="FV197" s="257">
        <f t="shared" si="176"/>
        <v>0</v>
      </c>
      <c r="FW197" s="189">
        <f t="shared" si="129"/>
        <v>0</v>
      </c>
      <c r="FX197" s="189">
        <f t="shared" si="130"/>
        <v>0</v>
      </c>
      <c r="FY197" s="189">
        <f t="shared" si="131"/>
        <v>0</v>
      </c>
      <c r="FZ197" s="258">
        <f t="shared" si="132"/>
        <v>0</v>
      </c>
      <c r="GA197" s="1294">
        <f>(SUM(FP197:FV197)+SUM(GU197:HB197)/(1-Summary!$O$25))*CY197/1000</f>
        <v>236893.23862061038</v>
      </c>
      <c r="GB197" s="1369">
        <f>IF($C197&lt;Summary!$M$81,+Summary!$O$81,VLOOKUP(C197,GasTable,19))</f>
        <v>3.917762044991262</v>
      </c>
      <c r="GC197" s="1370">
        <f>IF(H197&lt;=Summary!$N$84,MIN(GA197,Summary!$O$75*(H197-G197+1)),0)</f>
        <v>0</v>
      </c>
      <c r="GD197" s="1371">
        <f>IF(C197&lt;Summary!$N$84,IF(Summary!$O$75*(H197-G197+1)*0.8&gt;GC197,1,0),0)</f>
        <v>0</v>
      </c>
      <c r="GE197" s="1372">
        <v>0</v>
      </c>
      <c r="GF197" s="1370">
        <f t="shared" si="161"/>
        <v>236893.23862061038</v>
      </c>
      <c r="GG197" s="1371">
        <f>GF197*(IF(Summary!$O$74=1,VLOOKUP($C197,GasTable,16)+Summary!$O$92+Summary!$O$93,VLOOKUP($C197,GasTable,19)+Summary!$O$92+Summary!$O$93))</f>
        <v>940433.47671501944</v>
      </c>
      <c r="GH197" s="1373">
        <v>6072.5311697364559</v>
      </c>
      <c r="GI197" s="1466">
        <v>0</v>
      </c>
      <c r="GJ197" s="1374">
        <f t="shared" si="162"/>
        <v>946506.00788475585</v>
      </c>
      <c r="GK197" s="189">
        <f t="shared" si="133"/>
        <v>30062.012850000003</v>
      </c>
      <c r="GL197" s="266">
        <v>0.52031225552000004</v>
      </c>
      <c r="GM197" s="255">
        <f t="shared" si="134"/>
        <v>0</v>
      </c>
      <c r="GN197" s="189">
        <f>IF(SUM(GU197:HB197)=0,0,IF(Summary!$O$16="Yes",SUM(GX197:HB197),IF(Summary!$O$17="Yes",SUM(GY197:HB197),SUM(GU197:HB197))))</f>
        <v>12199.037850000001</v>
      </c>
      <c r="GO197" s="203">
        <v>3.7072232698888055</v>
      </c>
      <c r="GP197" s="258">
        <f t="shared" si="163"/>
        <v>45224.556987774304</v>
      </c>
      <c r="GQ197" s="189"/>
      <c r="GR197" s="189"/>
      <c r="GS197" s="189"/>
      <c r="GT197" s="189"/>
      <c r="GU197" s="268">
        <v>5389.4767500000007</v>
      </c>
      <c r="GV197" s="189">
        <v>1283.20875</v>
      </c>
      <c r="GW197" s="189">
        <v>1283.20875</v>
      </c>
      <c r="GX197" s="189"/>
      <c r="GY197" s="254">
        <v>2874.3875999999996</v>
      </c>
      <c r="GZ197" s="189">
        <v>684.37800000000004</v>
      </c>
      <c r="HA197" s="189">
        <v>684.37800000000004</v>
      </c>
      <c r="HB197" s="255"/>
      <c r="HC197" s="189">
        <v>12199.037850000001</v>
      </c>
      <c r="HD197" s="189"/>
      <c r="HE197" s="189">
        <v>20950.521525</v>
      </c>
      <c r="HF197" s="189">
        <v>626792.95907734276</v>
      </c>
      <c r="HG197" s="189"/>
      <c r="HH197" s="203">
        <v>50.987071214169269</v>
      </c>
      <c r="HI197" s="189">
        <v>1068205.7329691611</v>
      </c>
      <c r="HJ197" s="268">
        <f t="shared" si="135"/>
        <v>0</v>
      </c>
      <c r="HK197" s="189">
        <f t="shared" si="136"/>
        <v>0</v>
      </c>
      <c r="HL197" s="189">
        <f t="shared" si="137"/>
        <v>0</v>
      </c>
      <c r="HM197" s="255">
        <f t="shared" si="138"/>
        <v>0</v>
      </c>
      <c r="HN197" s="189">
        <f t="shared" si="139"/>
        <v>0</v>
      </c>
      <c r="HO197" s="203">
        <f t="shared" si="164"/>
        <v>0</v>
      </c>
      <c r="HP197" s="258">
        <f t="shared" si="140"/>
        <v>0</v>
      </c>
      <c r="HQ197" s="804"/>
      <c r="HR197" s="268"/>
      <c r="HS197" s="1408"/>
      <c r="HT197" s="255"/>
      <c r="HU197" s="268"/>
      <c r="HV197" s="1408"/>
      <c r="HW197" s="255"/>
      <c r="HX197" s="1408"/>
      <c r="HY197" s="1408"/>
      <c r="HZ197"/>
      <c r="IA197" s="203"/>
      <c r="IB197" s="203"/>
      <c r="IC197" s="203"/>
      <c r="ID197" s="203"/>
      <c r="IE197" s="203"/>
      <c r="IF197" s="203"/>
      <c r="IG197" s="203"/>
      <c r="IH197" s="203"/>
      <c r="II197" s="203"/>
      <c r="IJ197" s="203"/>
      <c r="IK197" s="203"/>
      <c r="IL197" s="821"/>
      <c r="IM197" s="820"/>
      <c r="IN197" s="820"/>
      <c r="IR197" s="223"/>
    </row>
    <row r="198" spans="1:252" ht="13.8" thickBot="1">
      <c r="A198" t="str">
        <f t="shared" si="141"/>
        <v>2015Q1</v>
      </c>
      <c r="B198">
        <f t="shared" si="142"/>
        <v>2015</v>
      </c>
      <c r="C198" s="49">
        <f t="shared" si="143"/>
        <v>42036</v>
      </c>
      <c r="D198" s="115">
        <f t="shared" si="144"/>
        <v>2015</v>
      </c>
      <c r="E198" s="10">
        <f t="shared" si="167"/>
        <v>2</v>
      </c>
      <c r="F198" s="248" t="str">
        <f t="shared" si="168"/>
        <v/>
      </c>
      <c r="G198" s="245">
        <v>42036</v>
      </c>
      <c r="H198" s="251">
        <v>42063</v>
      </c>
      <c r="I198" s="959">
        <f t="shared" si="165"/>
        <v>7.1499999999999994E-2</v>
      </c>
      <c r="J198" s="37">
        <f t="shared" si="145"/>
        <v>0.34229090887609093</v>
      </c>
      <c r="K198" s="1036"/>
      <c r="L198" s="37"/>
      <c r="M198" s="1004">
        <v>0</v>
      </c>
      <c r="N198" s="38">
        <f t="shared" si="181"/>
        <v>0</v>
      </c>
      <c r="O198" s="40">
        <f t="shared" si="181"/>
        <v>0</v>
      </c>
      <c r="P198" s="159">
        <f t="shared" si="172"/>
        <v>0</v>
      </c>
      <c r="Q198" s="38">
        <f t="shared" si="182"/>
        <v>0</v>
      </c>
      <c r="R198" s="40">
        <f t="shared" si="182"/>
        <v>0</v>
      </c>
      <c r="S198" s="38">
        <f t="shared" si="182"/>
        <v>0</v>
      </c>
      <c r="T198" s="38">
        <f t="shared" si="182"/>
        <v>0</v>
      </c>
      <c r="U198" s="38">
        <f t="shared" si="182"/>
        <v>0</v>
      </c>
      <c r="V198" s="159">
        <f t="shared" si="182"/>
        <v>0</v>
      </c>
      <c r="W198" s="38">
        <f t="shared" si="182"/>
        <v>0</v>
      </c>
      <c r="X198" s="39">
        <f t="shared" si="182"/>
        <v>0</v>
      </c>
      <c r="Y198" s="46">
        <v>0</v>
      </c>
      <c r="Z198" s="46">
        <v>0</v>
      </c>
      <c r="AA198" s="47">
        <v>0</v>
      </c>
      <c r="AB198" s="46">
        <v>0</v>
      </c>
      <c r="AC198" s="46">
        <v>0</v>
      </c>
      <c r="AD198" s="47">
        <v>0</v>
      </c>
      <c r="AE198" s="46">
        <v>0</v>
      </c>
      <c r="AF198" s="46">
        <v>0</v>
      </c>
      <c r="AG198" s="47">
        <v>0</v>
      </c>
      <c r="AH198" s="46">
        <v>0</v>
      </c>
      <c r="AI198" s="46">
        <v>0</v>
      </c>
      <c r="AJ198" s="47">
        <v>0</v>
      </c>
      <c r="AK198" s="46">
        <v>0</v>
      </c>
      <c r="AL198" s="46">
        <v>0</v>
      </c>
      <c r="AM198" s="47">
        <v>0</v>
      </c>
      <c r="AN198" s="46">
        <v>0</v>
      </c>
      <c r="AO198" s="46">
        <v>0</v>
      </c>
      <c r="AP198" s="47">
        <v>0</v>
      </c>
      <c r="AQ198" s="46">
        <v>0</v>
      </c>
      <c r="AR198" s="46">
        <v>0</v>
      </c>
      <c r="AS198" s="47">
        <v>0</v>
      </c>
      <c r="AT198" s="46">
        <v>0</v>
      </c>
      <c r="AU198" s="46">
        <v>0</v>
      </c>
      <c r="AV198" s="46">
        <v>0</v>
      </c>
      <c r="AW198" s="1545">
        <v>0</v>
      </c>
      <c r="AX198" s="10">
        <f t="shared" si="169"/>
        <v>20</v>
      </c>
      <c r="AY198" s="42">
        <f>IF(AND($E198=MONTH(Summary!$E$24),$D198=YEAR(Summary!$E$24)),Summary!$E$25,1)*IF(G198="",0,INT((H198-MOD(H198,7)-G198)/7)+1-IF(BA198,IF(WEEKDAY(F198)=7,1,0),0))</f>
        <v>4</v>
      </c>
      <c r="AZ198" s="42">
        <f>IF(AND($E198=MONTH(Summary!$E$24),$D198=YEAR(Summary!$E$24)),Summary!$E$25,1)*IF(G198="",0,INT((H198-MOD(H198-1,7)-G198)/7)+1-IF(BA198,IF(WEEKDAY(F198)=1,1,0),0))</f>
        <v>4</v>
      </c>
      <c r="BA198" s="42">
        <v>0</v>
      </c>
      <c r="BB198" s="10">
        <f>IF(AND($E198=MONTH(Summary!$E$24),$D198=YEAR(Summary!$E$24)),Summary!$E$25,1)*IF(G198="",0,H198-G198+1)</f>
        <v>28</v>
      </c>
      <c r="BC198" s="914">
        <f>Summary!$E$19</f>
        <v>1.4999999999999999E-2</v>
      </c>
      <c r="BD198" s="113">
        <v>14184</v>
      </c>
      <c r="BE198" s="171">
        <v>2836.8</v>
      </c>
      <c r="BF198" s="171">
        <v>2836.8</v>
      </c>
      <c r="BG198" s="174"/>
      <c r="BH198" s="1198">
        <v>1</v>
      </c>
      <c r="BI198" s="1198">
        <v>1</v>
      </c>
      <c r="BJ198" s="1198">
        <v>1</v>
      </c>
      <c r="BK198" s="1198">
        <v>1</v>
      </c>
      <c r="BL198" s="95">
        <v>2836.8</v>
      </c>
      <c r="BM198" s="171">
        <v>567.36</v>
      </c>
      <c r="BN198" s="171">
        <v>567.36</v>
      </c>
      <c r="BO198" s="174"/>
      <c r="BP198" s="1198">
        <v>1</v>
      </c>
      <c r="BQ198" s="1199">
        <v>1</v>
      </c>
      <c r="BR198" s="1199">
        <v>1</v>
      </c>
      <c r="BS198" s="1200">
        <v>1</v>
      </c>
      <c r="BT198" s="94">
        <f t="shared" si="146"/>
        <v>19857.599999999999</v>
      </c>
      <c r="BU198" s="233">
        <f t="shared" si="147"/>
        <v>19857.599999999999</v>
      </c>
      <c r="BV198" s="92">
        <f t="shared" si="148"/>
        <v>3971.5200000000004</v>
      </c>
      <c r="BW198" s="233">
        <f t="shared" si="149"/>
        <v>3971.5200000000004</v>
      </c>
      <c r="BX198" s="88">
        <v>15.132101300479125</v>
      </c>
      <c r="BY198" s="90">
        <v>0</v>
      </c>
      <c r="BZ198" s="88">
        <v>0</v>
      </c>
      <c r="CA198" s="88">
        <v>0</v>
      </c>
      <c r="CB198" s="88">
        <v>0</v>
      </c>
      <c r="CC198" s="88">
        <v>0</v>
      </c>
      <c r="CD198" s="88">
        <v>0</v>
      </c>
      <c r="CE198" s="100">
        <v>0</v>
      </c>
      <c r="CF198" s="88">
        <v>0</v>
      </c>
      <c r="CG198" s="88">
        <v>0</v>
      </c>
      <c r="CH198" s="88">
        <v>0</v>
      </c>
      <c r="CI198" s="88">
        <v>0</v>
      </c>
      <c r="CJ198" s="228">
        <v>0</v>
      </c>
      <c r="CK198" s="88">
        <v>0</v>
      </c>
      <c r="CL198" s="88">
        <v>0</v>
      </c>
      <c r="CM198" s="88">
        <v>0</v>
      </c>
      <c r="CN198" s="88">
        <v>0</v>
      </c>
      <c r="CO198" s="88">
        <v>0</v>
      </c>
      <c r="CP198" s="88">
        <v>0</v>
      </c>
      <c r="CQ198" s="229">
        <v>0</v>
      </c>
      <c r="CR198" s="91">
        <v>0</v>
      </c>
      <c r="CS198" s="91">
        <v>0</v>
      </c>
      <c r="CT198" s="91">
        <v>0</v>
      </c>
      <c r="CU198" s="91">
        <v>0</v>
      </c>
      <c r="CV198" s="91">
        <v>0</v>
      </c>
      <c r="CW198" s="91">
        <v>0</v>
      </c>
      <c r="CX198" s="225">
        <v>0</v>
      </c>
      <c r="CY198" s="1265">
        <v>7767.15744</v>
      </c>
      <c r="CZ198" s="90">
        <v>0</v>
      </c>
      <c r="DA198" s="88">
        <v>0</v>
      </c>
      <c r="DB198" s="88">
        <v>0</v>
      </c>
      <c r="DC198" s="88">
        <v>0</v>
      </c>
      <c r="DD198" s="88">
        <v>0</v>
      </c>
      <c r="DE198" s="152">
        <v>0</v>
      </c>
      <c r="DF198" s="230">
        <v>0</v>
      </c>
      <c r="DG198" s="38">
        <v>0</v>
      </c>
      <c r="DH198" s="1237">
        <v>0</v>
      </c>
      <c r="DI198" s="956">
        <v>0</v>
      </c>
      <c r="DJ198" s="956">
        <v>0</v>
      </c>
      <c r="DK198" s="956">
        <v>0</v>
      </c>
      <c r="DL198" s="152">
        <v>0</v>
      </c>
      <c r="DM198" s="160">
        <v>0</v>
      </c>
      <c r="DN198" s="160">
        <v>0</v>
      </c>
      <c r="DO198" s="160">
        <v>0</v>
      </c>
      <c r="DP198" s="160">
        <v>0</v>
      </c>
      <c r="DQ198" s="160">
        <v>0</v>
      </c>
      <c r="DR198" s="230">
        <v>0</v>
      </c>
      <c r="DS198" s="88">
        <v>0</v>
      </c>
      <c r="DT198" s="88">
        <v>0</v>
      </c>
      <c r="DU198" s="88">
        <v>0</v>
      </c>
      <c r="DV198" s="88">
        <v>0</v>
      </c>
      <c r="DW198" s="88">
        <v>0</v>
      </c>
      <c r="DX198" s="88">
        <v>0</v>
      </c>
      <c r="DY198" s="88">
        <v>0</v>
      </c>
      <c r="DZ198" s="88">
        <v>0</v>
      </c>
      <c r="EA198" s="88">
        <v>0</v>
      </c>
      <c r="EB198" s="152">
        <v>0</v>
      </c>
      <c r="EC198" s="52">
        <f t="shared" si="150"/>
        <v>0</v>
      </c>
      <c r="ED198" s="52">
        <f t="shared" si="150"/>
        <v>0</v>
      </c>
      <c r="EE198" s="52">
        <f t="shared" si="150"/>
        <v>0</v>
      </c>
      <c r="EF198" s="52">
        <f t="shared" si="150"/>
        <v>0</v>
      </c>
      <c r="EG198" s="52">
        <f t="shared" si="151"/>
        <v>0</v>
      </c>
      <c r="EH198" s="238">
        <v>0</v>
      </c>
      <c r="EI198" s="211">
        <v>0</v>
      </c>
      <c r="EJ198" s="211">
        <v>0</v>
      </c>
      <c r="EK198" s="211">
        <v>0</v>
      </c>
      <c r="EL198" s="217">
        <f>IF(C198&gt;=Summary!$E$26,MAX(0,SUM(EH198:EK198)),0)</f>
        <v>0</v>
      </c>
      <c r="EM198" s="52">
        <f>IF(C198&gt;=Summary!$E$26,DX198*BL198,0)</f>
        <v>0</v>
      </c>
      <c r="EN198" s="52">
        <f>IF(C198&gt;=Summary!$E$26,DY198*BM198,0)</f>
        <v>0</v>
      </c>
      <c r="EO198" s="52">
        <f>IF(C198&gt;=Summary!$E$26,DZ198*BN198,0)</f>
        <v>0</v>
      </c>
      <c r="EP198" s="52">
        <f>IF(C198&gt;=Summary!$E$26,EA198*BO198,0)</f>
        <v>0</v>
      </c>
      <c r="EQ198" s="52">
        <f>IF(C198&gt;=Summary!$E$26,DX198*BL198+DY198*BM198+DZ198*BN198+EA198*BO198,0)</f>
        <v>0</v>
      </c>
      <c r="ER198" s="826">
        <v>0</v>
      </c>
      <c r="ES198" s="278">
        <v>0</v>
      </c>
      <c r="ET198" s="278">
        <v>0</v>
      </c>
      <c r="EU198" s="278">
        <v>0</v>
      </c>
      <c r="EV198" s="212">
        <f>IF(C198&gt;=Summary!$E$26,MAX(0,SUM(ER198:EU198)),0)</f>
        <v>0</v>
      </c>
      <c r="EW198" s="52"/>
      <c r="EX198" s="1049">
        <f t="shared" si="152"/>
        <v>0</v>
      </c>
      <c r="EY198" s="1045" t="str">
        <f t="shared" si="153"/>
        <v/>
      </c>
      <c r="EZ198" s="1684" t="s">
        <v>525</v>
      </c>
      <c r="FA198" s="1046">
        <f t="shared" si="166"/>
        <v>45</v>
      </c>
      <c r="FB198" s="256">
        <f t="shared" si="154"/>
        <v>8865</v>
      </c>
      <c r="FC198" s="194">
        <f t="shared" si="155"/>
        <v>2659.5</v>
      </c>
      <c r="FD198" s="194">
        <f t="shared" si="156"/>
        <v>1773</v>
      </c>
      <c r="FE198" s="194">
        <f t="shared" si="157"/>
        <v>531.9</v>
      </c>
      <c r="FF198" s="194">
        <f t="shared" si="158"/>
        <v>1773</v>
      </c>
      <c r="FG198" s="194">
        <f t="shared" si="159"/>
        <v>531.9</v>
      </c>
      <c r="FH198" s="257">
        <f>IF(EZ198="No",IF((OR(MONTH(C198)=5,MONTH(C198)=6,MONTH(C198)=7,MONTH(C198)=8,MONTH(C198)=9)),Summary!$O$15*12*(AX198+AY198+AZ198+BA198)*(1-$BC198),Summary!$O$15*13*(AX198+AY198+AZ198+BA198)*(1-$BC198)+IF(Summary!$O$16="Yes",(CALC!FA198+Summary!$O$15)*6*(AX198+AY198+AZ198+BA198)*(1-$BC198),0)),0)</f>
        <v>0</v>
      </c>
      <c r="FI198" s="1412">
        <f>IF(MONTH(C198)=5,FI197*(IF(Summary!$E$70="no",(1+(Summary!$E$71*0.8)),1+HLOOKUP(YEAR(C198)-1,CCFMODEL!$I$127:$AF$128,2)*0.8)),+FI197)</f>
        <v>37.968463365561441</v>
      </c>
      <c r="FJ198" s="1411">
        <f>IF(MONTH(C198)=5,FJ197*(IF(Summary!$E$70="no",(1+(Summary!$E$71*0.8)),1+HLOOKUP(YEAR(CALC!C198)-1,CCFMODEL!$I$127:$AF$128,2)*0.8)),FJ197)</f>
        <v>33.185034910057638</v>
      </c>
      <c r="FK198" s="832">
        <f t="shared" si="127"/>
        <v>612594.5784789779</v>
      </c>
      <c r="FL198" s="1412">
        <f>IF(MONTH(C198)=5,FL197*(IF(Summary!$E$70="no",(1+(Summary!$E$71*0.8)),1+HLOOKUP(YEAR(CALC!C198)-1,CCFMODEL!$I$127:$AF$128,2)*0.8)),+FL197)</f>
        <v>79.85193513964532</v>
      </c>
      <c r="FM198" s="1411">
        <f>IF(MONTH(C198)=5,FM197*(IF(Summary!$E$70="no",(1+(Summary!$E$71*0.8)),1+HLOOKUP(YEAR(CALC!C198)-1,CCFMODEL!$I$127:$AF$128,2)*0.8)),+FM197)</f>
        <v>38.110827307689526</v>
      </c>
      <c r="FN198" s="832">
        <f t="shared" si="128"/>
        <v>624255.35129995446</v>
      </c>
      <c r="FO198" s="194">
        <f t="shared" si="160"/>
        <v>1236849.9297789324</v>
      </c>
      <c r="FP198" s="263">
        <f t="shared" si="177"/>
        <v>8865</v>
      </c>
      <c r="FQ198" s="194">
        <f t="shared" si="178"/>
        <v>2659.5</v>
      </c>
      <c r="FR198" s="194">
        <f t="shared" si="179"/>
        <v>1773</v>
      </c>
      <c r="FS198" s="194">
        <f t="shared" si="176"/>
        <v>531.9</v>
      </c>
      <c r="FT198" s="194">
        <f t="shared" si="176"/>
        <v>1773</v>
      </c>
      <c r="FU198" s="194">
        <f t="shared" si="176"/>
        <v>531.9</v>
      </c>
      <c r="FV198" s="257">
        <f t="shared" si="176"/>
        <v>0</v>
      </c>
      <c r="FW198" s="189">
        <f t="shared" si="129"/>
        <v>0</v>
      </c>
      <c r="FX198" s="189">
        <f t="shared" si="130"/>
        <v>0</v>
      </c>
      <c r="FY198" s="189">
        <f t="shared" si="131"/>
        <v>0</v>
      </c>
      <c r="FZ198" s="258">
        <f t="shared" si="132"/>
        <v>0</v>
      </c>
      <c r="GA198" s="1294">
        <f>(SUM(FP198:FV198)+SUM(GU198:HB198)/(1-Summary!$O$25))*CY198/1000</f>
        <v>214003.9839930048</v>
      </c>
      <c r="GB198" s="1369">
        <f>IF($C198&lt;Summary!$M$81,+Summary!$O$81,VLOOKUP(C198,GasTable,19))</f>
        <v>3.6185125414141934</v>
      </c>
      <c r="GC198" s="1370">
        <f>IF(H198&lt;=Summary!$N$84,MIN(GA198,Summary!$O$75*(H198-G198+1)),0)</f>
        <v>0</v>
      </c>
      <c r="GD198" s="1371">
        <f>IF(C198&lt;Summary!$N$84,IF(Summary!$O$75*(H198-G198+1)*0.8&gt;GC198,1,0),0)</f>
        <v>0</v>
      </c>
      <c r="GE198" s="1372">
        <v>0</v>
      </c>
      <c r="GF198" s="1370">
        <f t="shared" si="161"/>
        <v>214003.9839930048</v>
      </c>
      <c r="GG198" s="1371">
        <f>GF198*(IF(Summary!$O$74=1,VLOOKUP($C198,GasTable,16)+Summary!$O$92+Summary!$O$93,VLOOKUP($C198,GasTable,19)+Summary!$O$92+Summary!$O$93))</f>
        <v>785525.70755732583</v>
      </c>
      <c r="GH198" s="1373">
        <v>5065.9175579798712</v>
      </c>
      <c r="GI198" s="1466">
        <v>0</v>
      </c>
      <c r="GJ198" s="1374">
        <f t="shared" si="162"/>
        <v>790591.62511530565</v>
      </c>
      <c r="GK198" s="189">
        <f t="shared" si="133"/>
        <v>27152.785799999998</v>
      </c>
      <c r="GL198" s="266">
        <v>0.52039954848000003</v>
      </c>
      <c r="GM198" s="255">
        <f t="shared" si="134"/>
        <v>0</v>
      </c>
      <c r="GN198" s="189">
        <f>IF(SUM(GU198:HB198)=0,0,IF(Summary!$O$16="Yes",SUM(GX198:HB198),IF(Summary!$O$17="Yes",SUM(GY198:HB198),SUM(GU198:HB198))))</f>
        <v>11018.485799999999</v>
      </c>
      <c r="GO198" s="203">
        <v>3.7072232698888055</v>
      </c>
      <c r="GP198" s="258">
        <f t="shared" si="163"/>
        <v>40847.986956699366</v>
      </c>
      <c r="GQ198" s="189"/>
      <c r="GR198" s="189"/>
      <c r="GS198" s="189"/>
      <c r="GT198" s="189"/>
      <c r="GU198" s="268">
        <v>5132.835</v>
      </c>
      <c r="GV198" s="189">
        <v>1026.5670000000002</v>
      </c>
      <c r="GW198" s="189">
        <v>1026.5670000000002</v>
      </c>
      <c r="GX198" s="189"/>
      <c r="GY198" s="254">
        <v>2737.5120000000002</v>
      </c>
      <c r="GZ198" s="189">
        <v>547.50239999999997</v>
      </c>
      <c r="HA198" s="189">
        <v>547.50239999999997</v>
      </c>
      <c r="HB198" s="255"/>
      <c r="HC198" s="189">
        <v>11018.485799999999</v>
      </c>
      <c r="HD198" s="189"/>
      <c r="HE198" s="189">
        <v>18923.051699999996</v>
      </c>
      <c r="HF198" s="189">
        <v>474826.50485885516</v>
      </c>
      <c r="HG198" s="189"/>
      <c r="HH198" s="203">
        <v>42.771892766779992</v>
      </c>
      <c r="HI198" s="189">
        <v>809374.73813263373</v>
      </c>
      <c r="HJ198" s="268">
        <f t="shared" si="135"/>
        <v>0</v>
      </c>
      <c r="HK198" s="189">
        <f t="shared" si="136"/>
        <v>0</v>
      </c>
      <c r="HL198" s="189">
        <f t="shared" si="137"/>
        <v>0</v>
      </c>
      <c r="HM198" s="255">
        <f t="shared" si="138"/>
        <v>0</v>
      </c>
      <c r="HN198" s="189">
        <f t="shared" si="139"/>
        <v>0</v>
      </c>
      <c r="HO198" s="203">
        <f t="shared" si="164"/>
        <v>0</v>
      </c>
      <c r="HP198" s="258">
        <f t="shared" si="140"/>
        <v>0</v>
      </c>
      <c r="HQ198" s="804"/>
      <c r="HR198" s="268"/>
      <c r="HS198" s="1408"/>
      <c r="HT198" s="255"/>
      <c r="HU198" s="268"/>
      <c r="HV198" s="1408"/>
      <c r="HW198" s="255"/>
      <c r="HX198" s="1408"/>
      <c r="HY198" s="1408"/>
      <c r="HZ198"/>
      <c r="IA198" s="203"/>
      <c r="IB198" s="203"/>
      <c r="IC198" s="203"/>
      <c r="ID198" s="203"/>
      <c r="IE198" s="203"/>
      <c r="IF198" s="203"/>
      <c r="IG198" s="203"/>
      <c r="IH198" s="203"/>
      <c r="II198" s="203"/>
      <c r="IJ198" s="203"/>
      <c r="IK198" s="203"/>
      <c r="IL198" s="821"/>
      <c r="IM198" s="820"/>
      <c r="IN198" s="820"/>
      <c r="IR198" s="223"/>
    </row>
    <row r="199" spans="1:252" ht="13.8" thickBot="1">
      <c r="A199" t="str">
        <f t="shared" si="141"/>
        <v>2015Q1</v>
      </c>
      <c r="B199">
        <f t="shared" si="142"/>
        <v>2015</v>
      </c>
      <c r="C199" s="49">
        <f t="shared" si="143"/>
        <v>42064</v>
      </c>
      <c r="D199" s="115">
        <f t="shared" si="144"/>
        <v>2015</v>
      </c>
      <c r="E199" s="10">
        <f t="shared" si="167"/>
        <v>3</v>
      </c>
      <c r="F199" s="248" t="str">
        <f t="shared" si="168"/>
        <v/>
      </c>
      <c r="G199" s="245">
        <v>42064</v>
      </c>
      <c r="H199" s="251">
        <v>42094</v>
      </c>
      <c r="I199" s="959">
        <f t="shared" si="165"/>
        <v>7.1499999999999994E-2</v>
      </c>
      <c r="J199" s="37">
        <f t="shared" si="145"/>
        <v>0.34025607488832593</v>
      </c>
      <c r="K199" s="1036"/>
      <c r="L199" s="37"/>
      <c r="M199" s="1004">
        <v>0</v>
      </c>
      <c r="N199" s="38">
        <f t="shared" si="181"/>
        <v>0</v>
      </c>
      <c r="O199" s="40">
        <f t="shared" si="181"/>
        <v>0</v>
      </c>
      <c r="P199" s="159">
        <f t="shared" si="172"/>
        <v>0</v>
      </c>
      <c r="Q199" s="38">
        <f t="shared" ref="Q199:X208" si="183">P199</f>
        <v>0</v>
      </c>
      <c r="R199" s="40">
        <f t="shared" si="183"/>
        <v>0</v>
      </c>
      <c r="S199" s="38">
        <f t="shared" si="183"/>
        <v>0</v>
      </c>
      <c r="T199" s="38">
        <f t="shared" si="183"/>
        <v>0</v>
      </c>
      <c r="U199" s="38">
        <f t="shared" si="183"/>
        <v>0</v>
      </c>
      <c r="V199" s="159">
        <f t="shared" si="183"/>
        <v>0</v>
      </c>
      <c r="W199" s="38">
        <f t="shared" si="183"/>
        <v>0</v>
      </c>
      <c r="X199" s="39">
        <f t="shared" si="183"/>
        <v>0</v>
      </c>
      <c r="Y199" s="46">
        <v>0</v>
      </c>
      <c r="Z199" s="46">
        <v>0</v>
      </c>
      <c r="AA199" s="47">
        <v>0</v>
      </c>
      <c r="AB199" s="46">
        <v>0</v>
      </c>
      <c r="AC199" s="46">
        <v>0</v>
      </c>
      <c r="AD199" s="47">
        <v>0</v>
      </c>
      <c r="AE199" s="46">
        <v>0</v>
      </c>
      <c r="AF199" s="46">
        <v>0</v>
      </c>
      <c r="AG199" s="47">
        <v>0</v>
      </c>
      <c r="AH199" s="46">
        <v>0</v>
      </c>
      <c r="AI199" s="46">
        <v>0</v>
      </c>
      <c r="AJ199" s="47">
        <v>0</v>
      </c>
      <c r="AK199" s="46">
        <v>0</v>
      </c>
      <c r="AL199" s="46">
        <v>0</v>
      </c>
      <c r="AM199" s="47">
        <v>0</v>
      </c>
      <c r="AN199" s="46">
        <v>0</v>
      </c>
      <c r="AO199" s="46">
        <v>0</v>
      </c>
      <c r="AP199" s="47">
        <v>0</v>
      </c>
      <c r="AQ199" s="46">
        <v>0</v>
      </c>
      <c r="AR199" s="46">
        <v>0</v>
      </c>
      <c r="AS199" s="47">
        <v>0</v>
      </c>
      <c r="AT199" s="46">
        <v>0</v>
      </c>
      <c r="AU199" s="46">
        <v>0</v>
      </c>
      <c r="AV199" s="46">
        <v>0</v>
      </c>
      <c r="AW199" s="1545">
        <v>0</v>
      </c>
      <c r="AX199" s="10">
        <f t="shared" si="169"/>
        <v>22</v>
      </c>
      <c r="AY199" s="42">
        <f>IF(AND($E199=MONTH(Summary!$E$24),$D199=YEAR(Summary!$E$24)),Summary!$E$25,1)*IF(G199="",0,INT((H199-MOD(H199,7)-G199)/7)+1-IF(BA199,IF(WEEKDAY(F199)=7,1,0),0))</f>
        <v>4</v>
      </c>
      <c r="AZ199" s="42">
        <f>IF(AND($E199=MONTH(Summary!$E$24),$D199=YEAR(Summary!$E$24)),Summary!$E$25,1)*IF(G199="",0,INT((H199-MOD(H199-1,7)-G199)/7)+1-IF(BA199,IF(WEEKDAY(F199)=1,1,0),0))</f>
        <v>5</v>
      </c>
      <c r="BA199" s="42">
        <v>0</v>
      </c>
      <c r="BB199" s="10">
        <f>IF(AND($E199=MONTH(Summary!$E$24),$D199=YEAR(Summary!$E$24)),Summary!$E$25,1)*IF(G199="",0,H199-G199+1)</f>
        <v>31</v>
      </c>
      <c r="BC199" s="914">
        <f>Summary!$E$19</f>
        <v>1.4999999999999999E-2</v>
      </c>
      <c r="BD199" s="113">
        <v>15602.4</v>
      </c>
      <c r="BE199" s="171">
        <v>2836.8</v>
      </c>
      <c r="BF199" s="171">
        <v>3546</v>
      </c>
      <c r="BG199" s="174"/>
      <c r="BH199" s="1198">
        <v>1</v>
      </c>
      <c r="BI199" s="1198">
        <v>1</v>
      </c>
      <c r="BJ199" s="1198">
        <v>1</v>
      </c>
      <c r="BK199" s="1198">
        <v>1</v>
      </c>
      <c r="BL199" s="95">
        <v>3120.48</v>
      </c>
      <c r="BM199" s="171">
        <v>567.36</v>
      </c>
      <c r="BN199" s="171">
        <v>709.2</v>
      </c>
      <c r="BO199" s="174"/>
      <c r="BP199" s="1198">
        <v>1</v>
      </c>
      <c r="BQ199" s="1199">
        <v>1</v>
      </c>
      <c r="BR199" s="1199">
        <v>1</v>
      </c>
      <c r="BS199" s="1200">
        <v>1</v>
      </c>
      <c r="BT199" s="94">
        <f t="shared" si="146"/>
        <v>21985.200000000001</v>
      </c>
      <c r="BU199" s="233">
        <f t="shared" si="147"/>
        <v>21985.200000000001</v>
      </c>
      <c r="BV199" s="92">
        <f t="shared" si="148"/>
        <v>4397.04</v>
      </c>
      <c r="BW199" s="233">
        <f t="shared" si="149"/>
        <v>4397.04</v>
      </c>
      <c r="BX199" s="88">
        <v>15.208761122518823</v>
      </c>
      <c r="BY199" s="90">
        <v>0</v>
      </c>
      <c r="BZ199" s="88">
        <v>0</v>
      </c>
      <c r="CA199" s="88">
        <v>0</v>
      </c>
      <c r="CB199" s="88">
        <v>0</v>
      </c>
      <c r="CC199" s="88">
        <v>0</v>
      </c>
      <c r="CD199" s="88">
        <v>0</v>
      </c>
      <c r="CE199" s="100">
        <v>0</v>
      </c>
      <c r="CF199" s="88">
        <v>0</v>
      </c>
      <c r="CG199" s="88">
        <v>0</v>
      </c>
      <c r="CH199" s="88">
        <v>0</v>
      </c>
      <c r="CI199" s="88">
        <v>0</v>
      </c>
      <c r="CJ199" s="228">
        <v>0</v>
      </c>
      <c r="CK199" s="88">
        <v>0</v>
      </c>
      <c r="CL199" s="88">
        <v>0</v>
      </c>
      <c r="CM199" s="88">
        <v>0</v>
      </c>
      <c r="CN199" s="88">
        <v>0</v>
      </c>
      <c r="CO199" s="88">
        <v>0</v>
      </c>
      <c r="CP199" s="88">
        <v>0</v>
      </c>
      <c r="CQ199" s="229">
        <v>0</v>
      </c>
      <c r="CR199" s="91">
        <v>0</v>
      </c>
      <c r="CS199" s="91">
        <v>0</v>
      </c>
      <c r="CT199" s="91">
        <v>0</v>
      </c>
      <c r="CU199" s="91">
        <v>0</v>
      </c>
      <c r="CV199" s="91">
        <v>0</v>
      </c>
      <c r="CW199" s="91">
        <v>0</v>
      </c>
      <c r="CX199" s="225">
        <v>0</v>
      </c>
      <c r="CY199" s="1265">
        <v>7768.4603200000001</v>
      </c>
      <c r="CZ199" s="90">
        <v>0</v>
      </c>
      <c r="DA199" s="88">
        <v>0</v>
      </c>
      <c r="DB199" s="88">
        <v>0</v>
      </c>
      <c r="DC199" s="88">
        <v>0</v>
      </c>
      <c r="DD199" s="88">
        <v>0</v>
      </c>
      <c r="DE199" s="152">
        <v>0</v>
      </c>
      <c r="DF199" s="230">
        <v>0</v>
      </c>
      <c r="DG199" s="38">
        <v>0</v>
      </c>
      <c r="DH199" s="1237">
        <v>0</v>
      </c>
      <c r="DI199" s="956">
        <v>0</v>
      </c>
      <c r="DJ199" s="956">
        <v>0</v>
      </c>
      <c r="DK199" s="956">
        <v>0</v>
      </c>
      <c r="DL199" s="152">
        <v>0</v>
      </c>
      <c r="DM199" s="160">
        <v>0</v>
      </c>
      <c r="DN199" s="160">
        <v>0</v>
      </c>
      <c r="DO199" s="160">
        <v>0</v>
      </c>
      <c r="DP199" s="160">
        <v>0</v>
      </c>
      <c r="DQ199" s="160">
        <v>0</v>
      </c>
      <c r="DR199" s="230">
        <v>0</v>
      </c>
      <c r="DS199" s="88">
        <v>0</v>
      </c>
      <c r="DT199" s="88">
        <v>0</v>
      </c>
      <c r="DU199" s="88">
        <v>0</v>
      </c>
      <c r="DV199" s="88">
        <v>0</v>
      </c>
      <c r="DW199" s="88">
        <v>0</v>
      </c>
      <c r="DX199" s="88">
        <v>0</v>
      </c>
      <c r="DY199" s="88">
        <v>0</v>
      </c>
      <c r="DZ199" s="88">
        <v>0</v>
      </c>
      <c r="EA199" s="88">
        <v>0</v>
      </c>
      <c r="EB199" s="152">
        <v>0</v>
      </c>
      <c r="EC199" s="52">
        <f t="shared" si="150"/>
        <v>0</v>
      </c>
      <c r="ED199" s="52">
        <f t="shared" si="150"/>
        <v>0</v>
      </c>
      <c r="EE199" s="52">
        <f t="shared" si="150"/>
        <v>0</v>
      </c>
      <c r="EF199" s="52">
        <f t="shared" si="150"/>
        <v>0</v>
      </c>
      <c r="EG199" s="52">
        <f t="shared" si="151"/>
        <v>0</v>
      </c>
      <c r="EH199" s="238">
        <v>0</v>
      </c>
      <c r="EI199" s="211">
        <v>0</v>
      </c>
      <c r="EJ199" s="211">
        <v>0</v>
      </c>
      <c r="EK199" s="211">
        <v>0</v>
      </c>
      <c r="EL199" s="217">
        <f>IF(C199&gt;=Summary!$E$26,MAX(0,SUM(EH199:EK199)),0)</f>
        <v>0</v>
      </c>
      <c r="EM199" s="52">
        <f>IF(C199&gt;=Summary!$E$26,DX199*BL199,0)</f>
        <v>0</v>
      </c>
      <c r="EN199" s="52">
        <f>IF(C199&gt;=Summary!$E$26,DY199*BM199,0)</f>
        <v>0</v>
      </c>
      <c r="EO199" s="52">
        <f>IF(C199&gt;=Summary!$E$26,DZ199*BN199,0)</f>
        <v>0</v>
      </c>
      <c r="EP199" s="52">
        <f>IF(C199&gt;=Summary!$E$26,EA199*BO199,0)</f>
        <v>0</v>
      </c>
      <c r="EQ199" s="52">
        <f>IF(C199&gt;=Summary!$E$26,DX199*BL199+DY199*BM199+DZ199*BN199+EA199*BO199,0)</f>
        <v>0</v>
      </c>
      <c r="ER199" s="826">
        <v>0</v>
      </c>
      <c r="ES199" s="278">
        <v>0</v>
      </c>
      <c r="ET199" s="278">
        <v>0</v>
      </c>
      <c r="EU199" s="278">
        <v>0</v>
      </c>
      <c r="EV199" s="212">
        <f>IF(C199&gt;=Summary!$E$26,MAX(0,SUM(ER199:EU199)),0)</f>
        <v>0</v>
      </c>
      <c r="EW199" s="52"/>
      <c r="EX199" s="1049">
        <f t="shared" si="152"/>
        <v>0</v>
      </c>
      <c r="EY199" s="1045" t="str">
        <f t="shared" si="153"/>
        <v/>
      </c>
      <c r="EZ199" s="1684" t="s">
        <v>525</v>
      </c>
      <c r="FA199" s="1046">
        <f t="shared" si="166"/>
        <v>45</v>
      </c>
      <c r="FB199" s="256">
        <f t="shared" si="154"/>
        <v>9751.5</v>
      </c>
      <c r="FC199" s="194">
        <f t="shared" si="155"/>
        <v>2925.45</v>
      </c>
      <c r="FD199" s="194">
        <f t="shared" si="156"/>
        <v>1773</v>
      </c>
      <c r="FE199" s="194">
        <f t="shared" si="157"/>
        <v>531.9</v>
      </c>
      <c r="FF199" s="194">
        <f t="shared" si="158"/>
        <v>2216.25</v>
      </c>
      <c r="FG199" s="194">
        <f t="shared" si="159"/>
        <v>664.875</v>
      </c>
      <c r="FH199" s="257">
        <f>IF(EZ199="No",IF((OR(MONTH(C199)=5,MONTH(C199)=6,MONTH(C199)=7,MONTH(C199)=8,MONTH(C199)=9)),Summary!$O$15*12*(AX199+AY199+AZ199+BA199)*(1-$BC199),Summary!$O$15*13*(AX199+AY199+AZ199+BA199)*(1-$BC199)+IF(Summary!$O$16="Yes",(CALC!FA199+Summary!$O$15)*6*(AX199+AY199+AZ199+BA199)*(1-$BC199),0)),0)</f>
        <v>0</v>
      </c>
      <c r="FI199" s="1412">
        <f>IF(MONTH(C199)=5,FI198*(IF(Summary!$E$70="no",(1+(Summary!$E$71*0.8)),1+HLOOKUP(YEAR(C199)-1,CCFMODEL!$I$127:$AF$128,2)*0.8)),+FI198)</f>
        <v>37.968463365561441</v>
      </c>
      <c r="FJ199" s="1411">
        <f>IF(MONTH(C199)=5,FJ198*(IF(Summary!$E$70="no",(1+(Summary!$E$71*0.8)),1+HLOOKUP(YEAR(CALC!C199)-1,CCFMODEL!$I$127:$AF$128,2)*0.8)),FJ198)</f>
        <v>33.185034910057638</v>
      </c>
      <c r="FK199" s="832">
        <f t="shared" si="127"/>
        <v>678229.71188743983</v>
      </c>
      <c r="FL199" s="1412">
        <f>IF(MONTH(C199)=5,FL198*(IF(Summary!$E$70="no",(1+(Summary!$E$71*0.8)),1+HLOOKUP(YEAR(CALC!C199)-1,CCFMODEL!$I$127:$AF$128,2)*0.8)),+FL198)</f>
        <v>79.85193513964532</v>
      </c>
      <c r="FM199" s="1411">
        <f>IF(MONTH(C199)=5,FM198*(IF(Summary!$E$70="no",(1+(Summary!$E$71*0.8)),1+HLOOKUP(YEAR(CALC!C199)-1,CCFMODEL!$I$127:$AF$128,2)*0.8)),+FM198)</f>
        <v>38.110827307689526</v>
      </c>
      <c r="FN199" s="832">
        <f t="shared" si="128"/>
        <v>691139.85322494956</v>
      </c>
      <c r="FO199" s="194">
        <f t="shared" si="160"/>
        <v>1369369.5651123894</v>
      </c>
      <c r="FP199" s="263">
        <f t="shared" si="177"/>
        <v>9751.5</v>
      </c>
      <c r="FQ199" s="194">
        <f t="shared" si="178"/>
        <v>2925.45</v>
      </c>
      <c r="FR199" s="194">
        <f t="shared" si="179"/>
        <v>1773</v>
      </c>
      <c r="FS199" s="194">
        <f t="shared" si="176"/>
        <v>531.9</v>
      </c>
      <c r="FT199" s="194">
        <f t="shared" si="176"/>
        <v>2216.25</v>
      </c>
      <c r="FU199" s="194">
        <f t="shared" si="176"/>
        <v>664.875</v>
      </c>
      <c r="FV199" s="257">
        <f t="shared" si="176"/>
        <v>0</v>
      </c>
      <c r="FW199" s="189">
        <f t="shared" si="129"/>
        <v>0</v>
      </c>
      <c r="FX199" s="189">
        <f t="shared" si="130"/>
        <v>0</v>
      </c>
      <c r="FY199" s="189">
        <f t="shared" si="131"/>
        <v>0</v>
      </c>
      <c r="FZ199" s="258">
        <f t="shared" si="132"/>
        <v>0</v>
      </c>
      <c r="GA199" s="1294">
        <f>(SUM(FP199:FV199)+SUM(GU199:HB199)/(1-Summary!$O$25))*CY199/1000</f>
        <v>236972.72593532878</v>
      </c>
      <c r="GB199" s="1369">
        <f>IF($C199&lt;Summary!$M$81,+Summary!$O$81,VLOOKUP(C199,GasTable,19))</f>
        <v>3.4242583279100214</v>
      </c>
      <c r="GC199" s="1370">
        <f>IF(H199&lt;=Summary!$N$84,MIN(GA199,Summary!$O$75*(H199-G199+1)),0)</f>
        <v>0</v>
      </c>
      <c r="GD199" s="1371">
        <f>IF(C199&lt;Summary!$N$84,IF(Summary!$O$75*(H199-G199+1)*0.8&gt;GC199,1,0),0)</f>
        <v>0</v>
      </c>
      <c r="GE199" s="1372">
        <v>0</v>
      </c>
      <c r="GF199" s="1370">
        <f t="shared" si="161"/>
        <v>236972.72593532878</v>
      </c>
      <c r="GG199" s="1371">
        <f>GF199*(IF(Summary!$O$74=1,VLOOKUP($C199,GasTable,16)+Summary!$O$92+Summary!$O$93,VLOOKUP($C199,GasTable,19)+Summary!$O$92+Summary!$O$93))</f>
        <v>823802.10929281928</v>
      </c>
      <c r="GH199" s="1373">
        <v>5307.6004082605332</v>
      </c>
      <c r="GI199" s="1466">
        <v>0</v>
      </c>
      <c r="GJ199" s="1374">
        <f t="shared" si="162"/>
        <v>829109.70970107976</v>
      </c>
      <c r="GK199" s="189">
        <f t="shared" si="133"/>
        <v>30062.012850000003</v>
      </c>
      <c r="GL199" s="266">
        <v>0.52048684144000001</v>
      </c>
      <c r="GM199" s="255">
        <f t="shared" si="134"/>
        <v>0</v>
      </c>
      <c r="GN199" s="189">
        <f>IF(SUM(GU199:HB199)=0,0,IF(Summary!$O$16="Yes",SUM(GX199:HB199),IF(Summary!$O$17="Yes",SUM(GY199:HB199),SUM(GU199:HB199))))</f>
        <v>12199.037849999999</v>
      </c>
      <c r="GO199" s="203">
        <v>3.7072232698888055</v>
      </c>
      <c r="GP199" s="258">
        <f t="shared" si="163"/>
        <v>45224.556987774296</v>
      </c>
      <c r="GQ199" s="189"/>
      <c r="GR199" s="189"/>
      <c r="GS199" s="189"/>
      <c r="GT199" s="189"/>
      <c r="GU199" s="268">
        <v>5646.1184999999996</v>
      </c>
      <c r="GV199" s="189">
        <v>1026.5670000000002</v>
      </c>
      <c r="GW199" s="189">
        <v>1283.20875</v>
      </c>
      <c r="GX199" s="189"/>
      <c r="GY199" s="254">
        <v>3011.2631999999999</v>
      </c>
      <c r="GZ199" s="189">
        <v>547.50239999999997</v>
      </c>
      <c r="HA199" s="189">
        <v>684.37800000000004</v>
      </c>
      <c r="HB199" s="255"/>
      <c r="HC199" s="189">
        <v>12199.037849999999</v>
      </c>
      <c r="HD199" s="189"/>
      <c r="HE199" s="189">
        <v>20950.521524999996</v>
      </c>
      <c r="HF199" s="189">
        <v>511767.37782112649</v>
      </c>
      <c r="HG199" s="189"/>
      <c r="HH199" s="203">
        <v>41.263013658007104</v>
      </c>
      <c r="HI199" s="189">
        <v>864481.65582844662</v>
      </c>
      <c r="HJ199" s="268">
        <f t="shared" si="135"/>
        <v>0</v>
      </c>
      <c r="HK199" s="189">
        <f t="shared" si="136"/>
        <v>0</v>
      </c>
      <c r="HL199" s="189">
        <f t="shared" si="137"/>
        <v>0</v>
      </c>
      <c r="HM199" s="255">
        <f t="shared" si="138"/>
        <v>0</v>
      </c>
      <c r="HN199" s="189">
        <f t="shared" si="139"/>
        <v>0</v>
      </c>
      <c r="HO199" s="203">
        <f t="shared" si="164"/>
        <v>0</v>
      </c>
      <c r="HP199" s="258">
        <f t="shared" si="140"/>
        <v>0</v>
      </c>
      <c r="HQ199" s="804"/>
      <c r="HR199" s="268"/>
      <c r="HS199" s="1408"/>
      <c r="HT199" s="255"/>
      <c r="HU199" s="268"/>
      <c r="HV199" s="1408"/>
      <c r="HW199" s="255"/>
      <c r="HX199" s="1408"/>
      <c r="HY199" s="1408"/>
      <c r="HZ199"/>
      <c r="IA199" s="203"/>
      <c r="IB199" s="203"/>
      <c r="IC199" s="203"/>
      <c r="ID199" s="203"/>
      <c r="IE199" s="203"/>
      <c r="IF199" s="203"/>
      <c r="IG199" s="203"/>
      <c r="IH199" s="203"/>
      <c r="II199" s="203"/>
      <c r="IJ199" s="203"/>
      <c r="IK199" s="203"/>
      <c r="IL199" s="821"/>
      <c r="IM199" s="820"/>
      <c r="IN199" s="820"/>
      <c r="IR199" s="223"/>
    </row>
    <row r="200" spans="1:252" ht="13.8" thickBot="1">
      <c r="A200" t="str">
        <f t="shared" si="141"/>
        <v>2015Q2</v>
      </c>
      <c r="B200">
        <f t="shared" si="142"/>
        <v>2015</v>
      </c>
      <c r="C200" s="49">
        <f t="shared" si="143"/>
        <v>42095</v>
      </c>
      <c r="D200" s="115">
        <f t="shared" si="144"/>
        <v>2015</v>
      </c>
      <c r="E200" s="10">
        <f t="shared" si="167"/>
        <v>4</v>
      </c>
      <c r="F200" s="248" t="str">
        <f t="shared" si="168"/>
        <v/>
      </c>
      <c r="G200" s="245">
        <v>42095</v>
      </c>
      <c r="H200" s="251">
        <v>42124</v>
      </c>
      <c r="I200" s="959">
        <f t="shared" si="165"/>
        <v>7.1499999999999994E-2</v>
      </c>
      <c r="J200" s="37">
        <f t="shared" si="145"/>
        <v>0.33829839899932174</v>
      </c>
      <c r="K200" s="1036"/>
      <c r="L200" s="37"/>
      <c r="M200" s="1004">
        <v>0</v>
      </c>
      <c r="N200" s="38">
        <f t="shared" si="181"/>
        <v>0</v>
      </c>
      <c r="O200" s="40">
        <f t="shared" si="181"/>
        <v>0</v>
      </c>
      <c r="P200" s="159">
        <f t="shared" si="172"/>
        <v>0</v>
      </c>
      <c r="Q200" s="38">
        <f t="shared" si="183"/>
        <v>0</v>
      </c>
      <c r="R200" s="40">
        <f t="shared" si="183"/>
        <v>0</v>
      </c>
      <c r="S200" s="38">
        <f t="shared" si="183"/>
        <v>0</v>
      </c>
      <c r="T200" s="38">
        <f t="shared" si="183"/>
        <v>0</v>
      </c>
      <c r="U200" s="38">
        <f t="shared" si="183"/>
        <v>0</v>
      </c>
      <c r="V200" s="159">
        <f t="shared" si="183"/>
        <v>0</v>
      </c>
      <c r="W200" s="38">
        <f t="shared" si="183"/>
        <v>0</v>
      </c>
      <c r="X200" s="39">
        <f t="shared" si="183"/>
        <v>0</v>
      </c>
      <c r="Y200" s="46">
        <v>0</v>
      </c>
      <c r="Z200" s="46">
        <v>0</v>
      </c>
      <c r="AA200" s="47">
        <v>0</v>
      </c>
      <c r="AB200" s="46">
        <v>0</v>
      </c>
      <c r="AC200" s="46">
        <v>0</v>
      </c>
      <c r="AD200" s="47">
        <v>0</v>
      </c>
      <c r="AE200" s="46">
        <v>0</v>
      </c>
      <c r="AF200" s="46">
        <v>0</v>
      </c>
      <c r="AG200" s="47">
        <v>0</v>
      </c>
      <c r="AH200" s="46">
        <v>0</v>
      </c>
      <c r="AI200" s="46">
        <v>0</v>
      </c>
      <c r="AJ200" s="47">
        <v>0</v>
      </c>
      <c r="AK200" s="46">
        <v>0</v>
      </c>
      <c r="AL200" s="46">
        <v>0</v>
      </c>
      <c r="AM200" s="47">
        <v>0</v>
      </c>
      <c r="AN200" s="46">
        <v>0</v>
      </c>
      <c r="AO200" s="46">
        <v>0</v>
      </c>
      <c r="AP200" s="47">
        <v>0</v>
      </c>
      <c r="AQ200" s="46">
        <v>0</v>
      </c>
      <c r="AR200" s="46">
        <v>0</v>
      </c>
      <c r="AS200" s="47">
        <v>0</v>
      </c>
      <c r="AT200" s="46">
        <v>0</v>
      </c>
      <c r="AU200" s="46">
        <v>0</v>
      </c>
      <c r="AV200" s="46">
        <v>0</v>
      </c>
      <c r="AW200" s="1545">
        <v>0</v>
      </c>
      <c r="AX200" s="10">
        <f t="shared" si="169"/>
        <v>22</v>
      </c>
      <c r="AY200" s="42">
        <f>IF(AND($E200=MONTH(Summary!$E$24),$D200=YEAR(Summary!$E$24)),Summary!$E$25,1)*IF(G200="",0,INT((H200-MOD(H200,7)-G200)/7)+1-IF(BA200,IF(WEEKDAY(F200)=7,1,0),0))</f>
        <v>4</v>
      </c>
      <c r="AZ200" s="42">
        <f>IF(AND($E200=MONTH(Summary!$E$24),$D200=YEAR(Summary!$E$24)),Summary!$E$25,1)*IF(G200="",0,INT((H200-MOD(H200-1,7)-G200)/7)+1-IF(BA200,IF(WEEKDAY(F200)=1,1,0),0))</f>
        <v>4</v>
      </c>
      <c r="BA200" s="42">
        <v>0</v>
      </c>
      <c r="BB200" s="10">
        <f>IF(AND($E200=MONTH(Summary!$E$24),$D200=YEAR(Summary!$E$24)),Summary!$E$25,1)*IF(G200="",0,H200-G200+1)</f>
        <v>30</v>
      </c>
      <c r="BC200" s="914">
        <f>Summary!$E$19</f>
        <v>1.4999999999999999E-2</v>
      </c>
      <c r="BD200" s="113">
        <v>15602.4</v>
      </c>
      <c r="BE200" s="171">
        <v>2836.8</v>
      </c>
      <c r="BF200" s="171">
        <v>2836.8</v>
      </c>
      <c r="BG200" s="174"/>
      <c r="BH200" s="1198">
        <v>1</v>
      </c>
      <c r="BI200" s="1198">
        <v>1</v>
      </c>
      <c r="BJ200" s="1198">
        <v>1</v>
      </c>
      <c r="BK200" s="1198">
        <v>1</v>
      </c>
      <c r="BL200" s="95">
        <v>3120.48</v>
      </c>
      <c r="BM200" s="171">
        <v>567.36</v>
      </c>
      <c r="BN200" s="171">
        <v>567.36</v>
      </c>
      <c r="BO200" s="174"/>
      <c r="BP200" s="1198">
        <v>1</v>
      </c>
      <c r="BQ200" s="1199">
        <v>1</v>
      </c>
      <c r="BR200" s="1199">
        <v>1</v>
      </c>
      <c r="BS200" s="1200">
        <v>1</v>
      </c>
      <c r="BT200" s="94">
        <f t="shared" si="146"/>
        <v>21276</v>
      </c>
      <c r="BU200" s="233">
        <f t="shared" si="147"/>
        <v>21276</v>
      </c>
      <c r="BV200" s="92">
        <f t="shared" si="148"/>
        <v>4255.2</v>
      </c>
      <c r="BW200" s="233">
        <f t="shared" si="149"/>
        <v>4255.2</v>
      </c>
      <c r="BX200" s="88">
        <v>15.293634496919918</v>
      </c>
      <c r="BY200" s="90">
        <v>0</v>
      </c>
      <c r="BZ200" s="88">
        <v>0</v>
      </c>
      <c r="CA200" s="88">
        <v>0</v>
      </c>
      <c r="CB200" s="88">
        <v>0</v>
      </c>
      <c r="CC200" s="88">
        <v>0</v>
      </c>
      <c r="CD200" s="88">
        <v>0</v>
      </c>
      <c r="CE200" s="100">
        <v>0</v>
      </c>
      <c r="CF200" s="88">
        <v>0</v>
      </c>
      <c r="CG200" s="88">
        <v>0</v>
      </c>
      <c r="CH200" s="88">
        <v>0</v>
      </c>
      <c r="CI200" s="88">
        <v>0</v>
      </c>
      <c r="CJ200" s="228">
        <v>0</v>
      </c>
      <c r="CK200" s="88">
        <v>0</v>
      </c>
      <c r="CL200" s="88">
        <v>0</v>
      </c>
      <c r="CM200" s="88">
        <v>0</v>
      </c>
      <c r="CN200" s="88">
        <v>0</v>
      </c>
      <c r="CO200" s="88">
        <v>0</v>
      </c>
      <c r="CP200" s="88">
        <v>0</v>
      </c>
      <c r="CQ200" s="229">
        <v>0</v>
      </c>
      <c r="CR200" s="91">
        <v>0</v>
      </c>
      <c r="CS200" s="91">
        <v>0</v>
      </c>
      <c r="CT200" s="91">
        <v>0</v>
      </c>
      <c r="CU200" s="91">
        <v>0</v>
      </c>
      <c r="CV200" s="91">
        <v>0</v>
      </c>
      <c r="CW200" s="91">
        <v>0</v>
      </c>
      <c r="CX200" s="225">
        <v>0</v>
      </c>
      <c r="CY200" s="1265">
        <v>7769.7632000000003</v>
      </c>
      <c r="CZ200" s="90">
        <v>0</v>
      </c>
      <c r="DA200" s="88">
        <v>0</v>
      </c>
      <c r="DB200" s="88">
        <v>0</v>
      </c>
      <c r="DC200" s="88">
        <v>0</v>
      </c>
      <c r="DD200" s="88">
        <v>0</v>
      </c>
      <c r="DE200" s="152">
        <v>0</v>
      </c>
      <c r="DF200" s="230">
        <v>0</v>
      </c>
      <c r="DG200" s="38">
        <v>0</v>
      </c>
      <c r="DH200" s="1237">
        <v>0</v>
      </c>
      <c r="DI200" s="956">
        <v>0</v>
      </c>
      <c r="DJ200" s="956">
        <v>0</v>
      </c>
      <c r="DK200" s="956">
        <v>0</v>
      </c>
      <c r="DL200" s="152">
        <v>0</v>
      </c>
      <c r="DM200" s="160">
        <v>0</v>
      </c>
      <c r="DN200" s="160">
        <v>0</v>
      </c>
      <c r="DO200" s="160">
        <v>0</v>
      </c>
      <c r="DP200" s="160">
        <v>0</v>
      </c>
      <c r="DQ200" s="160">
        <v>0</v>
      </c>
      <c r="DR200" s="230">
        <v>0</v>
      </c>
      <c r="DS200" s="88">
        <v>0</v>
      </c>
      <c r="DT200" s="88">
        <v>0</v>
      </c>
      <c r="DU200" s="88">
        <v>0</v>
      </c>
      <c r="DV200" s="88">
        <v>0</v>
      </c>
      <c r="DW200" s="88">
        <v>0</v>
      </c>
      <c r="DX200" s="88">
        <v>0</v>
      </c>
      <c r="DY200" s="88">
        <v>0</v>
      </c>
      <c r="DZ200" s="88">
        <v>0</v>
      </c>
      <c r="EA200" s="88">
        <v>0</v>
      </c>
      <c r="EB200" s="152">
        <v>0</v>
      </c>
      <c r="EC200" s="52">
        <f t="shared" si="150"/>
        <v>0</v>
      </c>
      <c r="ED200" s="52">
        <f t="shared" si="150"/>
        <v>0</v>
      </c>
      <c r="EE200" s="52">
        <f t="shared" si="150"/>
        <v>0</v>
      </c>
      <c r="EF200" s="52">
        <f t="shared" si="150"/>
        <v>0</v>
      </c>
      <c r="EG200" s="52">
        <f t="shared" si="151"/>
        <v>0</v>
      </c>
      <c r="EH200" s="238">
        <v>0</v>
      </c>
      <c r="EI200" s="211">
        <v>0</v>
      </c>
      <c r="EJ200" s="211">
        <v>0</v>
      </c>
      <c r="EK200" s="211">
        <v>0</v>
      </c>
      <c r="EL200" s="217">
        <f>IF(C200&gt;=Summary!$E$26,MAX(0,SUM(EH200:EK200)),0)</f>
        <v>0</v>
      </c>
      <c r="EM200" s="52">
        <f>IF(C200&gt;=Summary!$E$26,DX200*BL200,0)</f>
        <v>0</v>
      </c>
      <c r="EN200" s="52">
        <f>IF(C200&gt;=Summary!$E$26,DY200*BM200,0)</f>
        <v>0</v>
      </c>
      <c r="EO200" s="52">
        <f>IF(C200&gt;=Summary!$E$26,DZ200*BN200,0)</f>
        <v>0</v>
      </c>
      <c r="EP200" s="52">
        <f>IF(C200&gt;=Summary!$E$26,EA200*BO200,0)</f>
        <v>0</v>
      </c>
      <c r="EQ200" s="52">
        <f>IF(C200&gt;=Summary!$E$26,DX200*BL200+DY200*BM200+DZ200*BN200+EA200*BO200,0)</f>
        <v>0</v>
      </c>
      <c r="ER200" s="826">
        <v>0</v>
      </c>
      <c r="ES200" s="278">
        <v>0</v>
      </c>
      <c r="ET200" s="278">
        <v>0</v>
      </c>
      <c r="EU200" s="278">
        <v>0</v>
      </c>
      <c r="EV200" s="212">
        <f>IF(C200&gt;=Summary!$E$26,MAX(0,SUM(ER200:EU200)),0)</f>
        <v>0</v>
      </c>
      <c r="EW200" s="52"/>
      <c r="EX200" s="1049">
        <f t="shared" si="152"/>
        <v>0</v>
      </c>
      <c r="EY200" s="1045" t="str">
        <f t="shared" si="153"/>
        <v/>
      </c>
      <c r="EZ200" s="1684" t="s">
        <v>525</v>
      </c>
      <c r="FA200" s="1046">
        <f t="shared" si="166"/>
        <v>45</v>
      </c>
      <c r="FB200" s="256">
        <f t="shared" si="154"/>
        <v>9751.5</v>
      </c>
      <c r="FC200" s="194">
        <f t="shared" si="155"/>
        <v>2925.45</v>
      </c>
      <c r="FD200" s="194">
        <f t="shared" si="156"/>
        <v>1773</v>
      </c>
      <c r="FE200" s="194">
        <f t="shared" si="157"/>
        <v>531.9</v>
      </c>
      <c r="FF200" s="194">
        <f t="shared" si="158"/>
        <v>1773</v>
      </c>
      <c r="FG200" s="194">
        <f t="shared" si="159"/>
        <v>531.9</v>
      </c>
      <c r="FH200" s="257">
        <f>IF(EZ200="No",IF((OR(MONTH(C200)=5,MONTH(C200)=6,MONTH(C200)=7,MONTH(C200)=8,MONTH(C200)=9)),Summary!$O$15*12*(AX200+AY200+AZ200+BA200)*(1-$BC200),Summary!$O$15*13*(AX200+AY200+AZ200+BA200)*(1-$BC200)+IF(Summary!$O$16="Yes",(CALC!FA200+Summary!$O$15)*6*(AX200+AY200+AZ200+BA200)*(1-$BC200),0)),0)</f>
        <v>0</v>
      </c>
      <c r="FI200" s="1412">
        <f>IF(MONTH(C200)=5,FI199*(IF(Summary!$E$70="no",(1+(Summary!$E$71*0.8)),1+HLOOKUP(YEAR(C200)-1,CCFMODEL!$I$127:$AF$128,2)*0.8)),+FI199)</f>
        <v>37.968463365561441</v>
      </c>
      <c r="FJ200" s="1411">
        <f>IF(MONTH(C200)=5,FJ199*(IF(Summary!$E$70="no",(1+(Summary!$E$71*0.8)),1+HLOOKUP(YEAR(CALC!C200)-1,CCFMODEL!$I$127:$AF$128,2)*0.8)),FJ199)</f>
        <v>33.185034910057638</v>
      </c>
      <c r="FK200" s="832">
        <f t="shared" si="127"/>
        <v>656351.33408461919</v>
      </c>
      <c r="FL200" s="1412">
        <f>IF(MONTH(C200)=5,FL199*(IF(Summary!$E$70="no",(1+(Summary!$E$71*0.8)),1+HLOOKUP(YEAR(CALC!C200)-1,CCFMODEL!$I$127:$AF$128,2)*0.8)),+FL199)</f>
        <v>79.85193513964532</v>
      </c>
      <c r="FM200" s="1411">
        <f>IF(MONTH(C200)=5,FM199*(IF(Summary!$E$70="no",(1+(Summary!$E$71*0.8)),1+HLOOKUP(YEAR(CALC!C200)-1,CCFMODEL!$I$127:$AF$128,2)*0.8)),+FM199)</f>
        <v>38.110827307689526</v>
      </c>
      <c r="FN200" s="832">
        <f t="shared" si="128"/>
        <v>668845.01924995123</v>
      </c>
      <c r="FO200" s="194">
        <f t="shared" si="160"/>
        <v>1325196.3533345703</v>
      </c>
      <c r="FP200" s="263">
        <f t="shared" si="177"/>
        <v>9751.5</v>
      </c>
      <c r="FQ200" s="194">
        <f t="shared" si="178"/>
        <v>2925.45</v>
      </c>
      <c r="FR200" s="194">
        <f t="shared" si="179"/>
        <v>1773</v>
      </c>
      <c r="FS200" s="194">
        <f t="shared" si="176"/>
        <v>531.9</v>
      </c>
      <c r="FT200" s="194">
        <f t="shared" si="176"/>
        <v>1773</v>
      </c>
      <c r="FU200" s="194">
        <f t="shared" si="176"/>
        <v>531.9</v>
      </c>
      <c r="FV200" s="257">
        <f t="shared" si="176"/>
        <v>0</v>
      </c>
      <c r="FW200" s="189">
        <f t="shared" si="129"/>
        <v>0</v>
      </c>
      <c r="FX200" s="189">
        <f t="shared" si="130"/>
        <v>0</v>
      </c>
      <c r="FY200" s="189">
        <f t="shared" si="131"/>
        <v>0</v>
      </c>
      <c r="FZ200" s="258">
        <f t="shared" si="132"/>
        <v>0</v>
      </c>
      <c r="GA200" s="1294">
        <f>(SUM(FP200:FV200)+SUM(GU200:HB200)/(1-Summary!$O$25))*CY200/1000</f>
        <v>229366.90605743998</v>
      </c>
      <c r="GB200" s="1369">
        <f>IF($C200&lt;Summary!$M$81,+Summary!$O$81,VLOOKUP(C200,GasTable,19))</f>
        <v>3.3215281335893314</v>
      </c>
      <c r="GC200" s="1370">
        <f>IF(H200&lt;=Summary!$N$84,MIN(GA200,Summary!$O$75*(H200-G200+1)),0)</f>
        <v>0</v>
      </c>
      <c r="GD200" s="1371">
        <f>IF(C200&lt;Summary!$N$84,IF(Summary!$O$75*(H200-G200+1)*0.8&gt;GC200,1,0),0)</f>
        <v>0</v>
      </c>
      <c r="GE200" s="1372">
        <v>0</v>
      </c>
      <c r="GF200" s="1370">
        <f t="shared" si="161"/>
        <v>229366.90605743998</v>
      </c>
      <c r="GG200" s="1371">
        <f>GF200*(IF(Summary!$O$74=1,VLOOKUP($C200,GasTable,16)+Summary!$O$92+Summary!$O$93,VLOOKUP($C200,GasTable,19)+Summary!$O$92+Summary!$O$93))</f>
        <v>773798.64718972077</v>
      </c>
      <c r="GH200" s="1373">
        <v>4982.2922003839967</v>
      </c>
      <c r="GI200" s="1466">
        <v>0</v>
      </c>
      <c r="GJ200" s="1374">
        <f t="shared" si="162"/>
        <v>778780.93939010473</v>
      </c>
      <c r="GK200" s="189">
        <f t="shared" si="133"/>
        <v>29092.270500000002</v>
      </c>
      <c r="GL200" s="266">
        <v>0.5205741344</v>
      </c>
      <c r="GM200" s="255">
        <f t="shared" si="134"/>
        <v>0</v>
      </c>
      <c r="GN200" s="189">
        <f>IF(SUM(GU200:HB200)=0,0,IF(Summary!$O$16="Yes",SUM(GX200:HB200),IF(Summary!$O$17="Yes",SUM(GY200:HB200),SUM(GU200:HB200))))</f>
        <v>11805.520499999999</v>
      </c>
      <c r="GO200" s="203">
        <v>3.7072232698888055</v>
      </c>
      <c r="GP200" s="258">
        <f t="shared" si="163"/>
        <v>43765.700310749322</v>
      </c>
      <c r="GQ200" s="189"/>
      <c r="GR200" s="189"/>
      <c r="GS200" s="189"/>
      <c r="GT200" s="189"/>
      <c r="GU200" s="268">
        <v>5646.1184999999996</v>
      </c>
      <c r="GV200" s="189">
        <v>1026.5670000000002</v>
      </c>
      <c r="GW200" s="189">
        <v>1026.5670000000002</v>
      </c>
      <c r="GX200" s="189"/>
      <c r="GY200" s="254">
        <v>3011.2631999999999</v>
      </c>
      <c r="GZ200" s="189">
        <v>547.50239999999997</v>
      </c>
      <c r="HA200" s="189">
        <v>547.50239999999997</v>
      </c>
      <c r="HB200" s="255"/>
      <c r="HC200" s="189">
        <v>11805.520499999999</v>
      </c>
      <c r="HD200" s="189"/>
      <c r="HE200" s="189">
        <v>20274.698249999998</v>
      </c>
      <c r="HF200" s="189">
        <v>470856.66214473831</v>
      </c>
      <c r="HG200" s="189"/>
      <c r="HH200" s="203">
        <v>39.16375064243126</v>
      </c>
      <c r="HI200" s="189">
        <v>794033.22661353741</v>
      </c>
      <c r="HJ200" s="268">
        <f t="shared" si="135"/>
        <v>0</v>
      </c>
      <c r="HK200" s="189">
        <f t="shared" si="136"/>
        <v>0</v>
      </c>
      <c r="HL200" s="189">
        <f t="shared" si="137"/>
        <v>0</v>
      </c>
      <c r="HM200" s="255">
        <f t="shared" si="138"/>
        <v>0</v>
      </c>
      <c r="HN200" s="189">
        <f t="shared" si="139"/>
        <v>0</v>
      </c>
      <c r="HO200" s="203">
        <f t="shared" si="164"/>
        <v>0</v>
      </c>
      <c r="HP200" s="258">
        <f t="shared" si="140"/>
        <v>0</v>
      </c>
      <c r="HQ200" s="804"/>
      <c r="HR200" s="268"/>
      <c r="HS200" s="1408"/>
      <c r="HT200" s="255"/>
      <c r="HU200" s="268"/>
      <c r="HV200" s="1408"/>
      <c r="HW200" s="255"/>
      <c r="HX200" s="1408"/>
      <c r="HY200" s="1408"/>
      <c r="HZ200"/>
      <c r="IA200" s="203"/>
      <c r="IB200" s="203"/>
      <c r="IC200" s="203"/>
      <c r="ID200" s="203"/>
      <c r="IE200" s="203"/>
      <c r="IF200" s="203"/>
      <c r="IG200" s="203"/>
      <c r="IH200" s="203"/>
      <c r="II200" s="203"/>
      <c r="IJ200" s="203"/>
      <c r="IK200" s="203"/>
      <c r="IL200" s="821"/>
      <c r="IM200" s="820"/>
      <c r="IN200" s="820"/>
      <c r="IR200" s="223"/>
    </row>
    <row r="201" spans="1:252" ht="13.8" thickBot="1">
      <c r="A201" t="str">
        <f t="shared" si="141"/>
        <v>2015Q2</v>
      </c>
      <c r="B201">
        <f t="shared" si="142"/>
        <v>2015</v>
      </c>
      <c r="C201" s="49">
        <f t="shared" si="143"/>
        <v>42125</v>
      </c>
      <c r="D201" s="115">
        <f t="shared" si="144"/>
        <v>2015</v>
      </c>
      <c r="E201" s="10">
        <f t="shared" si="167"/>
        <v>5</v>
      </c>
      <c r="F201" s="248">
        <f t="shared" si="168"/>
        <v>42149</v>
      </c>
      <c r="G201" s="245">
        <v>42125</v>
      </c>
      <c r="H201" s="251">
        <v>42155</v>
      </c>
      <c r="I201" s="959">
        <f t="shared" si="165"/>
        <v>7.1499999999999994E-2</v>
      </c>
      <c r="J201" s="37">
        <f t="shared" si="145"/>
        <v>0.33628729948589736</v>
      </c>
      <c r="K201" s="1036"/>
      <c r="L201" s="37"/>
      <c r="M201" s="1004">
        <v>0</v>
      </c>
      <c r="N201" s="38">
        <f t="shared" si="181"/>
        <v>0</v>
      </c>
      <c r="O201" s="40">
        <f t="shared" si="181"/>
        <v>0</v>
      </c>
      <c r="P201" s="159">
        <f t="shared" si="172"/>
        <v>0</v>
      </c>
      <c r="Q201" s="38">
        <f t="shared" si="183"/>
        <v>0</v>
      </c>
      <c r="R201" s="40">
        <f t="shared" si="183"/>
        <v>0</v>
      </c>
      <c r="S201" s="38">
        <f t="shared" si="183"/>
        <v>0</v>
      </c>
      <c r="T201" s="38">
        <f t="shared" si="183"/>
        <v>0</v>
      </c>
      <c r="U201" s="38">
        <f t="shared" si="183"/>
        <v>0</v>
      </c>
      <c r="V201" s="159">
        <f t="shared" si="183"/>
        <v>0</v>
      </c>
      <c r="W201" s="38">
        <f t="shared" si="183"/>
        <v>0</v>
      </c>
      <c r="X201" s="39">
        <f t="shared" si="183"/>
        <v>0</v>
      </c>
      <c r="Y201" s="46">
        <v>0</v>
      </c>
      <c r="Z201" s="46">
        <v>0</v>
      </c>
      <c r="AA201" s="47">
        <v>0</v>
      </c>
      <c r="AB201" s="46">
        <v>0</v>
      </c>
      <c r="AC201" s="46">
        <v>0</v>
      </c>
      <c r="AD201" s="47">
        <v>0</v>
      </c>
      <c r="AE201" s="46">
        <v>0</v>
      </c>
      <c r="AF201" s="46">
        <v>0</v>
      </c>
      <c r="AG201" s="47">
        <v>0</v>
      </c>
      <c r="AH201" s="46">
        <v>0</v>
      </c>
      <c r="AI201" s="46">
        <v>0</v>
      </c>
      <c r="AJ201" s="47">
        <v>0</v>
      </c>
      <c r="AK201" s="46">
        <v>0</v>
      </c>
      <c r="AL201" s="46">
        <v>0</v>
      </c>
      <c r="AM201" s="47">
        <v>0</v>
      </c>
      <c r="AN201" s="46">
        <v>0</v>
      </c>
      <c r="AO201" s="46">
        <v>0</v>
      </c>
      <c r="AP201" s="47">
        <v>0</v>
      </c>
      <c r="AQ201" s="46">
        <v>0</v>
      </c>
      <c r="AR201" s="46">
        <v>0</v>
      </c>
      <c r="AS201" s="47">
        <v>0</v>
      </c>
      <c r="AT201" s="46">
        <v>0</v>
      </c>
      <c r="AU201" s="46">
        <v>0</v>
      </c>
      <c r="AV201" s="46">
        <v>0</v>
      </c>
      <c r="AW201" s="1545">
        <v>0</v>
      </c>
      <c r="AX201" s="10">
        <f t="shared" si="169"/>
        <v>20</v>
      </c>
      <c r="AY201" s="42">
        <f>IF(AND($E201=MONTH(Summary!$E$24),$D201=YEAR(Summary!$E$24)),Summary!$E$25,1)*IF(G201="",0,INT((H201-MOD(H201,7)-G201)/7)+1-IF(BA201,IF(WEEKDAY(F201)=7,1,0),0))</f>
        <v>5</v>
      </c>
      <c r="AZ201" s="42">
        <f>IF(AND($E201=MONTH(Summary!$E$24),$D201=YEAR(Summary!$E$24)),Summary!$E$25,1)*IF(G201="",0,INT((H201-MOD(H201-1,7)-G201)/7)+1-IF(BA201,IF(WEEKDAY(F201)=1,1,0),0))</f>
        <v>5</v>
      </c>
      <c r="BA201" s="42">
        <v>1</v>
      </c>
      <c r="BB201" s="10">
        <f>IF(AND($E201=MONTH(Summary!$E$24),$D201=YEAR(Summary!$E$24)),Summary!$E$25,1)*IF(G201="",0,H201-G201+1)</f>
        <v>31</v>
      </c>
      <c r="BC201" s="914">
        <f>Summary!$E$19</f>
        <v>1.4999999999999999E-2</v>
      </c>
      <c r="BD201" s="113">
        <v>14184</v>
      </c>
      <c r="BE201" s="171">
        <v>3546</v>
      </c>
      <c r="BF201" s="171">
        <v>4255.2</v>
      </c>
      <c r="BG201" s="174"/>
      <c r="BH201" s="1198">
        <v>1</v>
      </c>
      <c r="BI201" s="1198">
        <v>1</v>
      </c>
      <c r="BJ201" s="1198">
        <v>1</v>
      </c>
      <c r="BK201" s="1198">
        <v>1</v>
      </c>
      <c r="BL201" s="95">
        <v>2836.8</v>
      </c>
      <c r="BM201" s="171">
        <v>709.2</v>
      </c>
      <c r="BN201" s="171">
        <v>851.04</v>
      </c>
      <c r="BO201" s="174"/>
      <c r="BP201" s="1198">
        <v>1</v>
      </c>
      <c r="BQ201" s="1199">
        <v>1</v>
      </c>
      <c r="BR201" s="1199">
        <v>1</v>
      </c>
      <c r="BS201" s="1200">
        <v>1</v>
      </c>
      <c r="BT201" s="94">
        <f t="shared" si="146"/>
        <v>21985.200000000001</v>
      </c>
      <c r="BU201" s="233">
        <f t="shared" si="147"/>
        <v>21985.200000000001</v>
      </c>
      <c r="BV201" s="92">
        <f t="shared" si="148"/>
        <v>4397.04</v>
      </c>
      <c r="BW201" s="233">
        <f t="shared" si="149"/>
        <v>4397.04</v>
      </c>
      <c r="BX201" s="88">
        <v>15.375770020533881</v>
      </c>
      <c r="BY201" s="90">
        <v>0</v>
      </c>
      <c r="BZ201" s="88">
        <v>0</v>
      </c>
      <c r="CA201" s="88">
        <v>0</v>
      </c>
      <c r="CB201" s="88">
        <v>0</v>
      </c>
      <c r="CC201" s="88">
        <v>0</v>
      </c>
      <c r="CD201" s="88">
        <v>0</v>
      </c>
      <c r="CE201" s="100">
        <v>0</v>
      </c>
      <c r="CF201" s="88">
        <v>0</v>
      </c>
      <c r="CG201" s="88">
        <v>0</v>
      </c>
      <c r="CH201" s="88">
        <v>0</v>
      </c>
      <c r="CI201" s="88">
        <v>0</v>
      </c>
      <c r="CJ201" s="228">
        <v>0</v>
      </c>
      <c r="CK201" s="88">
        <v>0</v>
      </c>
      <c r="CL201" s="88">
        <v>0</v>
      </c>
      <c r="CM201" s="88">
        <v>0</v>
      </c>
      <c r="CN201" s="88">
        <v>0</v>
      </c>
      <c r="CO201" s="88">
        <v>0</v>
      </c>
      <c r="CP201" s="88">
        <v>0</v>
      </c>
      <c r="CQ201" s="229">
        <v>0</v>
      </c>
      <c r="CR201" s="91">
        <v>0</v>
      </c>
      <c r="CS201" s="91">
        <v>0</v>
      </c>
      <c r="CT201" s="91">
        <v>0</v>
      </c>
      <c r="CU201" s="91">
        <v>0</v>
      </c>
      <c r="CV201" s="91">
        <v>0</v>
      </c>
      <c r="CW201" s="91">
        <v>0</v>
      </c>
      <c r="CX201" s="225">
        <v>0</v>
      </c>
      <c r="CY201" s="1265">
        <v>7771.0660800000005</v>
      </c>
      <c r="CZ201" s="90">
        <v>0</v>
      </c>
      <c r="DA201" s="88">
        <v>0</v>
      </c>
      <c r="DB201" s="88">
        <v>0</v>
      </c>
      <c r="DC201" s="88">
        <v>0</v>
      </c>
      <c r="DD201" s="88">
        <v>0</v>
      </c>
      <c r="DE201" s="152">
        <v>0</v>
      </c>
      <c r="DF201" s="230">
        <v>0</v>
      </c>
      <c r="DG201" s="38">
        <v>0</v>
      </c>
      <c r="DH201" s="1237">
        <v>0</v>
      </c>
      <c r="DI201" s="956">
        <v>0</v>
      </c>
      <c r="DJ201" s="956">
        <v>0</v>
      </c>
      <c r="DK201" s="956">
        <v>0</v>
      </c>
      <c r="DL201" s="152">
        <v>0</v>
      </c>
      <c r="DM201" s="160">
        <v>0</v>
      </c>
      <c r="DN201" s="160">
        <v>0</v>
      </c>
      <c r="DO201" s="160">
        <v>0</v>
      </c>
      <c r="DP201" s="160">
        <v>0</v>
      </c>
      <c r="DQ201" s="160">
        <v>0</v>
      </c>
      <c r="DR201" s="230">
        <v>0</v>
      </c>
      <c r="DS201" s="88">
        <v>0</v>
      </c>
      <c r="DT201" s="88">
        <v>0</v>
      </c>
      <c r="DU201" s="88">
        <v>0</v>
      </c>
      <c r="DV201" s="88">
        <v>0</v>
      </c>
      <c r="DW201" s="88">
        <v>0</v>
      </c>
      <c r="DX201" s="88">
        <v>0</v>
      </c>
      <c r="DY201" s="88">
        <v>0</v>
      </c>
      <c r="DZ201" s="88">
        <v>0</v>
      </c>
      <c r="EA201" s="88">
        <v>0</v>
      </c>
      <c r="EB201" s="152">
        <v>0</v>
      </c>
      <c r="EC201" s="52">
        <f t="shared" si="150"/>
        <v>0</v>
      </c>
      <c r="ED201" s="52">
        <f t="shared" si="150"/>
        <v>0</v>
      </c>
      <c r="EE201" s="52">
        <f t="shared" si="150"/>
        <v>0</v>
      </c>
      <c r="EF201" s="52">
        <f t="shared" si="150"/>
        <v>0</v>
      </c>
      <c r="EG201" s="52">
        <f t="shared" si="151"/>
        <v>0</v>
      </c>
      <c r="EH201" s="238">
        <v>0</v>
      </c>
      <c r="EI201" s="211">
        <v>0</v>
      </c>
      <c r="EJ201" s="211">
        <v>0</v>
      </c>
      <c r="EK201" s="211">
        <v>0</v>
      </c>
      <c r="EL201" s="217">
        <f>IF(C201&gt;=Summary!$E$26,MAX(0,SUM(EH201:EK201)),0)</f>
        <v>0</v>
      </c>
      <c r="EM201" s="52">
        <f>IF(C201&gt;=Summary!$E$26,DX201*BL201,0)</f>
        <v>0</v>
      </c>
      <c r="EN201" s="52">
        <f>IF(C201&gt;=Summary!$E$26,DY201*BM201,0)</f>
        <v>0</v>
      </c>
      <c r="EO201" s="52">
        <f>IF(C201&gt;=Summary!$E$26,DZ201*BN201,0)</f>
        <v>0</v>
      </c>
      <c r="EP201" s="52">
        <f>IF(C201&gt;=Summary!$E$26,EA201*BO201,0)</f>
        <v>0</v>
      </c>
      <c r="EQ201" s="52">
        <f>IF(C201&gt;=Summary!$E$26,DX201*BL201+DY201*BM201+DZ201*BN201+EA201*BO201,0)</f>
        <v>0</v>
      </c>
      <c r="ER201" s="826">
        <v>0</v>
      </c>
      <c r="ES201" s="278">
        <v>0</v>
      </c>
      <c r="ET201" s="278">
        <v>0</v>
      </c>
      <c r="EU201" s="278">
        <v>0</v>
      </c>
      <c r="EV201" s="212">
        <f>IF(C201&gt;=Summary!$E$26,MAX(0,SUM(ER201:EU201)),0)</f>
        <v>0</v>
      </c>
      <c r="EW201" s="52"/>
      <c r="EX201" s="1049">
        <f t="shared" si="152"/>
        <v>0</v>
      </c>
      <c r="EY201" s="1045" t="str">
        <f t="shared" si="153"/>
        <v/>
      </c>
      <c r="EZ201" s="1684" t="s">
        <v>525</v>
      </c>
      <c r="FA201" s="1046">
        <f t="shared" si="166"/>
        <v>45</v>
      </c>
      <c r="FB201" s="256">
        <f t="shared" si="154"/>
        <v>10638</v>
      </c>
      <c r="FC201" s="194">
        <f t="shared" si="155"/>
        <v>0</v>
      </c>
      <c r="FD201" s="194">
        <f t="shared" si="156"/>
        <v>2659.5</v>
      </c>
      <c r="FE201" s="194">
        <f t="shared" si="157"/>
        <v>0</v>
      </c>
      <c r="FF201" s="194">
        <f t="shared" si="158"/>
        <v>3191.4</v>
      </c>
      <c r="FG201" s="194">
        <f t="shared" si="159"/>
        <v>0</v>
      </c>
      <c r="FH201" s="257">
        <f>IF(EZ201="No",IF((OR(MONTH(C201)=5,MONTH(C201)=6,MONTH(C201)=7,MONTH(C201)=8,MONTH(C201)=9)),Summary!$O$15*12*(AX201+AY201+AZ201+BA201)*(1-$BC201),Summary!$O$15*13*(AX201+AY201+AZ201+BA201)*(1-$BC201)+IF(Summary!$O$16="Yes",(CALC!FA201+Summary!$O$15)*6*(AX201+AY201+AZ201+BA201)*(1-$BC201),0)),0)</f>
        <v>0</v>
      </c>
      <c r="FI201" s="1412">
        <f>IF(MONTH(C201)=5,FI200*(IF(Summary!$E$70="no",(1+(Summary!$E$71*0.8)),1+HLOOKUP(YEAR(C201)-1,CCFMODEL!$I$127:$AF$128,2)*0.8)),+FI200)</f>
        <v>38.879706486334918</v>
      </c>
      <c r="FJ201" s="1411">
        <f>IF(MONTH(C201)=5,FJ200*(IF(Summary!$E$70="no",(1+(Summary!$E$71*0.8)),1+HLOOKUP(YEAR(CALC!C201)-1,CCFMODEL!$I$127:$AF$128,2)*0.8)),FJ200)</f>
        <v>33.981475747899019</v>
      </c>
      <c r="FK201" s="832">
        <f t="shared" si="127"/>
        <v>641083.59228252782</v>
      </c>
      <c r="FL201" s="1412">
        <f>IF(MONTH(C201)=5,FL200*(IF(Summary!$E$70="no",(1+(Summary!$E$71*0.8)),1+HLOOKUP(YEAR(CALC!C201)-1,CCFMODEL!$I$127:$AF$128,2)*0.8)),+FL200)</f>
        <v>81.76838158299681</v>
      </c>
      <c r="FM201" s="1411">
        <f>IF(MONTH(C201)=5,FM200*(IF(Summary!$E$70="no",(1+(Summary!$E$71*0.8)),1+HLOOKUP(YEAR(CALC!C201)-1,CCFMODEL!$I$127:$AF$128,2)*0.8)),+FM200)</f>
        <v>39.025487163074075</v>
      </c>
      <c r="FN201" s="832">
        <f t="shared" si="128"/>
        <v>1368802.7076993666</v>
      </c>
      <c r="FO201" s="194">
        <f t="shared" si="160"/>
        <v>2009886.2999818944</v>
      </c>
      <c r="FP201" s="263">
        <f t="shared" si="177"/>
        <v>10638</v>
      </c>
      <c r="FQ201" s="194">
        <f t="shared" si="178"/>
        <v>0</v>
      </c>
      <c r="FR201" s="194">
        <f t="shared" si="179"/>
        <v>2659.5</v>
      </c>
      <c r="FS201" s="194">
        <f t="shared" si="176"/>
        <v>0</v>
      </c>
      <c r="FT201" s="194">
        <f t="shared" si="176"/>
        <v>3191.4</v>
      </c>
      <c r="FU201" s="194">
        <f t="shared" si="176"/>
        <v>0</v>
      </c>
      <c r="FV201" s="257">
        <f t="shared" si="176"/>
        <v>0</v>
      </c>
      <c r="FW201" s="189">
        <f t="shared" si="129"/>
        <v>0</v>
      </c>
      <c r="FX201" s="189">
        <f t="shared" si="130"/>
        <v>0</v>
      </c>
      <c r="FY201" s="189">
        <f t="shared" si="131"/>
        <v>0</v>
      </c>
      <c r="FZ201" s="258">
        <f t="shared" si="132"/>
        <v>0</v>
      </c>
      <c r="GA201" s="1294">
        <f>(SUM(FP201:FV201)+SUM(GU201:HB201)/(1-Summary!$O$25))*CY201/1000</f>
        <v>205018.13037841924</v>
      </c>
      <c r="GB201" s="1369">
        <f>IF($C201&lt;Summary!$M$81,+Summary!$O$81,VLOOKUP(C201,GasTable,19))</f>
        <v>3.2964781958681941</v>
      </c>
      <c r="GC201" s="1370">
        <f>IF(H201&lt;=Summary!$N$84,MIN(GA201,Summary!$O$75*(H201-G201+1)),0)</f>
        <v>0</v>
      </c>
      <c r="GD201" s="1371">
        <f>IF(C201&lt;Summary!$N$84,IF(Summary!$O$75*(H201-G201+1)*0.8&gt;GC201,1,0),0)</f>
        <v>0</v>
      </c>
      <c r="GE201" s="1372">
        <v>0</v>
      </c>
      <c r="GF201" s="1370">
        <f t="shared" si="161"/>
        <v>205018.13037841924</v>
      </c>
      <c r="GG201" s="1371">
        <f>GF201*(IF(Summary!$O$74=1,VLOOKUP($C201,GasTable,16)+Summary!$O$92+Summary!$O$93,VLOOKUP($C201,GasTable,19)+Summary!$O$92+Summary!$O$93))</f>
        <v>686519.24114283733</v>
      </c>
      <c r="GH201" s="1373">
        <v>5109.5412035957006</v>
      </c>
      <c r="GI201" s="1466">
        <v>0</v>
      </c>
      <c r="GJ201" s="1374">
        <f t="shared" si="162"/>
        <v>691628.78234643303</v>
      </c>
      <c r="GK201" s="189">
        <f t="shared" si="133"/>
        <v>26035.973099999999</v>
      </c>
      <c r="GL201" s="266">
        <v>0.5206614273600001</v>
      </c>
      <c r="GM201" s="255">
        <f t="shared" si="134"/>
        <v>0</v>
      </c>
      <c r="GN201" s="189">
        <f>IF(SUM(GU201:HB201)=0,0,IF(Summary!$O$16="Yes",SUM(GX201:HB201),IF(Summary!$O$17="Yes",SUM(GY201:HB201),SUM(GU201:HB201))))</f>
        <v>9547.0731000000014</v>
      </c>
      <c r="GO201" s="203">
        <v>3.7072232698888055</v>
      </c>
      <c r="GP201" s="258">
        <f t="shared" si="163"/>
        <v>35393.131555649459</v>
      </c>
      <c r="GQ201" s="189"/>
      <c r="GR201" s="189"/>
      <c r="GS201" s="189"/>
      <c r="GT201" s="189"/>
      <c r="GU201" s="268">
        <v>3421.89</v>
      </c>
      <c r="GV201" s="189">
        <v>855.47249999999997</v>
      </c>
      <c r="GW201" s="189">
        <v>1026.5669999999998</v>
      </c>
      <c r="GX201" s="189"/>
      <c r="GY201" s="254">
        <v>2737.5120000000002</v>
      </c>
      <c r="GZ201" s="189">
        <v>684.37800000000004</v>
      </c>
      <c r="HA201" s="189">
        <v>821.25359999999989</v>
      </c>
      <c r="HB201" s="255"/>
      <c r="HC201" s="189">
        <v>9547.0731000000014</v>
      </c>
      <c r="HD201" s="189"/>
      <c r="HE201" s="189">
        <v>22276.503900000003</v>
      </c>
      <c r="HF201" s="189">
        <v>389614.76986561815</v>
      </c>
      <c r="HG201" s="189"/>
      <c r="HH201" s="203">
        <v>41.348336272343623</v>
      </c>
      <c r="HI201" s="189">
        <v>921096.37422937434</v>
      </c>
      <c r="HJ201" s="268">
        <f t="shared" si="135"/>
        <v>0</v>
      </c>
      <c r="HK201" s="189">
        <f t="shared" si="136"/>
        <v>0</v>
      </c>
      <c r="HL201" s="189">
        <f t="shared" si="137"/>
        <v>0</v>
      </c>
      <c r="HM201" s="255">
        <f t="shared" si="138"/>
        <v>0</v>
      </c>
      <c r="HN201" s="189">
        <f t="shared" si="139"/>
        <v>0</v>
      </c>
      <c r="HO201" s="203">
        <f t="shared" si="164"/>
        <v>0</v>
      </c>
      <c r="HP201" s="258">
        <f t="shared" si="140"/>
        <v>0</v>
      </c>
      <c r="HQ201" s="804"/>
      <c r="HR201" s="268"/>
      <c r="HS201" s="1408"/>
      <c r="HT201" s="255"/>
      <c r="HU201" s="268"/>
      <c r="HV201" s="1408"/>
      <c r="HW201" s="255"/>
      <c r="HX201" s="1408"/>
      <c r="HY201" s="1408"/>
      <c r="HZ201"/>
      <c r="IA201" s="203"/>
      <c r="IB201" s="203"/>
      <c r="IC201" s="203"/>
      <c r="ID201" s="203"/>
      <c r="IE201" s="203"/>
      <c r="IF201" s="203"/>
      <c r="IG201" s="203"/>
      <c r="IH201" s="203"/>
      <c r="II201" s="203"/>
      <c r="IJ201" s="203"/>
      <c r="IK201" s="203"/>
      <c r="IL201" s="821"/>
      <c r="IM201" s="820"/>
      <c r="IN201" s="820"/>
      <c r="IR201" s="223"/>
    </row>
    <row r="202" spans="1:252" ht="13.8" thickBot="1">
      <c r="A202" t="str">
        <f t="shared" si="141"/>
        <v>2015Q2</v>
      </c>
      <c r="B202">
        <f t="shared" si="142"/>
        <v>2015</v>
      </c>
      <c r="C202" s="49">
        <f t="shared" si="143"/>
        <v>42156</v>
      </c>
      <c r="D202" s="115">
        <f t="shared" si="144"/>
        <v>2015</v>
      </c>
      <c r="E202" s="10">
        <f t="shared" si="167"/>
        <v>6</v>
      </c>
      <c r="F202" s="248" t="str">
        <f t="shared" si="168"/>
        <v/>
      </c>
      <c r="G202" s="245">
        <v>42156</v>
      </c>
      <c r="H202" s="251">
        <v>42185</v>
      </c>
      <c r="I202" s="959">
        <f t="shared" si="165"/>
        <v>7.1499999999999994E-2</v>
      </c>
      <c r="J202" s="37">
        <f t="shared" si="145"/>
        <v>0.33435245809269681</v>
      </c>
      <c r="K202" s="1036"/>
      <c r="L202" s="37"/>
      <c r="M202" s="1004">
        <v>0</v>
      </c>
      <c r="N202" s="38">
        <f t="shared" si="181"/>
        <v>0</v>
      </c>
      <c r="O202" s="40">
        <f t="shared" si="181"/>
        <v>0</v>
      </c>
      <c r="P202" s="159">
        <f t="shared" si="172"/>
        <v>0</v>
      </c>
      <c r="Q202" s="38">
        <f t="shared" si="183"/>
        <v>0</v>
      </c>
      <c r="R202" s="40">
        <f t="shared" si="183"/>
        <v>0</v>
      </c>
      <c r="S202" s="38">
        <f t="shared" si="183"/>
        <v>0</v>
      </c>
      <c r="T202" s="38">
        <f t="shared" si="183"/>
        <v>0</v>
      </c>
      <c r="U202" s="38">
        <f t="shared" si="183"/>
        <v>0</v>
      </c>
      <c r="V202" s="159">
        <f t="shared" si="183"/>
        <v>0</v>
      </c>
      <c r="W202" s="38">
        <f t="shared" si="183"/>
        <v>0</v>
      </c>
      <c r="X202" s="39">
        <f t="shared" si="183"/>
        <v>0</v>
      </c>
      <c r="Y202" s="46">
        <v>0</v>
      </c>
      <c r="Z202" s="46">
        <v>0</v>
      </c>
      <c r="AA202" s="47">
        <v>0</v>
      </c>
      <c r="AB202" s="46">
        <v>0</v>
      </c>
      <c r="AC202" s="46">
        <v>0</v>
      </c>
      <c r="AD202" s="47">
        <v>0</v>
      </c>
      <c r="AE202" s="46">
        <v>0</v>
      </c>
      <c r="AF202" s="46">
        <v>0</v>
      </c>
      <c r="AG202" s="47">
        <v>0</v>
      </c>
      <c r="AH202" s="46">
        <v>0</v>
      </c>
      <c r="AI202" s="46">
        <v>0</v>
      </c>
      <c r="AJ202" s="47">
        <v>0</v>
      </c>
      <c r="AK202" s="46">
        <v>0</v>
      </c>
      <c r="AL202" s="46">
        <v>0</v>
      </c>
      <c r="AM202" s="47">
        <v>0</v>
      </c>
      <c r="AN202" s="46">
        <v>0</v>
      </c>
      <c r="AO202" s="46">
        <v>0</v>
      </c>
      <c r="AP202" s="47">
        <v>0</v>
      </c>
      <c r="AQ202" s="46">
        <v>0</v>
      </c>
      <c r="AR202" s="46">
        <v>0</v>
      </c>
      <c r="AS202" s="47">
        <v>0</v>
      </c>
      <c r="AT202" s="46">
        <v>0</v>
      </c>
      <c r="AU202" s="46">
        <v>0</v>
      </c>
      <c r="AV202" s="46">
        <v>0</v>
      </c>
      <c r="AW202" s="1545">
        <v>0</v>
      </c>
      <c r="AX202" s="10">
        <f t="shared" si="169"/>
        <v>22</v>
      </c>
      <c r="AY202" s="42">
        <f>IF(AND($E202=MONTH(Summary!$E$24),$D202=YEAR(Summary!$E$24)),Summary!$E$25,1)*IF(G202="",0,INT((H202-MOD(H202,7)-G202)/7)+1-IF(BA202,IF(WEEKDAY(F202)=7,1,0),0))</f>
        <v>4</v>
      </c>
      <c r="AZ202" s="42">
        <f>IF(AND($E202=MONTH(Summary!$E$24),$D202=YEAR(Summary!$E$24)),Summary!$E$25,1)*IF(G202="",0,INT((H202-MOD(H202-1,7)-G202)/7)+1-IF(BA202,IF(WEEKDAY(F202)=1,1,0),0))</f>
        <v>4</v>
      </c>
      <c r="BA202" s="42">
        <v>0</v>
      </c>
      <c r="BB202" s="10">
        <f>IF(AND($E202=MONTH(Summary!$E$24),$D202=YEAR(Summary!$E$24)),Summary!$E$25,1)*IF(G202="",0,H202-G202+1)</f>
        <v>30</v>
      </c>
      <c r="BC202" s="914">
        <f>Summary!$E$19</f>
        <v>1.4999999999999999E-2</v>
      </c>
      <c r="BD202" s="113">
        <v>15602.4</v>
      </c>
      <c r="BE202" s="171">
        <v>2836.8</v>
      </c>
      <c r="BF202" s="171">
        <v>2836.8</v>
      </c>
      <c r="BG202" s="174"/>
      <c r="BH202" s="1198">
        <v>1</v>
      </c>
      <c r="BI202" s="1198">
        <v>1</v>
      </c>
      <c r="BJ202" s="1198">
        <v>1</v>
      </c>
      <c r="BK202" s="1198">
        <v>1</v>
      </c>
      <c r="BL202" s="95">
        <v>3120.48</v>
      </c>
      <c r="BM202" s="171">
        <v>567.36</v>
      </c>
      <c r="BN202" s="171">
        <v>567.36</v>
      </c>
      <c r="BO202" s="174"/>
      <c r="BP202" s="1198">
        <v>1</v>
      </c>
      <c r="BQ202" s="1199">
        <v>1</v>
      </c>
      <c r="BR202" s="1199">
        <v>1</v>
      </c>
      <c r="BS202" s="1200">
        <v>1</v>
      </c>
      <c r="BT202" s="94">
        <f t="shared" si="146"/>
        <v>21276</v>
      </c>
      <c r="BU202" s="233">
        <f t="shared" si="147"/>
        <v>21276</v>
      </c>
      <c r="BV202" s="92">
        <f t="shared" si="148"/>
        <v>4255.2</v>
      </c>
      <c r="BW202" s="233">
        <f t="shared" si="149"/>
        <v>4255.2</v>
      </c>
      <c r="BX202" s="88">
        <v>15.460643394934976</v>
      </c>
      <c r="BY202" s="90">
        <v>0</v>
      </c>
      <c r="BZ202" s="88">
        <v>0</v>
      </c>
      <c r="CA202" s="88">
        <v>0</v>
      </c>
      <c r="CB202" s="88">
        <v>0</v>
      </c>
      <c r="CC202" s="88">
        <v>0</v>
      </c>
      <c r="CD202" s="88">
        <v>0</v>
      </c>
      <c r="CE202" s="100">
        <v>0</v>
      </c>
      <c r="CF202" s="88">
        <v>0</v>
      </c>
      <c r="CG202" s="88">
        <v>0</v>
      </c>
      <c r="CH202" s="88">
        <v>0</v>
      </c>
      <c r="CI202" s="88">
        <v>0</v>
      </c>
      <c r="CJ202" s="228">
        <v>0</v>
      </c>
      <c r="CK202" s="88">
        <v>0</v>
      </c>
      <c r="CL202" s="88">
        <v>0</v>
      </c>
      <c r="CM202" s="88">
        <v>0</v>
      </c>
      <c r="CN202" s="88">
        <v>0</v>
      </c>
      <c r="CO202" s="88">
        <v>0</v>
      </c>
      <c r="CP202" s="88">
        <v>0</v>
      </c>
      <c r="CQ202" s="229">
        <v>0</v>
      </c>
      <c r="CR202" s="91">
        <v>0</v>
      </c>
      <c r="CS202" s="91">
        <v>0</v>
      </c>
      <c r="CT202" s="91">
        <v>0</v>
      </c>
      <c r="CU202" s="91">
        <v>0</v>
      </c>
      <c r="CV202" s="91">
        <v>0</v>
      </c>
      <c r="CW202" s="91">
        <v>0</v>
      </c>
      <c r="CX202" s="225">
        <v>0</v>
      </c>
      <c r="CY202" s="1265">
        <v>7772.3689600000007</v>
      </c>
      <c r="CZ202" s="90">
        <v>0</v>
      </c>
      <c r="DA202" s="88">
        <v>0</v>
      </c>
      <c r="DB202" s="88">
        <v>0</v>
      </c>
      <c r="DC202" s="88">
        <v>0</v>
      </c>
      <c r="DD202" s="88">
        <v>0</v>
      </c>
      <c r="DE202" s="152">
        <v>0</v>
      </c>
      <c r="DF202" s="230">
        <v>0</v>
      </c>
      <c r="DG202" s="38">
        <v>0</v>
      </c>
      <c r="DH202" s="1237">
        <v>0</v>
      </c>
      <c r="DI202" s="956">
        <v>0</v>
      </c>
      <c r="DJ202" s="956">
        <v>0</v>
      </c>
      <c r="DK202" s="956">
        <v>0</v>
      </c>
      <c r="DL202" s="152">
        <v>0</v>
      </c>
      <c r="DM202" s="160">
        <v>0</v>
      </c>
      <c r="DN202" s="160">
        <v>0</v>
      </c>
      <c r="DO202" s="160">
        <v>0</v>
      </c>
      <c r="DP202" s="160">
        <v>0</v>
      </c>
      <c r="DQ202" s="160">
        <v>0</v>
      </c>
      <c r="DR202" s="230">
        <v>0</v>
      </c>
      <c r="DS202" s="88">
        <v>0</v>
      </c>
      <c r="DT202" s="88">
        <v>0</v>
      </c>
      <c r="DU202" s="88">
        <v>0</v>
      </c>
      <c r="DV202" s="88">
        <v>0</v>
      </c>
      <c r="DW202" s="88">
        <v>0</v>
      </c>
      <c r="DX202" s="88">
        <v>0</v>
      </c>
      <c r="DY202" s="88">
        <v>0</v>
      </c>
      <c r="DZ202" s="88">
        <v>0</v>
      </c>
      <c r="EA202" s="88">
        <v>0</v>
      </c>
      <c r="EB202" s="152">
        <v>0</v>
      </c>
      <c r="EC202" s="52">
        <f t="shared" si="150"/>
        <v>0</v>
      </c>
      <c r="ED202" s="52">
        <f t="shared" si="150"/>
        <v>0</v>
      </c>
      <c r="EE202" s="52">
        <f t="shared" si="150"/>
        <v>0</v>
      </c>
      <c r="EF202" s="52">
        <f t="shared" si="150"/>
        <v>0</v>
      </c>
      <c r="EG202" s="52">
        <f t="shared" si="151"/>
        <v>0</v>
      </c>
      <c r="EH202" s="238">
        <v>0</v>
      </c>
      <c r="EI202" s="211">
        <v>0</v>
      </c>
      <c r="EJ202" s="211">
        <v>0</v>
      </c>
      <c r="EK202" s="211">
        <v>0</v>
      </c>
      <c r="EL202" s="217">
        <f>IF(C202&gt;=Summary!$E$26,MAX(0,SUM(EH202:EK202)),0)</f>
        <v>0</v>
      </c>
      <c r="EM202" s="52">
        <f>IF(C202&gt;=Summary!$E$26,DX202*BL202,0)</f>
        <v>0</v>
      </c>
      <c r="EN202" s="52">
        <f>IF(C202&gt;=Summary!$E$26,DY202*BM202,0)</f>
        <v>0</v>
      </c>
      <c r="EO202" s="52">
        <f>IF(C202&gt;=Summary!$E$26,DZ202*BN202,0)</f>
        <v>0</v>
      </c>
      <c r="EP202" s="52">
        <f>IF(C202&gt;=Summary!$E$26,EA202*BO202,0)</f>
        <v>0</v>
      </c>
      <c r="EQ202" s="52">
        <f>IF(C202&gt;=Summary!$E$26,DX202*BL202+DY202*BM202+DZ202*BN202+EA202*BO202,0)</f>
        <v>0</v>
      </c>
      <c r="ER202" s="826">
        <v>0</v>
      </c>
      <c r="ES202" s="278">
        <v>0</v>
      </c>
      <c r="ET202" s="278">
        <v>0</v>
      </c>
      <c r="EU202" s="278">
        <v>0</v>
      </c>
      <c r="EV202" s="212">
        <f>IF(C202&gt;=Summary!$E$26,MAX(0,SUM(ER202:EU202)),0)</f>
        <v>0</v>
      </c>
      <c r="EW202" s="52"/>
      <c r="EX202" s="1049">
        <f t="shared" si="152"/>
        <v>0</v>
      </c>
      <c r="EY202" s="1045" t="str">
        <f t="shared" si="153"/>
        <v/>
      </c>
      <c r="EZ202" s="1684" t="s">
        <v>525</v>
      </c>
      <c r="FA202" s="1046">
        <f t="shared" si="166"/>
        <v>45</v>
      </c>
      <c r="FB202" s="256">
        <f t="shared" si="154"/>
        <v>11701.8</v>
      </c>
      <c r="FC202" s="194">
        <f t="shared" si="155"/>
        <v>0</v>
      </c>
      <c r="FD202" s="194">
        <f t="shared" si="156"/>
        <v>2127.6</v>
      </c>
      <c r="FE202" s="194">
        <f t="shared" si="157"/>
        <v>0</v>
      </c>
      <c r="FF202" s="194">
        <f t="shared" si="158"/>
        <v>2127.6</v>
      </c>
      <c r="FG202" s="194">
        <f t="shared" si="159"/>
        <v>0</v>
      </c>
      <c r="FH202" s="257">
        <f>IF(EZ202="No",IF((OR(MONTH(C202)=5,MONTH(C202)=6,MONTH(C202)=7,MONTH(C202)=8,MONTH(C202)=9)),Summary!$O$15*12*(AX202+AY202+AZ202+BA202)*(1-$BC202),Summary!$O$15*13*(AX202+AY202+AZ202+BA202)*(1-$BC202)+IF(Summary!$O$16="Yes",(CALC!FA202+Summary!$O$15)*6*(AX202+AY202+AZ202+BA202)*(1-$BC202),0)),0)</f>
        <v>0</v>
      </c>
      <c r="FI202" s="1412">
        <f>IF(MONTH(C202)=5,FI201*(IF(Summary!$E$70="no",(1+(Summary!$E$71*0.8)),1+HLOOKUP(YEAR(C202)-1,CCFMODEL!$I$127:$AF$128,2)*0.8)),+FI201)</f>
        <v>38.879706486334918</v>
      </c>
      <c r="FJ202" s="1411">
        <f>IF(MONTH(C202)=5,FJ201*(IF(Summary!$E$70="no",(1+(Summary!$E$71*0.8)),1+HLOOKUP(YEAR(CALC!C202)-1,CCFMODEL!$I$127:$AF$128,2)*0.8)),FJ201)</f>
        <v>33.981475747899019</v>
      </c>
      <c r="FK202" s="832">
        <f t="shared" si="127"/>
        <v>620403.47640244628</v>
      </c>
      <c r="FL202" s="1412">
        <f>IF(MONTH(C202)=5,FL201*(IF(Summary!$E$70="no",(1+(Summary!$E$71*0.8)),1+HLOOKUP(YEAR(CALC!C202)-1,CCFMODEL!$I$127:$AF$128,2)*0.8)),+FL201)</f>
        <v>81.76838158299681</v>
      </c>
      <c r="FM202" s="1411">
        <f>IF(MONTH(C202)=5,FM201*(IF(Summary!$E$70="no",(1+(Summary!$E$71*0.8)),1+HLOOKUP(YEAR(CALC!C202)-1,CCFMODEL!$I$127:$AF$128,2)*0.8)),+FM201)</f>
        <v>39.025487163074075</v>
      </c>
      <c r="FN202" s="832">
        <f t="shared" si="128"/>
        <v>1324647.7816445483</v>
      </c>
      <c r="FO202" s="194">
        <f t="shared" si="160"/>
        <v>1945051.2580469945</v>
      </c>
      <c r="FP202" s="263">
        <f t="shared" si="177"/>
        <v>11701.8</v>
      </c>
      <c r="FQ202" s="194">
        <f t="shared" si="178"/>
        <v>0</v>
      </c>
      <c r="FR202" s="194">
        <f t="shared" si="179"/>
        <v>2127.6</v>
      </c>
      <c r="FS202" s="194">
        <f t="shared" si="176"/>
        <v>0</v>
      </c>
      <c r="FT202" s="194">
        <f t="shared" si="176"/>
        <v>2127.6</v>
      </c>
      <c r="FU202" s="194">
        <f t="shared" si="176"/>
        <v>0</v>
      </c>
      <c r="FV202" s="257">
        <f t="shared" si="176"/>
        <v>0</v>
      </c>
      <c r="FW202" s="189">
        <f t="shared" si="129"/>
        <v>0</v>
      </c>
      <c r="FX202" s="189">
        <f t="shared" si="130"/>
        <v>0</v>
      </c>
      <c r="FY202" s="189">
        <f t="shared" si="131"/>
        <v>0</v>
      </c>
      <c r="FZ202" s="258">
        <f t="shared" si="132"/>
        <v>0</v>
      </c>
      <c r="GA202" s="1294">
        <f>(SUM(FP202:FV202)+SUM(GU202:HB202)/(1-Summary!$O$25))*CY202/1000</f>
        <v>198437.90639155201</v>
      </c>
      <c r="GB202" s="1369">
        <f>IF($C202&lt;Summary!$M$81,+Summary!$O$81,VLOOKUP(C202,GasTable,19))</f>
        <v>3.3362977493524668</v>
      </c>
      <c r="GC202" s="1370">
        <f>IF(H202&lt;=Summary!$N$84,MIN(GA202,Summary!$O$75*(H202-G202+1)),0)</f>
        <v>0</v>
      </c>
      <c r="GD202" s="1371">
        <f>IF(C202&lt;Summary!$N$84,IF(Summary!$O$75*(H202-G202+1)*0.8&gt;GC202,1,0),0)</f>
        <v>0</v>
      </c>
      <c r="GE202" s="1372">
        <v>0</v>
      </c>
      <c r="GF202" s="1370">
        <f t="shared" si="161"/>
        <v>198437.90639155201</v>
      </c>
      <c r="GG202" s="1371">
        <f>GF202*(IF(Summary!$O$74=1,VLOOKUP($C202,GasTable,16)+Summary!$O$92+Summary!$O$93,VLOOKUP($C202,GasTable,19)+Summary!$O$92+Summary!$O$93))</f>
        <v>672386.55540335027</v>
      </c>
      <c r="GH202" s="1373">
        <v>5004.4466240287002</v>
      </c>
      <c r="GI202" s="1466">
        <v>0</v>
      </c>
      <c r="GJ202" s="1374">
        <f t="shared" si="162"/>
        <v>677391.002027379</v>
      </c>
      <c r="GK202" s="189">
        <f t="shared" si="133"/>
        <v>25196.103000000006</v>
      </c>
      <c r="GL202" s="266">
        <v>0.52074872032000008</v>
      </c>
      <c r="GM202" s="255">
        <f t="shared" si="134"/>
        <v>0</v>
      </c>
      <c r="GN202" s="189">
        <f>IF(SUM(GU202:HB202)=0,0,IF(Summary!$O$16="Yes",SUM(GX202:HB202),IF(Summary!$O$17="Yes",SUM(GY202:HB202),SUM(GU202:HB202))))</f>
        <v>9239.1029999999992</v>
      </c>
      <c r="GO202" s="203">
        <v>3.7072232698888055</v>
      </c>
      <c r="GP202" s="258">
        <f t="shared" si="163"/>
        <v>34251.41763449947</v>
      </c>
      <c r="GQ202" s="189"/>
      <c r="GR202" s="189"/>
      <c r="GS202" s="189"/>
      <c r="GT202" s="189"/>
      <c r="GU202" s="268">
        <v>3764.0790000000002</v>
      </c>
      <c r="GV202" s="189">
        <v>684.37800000000027</v>
      </c>
      <c r="GW202" s="189">
        <v>684.37800000000027</v>
      </c>
      <c r="GX202" s="189"/>
      <c r="GY202" s="254">
        <v>3011.2631999999999</v>
      </c>
      <c r="GZ202" s="189">
        <v>547.50239999999997</v>
      </c>
      <c r="HA202" s="189">
        <v>547.50239999999997</v>
      </c>
      <c r="HB202" s="255"/>
      <c r="HC202" s="189">
        <v>9239.1029999999992</v>
      </c>
      <c r="HD202" s="189"/>
      <c r="HE202" s="189">
        <v>21557.906999999999</v>
      </c>
      <c r="HF202" s="189">
        <v>389686.25589469855</v>
      </c>
      <c r="HG202" s="189"/>
      <c r="HH202" s="203">
        <v>43.633637597377763</v>
      </c>
      <c r="HI202" s="189">
        <v>940649.90139597328</v>
      </c>
      <c r="HJ202" s="268">
        <f t="shared" si="135"/>
        <v>0</v>
      </c>
      <c r="HK202" s="189">
        <f t="shared" si="136"/>
        <v>0</v>
      </c>
      <c r="HL202" s="189">
        <f t="shared" si="137"/>
        <v>0</v>
      </c>
      <c r="HM202" s="255">
        <f t="shared" si="138"/>
        <v>0</v>
      </c>
      <c r="HN202" s="189">
        <f t="shared" si="139"/>
        <v>0</v>
      </c>
      <c r="HO202" s="203">
        <f t="shared" si="164"/>
        <v>0</v>
      </c>
      <c r="HP202" s="258">
        <f t="shared" si="140"/>
        <v>0</v>
      </c>
      <c r="HQ202" s="804"/>
      <c r="HR202" s="268"/>
      <c r="HS202" s="1408"/>
      <c r="HT202" s="255"/>
      <c r="HU202" s="268"/>
      <c r="HV202" s="1408"/>
      <c r="HW202" s="255"/>
      <c r="HX202" s="1408"/>
      <c r="HY202" s="1408"/>
      <c r="HZ202"/>
      <c r="IA202" s="203"/>
      <c r="IB202" s="203"/>
      <c r="IC202" s="203"/>
      <c r="ID202" s="203"/>
      <c r="IE202" s="203"/>
      <c r="IF202" s="203"/>
      <c r="IG202" s="203"/>
      <c r="IH202" s="203"/>
      <c r="II202" s="203"/>
      <c r="IJ202" s="203"/>
      <c r="IK202" s="203"/>
      <c r="IL202" s="821"/>
      <c r="IM202" s="820"/>
      <c r="IN202" s="820"/>
      <c r="IR202" s="223"/>
    </row>
    <row r="203" spans="1:252" ht="13.8" thickBot="1">
      <c r="A203" t="str">
        <f t="shared" si="141"/>
        <v>2015Q3</v>
      </c>
      <c r="B203">
        <f t="shared" si="142"/>
        <v>2015</v>
      </c>
      <c r="C203" s="49">
        <f t="shared" si="143"/>
        <v>42186</v>
      </c>
      <c r="D203" s="115">
        <f t="shared" si="144"/>
        <v>2015</v>
      </c>
      <c r="E203" s="10">
        <f t="shared" si="167"/>
        <v>7</v>
      </c>
      <c r="F203" s="248">
        <f t="shared" si="168"/>
        <v>42189</v>
      </c>
      <c r="G203" s="245">
        <v>42186</v>
      </c>
      <c r="H203" s="251">
        <v>42216</v>
      </c>
      <c r="I203" s="959">
        <f t="shared" si="165"/>
        <v>7.1499999999999994E-2</v>
      </c>
      <c r="J203" s="37">
        <f t="shared" si="145"/>
        <v>0.33236481621271319</v>
      </c>
      <c r="K203" s="1036"/>
      <c r="L203" s="37"/>
      <c r="M203" s="1004">
        <v>0</v>
      </c>
      <c r="N203" s="38">
        <f t="shared" si="181"/>
        <v>0</v>
      </c>
      <c r="O203" s="40">
        <f t="shared" si="181"/>
        <v>0</v>
      </c>
      <c r="P203" s="159">
        <f t="shared" si="172"/>
        <v>0</v>
      </c>
      <c r="Q203" s="38">
        <f t="shared" si="183"/>
        <v>0</v>
      </c>
      <c r="R203" s="40">
        <f t="shared" si="183"/>
        <v>0</v>
      </c>
      <c r="S203" s="38">
        <f t="shared" si="183"/>
        <v>0</v>
      </c>
      <c r="T203" s="38">
        <f t="shared" si="183"/>
        <v>0</v>
      </c>
      <c r="U203" s="38">
        <f t="shared" si="183"/>
        <v>0</v>
      </c>
      <c r="V203" s="159">
        <f t="shared" si="183"/>
        <v>0</v>
      </c>
      <c r="W203" s="38">
        <f t="shared" si="183"/>
        <v>0</v>
      </c>
      <c r="X203" s="39">
        <f t="shared" si="183"/>
        <v>0</v>
      </c>
      <c r="Y203" s="46">
        <v>0</v>
      </c>
      <c r="Z203" s="46">
        <v>0</v>
      </c>
      <c r="AA203" s="47">
        <v>0</v>
      </c>
      <c r="AB203" s="46">
        <v>0</v>
      </c>
      <c r="AC203" s="46">
        <v>0</v>
      </c>
      <c r="AD203" s="47">
        <v>0</v>
      </c>
      <c r="AE203" s="46">
        <v>0</v>
      </c>
      <c r="AF203" s="46">
        <v>0</v>
      </c>
      <c r="AG203" s="47">
        <v>0</v>
      </c>
      <c r="AH203" s="46">
        <v>0</v>
      </c>
      <c r="AI203" s="46">
        <v>0</v>
      </c>
      <c r="AJ203" s="47">
        <v>0</v>
      </c>
      <c r="AK203" s="46">
        <v>0</v>
      </c>
      <c r="AL203" s="46">
        <v>0</v>
      </c>
      <c r="AM203" s="47">
        <v>0</v>
      </c>
      <c r="AN203" s="46">
        <v>0</v>
      </c>
      <c r="AO203" s="46">
        <v>0</v>
      </c>
      <c r="AP203" s="47">
        <v>0</v>
      </c>
      <c r="AQ203" s="46">
        <v>0</v>
      </c>
      <c r="AR203" s="46">
        <v>0</v>
      </c>
      <c r="AS203" s="47">
        <v>0</v>
      </c>
      <c r="AT203" s="46">
        <v>0</v>
      </c>
      <c r="AU203" s="46">
        <v>0</v>
      </c>
      <c r="AV203" s="46">
        <v>0</v>
      </c>
      <c r="AW203" s="1545">
        <v>0</v>
      </c>
      <c r="AX203" s="10">
        <f t="shared" si="169"/>
        <v>23</v>
      </c>
      <c r="AY203" s="42">
        <f>IF(AND($E203=MONTH(Summary!$E$24),$D203=YEAR(Summary!$E$24)),Summary!$E$25,1)*IF(G203="",0,INT((H203-MOD(H203,7)-G203)/7)+1-IF(BA203,IF(WEEKDAY(F203)=7,1,0),0))</f>
        <v>3</v>
      </c>
      <c r="AZ203" s="42">
        <f>IF(AND($E203=MONTH(Summary!$E$24),$D203=YEAR(Summary!$E$24)),Summary!$E$25,1)*IF(G203="",0,INT((H203-MOD(H203-1,7)-G203)/7)+1-IF(BA203,IF(WEEKDAY(F203)=1,1,0),0))</f>
        <v>4</v>
      </c>
      <c r="BA203" s="42">
        <v>1</v>
      </c>
      <c r="BB203" s="10">
        <f>IF(AND($E203=MONTH(Summary!$E$24),$D203=YEAR(Summary!$E$24)),Summary!$E$25,1)*IF(G203="",0,H203-G203+1)</f>
        <v>31</v>
      </c>
      <c r="BC203" s="914">
        <f>Summary!$E$19</f>
        <v>1.4999999999999999E-2</v>
      </c>
      <c r="BD203" s="113">
        <v>16311.6</v>
      </c>
      <c r="BE203" s="171">
        <v>2127.6</v>
      </c>
      <c r="BF203" s="171">
        <v>3546</v>
      </c>
      <c r="BG203" s="174"/>
      <c r="BH203" s="1198">
        <v>1</v>
      </c>
      <c r="BI203" s="1198">
        <v>1</v>
      </c>
      <c r="BJ203" s="1198">
        <v>1</v>
      </c>
      <c r="BK203" s="1198">
        <v>1</v>
      </c>
      <c r="BL203" s="95">
        <v>3262.32</v>
      </c>
      <c r="BM203" s="171">
        <v>425.52</v>
      </c>
      <c r="BN203" s="171">
        <v>709.2</v>
      </c>
      <c r="BO203" s="174"/>
      <c r="BP203" s="1198">
        <v>1</v>
      </c>
      <c r="BQ203" s="1199">
        <v>1</v>
      </c>
      <c r="BR203" s="1199">
        <v>1</v>
      </c>
      <c r="BS203" s="1200">
        <v>1</v>
      </c>
      <c r="BT203" s="94">
        <f t="shared" si="146"/>
        <v>21985.200000000001</v>
      </c>
      <c r="BU203" s="233">
        <f t="shared" si="147"/>
        <v>21985.200000000001</v>
      </c>
      <c r="BV203" s="92">
        <f t="shared" si="148"/>
        <v>4397.04</v>
      </c>
      <c r="BW203" s="233">
        <f t="shared" si="149"/>
        <v>4397.04</v>
      </c>
      <c r="BX203" s="88">
        <v>15.542778918548938</v>
      </c>
      <c r="BY203" s="90">
        <v>0</v>
      </c>
      <c r="BZ203" s="88">
        <v>0</v>
      </c>
      <c r="CA203" s="88">
        <v>0</v>
      </c>
      <c r="CB203" s="88">
        <v>0</v>
      </c>
      <c r="CC203" s="88">
        <v>0</v>
      </c>
      <c r="CD203" s="88">
        <v>0</v>
      </c>
      <c r="CE203" s="100">
        <v>0</v>
      </c>
      <c r="CF203" s="88">
        <v>0</v>
      </c>
      <c r="CG203" s="88">
        <v>0</v>
      </c>
      <c r="CH203" s="88">
        <v>0</v>
      </c>
      <c r="CI203" s="88">
        <v>0</v>
      </c>
      <c r="CJ203" s="228">
        <v>0</v>
      </c>
      <c r="CK203" s="88">
        <v>0</v>
      </c>
      <c r="CL203" s="88">
        <v>0</v>
      </c>
      <c r="CM203" s="88">
        <v>0</v>
      </c>
      <c r="CN203" s="88">
        <v>0</v>
      </c>
      <c r="CO203" s="88">
        <v>0</v>
      </c>
      <c r="CP203" s="88">
        <v>0</v>
      </c>
      <c r="CQ203" s="229">
        <v>0</v>
      </c>
      <c r="CR203" s="91">
        <v>0</v>
      </c>
      <c r="CS203" s="91">
        <v>0</v>
      </c>
      <c r="CT203" s="91">
        <v>0</v>
      </c>
      <c r="CU203" s="91">
        <v>0</v>
      </c>
      <c r="CV203" s="91">
        <v>0</v>
      </c>
      <c r="CW203" s="91">
        <v>0</v>
      </c>
      <c r="CX203" s="225">
        <v>0</v>
      </c>
      <c r="CY203" s="1265">
        <v>7773.67184</v>
      </c>
      <c r="CZ203" s="90">
        <v>0</v>
      </c>
      <c r="DA203" s="88">
        <v>0</v>
      </c>
      <c r="DB203" s="88">
        <v>0</v>
      </c>
      <c r="DC203" s="88">
        <v>0</v>
      </c>
      <c r="DD203" s="88">
        <v>0</v>
      </c>
      <c r="DE203" s="152">
        <v>0</v>
      </c>
      <c r="DF203" s="230">
        <v>0</v>
      </c>
      <c r="DG203" s="38">
        <v>0</v>
      </c>
      <c r="DH203" s="1237">
        <v>0</v>
      </c>
      <c r="DI203" s="956">
        <v>0</v>
      </c>
      <c r="DJ203" s="956">
        <v>0</v>
      </c>
      <c r="DK203" s="956">
        <v>0</v>
      </c>
      <c r="DL203" s="152">
        <v>0</v>
      </c>
      <c r="DM203" s="160">
        <v>0</v>
      </c>
      <c r="DN203" s="160">
        <v>0</v>
      </c>
      <c r="DO203" s="160">
        <v>0</v>
      </c>
      <c r="DP203" s="160">
        <v>0</v>
      </c>
      <c r="DQ203" s="160">
        <v>0</v>
      </c>
      <c r="DR203" s="230">
        <v>0</v>
      </c>
      <c r="DS203" s="88">
        <v>0</v>
      </c>
      <c r="DT203" s="88">
        <v>0</v>
      </c>
      <c r="DU203" s="88">
        <v>0</v>
      </c>
      <c r="DV203" s="88">
        <v>0</v>
      </c>
      <c r="DW203" s="88">
        <v>0</v>
      </c>
      <c r="DX203" s="88">
        <v>0</v>
      </c>
      <c r="DY203" s="88">
        <v>0</v>
      </c>
      <c r="DZ203" s="88">
        <v>0</v>
      </c>
      <c r="EA203" s="88">
        <v>0</v>
      </c>
      <c r="EB203" s="152">
        <v>0</v>
      </c>
      <c r="EC203" s="52">
        <f t="shared" si="150"/>
        <v>0</v>
      </c>
      <c r="ED203" s="52">
        <f t="shared" si="150"/>
        <v>0</v>
      </c>
      <c r="EE203" s="52">
        <f t="shared" si="150"/>
        <v>0</v>
      </c>
      <c r="EF203" s="52">
        <f t="shared" si="150"/>
        <v>0</v>
      </c>
      <c r="EG203" s="52">
        <f t="shared" si="151"/>
        <v>0</v>
      </c>
      <c r="EH203" s="238">
        <v>0</v>
      </c>
      <c r="EI203" s="211">
        <v>0</v>
      </c>
      <c r="EJ203" s="211">
        <v>0</v>
      </c>
      <c r="EK203" s="211">
        <v>0</v>
      </c>
      <c r="EL203" s="217">
        <f>IF(C203&gt;=Summary!$E$26,MAX(0,SUM(EH203:EK203)),0)</f>
        <v>0</v>
      </c>
      <c r="EM203" s="52">
        <f>IF(C203&gt;=Summary!$E$26,DX203*BL203,0)</f>
        <v>0</v>
      </c>
      <c r="EN203" s="52">
        <f>IF(C203&gt;=Summary!$E$26,DY203*BM203,0)</f>
        <v>0</v>
      </c>
      <c r="EO203" s="52">
        <f>IF(C203&gt;=Summary!$E$26,DZ203*BN203,0)</f>
        <v>0</v>
      </c>
      <c r="EP203" s="52">
        <f>IF(C203&gt;=Summary!$E$26,EA203*BO203,0)</f>
        <v>0</v>
      </c>
      <c r="EQ203" s="52">
        <f>IF(C203&gt;=Summary!$E$26,DX203*BL203+DY203*BM203+DZ203*BN203+EA203*BO203,0)</f>
        <v>0</v>
      </c>
      <c r="ER203" s="826">
        <v>0</v>
      </c>
      <c r="ES203" s="278">
        <v>0</v>
      </c>
      <c r="ET203" s="278">
        <v>0</v>
      </c>
      <c r="EU203" s="278">
        <v>0</v>
      </c>
      <c r="EV203" s="212">
        <f>IF(C203&gt;=Summary!$E$26,MAX(0,SUM(ER203:EU203)),0)</f>
        <v>0</v>
      </c>
      <c r="EW203" s="52"/>
      <c r="EX203" s="1049">
        <f t="shared" si="152"/>
        <v>0</v>
      </c>
      <c r="EY203" s="1045" t="str">
        <f t="shared" si="153"/>
        <v/>
      </c>
      <c r="EZ203" s="1684" t="s">
        <v>525</v>
      </c>
      <c r="FA203" s="1046">
        <f t="shared" si="166"/>
        <v>45</v>
      </c>
      <c r="FB203" s="256">
        <f t="shared" si="154"/>
        <v>12233.7</v>
      </c>
      <c r="FC203" s="194">
        <f t="shared" si="155"/>
        <v>0</v>
      </c>
      <c r="FD203" s="194">
        <f t="shared" si="156"/>
        <v>1595.7</v>
      </c>
      <c r="FE203" s="194">
        <f t="shared" si="157"/>
        <v>0</v>
      </c>
      <c r="FF203" s="194">
        <f t="shared" si="158"/>
        <v>2659.5</v>
      </c>
      <c r="FG203" s="194">
        <f t="shared" si="159"/>
        <v>0</v>
      </c>
      <c r="FH203" s="257">
        <f>IF(EZ203="No",IF((OR(MONTH(C203)=5,MONTH(C203)=6,MONTH(C203)=7,MONTH(C203)=8,MONTH(C203)=9)),Summary!$O$15*12*(AX203+AY203+AZ203+BA203)*(1-$BC203),Summary!$O$15*13*(AX203+AY203+AZ203+BA203)*(1-$BC203)+IF(Summary!$O$16="Yes",(CALC!FA203+Summary!$O$15)*6*(AX203+AY203+AZ203+BA203)*(1-$BC203),0)),0)</f>
        <v>0</v>
      </c>
      <c r="FI203" s="1412">
        <f>IF(MONTH(C203)=5,FI202*(IF(Summary!$E$70="no",(1+(Summary!$E$71*0.8)),1+HLOOKUP(YEAR(C203)-1,CCFMODEL!$I$127:$AF$128,2)*0.8)),+FI202)</f>
        <v>38.879706486334918</v>
      </c>
      <c r="FJ203" s="1411">
        <f>IF(MONTH(C203)=5,FJ202*(IF(Summary!$E$70="no",(1+(Summary!$E$71*0.8)),1+HLOOKUP(YEAR(CALC!C203)-1,CCFMODEL!$I$127:$AF$128,2)*0.8)),FJ202)</f>
        <v>33.981475747899019</v>
      </c>
      <c r="FK203" s="832">
        <f t="shared" si="127"/>
        <v>641083.59228252782</v>
      </c>
      <c r="FL203" s="1412">
        <f>IF(MONTH(C203)=5,FL202*(IF(Summary!$E$70="no",(1+(Summary!$E$71*0.8)),1+HLOOKUP(YEAR(CALC!C203)-1,CCFMODEL!$I$127:$AF$128,2)*0.8)),+FL202)</f>
        <v>81.76838158299681</v>
      </c>
      <c r="FM203" s="1411">
        <f>IF(MONTH(C203)=5,FM202*(IF(Summary!$E$70="no",(1+(Summary!$E$71*0.8)),1+HLOOKUP(YEAR(CALC!C203)-1,CCFMODEL!$I$127:$AF$128,2)*0.8)),+FM202)</f>
        <v>39.025487163074075</v>
      </c>
      <c r="FN203" s="832">
        <f t="shared" si="128"/>
        <v>1368802.7076993666</v>
      </c>
      <c r="FO203" s="194">
        <f t="shared" si="160"/>
        <v>2009886.2999818944</v>
      </c>
      <c r="FP203" s="263">
        <f t="shared" si="177"/>
        <v>12233.7</v>
      </c>
      <c r="FQ203" s="194">
        <f t="shared" si="178"/>
        <v>0</v>
      </c>
      <c r="FR203" s="194">
        <f t="shared" si="179"/>
        <v>1595.7</v>
      </c>
      <c r="FS203" s="194">
        <f t="shared" si="176"/>
        <v>0</v>
      </c>
      <c r="FT203" s="194">
        <f t="shared" si="176"/>
        <v>2659.5</v>
      </c>
      <c r="FU203" s="194">
        <f t="shared" si="176"/>
        <v>0</v>
      </c>
      <c r="FV203" s="257">
        <f t="shared" si="176"/>
        <v>0</v>
      </c>
      <c r="FW203" s="189">
        <f t="shared" si="129"/>
        <v>0</v>
      </c>
      <c r="FX203" s="189">
        <f t="shared" si="130"/>
        <v>0</v>
      </c>
      <c r="FY203" s="189">
        <f t="shared" si="131"/>
        <v>0</v>
      </c>
      <c r="FZ203" s="258">
        <f t="shared" si="132"/>
        <v>0</v>
      </c>
      <c r="GA203" s="1294">
        <f>(SUM(FP203:FV203)+SUM(GU203:HB203)/(1-Summary!$O$25))*CY203/1000</f>
        <v>205086.87616412161</v>
      </c>
      <c r="GB203" s="1369">
        <f>IF($C203&lt;Summary!$M$81,+Summary!$O$81,VLOOKUP(C203,GasTable,19))</f>
        <v>3.4273656342531589</v>
      </c>
      <c r="GC203" s="1370">
        <f>IF(H203&lt;=Summary!$N$84,MIN(GA203,Summary!$O$75*(H203-G203+1)),0)</f>
        <v>0</v>
      </c>
      <c r="GD203" s="1371">
        <f>IF(C203&lt;Summary!$N$84,IF(Summary!$O$75*(H203-G203+1)*0.8&gt;GC203,1,0),0)</f>
        <v>0</v>
      </c>
      <c r="GE203" s="1372">
        <v>0</v>
      </c>
      <c r="GF203" s="1370">
        <f t="shared" si="161"/>
        <v>205086.87616412161</v>
      </c>
      <c r="GG203" s="1371">
        <f>GF203*(IF(Summary!$O$74=1,VLOOKUP($C203,GasTable,16)+Summary!$O$92+Summary!$O$93,VLOOKUP($C203,GasTable,19)+Summary!$O$92+Summary!$O$93))</f>
        <v>713592.73764939443</v>
      </c>
      <c r="GH203" s="1373">
        <v>5312.4167330923965</v>
      </c>
      <c r="GI203" s="1466">
        <v>0</v>
      </c>
      <c r="GJ203" s="1374">
        <f t="shared" si="162"/>
        <v>718905.15438248683</v>
      </c>
      <c r="GK203" s="189">
        <f t="shared" si="133"/>
        <v>26035.973100000003</v>
      </c>
      <c r="GL203" s="266">
        <v>0.52083601327999995</v>
      </c>
      <c r="GM203" s="255">
        <f t="shared" si="134"/>
        <v>0</v>
      </c>
      <c r="GN203" s="189">
        <f>IF(SUM(GU203:HB203)=0,0,IF(Summary!$O$16="Yes",SUM(GX203:HB203),IF(Summary!$O$17="Yes",SUM(GY203:HB203),SUM(GU203:HB203))))</f>
        <v>9547.0730999999996</v>
      </c>
      <c r="GO203" s="203">
        <v>3.7072232698888055</v>
      </c>
      <c r="GP203" s="258">
        <f t="shared" si="163"/>
        <v>35393.131555649452</v>
      </c>
      <c r="GQ203" s="189"/>
      <c r="GR203" s="189"/>
      <c r="GS203" s="189"/>
      <c r="GT203" s="189"/>
      <c r="GU203" s="268">
        <v>3935.1734999999994</v>
      </c>
      <c r="GV203" s="189">
        <v>513.28349999999989</v>
      </c>
      <c r="GW203" s="189">
        <v>855.47249999999997</v>
      </c>
      <c r="GX203" s="189"/>
      <c r="GY203" s="254">
        <v>3148.1388000000002</v>
      </c>
      <c r="GZ203" s="189">
        <v>410.62679999999995</v>
      </c>
      <c r="HA203" s="189">
        <v>684.37800000000004</v>
      </c>
      <c r="HB203" s="255"/>
      <c r="HC203" s="189">
        <v>9547.0730999999996</v>
      </c>
      <c r="HD203" s="189"/>
      <c r="HE203" s="189">
        <v>22276.5039</v>
      </c>
      <c r="HF203" s="189">
        <v>532099.86151119915</v>
      </c>
      <c r="HG203" s="189"/>
      <c r="HH203" s="203">
        <v>59.021274627900461</v>
      </c>
      <c r="HI203" s="189">
        <v>1314787.6544313957</v>
      </c>
      <c r="HJ203" s="268">
        <f t="shared" si="135"/>
        <v>0</v>
      </c>
      <c r="HK203" s="189">
        <f t="shared" si="136"/>
        <v>0</v>
      </c>
      <c r="HL203" s="189">
        <f t="shared" si="137"/>
        <v>0</v>
      </c>
      <c r="HM203" s="255">
        <f t="shared" si="138"/>
        <v>0</v>
      </c>
      <c r="HN203" s="189">
        <f t="shared" si="139"/>
        <v>0</v>
      </c>
      <c r="HO203" s="203">
        <f t="shared" si="164"/>
        <v>0</v>
      </c>
      <c r="HP203" s="258">
        <f t="shared" si="140"/>
        <v>0</v>
      </c>
      <c r="HQ203" s="804"/>
      <c r="HR203" s="268"/>
      <c r="HS203" s="1408"/>
      <c r="HT203" s="255"/>
      <c r="HU203" s="268"/>
      <c r="HV203" s="1408"/>
      <c r="HW203" s="255"/>
      <c r="HX203" s="1408"/>
      <c r="HY203" s="1408"/>
      <c r="HZ203"/>
      <c r="IA203" s="203"/>
      <c r="IB203" s="203"/>
      <c r="IC203" s="203"/>
      <c r="ID203" s="203"/>
      <c r="IE203" s="203"/>
      <c r="IF203" s="203"/>
      <c r="IG203" s="203"/>
      <c r="IH203" s="203"/>
      <c r="II203" s="203"/>
      <c r="IJ203" s="203"/>
      <c r="IK203" s="203"/>
      <c r="IL203" s="821"/>
      <c r="IM203" s="820"/>
      <c r="IN203" s="820"/>
      <c r="IR203" s="223"/>
    </row>
    <row r="204" spans="1:252" ht="13.8" thickBot="1">
      <c r="A204" t="str">
        <f t="shared" si="141"/>
        <v>2015Q3</v>
      </c>
      <c r="B204">
        <f t="shared" si="142"/>
        <v>2015</v>
      </c>
      <c r="C204" s="49">
        <f t="shared" si="143"/>
        <v>42217</v>
      </c>
      <c r="D204" s="115">
        <f t="shared" si="144"/>
        <v>2015</v>
      </c>
      <c r="E204" s="10">
        <f t="shared" si="167"/>
        <v>8</v>
      </c>
      <c r="F204" s="248" t="str">
        <f t="shared" si="168"/>
        <v/>
      </c>
      <c r="G204" s="245">
        <v>42217</v>
      </c>
      <c r="H204" s="251">
        <v>42247</v>
      </c>
      <c r="I204" s="959">
        <f t="shared" si="165"/>
        <v>7.1499999999999994E-2</v>
      </c>
      <c r="J204" s="37">
        <f t="shared" si="145"/>
        <v>0.33038899036741826</v>
      </c>
      <c r="K204" s="1036"/>
      <c r="L204" s="37"/>
      <c r="M204" s="1004">
        <v>0</v>
      </c>
      <c r="N204" s="38">
        <f t="shared" si="181"/>
        <v>0</v>
      </c>
      <c r="O204" s="40">
        <f t="shared" si="181"/>
        <v>0</v>
      </c>
      <c r="P204" s="159">
        <f t="shared" si="172"/>
        <v>0</v>
      </c>
      <c r="Q204" s="38">
        <f t="shared" si="183"/>
        <v>0</v>
      </c>
      <c r="R204" s="40">
        <f t="shared" si="183"/>
        <v>0</v>
      </c>
      <c r="S204" s="38">
        <f t="shared" si="183"/>
        <v>0</v>
      </c>
      <c r="T204" s="38">
        <f t="shared" si="183"/>
        <v>0</v>
      </c>
      <c r="U204" s="38">
        <f t="shared" si="183"/>
        <v>0</v>
      </c>
      <c r="V204" s="159">
        <f t="shared" si="183"/>
        <v>0</v>
      </c>
      <c r="W204" s="38">
        <f t="shared" si="183"/>
        <v>0</v>
      </c>
      <c r="X204" s="39">
        <f t="shared" si="183"/>
        <v>0</v>
      </c>
      <c r="Y204" s="46">
        <v>0</v>
      </c>
      <c r="Z204" s="46">
        <v>0</v>
      </c>
      <c r="AA204" s="47">
        <v>0</v>
      </c>
      <c r="AB204" s="46">
        <v>0</v>
      </c>
      <c r="AC204" s="46">
        <v>0</v>
      </c>
      <c r="AD204" s="47">
        <v>0</v>
      </c>
      <c r="AE204" s="46">
        <v>0</v>
      </c>
      <c r="AF204" s="46">
        <v>0</v>
      </c>
      <c r="AG204" s="47">
        <v>0</v>
      </c>
      <c r="AH204" s="46">
        <v>0</v>
      </c>
      <c r="AI204" s="46">
        <v>0</v>
      </c>
      <c r="AJ204" s="47">
        <v>0</v>
      </c>
      <c r="AK204" s="46">
        <v>0</v>
      </c>
      <c r="AL204" s="46">
        <v>0</v>
      </c>
      <c r="AM204" s="47">
        <v>0</v>
      </c>
      <c r="AN204" s="46">
        <v>0</v>
      </c>
      <c r="AO204" s="46">
        <v>0</v>
      </c>
      <c r="AP204" s="47">
        <v>0</v>
      </c>
      <c r="AQ204" s="46">
        <v>0</v>
      </c>
      <c r="AR204" s="46">
        <v>0</v>
      </c>
      <c r="AS204" s="47">
        <v>0</v>
      </c>
      <c r="AT204" s="46">
        <v>0</v>
      </c>
      <c r="AU204" s="46">
        <v>0</v>
      </c>
      <c r="AV204" s="46">
        <v>0</v>
      </c>
      <c r="AW204" s="1545">
        <v>0</v>
      </c>
      <c r="AX204" s="10">
        <f t="shared" si="169"/>
        <v>21</v>
      </c>
      <c r="AY204" s="42">
        <f>IF(AND($E204=MONTH(Summary!$E$24),$D204=YEAR(Summary!$E$24)),Summary!$E$25,1)*IF(G204="",0,INT((H204-MOD(H204,7)-G204)/7)+1-IF(BA204,IF(WEEKDAY(F204)=7,1,0),0))</f>
        <v>5</v>
      </c>
      <c r="AZ204" s="42">
        <f>IF(AND($E204=MONTH(Summary!$E$24),$D204=YEAR(Summary!$E$24)),Summary!$E$25,1)*IF(G204="",0,INT((H204-MOD(H204-1,7)-G204)/7)+1-IF(BA204,IF(WEEKDAY(F204)=1,1,0),0))</f>
        <v>5</v>
      </c>
      <c r="BA204" s="42">
        <v>0</v>
      </c>
      <c r="BB204" s="10">
        <f>IF(AND($E204=MONTH(Summary!$E$24),$D204=YEAR(Summary!$E$24)),Summary!$E$25,1)*IF(G204="",0,H204-G204+1)</f>
        <v>31</v>
      </c>
      <c r="BC204" s="914">
        <f>Summary!$E$19</f>
        <v>1.4999999999999999E-2</v>
      </c>
      <c r="BD204" s="113">
        <v>14893.2</v>
      </c>
      <c r="BE204" s="171">
        <v>3546</v>
      </c>
      <c r="BF204" s="171">
        <v>3546</v>
      </c>
      <c r="BG204" s="174"/>
      <c r="BH204" s="1198">
        <v>1</v>
      </c>
      <c r="BI204" s="1198">
        <v>1</v>
      </c>
      <c r="BJ204" s="1198">
        <v>1</v>
      </c>
      <c r="BK204" s="1198">
        <v>1</v>
      </c>
      <c r="BL204" s="95">
        <v>2978.64</v>
      </c>
      <c r="BM204" s="171">
        <v>709.2</v>
      </c>
      <c r="BN204" s="171">
        <v>709.2</v>
      </c>
      <c r="BO204" s="174"/>
      <c r="BP204" s="1198">
        <v>1</v>
      </c>
      <c r="BQ204" s="1199">
        <v>1</v>
      </c>
      <c r="BR204" s="1199">
        <v>1</v>
      </c>
      <c r="BS204" s="1200">
        <v>1</v>
      </c>
      <c r="BT204" s="94">
        <f t="shared" si="146"/>
        <v>21985.200000000001</v>
      </c>
      <c r="BU204" s="233">
        <f t="shared" si="147"/>
        <v>21985.200000000001</v>
      </c>
      <c r="BV204" s="92">
        <f t="shared" si="148"/>
        <v>4397.04</v>
      </c>
      <c r="BW204" s="233">
        <f t="shared" si="149"/>
        <v>4397.04</v>
      </c>
      <c r="BX204" s="88">
        <v>15.627652292950033</v>
      </c>
      <c r="BY204" s="90">
        <v>0</v>
      </c>
      <c r="BZ204" s="88">
        <v>0</v>
      </c>
      <c r="CA204" s="88">
        <v>0</v>
      </c>
      <c r="CB204" s="88">
        <v>0</v>
      </c>
      <c r="CC204" s="88">
        <v>0</v>
      </c>
      <c r="CD204" s="88">
        <v>0</v>
      </c>
      <c r="CE204" s="100">
        <v>0</v>
      </c>
      <c r="CF204" s="88">
        <v>0</v>
      </c>
      <c r="CG204" s="88">
        <v>0</v>
      </c>
      <c r="CH204" s="88">
        <v>0</v>
      </c>
      <c r="CI204" s="88">
        <v>0</v>
      </c>
      <c r="CJ204" s="228">
        <v>0</v>
      </c>
      <c r="CK204" s="88">
        <v>0</v>
      </c>
      <c r="CL204" s="88">
        <v>0</v>
      </c>
      <c r="CM204" s="88">
        <v>0</v>
      </c>
      <c r="CN204" s="88">
        <v>0</v>
      </c>
      <c r="CO204" s="88">
        <v>0</v>
      </c>
      <c r="CP204" s="88">
        <v>0</v>
      </c>
      <c r="CQ204" s="229">
        <v>0</v>
      </c>
      <c r="CR204" s="91">
        <v>0</v>
      </c>
      <c r="CS204" s="91">
        <v>0</v>
      </c>
      <c r="CT204" s="91">
        <v>0</v>
      </c>
      <c r="CU204" s="91">
        <v>0</v>
      </c>
      <c r="CV204" s="91">
        <v>0</v>
      </c>
      <c r="CW204" s="91">
        <v>0</v>
      </c>
      <c r="CX204" s="225">
        <v>0</v>
      </c>
      <c r="CY204" s="1265">
        <v>7774.9747200000002</v>
      </c>
      <c r="CZ204" s="90">
        <v>0</v>
      </c>
      <c r="DA204" s="88">
        <v>0</v>
      </c>
      <c r="DB204" s="88">
        <v>0</v>
      </c>
      <c r="DC204" s="88">
        <v>0</v>
      </c>
      <c r="DD204" s="88">
        <v>0</v>
      </c>
      <c r="DE204" s="152">
        <v>0</v>
      </c>
      <c r="DF204" s="230">
        <v>0</v>
      </c>
      <c r="DG204" s="38">
        <v>0</v>
      </c>
      <c r="DH204" s="1237">
        <v>0</v>
      </c>
      <c r="DI204" s="956">
        <v>0</v>
      </c>
      <c r="DJ204" s="956">
        <v>0</v>
      </c>
      <c r="DK204" s="956">
        <v>0</v>
      </c>
      <c r="DL204" s="152">
        <v>0</v>
      </c>
      <c r="DM204" s="160">
        <v>0</v>
      </c>
      <c r="DN204" s="160">
        <v>0</v>
      </c>
      <c r="DO204" s="160">
        <v>0</v>
      </c>
      <c r="DP204" s="160">
        <v>0</v>
      </c>
      <c r="DQ204" s="160">
        <v>0</v>
      </c>
      <c r="DR204" s="230">
        <v>0</v>
      </c>
      <c r="DS204" s="88">
        <v>0</v>
      </c>
      <c r="DT204" s="88">
        <v>0</v>
      </c>
      <c r="DU204" s="88">
        <v>0</v>
      </c>
      <c r="DV204" s="88">
        <v>0</v>
      </c>
      <c r="DW204" s="88">
        <v>0</v>
      </c>
      <c r="DX204" s="88">
        <v>0</v>
      </c>
      <c r="DY204" s="88">
        <v>0</v>
      </c>
      <c r="DZ204" s="88">
        <v>0</v>
      </c>
      <c r="EA204" s="88">
        <v>0</v>
      </c>
      <c r="EB204" s="152">
        <v>0</v>
      </c>
      <c r="EC204" s="52">
        <f t="shared" si="150"/>
        <v>0</v>
      </c>
      <c r="ED204" s="52">
        <f t="shared" si="150"/>
        <v>0</v>
      </c>
      <c r="EE204" s="52">
        <f t="shared" si="150"/>
        <v>0</v>
      </c>
      <c r="EF204" s="52">
        <f t="shared" si="150"/>
        <v>0</v>
      </c>
      <c r="EG204" s="52">
        <f t="shared" si="151"/>
        <v>0</v>
      </c>
      <c r="EH204" s="238">
        <v>0</v>
      </c>
      <c r="EI204" s="211">
        <v>0</v>
      </c>
      <c r="EJ204" s="211">
        <v>0</v>
      </c>
      <c r="EK204" s="211">
        <v>0</v>
      </c>
      <c r="EL204" s="217">
        <f>IF(C204&gt;=Summary!$E$26,MAX(0,SUM(EH204:EK204)),0)</f>
        <v>0</v>
      </c>
      <c r="EM204" s="52">
        <f>IF(C204&gt;=Summary!$E$26,DX204*BL204,0)</f>
        <v>0</v>
      </c>
      <c r="EN204" s="52">
        <f>IF(C204&gt;=Summary!$E$26,DY204*BM204,0)</f>
        <v>0</v>
      </c>
      <c r="EO204" s="52">
        <f>IF(C204&gt;=Summary!$E$26,DZ204*BN204,0)</f>
        <v>0</v>
      </c>
      <c r="EP204" s="52">
        <f>IF(C204&gt;=Summary!$E$26,EA204*BO204,0)</f>
        <v>0</v>
      </c>
      <c r="EQ204" s="52">
        <f>IF(C204&gt;=Summary!$E$26,DX204*BL204+DY204*BM204+DZ204*BN204+EA204*BO204,0)</f>
        <v>0</v>
      </c>
      <c r="ER204" s="826">
        <v>0</v>
      </c>
      <c r="ES204" s="278">
        <v>0</v>
      </c>
      <c r="ET204" s="278">
        <v>0</v>
      </c>
      <c r="EU204" s="278">
        <v>0</v>
      </c>
      <c r="EV204" s="212">
        <f>IF(C204&gt;=Summary!$E$26,MAX(0,SUM(ER204:EU204)),0)</f>
        <v>0</v>
      </c>
      <c r="EW204" s="52"/>
      <c r="EX204" s="1049">
        <f t="shared" si="152"/>
        <v>0</v>
      </c>
      <c r="EY204" s="1045" t="str">
        <f t="shared" si="153"/>
        <v/>
      </c>
      <c r="EZ204" s="1684" t="s">
        <v>525</v>
      </c>
      <c r="FA204" s="1046">
        <f t="shared" si="166"/>
        <v>45</v>
      </c>
      <c r="FB204" s="256">
        <f t="shared" si="154"/>
        <v>11169.9</v>
      </c>
      <c r="FC204" s="194">
        <f t="shared" si="155"/>
        <v>0</v>
      </c>
      <c r="FD204" s="194">
        <f t="shared" si="156"/>
        <v>2659.5</v>
      </c>
      <c r="FE204" s="194">
        <f t="shared" si="157"/>
        <v>0</v>
      </c>
      <c r="FF204" s="194">
        <f t="shared" si="158"/>
        <v>2659.5</v>
      </c>
      <c r="FG204" s="194">
        <f t="shared" si="159"/>
        <v>0</v>
      </c>
      <c r="FH204" s="257">
        <f>IF(EZ204="No",IF((OR(MONTH(C204)=5,MONTH(C204)=6,MONTH(C204)=7,MONTH(C204)=8,MONTH(C204)=9)),Summary!$O$15*12*(AX204+AY204+AZ204+BA204)*(1-$BC204),Summary!$O$15*13*(AX204+AY204+AZ204+BA204)*(1-$BC204)+IF(Summary!$O$16="Yes",(CALC!FA204+Summary!$O$15)*6*(AX204+AY204+AZ204+BA204)*(1-$BC204),0)),0)</f>
        <v>0</v>
      </c>
      <c r="FI204" s="1412">
        <f>IF(MONTH(C204)=5,FI203*(IF(Summary!$E$70="no",(1+(Summary!$E$71*0.8)),1+HLOOKUP(YEAR(C204)-1,CCFMODEL!$I$127:$AF$128,2)*0.8)),+FI203)</f>
        <v>38.879706486334918</v>
      </c>
      <c r="FJ204" s="1411">
        <f>IF(MONTH(C204)=5,FJ203*(IF(Summary!$E$70="no",(1+(Summary!$E$71*0.8)),1+HLOOKUP(YEAR(CALC!C204)-1,CCFMODEL!$I$127:$AF$128,2)*0.8)),FJ203)</f>
        <v>33.981475747899019</v>
      </c>
      <c r="FK204" s="832">
        <f t="shared" si="127"/>
        <v>641083.59228252782</v>
      </c>
      <c r="FL204" s="1412">
        <f>IF(MONTH(C204)=5,FL203*(IF(Summary!$E$70="no",(1+(Summary!$E$71*0.8)),1+HLOOKUP(YEAR(CALC!C204)-1,CCFMODEL!$I$127:$AF$128,2)*0.8)),+FL203)</f>
        <v>81.76838158299681</v>
      </c>
      <c r="FM204" s="1411">
        <f>IF(MONTH(C204)=5,FM203*(IF(Summary!$E$70="no",(1+(Summary!$E$71*0.8)),1+HLOOKUP(YEAR(CALC!C204)-1,CCFMODEL!$I$127:$AF$128,2)*0.8)),+FM203)</f>
        <v>39.025487163074075</v>
      </c>
      <c r="FN204" s="832">
        <f t="shared" si="128"/>
        <v>1368802.7076993666</v>
      </c>
      <c r="FO204" s="194">
        <f t="shared" si="160"/>
        <v>2009886.2999818944</v>
      </c>
      <c r="FP204" s="263">
        <f t="shared" si="177"/>
        <v>11169.9</v>
      </c>
      <c r="FQ204" s="194">
        <f t="shared" si="178"/>
        <v>0</v>
      </c>
      <c r="FR204" s="194">
        <f t="shared" si="179"/>
        <v>2659.5</v>
      </c>
      <c r="FS204" s="194">
        <f t="shared" si="176"/>
        <v>0</v>
      </c>
      <c r="FT204" s="194">
        <f t="shared" si="176"/>
        <v>2659.5</v>
      </c>
      <c r="FU204" s="194">
        <f t="shared" si="176"/>
        <v>0</v>
      </c>
      <c r="FV204" s="257">
        <f t="shared" si="176"/>
        <v>0</v>
      </c>
      <c r="FW204" s="189">
        <f t="shared" si="129"/>
        <v>0</v>
      </c>
      <c r="FX204" s="189">
        <f t="shared" si="130"/>
        <v>0</v>
      </c>
      <c r="FY204" s="189">
        <f t="shared" si="131"/>
        <v>0</v>
      </c>
      <c r="FZ204" s="258">
        <f t="shared" si="132"/>
        <v>0</v>
      </c>
      <c r="GA204" s="1294">
        <f>(SUM(FP204:FV204)+SUM(GU204:HB204)/(1-Summary!$O$25))*CY204/1000</f>
        <v>205121.24905697283</v>
      </c>
      <c r="GB204" s="1369">
        <f>IF($C204&lt;Summary!$M$81,+Summary!$O$81,VLOOKUP(C204,GasTable,19))</f>
        <v>3.5567009445545628</v>
      </c>
      <c r="GC204" s="1370">
        <f>IF(H204&lt;=Summary!$N$84,MIN(GA204,Summary!$O$75*(H204-G204+1)),0)</f>
        <v>0</v>
      </c>
      <c r="GD204" s="1371">
        <f>IF(C204&lt;Summary!$N$84,IF(Summary!$O$75*(H204-G204+1)*0.8&gt;GC204,1,0),0)</f>
        <v>0</v>
      </c>
      <c r="GE204" s="1372">
        <v>0</v>
      </c>
      <c r="GF204" s="1370">
        <f t="shared" si="161"/>
        <v>205121.24905697283</v>
      </c>
      <c r="GG204" s="1371">
        <f>GF204*(IF(Summary!$O$74=1,VLOOKUP($C204,GasTable,16)+Summary!$O$92+Summary!$O$93,VLOOKUP($C204,GasTable,19)+Summary!$O$92+Summary!$O$93))</f>
        <v>740241.7573450153</v>
      </c>
      <c r="GH204" s="1373">
        <v>5512.8864640595721</v>
      </c>
      <c r="GI204" s="1466">
        <v>0</v>
      </c>
      <c r="GJ204" s="1374">
        <f t="shared" si="162"/>
        <v>745754.64380907489</v>
      </c>
      <c r="GK204" s="189">
        <f t="shared" si="133"/>
        <v>26035.973100000003</v>
      </c>
      <c r="GL204" s="266">
        <v>0.52092330623999994</v>
      </c>
      <c r="GM204" s="255">
        <f t="shared" si="134"/>
        <v>0</v>
      </c>
      <c r="GN204" s="189">
        <f>IF(SUM(GU204:HB204)=0,0,IF(Summary!$O$16="Yes",SUM(GX204:HB204),IF(Summary!$O$17="Yes",SUM(GY204:HB204),SUM(GU204:HB204))))</f>
        <v>9547.0731000000014</v>
      </c>
      <c r="GO204" s="203">
        <v>3.7072232698888055</v>
      </c>
      <c r="GP204" s="258">
        <f t="shared" si="163"/>
        <v>35393.131555649459</v>
      </c>
      <c r="GQ204" s="189"/>
      <c r="GR204" s="189"/>
      <c r="GS204" s="189"/>
      <c r="GT204" s="189"/>
      <c r="GU204" s="268">
        <v>3592.9845000000009</v>
      </c>
      <c r="GV204" s="189">
        <v>855.47249999999997</v>
      </c>
      <c r="GW204" s="189">
        <v>855.47249999999997</v>
      </c>
      <c r="GX204" s="189"/>
      <c r="GY204" s="254">
        <v>2874.3875999999996</v>
      </c>
      <c r="GZ204" s="189">
        <v>684.37800000000004</v>
      </c>
      <c r="HA204" s="189">
        <v>684.37800000000004</v>
      </c>
      <c r="HB204" s="255"/>
      <c r="HC204" s="189">
        <v>9547.0731000000014</v>
      </c>
      <c r="HD204" s="189"/>
      <c r="HE204" s="189">
        <v>22276.503900000003</v>
      </c>
      <c r="HF204" s="189">
        <v>662003.65304198128</v>
      </c>
      <c r="HG204" s="189"/>
      <c r="HH204" s="203">
        <v>73.009385765110437</v>
      </c>
      <c r="HI204" s="189">
        <v>1626393.8667330872</v>
      </c>
      <c r="HJ204" s="268">
        <f t="shared" si="135"/>
        <v>0</v>
      </c>
      <c r="HK204" s="189">
        <f t="shared" si="136"/>
        <v>0</v>
      </c>
      <c r="HL204" s="189">
        <f t="shared" si="137"/>
        <v>0</v>
      </c>
      <c r="HM204" s="255">
        <f t="shared" si="138"/>
        <v>0</v>
      </c>
      <c r="HN204" s="189">
        <f t="shared" si="139"/>
        <v>0</v>
      </c>
      <c r="HO204" s="203">
        <f t="shared" si="164"/>
        <v>0</v>
      </c>
      <c r="HP204" s="258">
        <f t="shared" si="140"/>
        <v>0</v>
      </c>
      <c r="HQ204" s="804"/>
      <c r="HR204" s="268"/>
      <c r="HS204" s="1408"/>
      <c r="HT204" s="255"/>
      <c r="HU204" s="268"/>
      <c r="HV204" s="1408"/>
      <c r="HW204" s="255"/>
      <c r="HX204" s="1408"/>
      <c r="HY204" s="1408"/>
      <c r="HZ204"/>
      <c r="IA204" s="203"/>
      <c r="IB204" s="203"/>
      <c r="IC204" s="203"/>
      <c r="ID204" s="203"/>
      <c r="IE204" s="203"/>
      <c r="IF204" s="203"/>
      <c r="IG204" s="203"/>
      <c r="IH204" s="203"/>
      <c r="II204" s="203"/>
      <c r="IJ204" s="203"/>
      <c r="IK204" s="203"/>
      <c r="IL204" s="821"/>
      <c r="IM204" s="820"/>
      <c r="IN204" s="820"/>
      <c r="IR204" s="223"/>
    </row>
    <row r="205" spans="1:252" ht="13.8" thickBot="1">
      <c r="A205" t="str">
        <f t="shared" si="141"/>
        <v>2015Q3</v>
      </c>
      <c r="B205">
        <f t="shared" si="142"/>
        <v>2015</v>
      </c>
      <c r="C205" s="49">
        <f t="shared" si="143"/>
        <v>42248</v>
      </c>
      <c r="D205" s="115">
        <f t="shared" si="144"/>
        <v>2015</v>
      </c>
      <c r="E205" s="10">
        <f t="shared" si="167"/>
        <v>9</v>
      </c>
      <c r="F205" s="248">
        <f t="shared" si="168"/>
        <v>42254</v>
      </c>
      <c r="G205" s="245">
        <v>42248</v>
      </c>
      <c r="H205" s="251">
        <v>42277</v>
      </c>
      <c r="I205" s="959">
        <f t="shared" si="165"/>
        <v>7.1499999999999994E-2</v>
      </c>
      <c r="J205" s="37">
        <f t="shared" si="145"/>
        <v>0.32848808511349431</v>
      </c>
      <c r="K205" s="1036"/>
      <c r="L205" s="37"/>
      <c r="M205" s="1004">
        <v>0</v>
      </c>
      <c r="N205" s="38">
        <f t="shared" si="181"/>
        <v>0</v>
      </c>
      <c r="O205" s="40">
        <f t="shared" si="181"/>
        <v>0</v>
      </c>
      <c r="P205" s="159">
        <f t="shared" si="172"/>
        <v>0</v>
      </c>
      <c r="Q205" s="38">
        <f t="shared" si="183"/>
        <v>0</v>
      </c>
      <c r="R205" s="40">
        <f t="shared" si="183"/>
        <v>0</v>
      </c>
      <c r="S205" s="38">
        <f t="shared" si="183"/>
        <v>0</v>
      </c>
      <c r="T205" s="38">
        <f t="shared" si="183"/>
        <v>0</v>
      </c>
      <c r="U205" s="38">
        <f t="shared" si="183"/>
        <v>0</v>
      </c>
      <c r="V205" s="159">
        <f t="shared" si="183"/>
        <v>0</v>
      </c>
      <c r="W205" s="38">
        <f t="shared" si="183"/>
        <v>0</v>
      </c>
      <c r="X205" s="39">
        <f t="shared" si="183"/>
        <v>0</v>
      </c>
      <c r="Y205" s="46">
        <v>0</v>
      </c>
      <c r="Z205" s="46">
        <v>0</v>
      </c>
      <c r="AA205" s="47">
        <v>0</v>
      </c>
      <c r="AB205" s="46">
        <v>0</v>
      </c>
      <c r="AC205" s="46">
        <v>0</v>
      </c>
      <c r="AD205" s="47">
        <v>0</v>
      </c>
      <c r="AE205" s="46">
        <v>0</v>
      </c>
      <c r="AF205" s="46">
        <v>0</v>
      </c>
      <c r="AG205" s="47">
        <v>0</v>
      </c>
      <c r="AH205" s="46">
        <v>0</v>
      </c>
      <c r="AI205" s="46">
        <v>0</v>
      </c>
      <c r="AJ205" s="47">
        <v>0</v>
      </c>
      <c r="AK205" s="46">
        <v>0</v>
      </c>
      <c r="AL205" s="46">
        <v>0</v>
      </c>
      <c r="AM205" s="47">
        <v>0</v>
      </c>
      <c r="AN205" s="46">
        <v>0</v>
      </c>
      <c r="AO205" s="46">
        <v>0</v>
      </c>
      <c r="AP205" s="47">
        <v>0</v>
      </c>
      <c r="AQ205" s="46">
        <v>0</v>
      </c>
      <c r="AR205" s="46">
        <v>0</v>
      </c>
      <c r="AS205" s="47">
        <v>0</v>
      </c>
      <c r="AT205" s="46">
        <v>0</v>
      </c>
      <c r="AU205" s="46">
        <v>0</v>
      </c>
      <c r="AV205" s="46">
        <v>0</v>
      </c>
      <c r="AW205" s="1545">
        <v>0</v>
      </c>
      <c r="AX205" s="10">
        <f t="shared" si="169"/>
        <v>21</v>
      </c>
      <c r="AY205" s="42">
        <f>IF(AND($E205=MONTH(Summary!$E$24),$D205=YEAR(Summary!$E$24)),Summary!$E$25,1)*IF(G205="",0,INT((H205-MOD(H205,7)-G205)/7)+1-IF(BA205,IF(WEEKDAY(F205)=7,1,0),0))</f>
        <v>4</v>
      </c>
      <c r="AZ205" s="42">
        <f>IF(AND($E205=MONTH(Summary!$E$24),$D205=YEAR(Summary!$E$24)),Summary!$E$25,1)*IF(G205="",0,INT((H205-MOD(H205-1,7)-G205)/7)+1-IF(BA205,IF(WEEKDAY(F205)=1,1,0),0))</f>
        <v>4</v>
      </c>
      <c r="BA205" s="42">
        <v>1</v>
      </c>
      <c r="BB205" s="10">
        <f>IF(AND($E205=MONTH(Summary!$E$24),$D205=YEAR(Summary!$E$24)),Summary!$E$25,1)*IF(G205="",0,H205-G205+1)</f>
        <v>30</v>
      </c>
      <c r="BC205" s="914">
        <f>Summary!$E$19</f>
        <v>1.4999999999999999E-2</v>
      </c>
      <c r="BD205" s="113">
        <v>14893.2</v>
      </c>
      <c r="BE205" s="171">
        <v>2836.8</v>
      </c>
      <c r="BF205" s="171">
        <v>3546</v>
      </c>
      <c r="BG205" s="174"/>
      <c r="BH205" s="1198">
        <v>1</v>
      </c>
      <c r="BI205" s="1198">
        <v>1</v>
      </c>
      <c r="BJ205" s="1198">
        <v>1</v>
      </c>
      <c r="BK205" s="1198">
        <v>1</v>
      </c>
      <c r="BL205" s="95">
        <v>2978.64</v>
      </c>
      <c r="BM205" s="171">
        <v>567.36</v>
      </c>
      <c r="BN205" s="171">
        <v>709.2</v>
      </c>
      <c r="BO205" s="174"/>
      <c r="BP205" s="1198">
        <v>1</v>
      </c>
      <c r="BQ205" s="1199">
        <v>1</v>
      </c>
      <c r="BR205" s="1199">
        <v>1</v>
      </c>
      <c r="BS205" s="1200">
        <v>1</v>
      </c>
      <c r="BT205" s="94">
        <f t="shared" si="146"/>
        <v>21276</v>
      </c>
      <c r="BU205" s="233">
        <f t="shared" si="147"/>
        <v>21276</v>
      </c>
      <c r="BV205" s="92">
        <f t="shared" si="148"/>
        <v>4255.2</v>
      </c>
      <c r="BW205" s="233">
        <f t="shared" si="149"/>
        <v>4255.2</v>
      </c>
      <c r="BX205" s="88">
        <v>15.71252566735113</v>
      </c>
      <c r="BY205" s="90">
        <v>0</v>
      </c>
      <c r="BZ205" s="88">
        <v>0</v>
      </c>
      <c r="CA205" s="88">
        <v>0</v>
      </c>
      <c r="CB205" s="88">
        <v>0</v>
      </c>
      <c r="CC205" s="88">
        <v>0</v>
      </c>
      <c r="CD205" s="88">
        <v>0</v>
      </c>
      <c r="CE205" s="100">
        <v>0</v>
      </c>
      <c r="CF205" s="88">
        <v>0</v>
      </c>
      <c r="CG205" s="88">
        <v>0</v>
      </c>
      <c r="CH205" s="88">
        <v>0</v>
      </c>
      <c r="CI205" s="88">
        <v>0</v>
      </c>
      <c r="CJ205" s="228">
        <v>0</v>
      </c>
      <c r="CK205" s="88">
        <v>0</v>
      </c>
      <c r="CL205" s="88">
        <v>0</v>
      </c>
      <c r="CM205" s="88">
        <v>0</v>
      </c>
      <c r="CN205" s="88">
        <v>0</v>
      </c>
      <c r="CO205" s="88">
        <v>0</v>
      </c>
      <c r="CP205" s="88">
        <v>0</v>
      </c>
      <c r="CQ205" s="229">
        <v>0</v>
      </c>
      <c r="CR205" s="91">
        <v>0</v>
      </c>
      <c r="CS205" s="91">
        <v>0</v>
      </c>
      <c r="CT205" s="91">
        <v>0</v>
      </c>
      <c r="CU205" s="91">
        <v>0</v>
      </c>
      <c r="CV205" s="91">
        <v>0</v>
      </c>
      <c r="CW205" s="91">
        <v>0</v>
      </c>
      <c r="CX205" s="225">
        <v>0</v>
      </c>
      <c r="CY205" s="1265">
        <v>7776.2776000000003</v>
      </c>
      <c r="CZ205" s="90">
        <v>0</v>
      </c>
      <c r="DA205" s="88">
        <v>0</v>
      </c>
      <c r="DB205" s="88">
        <v>0</v>
      </c>
      <c r="DC205" s="88">
        <v>0</v>
      </c>
      <c r="DD205" s="88">
        <v>0</v>
      </c>
      <c r="DE205" s="152">
        <v>0</v>
      </c>
      <c r="DF205" s="230">
        <v>0</v>
      </c>
      <c r="DG205" s="38">
        <v>0</v>
      </c>
      <c r="DH205" s="1237">
        <v>0</v>
      </c>
      <c r="DI205" s="956">
        <v>0</v>
      </c>
      <c r="DJ205" s="956">
        <v>0</v>
      </c>
      <c r="DK205" s="956">
        <v>0</v>
      </c>
      <c r="DL205" s="152">
        <v>0</v>
      </c>
      <c r="DM205" s="160">
        <v>0</v>
      </c>
      <c r="DN205" s="160">
        <v>0</v>
      </c>
      <c r="DO205" s="160">
        <v>0</v>
      </c>
      <c r="DP205" s="160">
        <v>0</v>
      </c>
      <c r="DQ205" s="160">
        <v>0</v>
      </c>
      <c r="DR205" s="230">
        <v>0</v>
      </c>
      <c r="DS205" s="88">
        <v>0</v>
      </c>
      <c r="DT205" s="88">
        <v>0</v>
      </c>
      <c r="DU205" s="88">
        <v>0</v>
      </c>
      <c r="DV205" s="88">
        <v>0</v>
      </c>
      <c r="DW205" s="88">
        <v>0</v>
      </c>
      <c r="DX205" s="88">
        <v>0</v>
      </c>
      <c r="DY205" s="88">
        <v>0</v>
      </c>
      <c r="DZ205" s="88">
        <v>0</v>
      </c>
      <c r="EA205" s="88">
        <v>0</v>
      </c>
      <c r="EB205" s="152">
        <v>0</v>
      </c>
      <c r="EC205" s="52">
        <f t="shared" si="150"/>
        <v>0</v>
      </c>
      <c r="ED205" s="52">
        <f t="shared" si="150"/>
        <v>0</v>
      </c>
      <c r="EE205" s="52">
        <f t="shared" si="150"/>
        <v>0</v>
      </c>
      <c r="EF205" s="52">
        <f t="shared" si="150"/>
        <v>0</v>
      </c>
      <c r="EG205" s="52">
        <f t="shared" si="151"/>
        <v>0</v>
      </c>
      <c r="EH205" s="238">
        <v>0</v>
      </c>
      <c r="EI205" s="211">
        <v>0</v>
      </c>
      <c r="EJ205" s="211">
        <v>0</v>
      </c>
      <c r="EK205" s="211">
        <v>0</v>
      </c>
      <c r="EL205" s="217">
        <f>IF(C205&gt;=Summary!$E$26,MAX(0,SUM(EH205:EK205)),0)</f>
        <v>0</v>
      </c>
      <c r="EM205" s="52">
        <f>IF(C205&gt;=Summary!$E$26,DX205*BL205,0)</f>
        <v>0</v>
      </c>
      <c r="EN205" s="52">
        <f>IF(C205&gt;=Summary!$E$26,DY205*BM205,0)</f>
        <v>0</v>
      </c>
      <c r="EO205" s="52">
        <f>IF(C205&gt;=Summary!$E$26,DZ205*BN205,0)</f>
        <v>0</v>
      </c>
      <c r="EP205" s="52">
        <f>IF(C205&gt;=Summary!$E$26,EA205*BO205,0)</f>
        <v>0</v>
      </c>
      <c r="EQ205" s="52">
        <f>IF(C205&gt;=Summary!$E$26,DX205*BL205+DY205*BM205+DZ205*BN205+EA205*BO205,0)</f>
        <v>0</v>
      </c>
      <c r="ER205" s="826">
        <v>0</v>
      </c>
      <c r="ES205" s="278">
        <v>0</v>
      </c>
      <c r="ET205" s="278">
        <v>0</v>
      </c>
      <c r="EU205" s="278">
        <v>0</v>
      </c>
      <c r="EV205" s="212">
        <f>IF(C205&gt;=Summary!$E$26,MAX(0,SUM(ER205:EU205)),0)</f>
        <v>0</v>
      </c>
      <c r="EW205" s="52"/>
      <c r="EX205" s="1049">
        <f t="shared" si="152"/>
        <v>0</v>
      </c>
      <c r="EY205" s="1045" t="str">
        <f t="shared" si="153"/>
        <v/>
      </c>
      <c r="EZ205" s="1684" t="s">
        <v>525</v>
      </c>
      <c r="FA205" s="1046">
        <f t="shared" si="166"/>
        <v>45</v>
      </c>
      <c r="FB205" s="256">
        <f t="shared" si="154"/>
        <v>11169.9</v>
      </c>
      <c r="FC205" s="194">
        <f t="shared" si="155"/>
        <v>0</v>
      </c>
      <c r="FD205" s="194">
        <f t="shared" si="156"/>
        <v>2127.6</v>
      </c>
      <c r="FE205" s="194">
        <f t="shared" si="157"/>
        <v>0</v>
      </c>
      <c r="FF205" s="194">
        <f t="shared" si="158"/>
        <v>2659.5</v>
      </c>
      <c r="FG205" s="194">
        <f t="shared" si="159"/>
        <v>0</v>
      </c>
      <c r="FH205" s="257">
        <f>IF(EZ205="No",IF((OR(MONTH(C205)=5,MONTH(C205)=6,MONTH(C205)=7,MONTH(C205)=8,MONTH(C205)=9)),Summary!$O$15*12*(AX205+AY205+AZ205+BA205)*(1-$BC205),Summary!$O$15*13*(AX205+AY205+AZ205+BA205)*(1-$BC205)+IF(Summary!$O$16="Yes",(CALC!FA205+Summary!$O$15)*6*(AX205+AY205+AZ205+BA205)*(1-$BC205),0)),0)</f>
        <v>0</v>
      </c>
      <c r="FI205" s="1412">
        <f>IF(MONTH(C205)=5,FI204*(IF(Summary!$E$70="no",(1+(Summary!$E$71*0.8)),1+HLOOKUP(YEAR(C205)-1,CCFMODEL!$I$127:$AF$128,2)*0.8)),+FI204)</f>
        <v>38.879706486334918</v>
      </c>
      <c r="FJ205" s="1411">
        <f>IF(MONTH(C205)=5,FJ204*(IF(Summary!$E$70="no",(1+(Summary!$E$71*0.8)),1+HLOOKUP(YEAR(CALC!C205)-1,CCFMODEL!$I$127:$AF$128,2)*0.8)),FJ204)</f>
        <v>33.981475747899019</v>
      </c>
      <c r="FK205" s="832">
        <f t="shared" si="127"/>
        <v>620403.47640244628</v>
      </c>
      <c r="FL205" s="1412">
        <f>IF(MONTH(C205)=5,FL204*(IF(Summary!$E$70="no",(1+(Summary!$E$71*0.8)),1+HLOOKUP(YEAR(CALC!C205)-1,CCFMODEL!$I$127:$AF$128,2)*0.8)),+FL204)</f>
        <v>81.76838158299681</v>
      </c>
      <c r="FM205" s="1411">
        <f>IF(MONTH(C205)=5,FM204*(IF(Summary!$E$70="no",(1+(Summary!$E$71*0.8)),1+HLOOKUP(YEAR(CALC!C205)-1,CCFMODEL!$I$127:$AF$128,2)*0.8)),+FM204)</f>
        <v>39.025487163074075</v>
      </c>
      <c r="FN205" s="832">
        <f t="shared" si="128"/>
        <v>1324647.7816445483</v>
      </c>
      <c r="FO205" s="194">
        <f t="shared" si="160"/>
        <v>1945051.2580469945</v>
      </c>
      <c r="FP205" s="263">
        <f t="shared" si="177"/>
        <v>11169.9</v>
      </c>
      <c r="FQ205" s="194">
        <f t="shared" si="178"/>
        <v>0</v>
      </c>
      <c r="FR205" s="194">
        <f t="shared" si="179"/>
        <v>2127.6</v>
      </c>
      <c r="FS205" s="194">
        <f t="shared" si="176"/>
        <v>0</v>
      </c>
      <c r="FT205" s="194">
        <f t="shared" si="176"/>
        <v>2659.5</v>
      </c>
      <c r="FU205" s="194">
        <f t="shared" si="176"/>
        <v>0</v>
      </c>
      <c r="FV205" s="257">
        <f t="shared" si="176"/>
        <v>0</v>
      </c>
      <c r="FW205" s="189">
        <f t="shared" si="129"/>
        <v>0</v>
      </c>
      <c r="FX205" s="189">
        <f t="shared" si="130"/>
        <v>0</v>
      </c>
      <c r="FY205" s="189">
        <f t="shared" si="131"/>
        <v>0</v>
      </c>
      <c r="FZ205" s="258">
        <f t="shared" si="132"/>
        <v>0</v>
      </c>
      <c r="GA205" s="1294">
        <f>(SUM(FP205:FV205)+SUM(GU205:HB205)/(1-Summary!$O$25))*CY205/1000</f>
        <v>198537.69866112003</v>
      </c>
      <c r="GB205" s="1369">
        <f>IF($C205&lt;Summary!$M$81,+Summary!$O$81,VLOOKUP(C205,GasTable,19))</f>
        <v>3.7106873183017646</v>
      </c>
      <c r="GC205" s="1370">
        <f>IF(H205&lt;=Summary!$N$84,MIN(GA205,Summary!$O$75*(H205-G205+1)),0)</f>
        <v>0</v>
      </c>
      <c r="GD205" s="1371">
        <f>IF(C205&lt;Summary!$N$84,IF(Summary!$O$75*(H205-G205+1)*0.8&gt;GC205,1,0),0)</f>
        <v>0</v>
      </c>
      <c r="GE205" s="1372">
        <v>0</v>
      </c>
      <c r="GF205" s="1370">
        <f t="shared" si="161"/>
        <v>198537.69866112003</v>
      </c>
      <c r="GG205" s="1371">
        <f>GF205*(IF(Summary!$O$74=1,VLOOKUP($C205,GasTable,16)+Summary!$O$92+Summary!$O$93,VLOOKUP($C205,GasTable,19)+Summary!$O$92+Summary!$O$93))</f>
        <v>747055.13472687965</v>
      </c>
      <c r="GH205" s="1373">
        <v>5566.0309774526468</v>
      </c>
      <c r="GI205" s="1466">
        <v>0</v>
      </c>
      <c r="GJ205" s="1374">
        <f t="shared" si="162"/>
        <v>752621.16570433229</v>
      </c>
      <c r="GK205" s="189">
        <f t="shared" si="133"/>
        <v>25196.103000000003</v>
      </c>
      <c r="GL205" s="266">
        <v>0.52101059920000004</v>
      </c>
      <c r="GM205" s="255">
        <f t="shared" si="134"/>
        <v>0</v>
      </c>
      <c r="GN205" s="189">
        <f>IF(SUM(GU205:HB205)=0,0,IF(Summary!$O$16="Yes",SUM(GX205:HB205),IF(Summary!$O$17="Yes",SUM(GY205:HB205),SUM(GU205:HB205))))</f>
        <v>9239.103000000001</v>
      </c>
      <c r="GO205" s="203">
        <v>3.7072232698888055</v>
      </c>
      <c r="GP205" s="258">
        <f t="shared" si="163"/>
        <v>34251.417634499478</v>
      </c>
      <c r="GQ205" s="189"/>
      <c r="GR205" s="189"/>
      <c r="GS205" s="189"/>
      <c r="GT205" s="189"/>
      <c r="GU205" s="268">
        <v>3592.9845000000009</v>
      </c>
      <c r="GV205" s="189">
        <v>684.37800000000027</v>
      </c>
      <c r="GW205" s="189">
        <v>855.47249999999997</v>
      </c>
      <c r="GX205" s="189"/>
      <c r="GY205" s="254">
        <v>2874.3875999999996</v>
      </c>
      <c r="GZ205" s="189">
        <v>547.50239999999997</v>
      </c>
      <c r="HA205" s="189">
        <v>684.37800000000004</v>
      </c>
      <c r="HB205" s="255"/>
      <c r="HC205" s="189">
        <v>9239.103000000001</v>
      </c>
      <c r="HD205" s="189"/>
      <c r="HE205" s="189">
        <v>21557.906999999999</v>
      </c>
      <c r="HF205" s="189">
        <v>565537.88708816108</v>
      </c>
      <c r="HG205" s="189"/>
      <c r="HH205" s="203">
        <v>63.533807757780096</v>
      </c>
      <c r="HI205" s="189">
        <v>1369655.9189981017</v>
      </c>
      <c r="HJ205" s="268">
        <f t="shared" si="135"/>
        <v>0</v>
      </c>
      <c r="HK205" s="189">
        <f t="shared" si="136"/>
        <v>0</v>
      </c>
      <c r="HL205" s="189">
        <f t="shared" si="137"/>
        <v>0</v>
      </c>
      <c r="HM205" s="255">
        <f t="shared" si="138"/>
        <v>0</v>
      </c>
      <c r="HN205" s="189">
        <f t="shared" si="139"/>
        <v>0</v>
      </c>
      <c r="HO205" s="203">
        <f t="shared" si="164"/>
        <v>0</v>
      </c>
      <c r="HP205" s="258">
        <f t="shared" si="140"/>
        <v>0</v>
      </c>
      <c r="HQ205" s="804"/>
      <c r="HR205" s="268"/>
      <c r="HS205" s="1408"/>
      <c r="HT205" s="255"/>
      <c r="HU205" s="268"/>
      <c r="HV205" s="1408"/>
      <c r="HW205" s="255"/>
      <c r="HX205" s="1408"/>
      <c r="HY205" s="1408"/>
      <c r="HZ205"/>
      <c r="IA205" s="203"/>
      <c r="IB205" s="203"/>
      <c r="IC205" s="203"/>
      <c r="ID205" s="203"/>
      <c r="IE205" s="203"/>
      <c r="IF205" s="203"/>
      <c r="IG205" s="203"/>
      <c r="IH205" s="203"/>
      <c r="II205" s="203"/>
      <c r="IJ205" s="203"/>
      <c r="IK205" s="203"/>
      <c r="IL205" s="821"/>
      <c r="IM205" s="820"/>
      <c r="IN205" s="820"/>
      <c r="IR205" s="223"/>
    </row>
    <row r="206" spans="1:252" ht="13.8" thickBot="1">
      <c r="A206" t="str">
        <f t="shared" si="141"/>
        <v>2015Q4</v>
      </c>
      <c r="B206">
        <f t="shared" si="142"/>
        <v>2015</v>
      </c>
      <c r="C206" s="49">
        <f t="shared" si="143"/>
        <v>42278</v>
      </c>
      <c r="D206" s="115">
        <f t="shared" si="144"/>
        <v>2015</v>
      </c>
      <c r="E206" s="10">
        <f t="shared" si="167"/>
        <v>10</v>
      </c>
      <c r="F206" s="248" t="str">
        <f t="shared" si="168"/>
        <v/>
      </c>
      <c r="G206" s="245">
        <v>42278</v>
      </c>
      <c r="H206" s="251">
        <v>42308</v>
      </c>
      <c r="I206" s="959">
        <f t="shared" si="165"/>
        <v>7.1499999999999994E-2</v>
      </c>
      <c r="J206" s="37">
        <f t="shared" si="145"/>
        <v>0.32653530546661585</v>
      </c>
      <c r="K206" s="1036"/>
      <c r="L206" s="37"/>
      <c r="M206" s="1004">
        <v>0</v>
      </c>
      <c r="N206" s="38">
        <f t="shared" si="181"/>
        <v>0</v>
      </c>
      <c r="O206" s="40">
        <f t="shared" si="181"/>
        <v>0</v>
      </c>
      <c r="P206" s="159">
        <f t="shared" si="172"/>
        <v>0</v>
      </c>
      <c r="Q206" s="38">
        <f t="shared" si="183"/>
        <v>0</v>
      </c>
      <c r="R206" s="40">
        <f t="shared" si="183"/>
        <v>0</v>
      </c>
      <c r="S206" s="38">
        <f t="shared" si="183"/>
        <v>0</v>
      </c>
      <c r="T206" s="38">
        <f t="shared" si="183"/>
        <v>0</v>
      </c>
      <c r="U206" s="38">
        <f t="shared" si="183"/>
        <v>0</v>
      </c>
      <c r="V206" s="159">
        <f t="shared" si="183"/>
        <v>0</v>
      </c>
      <c r="W206" s="38">
        <f t="shared" si="183"/>
        <v>0</v>
      </c>
      <c r="X206" s="39">
        <f t="shared" si="183"/>
        <v>0</v>
      </c>
      <c r="Y206" s="46">
        <v>0</v>
      </c>
      <c r="Z206" s="46">
        <v>0</v>
      </c>
      <c r="AA206" s="47">
        <v>0</v>
      </c>
      <c r="AB206" s="46">
        <v>0</v>
      </c>
      <c r="AC206" s="46">
        <v>0</v>
      </c>
      <c r="AD206" s="47">
        <v>0</v>
      </c>
      <c r="AE206" s="46">
        <v>0</v>
      </c>
      <c r="AF206" s="46">
        <v>0</v>
      </c>
      <c r="AG206" s="47">
        <v>0</v>
      </c>
      <c r="AH206" s="46">
        <v>0</v>
      </c>
      <c r="AI206" s="46">
        <v>0</v>
      </c>
      <c r="AJ206" s="47">
        <v>0</v>
      </c>
      <c r="AK206" s="46">
        <v>0</v>
      </c>
      <c r="AL206" s="46">
        <v>0</v>
      </c>
      <c r="AM206" s="47">
        <v>0</v>
      </c>
      <c r="AN206" s="46">
        <v>0</v>
      </c>
      <c r="AO206" s="46">
        <v>0</v>
      </c>
      <c r="AP206" s="47">
        <v>0</v>
      </c>
      <c r="AQ206" s="46">
        <v>0</v>
      </c>
      <c r="AR206" s="46">
        <v>0</v>
      </c>
      <c r="AS206" s="47">
        <v>0</v>
      </c>
      <c r="AT206" s="46">
        <v>0</v>
      </c>
      <c r="AU206" s="46">
        <v>0</v>
      </c>
      <c r="AV206" s="46">
        <v>0</v>
      </c>
      <c r="AW206" s="1545">
        <v>0</v>
      </c>
      <c r="AX206" s="10">
        <f t="shared" si="169"/>
        <v>22</v>
      </c>
      <c r="AY206" s="42">
        <f>IF(AND($E206=MONTH(Summary!$E$24),$D206=YEAR(Summary!$E$24)),Summary!$E$25,1)*IF(G206="",0,INT((H206-MOD(H206,7)-G206)/7)+1-IF(BA206,IF(WEEKDAY(F206)=7,1,0),0))</f>
        <v>5</v>
      </c>
      <c r="AZ206" s="42">
        <f>IF(AND($E206=MONTH(Summary!$E$24),$D206=YEAR(Summary!$E$24)),Summary!$E$25,1)*IF(G206="",0,INT((H206-MOD(H206-1,7)-G206)/7)+1-IF(BA206,IF(WEEKDAY(F206)=1,1,0),0))</f>
        <v>4</v>
      </c>
      <c r="BA206" s="42">
        <v>0</v>
      </c>
      <c r="BB206" s="10">
        <f>IF(AND($E206=MONTH(Summary!$E$24),$D206=YEAR(Summary!$E$24)),Summary!$E$25,1)*IF(G206="",0,H206-G206+1)</f>
        <v>31</v>
      </c>
      <c r="BC206" s="914">
        <f>Summary!$E$19</f>
        <v>1.4999999999999999E-2</v>
      </c>
      <c r="BD206" s="113">
        <v>15602.4</v>
      </c>
      <c r="BE206" s="171">
        <v>3546</v>
      </c>
      <c r="BF206" s="171">
        <v>2836.8</v>
      </c>
      <c r="BG206" s="174"/>
      <c r="BH206" s="1198">
        <v>1</v>
      </c>
      <c r="BI206" s="1198">
        <v>1</v>
      </c>
      <c r="BJ206" s="1198">
        <v>1</v>
      </c>
      <c r="BK206" s="1198">
        <v>1</v>
      </c>
      <c r="BL206" s="95">
        <v>3120.48</v>
      </c>
      <c r="BM206" s="171">
        <v>709.2</v>
      </c>
      <c r="BN206" s="171">
        <v>567.36</v>
      </c>
      <c r="BO206" s="174"/>
      <c r="BP206" s="1198">
        <v>1</v>
      </c>
      <c r="BQ206" s="1199">
        <v>1</v>
      </c>
      <c r="BR206" s="1199">
        <v>1</v>
      </c>
      <c r="BS206" s="1200">
        <v>1</v>
      </c>
      <c r="BT206" s="94">
        <f t="shared" si="146"/>
        <v>21985.200000000001</v>
      </c>
      <c r="BU206" s="233">
        <f t="shared" si="147"/>
        <v>21985.200000000001</v>
      </c>
      <c r="BV206" s="92">
        <f t="shared" si="148"/>
        <v>4397.04</v>
      </c>
      <c r="BW206" s="233">
        <f t="shared" si="149"/>
        <v>4397.04</v>
      </c>
      <c r="BX206" s="88">
        <v>15.794661190965092</v>
      </c>
      <c r="BY206" s="90">
        <v>0</v>
      </c>
      <c r="BZ206" s="88">
        <v>0</v>
      </c>
      <c r="CA206" s="88">
        <v>0</v>
      </c>
      <c r="CB206" s="88">
        <v>0</v>
      </c>
      <c r="CC206" s="88">
        <v>0</v>
      </c>
      <c r="CD206" s="88">
        <v>0</v>
      </c>
      <c r="CE206" s="100">
        <v>0</v>
      </c>
      <c r="CF206" s="88">
        <v>0</v>
      </c>
      <c r="CG206" s="88">
        <v>0</v>
      </c>
      <c r="CH206" s="88">
        <v>0</v>
      </c>
      <c r="CI206" s="88">
        <v>0</v>
      </c>
      <c r="CJ206" s="228">
        <v>0</v>
      </c>
      <c r="CK206" s="88">
        <v>0</v>
      </c>
      <c r="CL206" s="88">
        <v>0</v>
      </c>
      <c r="CM206" s="88">
        <v>0</v>
      </c>
      <c r="CN206" s="88">
        <v>0</v>
      </c>
      <c r="CO206" s="88">
        <v>0</v>
      </c>
      <c r="CP206" s="88">
        <v>0</v>
      </c>
      <c r="CQ206" s="229">
        <v>0</v>
      </c>
      <c r="CR206" s="91">
        <v>0</v>
      </c>
      <c r="CS206" s="91">
        <v>0</v>
      </c>
      <c r="CT206" s="91">
        <v>0</v>
      </c>
      <c r="CU206" s="91">
        <v>0</v>
      </c>
      <c r="CV206" s="91">
        <v>0</v>
      </c>
      <c r="CW206" s="91">
        <v>0</v>
      </c>
      <c r="CX206" s="225">
        <v>0</v>
      </c>
      <c r="CY206" s="1265">
        <v>7777.5804800000005</v>
      </c>
      <c r="CZ206" s="90">
        <v>0</v>
      </c>
      <c r="DA206" s="88">
        <v>0</v>
      </c>
      <c r="DB206" s="88">
        <v>0</v>
      </c>
      <c r="DC206" s="88">
        <v>0</v>
      </c>
      <c r="DD206" s="88">
        <v>0</v>
      </c>
      <c r="DE206" s="152">
        <v>0</v>
      </c>
      <c r="DF206" s="230">
        <v>0</v>
      </c>
      <c r="DG206" s="38">
        <v>0</v>
      </c>
      <c r="DH206" s="1237">
        <v>0</v>
      </c>
      <c r="DI206" s="956">
        <v>0</v>
      </c>
      <c r="DJ206" s="956">
        <v>0</v>
      </c>
      <c r="DK206" s="956">
        <v>0</v>
      </c>
      <c r="DL206" s="152">
        <v>0</v>
      </c>
      <c r="DM206" s="160">
        <v>0</v>
      </c>
      <c r="DN206" s="160">
        <v>0</v>
      </c>
      <c r="DO206" s="160">
        <v>0</v>
      </c>
      <c r="DP206" s="160">
        <v>0</v>
      </c>
      <c r="DQ206" s="160">
        <v>0</v>
      </c>
      <c r="DR206" s="230">
        <v>0</v>
      </c>
      <c r="DS206" s="88">
        <v>0</v>
      </c>
      <c r="DT206" s="88">
        <v>0</v>
      </c>
      <c r="DU206" s="88">
        <v>0</v>
      </c>
      <c r="DV206" s="88">
        <v>0</v>
      </c>
      <c r="DW206" s="88">
        <v>0</v>
      </c>
      <c r="DX206" s="88">
        <v>0</v>
      </c>
      <c r="DY206" s="88">
        <v>0</v>
      </c>
      <c r="DZ206" s="88">
        <v>0</v>
      </c>
      <c r="EA206" s="88">
        <v>0</v>
      </c>
      <c r="EB206" s="152">
        <v>0</v>
      </c>
      <c r="EC206" s="52">
        <f t="shared" si="150"/>
        <v>0</v>
      </c>
      <c r="ED206" s="52">
        <f t="shared" si="150"/>
        <v>0</v>
      </c>
      <c r="EE206" s="52">
        <f t="shared" si="150"/>
        <v>0</v>
      </c>
      <c r="EF206" s="52">
        <f t="shared" si="150"/>
        <v>0</v>
      </c>
      <c r="EG206" s="52">
        <f t="shared" si="151"/>
        <v>0</v>
      </c>
      <c r="EH206" s="238">
        <v>0</v>
      </c>
      <c r="EI206" s="211">
        <v>0</v>
      </c>
      <c r="EJ206" s="211">
        <v>0</v>
      </c>
      <c r="EK206" s="211">
        <v>0</v>
      </c>
      <c r="EL206" s="217">
        <f>IF(C206&gt;=Summary!$E$26,MAX(0,SUM(EH206:EK206)),0)</f>
        <v>0</v>
      </c>
      <c r="EM206" s="52">
        <f>IF(C206&gt;=Summary!$E$26,DX206*BL206,0)</f>
        <v>0</v>
      </c>
      <c r="EN206" s="52">
        <f>IF(C206&gt;=Summary!$E$26,DY206*BM206,0)</f>
        <v>0</v>
      </c>
      <c r="EO206" s="52">
        <f>IF(C206&gt;=Summary!$E$26,DZ206*BN206,0)</f>
        <v>0</v>
      </c>
      <c r="EP206" s="52">
        <f>IF(C206&gt;=Summary!$E$26,EA206*BO206,0)</f>
        <v>0</v>
      </c>
      <c r="EQ206" s="52">
        <f>IF(C206&gt;=Summary!$E$26,DX206*BL206+DY206*BM206+DZ206*BN206+EA206*BO206,0)</f>
        <v>0</v>
      </c>
      <c r="ER206" s="826">
        <v>0</v>
      </c>
      <c r="ES206" s="278">
        <v>0</v>
      </c>
      <c r="ET206" s="278">
        <v>0</v>
      </c>
      <c r="EU206" s="278">
        <v>0</v>
      </c>
      <c r="EV206" s="212">
        <f>IF(C206&gt;=Summary!$E$26,MAX(0,SUM(ER206:EU206)),0)</f>
        <v>0</v>
      </c>
      <c r="EW206" s="52"/>
      <c r="EX206" s="1049">
        <f t="shared" si="152"/>
        <v>0</v>
      </c>
      <c r="EY206" s="1045" t="str">
        <f t="shared" si="153"/>
        <v/>
      </c>
      <c r="EZ206" s="1684" t="s">
        <v>525</v>
      </c>
      <c r="FA206" s="1046">
        <f t="shared" si="166"/>
        <v>45</v>
      </c>
      <c r="FB206" s="256">
        <f t="shared" si="154"/>
        <v>9751.5</v>
      </c>
      <c r="FC206" s="194">
        <f t="shared" si="155"/>
        <v>2925.45</v>
      </c>
      <c r="FD206" s="194">
        <f t="shared" si="156"/>
        <v>2216.25</v>
      </c>
      <c r="FE206" s="194">
        <f t="shared" si="157"/>
        <v>664.875</v>
      </c>
      <c r="FF206" s="194">
        <f t="shared" si="158"/>
        <v>1773</v>
      </c>
      <c r="FG206" s="194">
        <f t="shared" si="159"/>
        <v>531.9</v>
      </c>
      <c r="FH206" s="257">
        <f>IF(EZ206="No",IF((OR(MONTH(C206)=5,MONTH(C206)=6,MONTH(C206)=7,MONTH(C206)=8,MONTH(C206)=9)),Summary!$O$15*12*(AX206+AY206+AZ206+BA206)*(1-$BC206),Summary!$O$15*13*(AX206+AY206+AZ206+BA206)*(1-$BC206)+IF(Summary!$O$16="Yes",(CALC!FA206+Summary!$O$15)*6*(AX206+AY206+AZ206+BA206)*(1-$BC206),0)),0)</f>
        <v>0</v>
      </c>
      <c r="FI206" s="1412">
        <f>IF(MONTH(C206)=5,FI205*(IF(Summary!$E$70="no",(1+(Summary!$E$71*0.8)),1+HLOOKUP(YEAR(C206)-1,CCFMODEL!$I$127:$AF$128,2)*0.8)),+FI205)</f>
        <v>38.879706486334918</v>
      </c>
      <c r="FJ206" s="1411">
        <f>IF(MONTH(C206)=5,FJ205*(IF(Summary!$E$70="no",(1+(Summary!$E$71*0.8)),1+HLOOKUP(YEAR(CALC!C206)-1,CCFMODEL!$I$127:$AF$128,2)*0.8)),FJ205)</f>
        <v>33.981475747899019</v>
      </c>
      <c r="FK206" s="832">
        <f t="shared" si="127"/>
        <v>694507.22497273854</v>
      </c>
      <c r="FL206" s="1412">
        <f>IF(MONTH(C206)=5,FL205*(IF(Summary!$E$70="no",(1+(Summary!$E$71*0.8)),1+HLOOKUP(YEAR(CALC!C206)-1,CCFMODEL!$I$127:$AF$128,2)*0.8)),+FL205)</f>
        <v>81.76838158299681</v>
      </c>
      <c r="FM206" s="1411">
        <f>IF(MONTH(C206)=5,FM205*(IF(Summary!$E$70="no",(1+(Summary!$E$71*0.8)),1+HLOOKUP(YEAR(CALC!C206)-1,CCFMODEL!$I$127:$AF$128,2)*0.8)),+FM205)</f>
        <v>39.025487163074075</v>
      </c>
      <c r="FN206" s="832">
        <f t="shared" si="128"/>
        <v>707727.20970234845</v>
      </c>
      <c r="FO206" s="194">
        <f t="shared" si="160"/>
        <v>1402234.434675087</v>
      </c>
      <c r="FP206" s="263">
        <f t="shared" si="177"/>
        <v>9751.5</v>
      </c>
      <c r="FQ206" s="194">
        <f t="shared" si="178"/>
        <v>2925.45</v>
      </c>
      <c r="FR206" s="194">
        <f t="shared" si="179"/>
        <v>2216.25</v>
      </c>
      <c r="FS206" s="194">
        <f t="shared" si="176"/>
        <v>664.875</v>
      </c>
      <c r="FT206" s="194">
        <f t="shared" si="176"/>
        <v>1773</v>
      </c>
      <c r="FU206" s="194">
        <f t="shared" si="176"/>
        <v>531.9</v>
      </c>
      <c r="FV206" s="257">
        <f t="shared" si="176"/>
        <v>0</v>
      </c>
      <c r="FW206" s="189">
        <f t="shared" si="129"/>
        <v>0</v>
      </c>
      <c r="FX206" s="189">
        <f t="shared" si="130"/>
        <v>0</v>
      </c>
      <c r="FY206" s="189">
        <f t="shared" si="131"/>
        <v>0</v>
      </c>
      <c r="FZ206" s="258">
        <f t="shared" si="132"/>
        <v>0</v>
      </c>
      <c r="GA206" s="1294">
        <f>(SUM(FP206:FV206)+SUM(GU206:HB206)/(1-Summary!$O$25))*CY206/1000</f>
        <v>237250.93153684324</v>
      </c>
      <c r="GB206" s="1369">
        <f>IF($C206&lt;Summary!$M$81,+Summary!$O$81,VLOOKUP(C206,GasTable,19))</f>
        <v>3.8755880986634654</v>
      </c>
      <c r="GC206" s="1370">
        <f>IF(H206&lt;=Summary!$N$84,MIN(GA206,Summary!$O$75*(H206-G206+1)),0)</f>
        <v>0</v>
      </c>
      <c r="GD206" s="1371">
        <f>IF(C206&lt;Summary!$N$84,IF(Summary!$O$75*(H206-G206+1)*0.8&gt;GC206,1,0),0)</f>
        <v>0</v>
      </c>
      <c r="GE206" s="1372">
        <v>0</v>
      </c>
      <c r="GF206" s="1370">
        <f t="shared" si="161"/>
        <v>237250.93153684324</v>
      </c>
      <c r="GG206" s="1371">
        <f>GF206*(IF(Summary!$O$74=1,VLOOKUP($C206,GasTable,16)+Summary!$O$92+Summary!$O$93,VLOOKUP($C206,GasTable,19)+Summary!$O$92+Summary!$O$93))</f>
        <v>931847.66019407986</v>
      </c>
      <c r="GH206" s="1373">
        <v>6007.1615529283717</v>
      </c>
      <c r="GI206" s="1466">
        <v>0</v>
      </c>
      <c r="GJ206" s="1374">
        <f t="shared" si="162"/>
        <v>937854.82174700825</v>
      </c>
      <c r="GK206" s="189">
        <f t="shared" si="133"/>
        <v>30062.012850000006</v>
      </c>
      <c r="GL206" s="266">
        <v>0.52109789216000002</v>
      </c>
      <c r="GM206" s="255">
        <f t="shared" si="134"/>
        <v>0</v>
      </c>
      <c r="GN206" s="189">
        <f>IF(SUM(GU206:HB206)=0,0,IF(Summary!$O$16="Yes",SUM(GX206:HB206),IF(Summary!$O$17="Yes",SUM(GY206:HB206),SUM(GU206:HB206))))</f>
        <v>12199.037849999999</v>
      </c>
      <c r="GO206" s="203">
        <v>3.7072232698888055</v>
      </c>
      <c r="GP206" s="258">
        <f t="shared" si="163"/>
        <v>45224.556987774296</v>
      </c>
      <c r="GQ206" s="189"/>
      <c r="GR206" s="189"/>
      <c r="GS206" s="189"/>
      <c r="GT206" s="189"/>
      <c r="GU206" s="268">
        <v>5646.1184999999996</v>
      </c>
      <c r="GV206" s="189">
        <v>1283.20875</v>
      </c>
      <c r="GW206" s="189">
        <v>1026.5670000000002</v>
      </c>
      <c r="GX206" s="189"/>
      <c r="GY206" s="254">
        <v>3011.2631999999999</v>
      </c>
      <c r="GZ206" s="189">
        <v>684.37800000000004</v>
      </c>
      <c r="HA206" s="189">
        <v>547.50239999999997</v>
      </c>
      <c r="HB206" s="255"/>
      <c r="HC206" s="189">
        <v>12199.037849999999</v>
      </c>
      <c r="HD206" s="189"/>
      <c r="HE206" s="189">
        <v>20950.521524999996</v>
      </c>
      <c r="HF206" s="189">
        <v>688841.46084701223</v>
      </c>
      <c r="HG206" s="189"/>
      <c r="HH206" s="203">
        <v>55.573762352070908</v>
      </c>
      <c r="HI206" s="189">
        <v>1164299.304382296</v>
      </c>
      <c r="HJ206" s="268">
        <f t="shared" si="135"/>
        <v>0</v>
      </c>
      <c r="HK206" s="189">
        <f t="shared" si="136"/>
        <v>0</v>
      </c>
      <c r="HL206" s="189">
        <f t="shared" si="137"/>
        <v>0</v>
      </c>
      <c r="HM206" s="255">
        <f t="shared" si="138"/>
        <v>0</v>
      </c>
      <c r="HN206" s="189">
        <f t="shared" si="139"/>
        <v>0</v>
      </c>
      <c r="HO206" s="203">
        <f t="shared" si="164"/>
        <v>0</v>
      </c>
      <c r="HP206" s="258">
        <f t="shared" si="140"/>
        <v>0</v>
      </c>
      <c r="HQ206" s="804"/>
      <c r="HR206" s="268"/>
      <c r="HS206" s="1408"/>
      <c r="HT206" s="255"/>
      <c r="HU206" s="268"/>
      <c r="HV206" s="1408"/>
      <c r="HW206" s="255"/>
      <c r="HX206" s="1408"/>
      <c r="HY206" s="1408"/>
      <c r="HZ206"/>
      <c r="IA206" s="203"/>
      <c r="IB206" s="203"/>
      <c r="IC206" s="203"/>
      <c r="ID206" s="203"/>
      <c r="IE206" s="203"/>
      <c r="IF206" s="203"/>
      <c r="IG206" s="203"/>
      <c r="IH206" s="203"/>
      <c r="II206" s="203"/>
      <c r="IJ206" s="203"/>
      <c r="IK206" s="203"/>
      <c r="IL206" s="821"/>
      <c r="IM206" s="820"/>
      <c r="IN206" s="820"/>
      <c r="IR206" s="223"/>
    </row>
    <row r="207" spans="1:252" ht="13.8" thickBot="1">
      <c r="A207" t="str">
        <f t="shared" si="141"/>
        <v>2015Q4</v>
      </c>
      <c r="B207">
        <f t="shared" si="142"/>
        <v>2015</v>
      </c>
      <c r="C207" s="49">
        <f t="shared" si="143"/>
        <v>42309</v>
      </c>
      <c r="D207" s="115">
        <f t="shared" si="144"/>
        <v>2015</v>
      </c>
      <c r="E207" s="10">
        <f t="shared" si="167"/>
        <v>11</v>
      </c>
      <c r="F207" s="248">
        <f t="shared" si="168"/>
        <v>42334</v>
      </c>
      <c r="G207" s="245">
        <v>42309</v>
      </c>
      <c r="H207" s="251">
        <v>42338</v>
      </c>
      <c r="I207" s="959">
        <f t="shared" si="165"/>
        <v>7.1499999999999994E-2</v>
      </c>
      <c r="J207" s="37">
        <f t="shared" si="145"/>
        <v>0.32465657253104535</v>
      </c>
      <c r="K207" s="1036"/>
      <c r="L207" s="37"/>
      <c r="M207" s="1004">
        <v>0</v>
      </c>
      <c r="N207" s="38">
        <f t="shared" si="181"/>
        <v>0</v>
      </c>
      <c r="O207" s="40">
        <f t="shared" si="181"/>
        <v>0</v>
      </c>
      <c r="P207" s="159">
        <f t="shared" si="172"/>
        <v>0</v>
      </c>
      <c r="Q207" s="38">
        <f t="shared" si="183"/>
        <v>0</v>
      </c>
      <c r="R207" s="40">
        <f t="shared" si="183"/>
        <v>0</v>
      </c>
      <c r="S207" s="38">
        <f t="shared" si="183"/>
        <v>0</v>
      </c>
      <c r="T207" s="38">
        <f t="shared" si="183"/>
        <v>0</v>
      </c>
      <c r="U207" s="38">
        <f t="shared" si="183"/>
        <v>0</v>
      </c>
      <c r="V207" s="159">
        <f t="shared" si="183"/>
        <v>0</v>
      </c>
      <c r="W207" s="38">
        <f t="shared" si="183"/>
        <v>0</v>
      </c>
      <c r="X207" s="39">
        <f t="shared" si="183"/>
        <v>0</v>
      </c>
      <c r="Y207" s="46">
        <v>0</v>
      </c>
      <c r="Z207" s="46">
        <v>0</v>
      </c>
      <c r="AA207" s="47">
        <v>0</v>
      </c>
      <c r="AB207" s="46">
        <v>0</v>
      </c>
      <c r="AC207" s="46">
        <v>0</v>
      </c>
      <c r="AD207" s="47">
        <v>0</v>
      </c>
      <c r="AE207" s="46">
        <v>0</v>
      </c>
      <c r="AF207" s="46">
        <v>0</v>
      </c>
      <c r="AG207" s="47">
        <v>0</v>
      </c>
      <c r="AH207" s="46">
        <v>0</v>
      </c>
      <c r="AI207" s="46">
        <v>0</v>
      </c>
      <c r="AJ207" s="47">
        <v>0</v>
      </c>
      <c r="AK207" s="46">
        <v>0</v>
      </c>
      <c r="AL207" s="46">
        <v>0</v>
      </c>
      <c r="AM207" s="47">
        <v>0</v>
      </c>
      <c r="AN207" s="46">
        <v>0</v>
      </c>
      <c r="AO207" s="46">
        <v>0</v>
      </c>
      <c r="AP207" s="47">
        <v>0</v>
      </c>
      <c r="AQ207" s="46">
        <v>0</v>
      </c>
      <c r="AR207" s="46">
        <v>0</v>
      </c>
      <c r="AS207" s="47">
        <v>0</v>
      </c>
      <c r="AT207" s="46">
        <v>0</v>
      </c>
      <c r="AU207" s="46">
        <v>0</v>
      </c>
      <c r="AV207" s="46">
        <v>0</v>
      </c>
      <c r="AW207" s="1545">
        <v>0</v>
      </c>
      <c r="AX207" s="10">
        <f t="shared" si="169"/>
        <v>20</v>
      </c>
      <c r="AY207" s="42">
        <f>IF(AND($E207=MONTH(Summary!$E$24),$D207=YEAR(Summary!$E$24)),Summary!$E$25,1)*IF(G207="",0,INT((H207-MOD(H207,7)-G207)/7)+1-IF(BA207,IF(WEEKDAY(F207)=7,1,0),0))</f>
        <v>4</v>
      </c>
      <c r="AZ207" s="42">
        <f>IF(AND($E207=MONTH(Summary!$E$24),$D207=YEAR(Summary!$E$24)),Summary!$E$25,1)*IF(G207="",0,INT((H207-MOD(H207-1,7)-G207)/7)+1-IF(BA207,IF(WEEKDAY(F207)=1,1,0),0))</f>
        <v>5</v>
      </c>
      <c r="BA207" s="42">
        <v>1</v>
      </c>
      <c r="BB207" s="10">
        <f>IF(AND($E207=MONTH(Summary!$E$24),$D207=YEAR(Summary!$E$24)),Summary!$E$25,1)*IF(G207="",0,H207-G207+1)</f>
        <v>30</v>
      </c>
      <c r="BC207" s="914">
        <f>Summary!$E$19</f>
        <v>1.4999999999999999E-2</v>
      </c>
      <c r="BD207" s="113">
        <v>14184</v>
      </c>
      <c r="BE207" s="171">
        <v>2836.8</v>
      </c>
      <c r="BF207" s="171">
        <v>4255.2</v>
      </c>
      <c r="BG207" s="174"/>
      <c r="BH207" s="1198">
        <v>1</v>
      </c>
      <c r="BI207" s="1198">
        <v>1</v>
      </c>
      <c r="BJ207" s="1198">
        <v>1</v>
      </c>
      <c r="BK207" s="1198">
        <v>1</v>
      </c>
      <c r="BL207" s="95">
        <v>2836.8</v>
      </c>
      <c r="BM207" s="171">
        <v>567.36</v>
      </c>
      <c r="BN207" s="171">
        <v>851.04</v>
      </c>
      <c r="BO207" s="174"/>
      <c r="BP207" s="1198">
        <v>1</v>
      </c>
      <c r="BQ207" s="1199">
        <v>1</v>
      </c>
      <c r="BR207" s="1199">
        <v>1</v>
      </c>
      <c r="BS207" s="1200">
        <v>1</v>
      </c>
      <c r="BT207" s="94">
        <f t="shared" si="146"/>
        <v>21276</v>
      </c>
      <c r="BU207" s="233">
        <f t="shared" si="147"/>
        <v>21276</v>
      </c>
      <c r="BV207" s="92">
        <f t="shared" si="148"/>
        <v>4255.2000000000007</v>
      </c>
      <c r="BW207" s="233">
        <f t="shared" si="149"/>
        <v>4255.2000000000007</v>
      </c>
      <c r="BX207" s="88">
        <v>15.879534565366187</v>
      </c>
      <c r="BY207" s="90">
        <v>0</v>
      </c>
      <c r="BZ207" s="88">
        <v>0</v>
      </c>
      <c r="CA207" s="88">
        <v>0</v>
      </c>
      <c r="CB207" s="88">
        <v>0</v>
      </c>
      <c r="CC207" s="88">
        <v>0</v>
      </c>
      <c r="CD207" s="88">
        <v>0</v>
      </c>
      <c r="CE207" s="100">
        <v>0</v>
      </c>
      <c r="CF207" s="88">
        <v>0</v>
      </c>
      <c r="CG207" s="88">
        <v>0</v>
      </c>
      <c r="CH207" s="88">
        <v>0</v>
      </c>
      <c r="CI207" s="88">
        <v>0</v>
      </c>
      <c r="CJ207" s="228">
        <v>0</v>
      </c>
      <c r="CK207" s="88">
        <v>0</v>
      </c>
      <c r="CL207" s="88">
        <v>0</v>
      </c>
      <c r="CM207" s="88">
        <v>0</v>
      </c>
      <c r="CN207" s="88">
        <v>0</v>
      </c>
      <c r="CO207" s="88">
        <v>0</v>
      </c>
      <c r="CP207" s="88">
        <v>0</v>
      </c>
      <c r="CQ207" s="229">
        <v>0</v>
      </c>
      <c r="CR207" s="91">
        <v>0</v>
      </c>
      <c r="CS207" s="91">
        <v>0</v>
      </c>
      <c r="CT207" s="91">
        <v>0</v>
      </c>
      <c r="CU207" s="91">
        <v>0</v>
      </c>
      <c r="CV207" s="91">
        <v>0</v>
      </c>
      <c r="CW207" s="91">
        <v>0</v>
      </c>
      <c r="CX207" s="225">
        <v>0</v>
      </c>
      <c r="CY207" s="1265">
        <v>7778.8833600000007</v>
      </c>
      <c r="CZ207" s="90">
        <v>0</v>
      </c>
      <c r="DA207" s="88">
        <v>0</v>
      </c>
      <c r="DB207" s="88">
        <v>0</v>
      </c>
      <c r="DC207" s="88">
        <v>0</v>
      </c>
      <c r="DD207" s="88">
        <v>0</v>
      </c>
      <c r="DE207" s="152">
        <v>0</v>
      </c>
      <c r="DF207" s="230">
        <v>0</v>
      </c>
      <c r="DG207" s="38">
        <v>0</v>
      </c>
      <c r="DH207" s="1237">
        <v>0</v>
      </c>
      <c r="DI207" s="956">
        <v>0</v>
      </c>
      <c r="DJ207" s="956">
        <v>0</v>
      </c>
      <c r="DK207" s="956">
        <v>0</v>
      </c>
      <c r="DL207" s="152">
        <v>0</v>
      </c>
      <c r="DM207" s="160">
        <v>0</v>
      </c>
      <c r="DN207" s="160">
        <v>0</v>
      </c>
      <c r="DO207" s="160">
        <v>0</v>
      </c>
      <c r="DP207" s="160">
        <v>0</v>
      </c>
      <c r="DQ207" s="160">
        <v>0</v>
      </c>
      <c r="DR207" s="230">
        <v>0</v>
      </c>
      <c r="DS207" s="88">
        <v>0</v>
      </c>
      <c r="DT207" s="88">
        <v>0</v>
      </c>
      <c r="DU207" s="88">
        <v>0</v>
      </c>
      <c r="DV207" s="88">
        <v>0</v>
      </c>
      <c r="DW207" s="88">
        <v>0</v>
      </c>
      <c r="DX207" s="88">
        <v>0</v>
      </c>
      <c r="DY207" s="88">
        <v>0</v>
      </c>
      <c r="DZ207" s="88">
        <v>0</v>
      </c>
      <c r="EA207" s="88">
        <v>0</v>
      </c>
      <c r="EB207" s="152">
        <v>0</v>
      </c>
      <c r="EC207" s="52">
        <f t="shared" si="150"/>
        <v>0</v>
      </c>
      <c r="ED207" s="52">
        <f t="shared" si="150"/>
        <v>0</v>
      </c>
      <c r="EE207" s="52">
        <f t="shared" si="150"/>
        <v>0</v>
      </c>
      <c r="EF207" s="52">
        <f t="shared" si="150"/>
        <v>0</v>
      </c>
      <c r="EG207" s="52">
        <f t="shared" si="151"/>
        <v>0</v>
      </c>
      <c r="EH207" s="238">
        <v>0</v>
      </c>
      <c r="EI207" s="211">
        <v>0</v>
      </c>
      <c r="EJ207" s="211">
        <v>0</v>
      </c>
      <c r="EK207" s="211">
        <v>0</v>
      </c>
      <c r="EL207" s="217">
        <f>IF(C207&gt;=Summary!$E$26,MAX(0,SUM(EH207:EK207)),0)</f>
        <v>0</v>
      </c>
      <c r="EM207" s="52">
        <f>IF(C207&gt;=Summary!$E$26,DX207*BL207,0)</f>
        <v>0</v>
      </c>
      <c r="EN207" s="52">
        <f>IF(C207&gt;=Summary!$E$26,DY207*BM207,0)</f>
        <v>0</v>
      </c>
      <c r="EO207" s="52">
        <f>IF(C207&gt;=Summary!$E$26,DZ207*BN207,0)</f>
        <v>0</v>
      </c>
      <c r="EP207" s="52">
        <f>IF(C207&gt;=Summary!$E$26,EA207*BO207,0)</f>
        <v>0</v>
      </c>
      <c r="EQ207" s="52">
        <f>IF(C207&gt;=Summary!$E$26,DX207*BL207+DY207*BM207+DZ207*BN207+EA207*BO207,0)</f>
        <v>0</v>
      </c>
      <c r="ER207" s="826">
        <v>0</v>
      </c>
      <c r="ES207" s="278">
        <v>0</v>
      </c>
      <c r="ET207" s="278">
        <v>0</v>
      </c>
      <c r="EU207" s="278">
        <v>0</v>
      </c>
      <c r="EV207" s="212">
        <f>IF(C207&gt;=Summary!$E$26,MAX(0,SUM(ER207:EU207)),0)</f>
        <v>0</v>
      </c>
      <c r="EW207" s="52"/>
      <c r="EX207" s="1049">
        <f t="shared" si="152"/>
        <v>0</v>
      </c>
      <c r="EY207" s="1045" t="str">
        <f t="shared" si="153"/>
        <v/>
      </c>
      <c r="EZ207" s="1684" t="s">
        <v>525</v>
      </c>
      <c r="FA207" s="1046">
        <f t="shared" si="166"/>
        <v>45</v>
      </c>
      <c r="FB207" s="256">
        <f t="shared" si="154"/>
        <v>8865</v>
      </c>
      <c r="FC207" s="194">
        <f t="shared" si="155"/>
        <v>2659.5</v>
      </c>
      <c r="FD207" s="194">
        <f t="shared" si="156"/>
        <v>1773</v>
      </c>
      <c r="FE207" s="194">
        <f t="shared" si="157"/>
        <v>531.9</v>
      </c>
      <c r="FF207" s="194">
        <f t="shared" si="158"/>
        <v>2659.5</v>
      </c>
      <c r="FG207" s="194">
        <f t="shared" si="159"/>
        <v>797.85</v>
      </c>
      <c r="FH207" s="257">
        <f>IF(EZ207="No",IF((OR(MONTH(C207)=5,MONTH(C207)=6,MONTH(C207)=7,MONTH(C207)=8,MONTH(C207)=9)),Summary!$O$15*12*(AX207+AY207+AZ207+BA207)*(1-$BC207),Summary!$O$15*13*(AX207+AY207+AZ207+BA207)*(1-$BC207)+IF(Summary!$O$16="Yes",(CALC!FA207+Summary!$O$15)*6*(AX207+AY207+AZ207+BA207)*(1-$BC207),0)),0)</f>
        <v>0</v>
      </c>
      <c r="FI207" s="1412">
        <f>IF(MONTH(C207)=5,FI206*(IF(Summary!$E$70="no",(1+(Summary!$E$71*0.8)),1+HLOOKUP(YEAR(C207)-1,CCFMODEL!$I$127:$AF$128,2)*0.8)),+FI206)</f>
        <v>38.879706486334918</v>
      </c>
      <c r="FJ207" s="1411">
        <f>IF(MONTH(C207)=5,FJ206*(IF(Summary!$E$70="no",(1+(Summary!$E$71*0.8)),1+HLOOKUP(YEAR(CALC!C207)-1,CCFMODEL!$I$127:$AF$128,2)*0.8)),FJ206)</f>
        <v>33.981475747899019</v>
      </c>
      <c r="FK207" s="832">
        <f t="shared" si="127"/>
        <v>672103.76610265009</v>
      </c>
      <c r="FL207" s="1412">
        <f>IF(MONTH(C207)=5,FL206*(IF(Summary!$E$70="no",(1+(Summary!$E$71*0.8)),1+HLOOKUP(YEAR(CALC!C207)-1,CCFMODEL!$I$127:$AF$128,2)*0.8)),+FL206)</f>
        <v>81.76838158299681</v>
      </c>
      <c r="FM207" s="1411">
        <f>IF(MONTH(C207)=5,FM206*(IF(Summary!$E$70="no",(1+(Summary!$E$71*0.8)),1+HLOOKUP(YEAR(CALC!C207)-1,CCFMODEL!$I$127:$AF$128,2)*0.8)),+FM206)</f>
        <v>39.025487163074075</v>
      </c>
      <c r="FN207" s="832">
        <f t="shared" si="128"/>
        <v>684897.29971195001</v>
      </c>
      <c r="FO207" s="194">
        <f t="shared" si="160"/>
        <v>1357001.0658146001</v>
      </c>
      <c r="FP207" s="263">
        <f t="shared" si="177"/>
        <v>8865</v>
      </c>
      <c r="FQ207" s="194">
        <f t="shared" si="178"/>
        <v>2659.5</v>
      </c>
      <c r="FR207" s="194">
        <f t="shared" si="179"/>
        <v>1773</v>
      </c>
      <c r="FS207" s="194">
        <f t="shared" si="176"/>
        <v>531.9</v>
      </c>
      <c r="FT207" s="194">
        <f t="shared" si="176"/>
        <v>2659.5</v>
      </c>
      <c r="FU207" s="194">
        <f t="shared" si="176"/>
        <v>797.85</v>
      </c>
      <c r="FV207" s="257">
        <f t="shared" si="176"/>
        <v>0</v>
      </c>
      <c r="FW207" s="189">
        <f t="shared" si="129"/>
        <v>0</v>
      </c>
      <c r="FX207" s="189">
        <f t="shared" si="130"/>
        <v>0</v>
      </c>
      <c r="FY207" s="189">
        <f t="shared" si="131"/>
        <v>0</v>
      </c>
      <c r="FZ207" s="258">
        <f t="shared" si="132"/>
        <v>0</v>
      </c>
      <c r="GA207" s="1294">
        <f>(SUM(FP207:FV207)+SUM(GU207:HB207)/(1-Summary!$O$25))*CY207/1000</f>
        <v>229636.13728471199</v>
      </c>
      <c r="GB207" s="1369">
        <f>IF($C207&lt;Summary!$M$81,+Summary!$O$81,VLOOKUP(C207,GasTable,19))</f>
        <v>4.0381967640954688</v>
      </c>
      <c r="GC207" s="1370">
        <f>IF(H207&lt;=Summary!$N$84,MIN(GA207,Summary!$O$75*(H207-G207+1)),0)</f>
        <v>0</v>
      </c>
      <c r="GD207" s="1371">
        <f>IF(C207&lt;Summary!$N$84,IF(Summary!$O$75*(H207-G207+1)*0.8&gt;GC207,1,0),0)</f>
        <v>0</v>
      </c>
      <c r="GE207" s="1372">
        <v>0</v>
      </c>
      <c r="GF207" s="1370">
        <f t="shared" si="161"/>
        <v>229636.13728471199</v>
      </c>
      <c r="GG207" s="1371">
        <f>GF207*(IF(Summary!$O$74=1,VLOOKUP($C207,GasTable,16)+Summary!$O$92+Summary!$O$93,VLOOKUP($C207,GasTable,19)+Summary!$O$92+Summary!$O$93))</f>
        <v>939279.94925504038</v>
      </c>
      <c r="GH207" s="1373">
        <v>6057.2951461432031</v>
      </c>
      <c r="GI207" s="1466">
        <v>0</v>
      </c>
      <c r="GJ207" s="1374">
        <f t="shared" si="162"/>
        <v>945337.24440118356</v>
      </c>
      <c r="GK207" s="189">
        <f t="shared" si="133"/>
        <v>29092.270499999999</v>
      </c>
      <c r="GL207" s="266">
        <v>0.52118518512000001</v>
      </c>
      <c r="GM207" s="255">
        <f t="shared" si="134"/>
        <v>0</v>
      </c>
      <c r="GN207" s="189">
        <f>IF(SUM(GU207:HB207)=0,0,IF(Summary!$O$16="Yes",SUM(GX207:HB207),IF(Summary!$O$17="Yes",SUM(GY207:HB207),SUM(GU207:HB207))))</f>
        <v>11805.520499999999</v>
      </c>
      <c r="GO207" s="203">
        <v>3.7072232698888055</v>
      </c>
      <c r="GP207" s="258">
        <f t="shared" si="163"/>
        <v>43765.700310749322</v>
      </c>
      <c r="GQ207" s="189"/>
      <c r="GR207" s="189"/>
      <c r="GS207" s="189"/>
      <c r="GT207" s="189"/>
      <c r="GU207" s="268">
        <v>5132.835</v>
      </c>
      <c r="GV207" s="189">
        <v>1026.5670000000002</v>
      </c>
      <c r="GW207" s="189">
        <v>1539.8504999999998</v>
      </c>
      <c r="GX207" s="189"/>
      <c r="GY207" s="254">
        <v>2737.5120000000002</v>
      </c>
      <c r="GZ207" s="189">
        <v>547.50239999999997</v>
      </c>
      <c r="HA207" s="189">
        <v>821.25359999999989</v>
      </c>
      <c r="HB207" s="255"/>
      <c r="HC207" s="189">
        <v>11805.520499999999</v>
      </c>
      <c r="HD207" s="189"/>
      <c r="HE207" s="189">
        <v>20274.698249999998</v>
      </c>
      <c r="HF207" s="189">
        <v>643555.76274855854</v>
      </c>
      <c r="HG207" s="189"/>
      <c r="HH207" s="203">
        <v>54.192215814120154</v>
      </c>
      <c r="HI207" s="189">
        <v>1098730.8231301641</v>
      </c>
      <c r="HJ207" s="268">
        <f t="shared" si="135"/>
        <v>0</v>
      </c>
      <c r="HK207" s="189">
        <f t="shared" si="136"/>
        <v>0</v>
      </c>
      <c r="HL207" s="189">
        <f t="shared" si="137"/>
        <v>0</v>
      </c>
      <c r="HM207" s="255">
        <f t="shared" si="138"/>
        <v>0</v>
      </c>
      <c r="HN207" s="189">
        <f t="shared" si="139"/>
        <v>0</v>
      </c>
      <c r="HO207" s="203">
        <f t="shared" si="164"/>
        <v>0</v>
      </c>
      <c r="HP207" s="258">
        <f t="shared" si="140"/>
        <v>0</v>
      </c>
      <c r="HQ207" s="804"/>
      <c r="HR207" s="268"/>
      <c r="HS207" s="1408"/>
      <c r="HT207" s="255"/>
      <c r="HU207" s="268"/>
      <c r="HV207" s="1408"/>
      <c r="HW207" s="255"/>
      <c r="HX207" s="1408"/>
      <c r="HY207" s="1408"/>
      <c r="HZ207"/>
      <c r="IA207" s="203"/>
      <c r="IB207" s="203"/>
      <c r="IC207" s="203"/>
      <c r="ID207" s="203"/>
      <c r="IE207" s="203"/>
      <c r="IF207" s="203"/>
      <c r="IG207" s="203"/>
      <c r="IH207" s="203"/>
      <c r="II207" s="203"/>
      <c r="IJ207" s="203"/>
      <c r="IK207" s="203"/>
      <c r="IL207" s="821"/>
      <c r="IM207" s="820"/>
      <c r="IN207" s="820"/>
      <c r="IR207" s="223"/>
    </row>
    <row r="208" spans="1:252" ht="13.8" thickBot="1">
      <c r="A208" t="str">
        <f t="shared" si="141"/>
        <v>2015Q4</v>
      </c>
      <c r="B208">
        <f t="shared" si="142"/>
        <v>2015</v>
      </c>
      <c r="C208" s="49">
        <f t="shared" si="143"/>
        <v>42339</v>
      </c>
      <c r="D208" s="115">
        <f t="shared" si="144"/>
        <v>2015</v>
      </c>
      <c r="E208" s="10">
        <f t="shared" si="167"/>
        <v>12</v>
      </c>
      <c r="F208" s="248">
        <f t="shared" si="168"/>
        <v>42363</v>
      </c>
      <c r="G208" s="245">
        <v>42339</v>
      </c>
      <c r="H208" s="251">
        <v>42369</v>
      </c>
      <c r="I208" s="959">
        <f t="shared" si="165"/>
        <v>7.1499999999999994E-2</v>
      </c>
      <c r="J208" s="37">
        <f t="shared" si="145"/>
        <v>0.32272657026979173</v>
      </c>
      <c r="K208" s="1036"/>
      <c r="L208" s="37"/>
      <c r="M208" s="1004">
        <v>0</v>
      </c>
      <c r="N208" s="38">
        <f t="shared" si="181"/>
        <v>0</v>
      </c>
      <c r="O208" s="40">
        <f t="shared" si="181"/>
        <v>0</v>
      </c>
      <c r="P208" s="159">
        <f t="shared" si="172"/>
        <v>0</v>
      </c>
      <c r="Q208" s="38">
        <f t="shared" si="183"/>
        <v>0</v>
      </c>
      <c r="R208" s="40">
        <f t="shared" si="183"/>
        <v>0</v>
      </c>
      <c r="S208" s="38">
        <f t="shared" si="183"/>
        <v>0</v>
      </c>
      <c r="T208" s="38">
        <f t="shared" si="183"/>
        <v>0</v>
      </c>
      <c r="U208" s="38">
        <f t="shared" si="183"/>
        <v>0</v>
      </c>
      <c r="V208" s="159">
        <f t="shared" si="183"/>
        <v>0</v>
      </c>
      <c r="W208" s="38">
        <f t="shared" si="183"/>
        <v>0</v>
      </c>
      <c r="X208" s="39">
        <f t="shared" si="183"/>
        <v>0</v>
      </c>
      <c r="Y208" s="46">
        <v>0</v>
      </c>
      <c r="Z208" s="46">
        <v>0</v>
      </c>
      <c r="AA208" s="47">
        <v>0</v>
      </c>
      <c r="AB208" s="46">
        <v>0</v>
      </c>
      <c r="AC208" s="46">
        <v>0</v>
      </c>
      <c r="AD208" s="47">
        <v>0</v>
      </c>
      <c r="AE208" s="46">
        <v>0</v>
      </c>
      <c r="AF208" s="46">
        <v>0</v>
      </c>
      <c r="AG208" s="47">
        <v>0</v>
      </c>
      <c r="AH208" s="46">
        <v>0</v>
      </c>
      <c r="AI208" s="46">
        <v>0</v>
      </c>
      <c r="AJ208" s="47">
        <v>0</v>
      </c>
      <c r="AK208" s="46">
        <v>0</v>
      </c>
      <c r="AL208" s="46">
        <v>0</v>
      </c>
      <c r="AM208" s="47">
        <v>0</v>
      </c>
      <c r="AN208" s="46">
        <v>0</v>
      </c>
      <c r="AO208" s="46">
        <v>0</v>
      </c>
      <c r="AP208" s="47">
        <v>0</v>
      </c>
      <c r="AQ208" s="46">
        <v>0</v>
      </c>
      <c r="AR208" s="46">
        <v>0</v>
      </c>
      <c r="AS208" s="47">
        <v>0</v>
      </c>
      <c r="AT208" s="46">
        <v>0</v>
      </c>
      <c r="AU208" s="46">
        <v>0</v>
      </c>
      <c r="AV208" s="46">
        <v>0</v>
      </c>
      <c r="AW208" s="1545">
        <v>0</v>
      </c>
      <c r="AX208" s="10">
        <f t="shared" si="169"/>
        <v>22</v>
      </c>
      <c r="AY208" s="42">
        <f>IF(AND($E208=MONTH(Summary!$E$24),$D208=YEAR(Summary!$E$24)),Summary!$E$25,1)*IF(G208="",0,INT((H208-MOD(H208,7)-G208)/7)+1-IF(BA208,IF(WEEKDAY(F208)=7,1,0),0))</f>
        <v>4</v>
      </c>
      <c r="AZ208" s="42">
        <f>IF(AND($E208=MONTH(Summary!$E$24),$D208=YEAR(Summary!$E$24)),Summary!$E$25,1)*IF(G208="",0,INT((H208-MOD(H208-1,7)-G208)/7)+1-IF(BA208,IF(WEEKDAY(F208)=1,1,0),0))</f>
        <v>4</v>
      </c>
      <c r="BA208" s="42">
        <v>1</v>
      </c>
      <c r="BB208" s="10">
        <f>IF(AND($E208=MONTH(Summary!$E$24),$D208=YEAR(Summary!$E$24)),Summary!$E$25,1)*IF(G208="",0,H208-G208+1)</f>
        <v>31</v>
      </c>
      <c r="BC208" s="914">
        <f>Summary!$E$19</f>
        <v>1.4999999999999999E-2</v>
      </c>
      <c r="BD208" s="113">
        <v>15602.4</v>
      </c>
      <c r="BE208" s="171">
        <v>2836.8</v>
      </c>
      <c r="BF208" s="171">
        <v>3546</v>
      </c>
      <c r="BG208" s="174"/>
      <c r="BH208" s="1198">
        <v>1</v>
      </c>
      <c r="BI208" s="1198">
        <v>1</v>
      </c>
      <c r="BJ208" s="1198">
        <v>1</v>
      </c>
      <c r="BK208" s="1198">
        <v>1</v>
      </c>
      <c r="BL208" s="95">
        <v>3120.48</v>
      </c>
      <c r="BM208" s="171">
        <v>567.36</v>
      </c>
      <c r="BN208" s="171">
        <v>709.2</v>
      </c>
      <c r="BO208" s="174"/>
      <c r="BP208" s="1198">
        <v>1</v>
      </c>
      <c r="BQ208" s="1199">
        <v>1</v>
      </c>
      <c r="BR208" s="1199">
        <v>1</v>
      </c>
      <c r="BS208" s="1200">
        <v>1</v>
      </c>
      <c r="BT208" s="94">
        <f t="shared" si="146"/>
        <v>21985.200000000001</v>
      </c>
      <c r="BU208" s="233">
        <f t="shared" si="147"/>
        <v>21985.200000000001</v>
      </c>
      <c r="BV208" s="92">
        <f t="shared" si="148"/>
        <v>4397.04</v>
      </c>
      <c r="BW208" s="233">
        <f t="shared" si="149"/>
        <v>4397.04</v>
      </c>
      <c r="BX208" s="88">
        <v>15.961670088980151</v>
      </c>
      <c r="BY208" s="90">
        <v>0</v>
      </c>
      <c r="BZ208" s="88">
        <v>0</v>
      </c>
      <c r="CA208" s="88">
        <v>0</v>
      </c>
      <c r="CB208" s="88">
        <v>0</v>
      </c>
      <c r="CC208" s="88">
        <v>0</v>
      </c>
      <c r="CD208" s="88">
        <v>0</v>
      </c>
      <c r="CE208" s="100">
        <v>0</v>
      </c>
      <c r="CF208" s="88">
        <v>0</v>
      </c>
      <c r="CG208" s="88">
        <v>0</v>
      </c>
      <c r="CH208" s="88">
        <v>0</v>
      </c>
      <c r="CI208" s="88">
        <v>0</v>
      </c>
      <c r="CJ208" s="228">
        <v>0</v>
      </c>
      <c r="CK208" s="88">
        <v>0</v>
      </c>
      <c r="CL208" s="88">
        <v>0</v>
      </c>
      <c r="CM208" s="88">
        <v>0</v>
      </c>
      <c r="CN208" s="88">
        <v>0</v>
      </c>
      <c r="CO208" s="88">
        <v>0</v>
      </c>
      <c r="CP208" s="88">
        <v>0</v>
      </c>
      <c r="CQ208" s="229">
        <v>0</v>
      </c>
      <c r="CR208" s="91">
        <v>0</v>
      </c>
      <c r="CS208" s="91">
        <v>0</v>
      </c>
      <c r="CT208" s="91">
        <v>0</v>
      </c>
      <c r="CU208" s="91">
        <v>0</v>
      </c>
      <c r="CV208" s="91">
        <v>0</v>
      </c>
      <c r="CW208" s="91">
        <v>0</v>
      </c>
      <c r="CX208" s="225">
        <v>0</v>
      </c>
      <c r="CY208" s="1265">
        <v>7664</v>
      </c>
      <c r="CZ208" s="90">
        <v>0</v>
      </c>
      <c r="DA208" s="88">
        <v>0</v>
      </c>
      <c r="DB208" s="88">
        <v>0</v>
      </c>
      <c r="DC208" s="88">
        <v>0</v>
      </c>
      <c r="DD208" s="88">
        <v>0</v>
      </c>
      <c r="DE208" s="152">
        <v>0</v>
      </c>
      <c r="DF208" s="230">
        <v>0</v>
      </c>
      <c r="DG208" s="38">
        <v>0</v>
      </c>
      <c r="DH208" s="1237">
        <v>0</v>
      </c>
      <c r="DI208" s="956">
        <v>0</v>
      </c>
      <c r="DJ208" s="956">
        <v>0</v>
      </c>
      <c r="DK208" s="956">
        <v>0</v>
      </c>
      <c r="DL208" s="152">
        <v>0</v>
      </c>
      <c r="DM208" s="160">
        <v>0</v>
      </c>
      <c r="DN208" s="160">
        <v>0</v>
      </c>
      <c r="DO208" s="160">
        <v>0</v>
      </c>
      <c r="DP208" s="160">
        <v>0</v>
      </c>
      <c r="DQ208" s="160">
        <v>0</v>
      </c>
      <c r="DR208" s="230">
        <v>0</v>
      </c>
      <c r="DS208" s="88">
        <v>0</v>
      </c>
      <c r="DT208" s="88">
        <v>0</v>
      </c>
      <c r="DU208" s="88">
        <v>0</v>
      </c>
      <c r="DV208" s="88">
        <v>0</v>
      </c>
      <c r="DW208" s="88">
        <v>0</v>
      </c>
      <c r="DX208" s="88">
        <v>0</v>
      </c>
      <c r="DY208" s="88">
        <v>0</v>
      </c>
      <c r="DZ208" s="88">
        <v>0</v>
      </c>
      <c r="EA208" s="88">
        <v>0</v>
      </c>
      <c r="EB208" s="152">
        <v>0</v>
      </c>
      <c r="EC208" s="52">
        <f t="shared" si="150"/>
        <v>0</v>
      </c>
      <c r="ED208" s="52">
        <f t="shared" si="150"/>
        <v>0</v>
      </c>
      <c r="EE208" s="52">
        <f t="shared" si="150"/>
        <v>0</v>
      </c>
      <c r="EF208" s="52">
        <f t="shared" si="150"/>
        <v>0</v>
      </c>
      <c r="EG208" s="52">
        <f t="shared" si="151"/>
        <v>0</v>
      </c>
      <c r="EH208" s="238">
        <v>0</v>
      </c>
      <c r="EI208" s="211">
        <v>0</v>
      </c>
      <c r="EJ208" s="211">
        <v>0</v>
      </c>
      <c r="EK208" s="211">
        <v>0</v>
      </c>
      <c r="EL208" s="217">
        <f>IF(C208&gt;=Summary!$E$26,MAX(0,SUM(EH208:EK208)),0)</f>
        <v>0</v>
      </c>
      <c r="EM208" s="52">
        <f>IF(C208&gt;=Summary!$E$26,DX208*BL208,0)</f>
        <v>0</v>
      </c>
      <c r="EN208" s="52">
        <f>IF(C208&gt;=Summary!$E$26,DY208*BM208,0)</f>
        <v>0</v>
      </c>
      <c r="EO208" s="52">
        <f>IF(C208&gt;=Summary!$E$26,DZ208*BN208,0)</f>
        <v>0</v>
      </c>
      <c r="EP208" s="52">
        <f>IF(C208&gt;=Summary!$E$26,EA208*BO208,0)</f>
        <v>0</v>
      </c>
      <c r="EQ208" s="52">
        <f>IF(C208&gt;=Summary!$E$26,DX208*BL208+DY208*BM208+DZ208*BN208+EA208*BO208,0)</f>
        <v>0</v>
      </c>
      <c r="ER208" s="826">
        <v>0</v>
      </c>
      <c r="ES208" s="278">
        <v>0</v>
      </c>
      <c r="ET208" s="278">
        <v>0</v>
      </c>
      <c r="EU208" s="278">
        <v>0</v>
      </c>
      <c r="EV208" s="212">
        <f>IF(C208&gt;=Summary!$E$26,MAX(0,SUM(ER208:EU208)),0)</f>
        <v>0</v>
      </c>
      <c r="EW208" s="52"/>
      <c r="EX208" s="1049">
        <f t="shared" si="152"/>
        <v>0</v>
      </c>
      <c r="EY208" s="1045" t="str">
        <f t="shared" si="153"/>
        <v/>
      </c>
      <c r="EZ208" s="1684" t="s">
        <v>525</v>
      </c>
      <c r="FA208" s="1046">
        <f t="shared" si="166"/>
        <v>45</v>
      </c>
      <c r="FB208" s="256">
        <f t="shared" si="154"/>
        <v>9751.5</v>
      </c>
      <c r="FC208" s="194">
        <f t="shared" si="155"/>
        <v>2925.45</v>
      </c>
      <c r="FD208" s="194">
        <f t="shared" si="156"/>
        <v>1773</v>
      </c>
      <c r="FE208" s="194">
        <f t="shared" si="157"/>
        <v>531.9</v>
      </c>
      <c r="FF208" s="194">
        <f t="shared" si="158"/>
        <v>2216.25</v>
      </c>
      <c r="FG208" s="194">
        <f t="shared" si="159"/>
        <v>664.875</v>
      </c>
      <c r="FH208" s="257">
        <f>IF(EZ208="No",IF((OR(MONTH(C208)=5,MONTH(C208)=6,MONTH(C208)=7,MONTH(C208)=8,MONTH(C208)=9)),Summary!$O$15*12*(AX208+AY208+AZ208+BA208)*(1-$BC208),Summary!$O$15*13*(AX208+AY208+AZ208+BA208)*(1-$BC208)+IF(Summary!$O$16="Yes",(CALC!FA208+Summary!$O$15)*6*(AX208+AY208+AZ208+BA208)*(1-$BC208),0)),0)</f>
        <v>0</v>
      </c>
      <c r="FI208" s="1412">
        <f>IF(MONTH(C208)=5,FI207*(IF(Summary!$E$70="no",(1+(Summary!$E$71*0.8)),1+HLOOKUP(YEAR(C208)-1,CCFMODEL!$I$127:$AF$128,2)*0.8)),+FI207)</f>
        <v>38.879706486334918</v>
      </c>
      <c r="FJ208" s="1411">
        <f>IF(MONTH(C208)=5,FJ207*(IF(Summary!$E$70="no",(1+(Summary!$E$71*0.8)),1+HLOOKUP(YEAR(CALC!C208)-1,CCFMODEL!$I$127:$AF$128,2)*0.8)),FJ207)</f>
        <v>33.981475747899019</v>
      </c>
      <c r="FK208" s="832">
        <f t="shared" si="127"/>
        <v>694507.22497273842</v>
      </c>
      <c r="FL208" s="1412">
        <f>IF(MONTH(C208)=5,FL207*(IF(Summary!$E$70="no",(1+(Summary!$E$71*0.8)),1+HLOOKUP(YEAR(CALC!C208)-1,CCFMODEL!$I$127:$AF$128,2)*0.8)),+FL207)</f>
        <v>81.76838158299681</v>
      </c>
      <c r="FM208" s="1411">
        <f>IF(MONTH(C208)=5,FM207*(IF(Summary!$E$70="no",(1+(Summary!$E$71*0.8)),1+HLOOKUP(YEAR(CALC!C208)-1,CCFMODEL!$I$127:$AF$128,2)*0.8)),+FM207)</f>
        <v>39.025487163074075</v>
      </c>
      <c r="FN208" s="832">
        <f t="shared" si="128"/>
        <v>707727.20970234834</v>
      </c>
      <c r="FO208" s="194">
        <f t="shared" si="160"/>
        <v>1402234.4346750868</v>
      </c>
      <c r="FP208" s="263">
        <f t="shared" si="177"/>
        <v>9751.5</v>
      </c>
      <c r="FQ208" s="194">
        <f t="shared" si="178"/>
        <v>2925.45</v>
      </c>
      <c r="FR208" s="194">
        <f t="shared" si="179"/>
        <v>1773</v>
      </c>
      <c r="FS208" s="194">
        <f t="shared" si="176"/>
        <v>531.9</v>
      </c>
      <c r="FT208" s="194">
        <f t="shared" si="176"/>
        <v>2216.25</v>
      </c>
      <c r="FU208" s="194">
        <f t="shared" si="176"/>
        <v>664.875</v>
      </c>
      <c r="FV208" s="257">
        <f t="shared" si="176"/>
        <v>0</v>
      </c>
      <c r="FW208" s="189">
        <f t="shared" si="129"/>
        <v>0</v>
      </c>
      <c r="FX208" s="189">
        <f t="shared" si="130"/>
        <v>0</v>
      </c>
      <c r="FY208" s="189">
        <f t="shared" si="131"/>
        <v>0</v>
      </c>
      <c r="FZ208" s="258">
        <f t="shared" si="132"/>
        <v>0</v>
      </c>
      <c r="GA208" s="1294">
        <f>(SUM(FP208:FV208)+SUM(GU208:HB208)/(1-Summary!$O$25))*CY208/1000</f>
        <v>233786.21975999995</v>
      </c>
      <c r="GB208" s="1369">
        <f>IF($C208&lt;Summary!$M$81,+Summary!$O$81,VLOOKUP(C208,GasTable,19))</f>
        <v>4.2099618724691004</v>
      </c>
      <c r="GC208" s="1370">
        <f>IF(H208&lt;=Summary!$N$84,MIN(GA208,Summary!$O$75*(H208-G208+1)),0)</f>
        <v>0</v>
      </c>
      <c r="GD208" s="1371">
        <f>IF(C208&lt;Summary!$N$84,IF(Summary!$O$75*(H208-G208+1)*0.8&gt;GC208,1,0),0)</f>
        <v>0</v>
      </c>
      <c r="GE208" s="1372">
        <v>0</v>
      </c>
      <c r="GF208" s="1370">
        <f t="shared" si="161"/>
        <v>233786.21975999995</v>
      </c>
      <c r="GG208" s="1371">
        <f>GF208*(IF(Summary!$O$74=1,VLOOKUP($C208,GasTable,16)+Summary!$O$92+Summary!$O$93,VLOOKUP($C208,GasTable,19)+Summary!$O$92+Summary!$O$93))</f>
        <v>996411.33354777808</v>
      </c>
      <c r="GH208" s="1373">
        <v>6525.4409023271055</v>
      </c>
      <c r="GI208" s="1466">
        <v>0</v>
      </c>
      <c r="GJ208" s="1374">
        <f t="shared" si="162"/>
        <v>1002936.7744501051</v>
      </c>
      <c r="GK208" s="189">
        <f t="shared" si="133"/>
        <v>30062.012850000003</v>
      </c>
      <c r="GL208" s="266">
        <v>0.51348800000000006</v>
      </c>
      <c r="GM208" s="255">
        <f t="shared" si="134"/>
        <v>0</v>
      </c>
      <c r="GN208" s="189">
        <f>IF(SUM(GU208:HB208)=0,0,IF(Summary!$O$16="Yes",SUM(GX208:HB208),IF(Summary!$O$17="Yes",SUM(GY208:HB208),SUM(GU208:HB208))))</f>
        <v>12199.037849999999</v>
      </c>
      <c r="GO208" s="203">
        <v>3.7072232698888055</v>
      </c>
      <c r="GP208" s="258">
        <f t="shared" si="163"/>
        <v>45224.556987774296</v>
      </c>
      <c r="GQ208" s="189"/>
      <c r="GR208" s="189"/>
      <c r="GS208" s="189"/>
      <c r="GT208" s="189"/>
      <c r="GU208" s="268">
        <v>5646.1184999999996</v>
      </c>
      <c r="GV208" s="189">
        <v>1026.5670000000002</v>
      </c>
      <c r="GW208" s="189">
        <v>1283.20875</v>
      </c>
      <c r="GX208" s="189"/>
      <c r="GY208" s="254">
        <v>3011.2631999999999</v>
      </c>
      <c r="GZ208" s="189">
        <v>547.50239999999997</v>
      </c>
      <c r="HA208" s="189">
        <v>684.37800000000004</v>
      </c>
      <c r="HB208" s="255"/>
      <c r="HC208" s="189">
        <v>12199.037849999999</v>
      </c>
      <c r="HD208" s="189"/>
      <c r="HE208" s="189">
        <v>20950.521524999996</v>
      </c>
      <c r="HF208" s="189">
        <v>655650.46283815079</v>
      </c>
      <c r="HG208" s="189"/>
      <c r="HH208" s="203">
        <v>53.399269433323326</v>
      </c>
      <c r="HI208" s="189">
        <v>1118742.5436821147</v>
      </c>
      <c r="HJ208" s="268">
        <f t="shared" si="135"/>
        <v>0</v>
      </c>
      <c r="HK208" s="189">
        <f t="shared" si="136"/>
        <v>0</v>
      </c>
      <c r="HL208" s="189">
        <f t="shared" si="137"/>
        <v>0</v>
      </c>
      <c r="HM208" s="255">
        <f t="shared" si="138"/>
        <v>0</v>
      </c>
      <c r="HN208" s="189">
        <f t="shared" si="139"/>
        <v>0</v>
      </c>
      <c r="HO208" s="203">
        <f t="shared" si="164"/>
        <v>0</v>
      </c>
      <c r="HP208" s="258">
        <f t="shared" si="140"/>
        <v>0</v>
      </c>
      <c r="HQ208" s="804"/>
      <c r="HR208" s="268"/>
      <c r="HS208" s="1408"/>
      <c r="HT208" s="255"/>
      <c r="HU208" s="268"/>
      <c r="HV208" s="1408"/>
      <c r="HW208" s="255"/>
      <c r="HX208" s="1408"/>
      <c r="HY208" s="1408"/>
      <c r="HZ208"/>
      <c r="IA208" s="203"/>
      <c r="IB208" s="203"/>
      <c r="IC208" s="203"/>
      <c r="ID208" s="203"/>
      <c r="IE208" s="203"/>
      <c r="IF208" s="203"/>
      <c r="IG208" s="203"/>
      <c r="IH208" s="203"/>
      <c r="II208" s="203"/>
      <c r="IJ208" s="203"/>
      <c r="IK208" s="203"/>
      <c r="IL208" s="821"/>
      <c r="IM208" s="820"/>
      <c r="IN208" s="820"/>
      <c r="IR208" s="223"/>
    </row>
    <row r="209" spans="1:252" ht="13.8" thickBot="1">
      <c r="A209" t="str">
        <f t="shared" si="141"/>
        <v>2016Q1</v>
      </c>
      <c r="B209">
        <f t="shared" si="142"/>
        <v>2016</v>
      </c>
      <c r="C209" s="49">
        <f t="shared" si="143"/>
        <v>42370</v>
      </c>
      <c r="D209" s="115">
        <f t="shared" si="144"/>
        <v>2016</v>
      </c>
      <c r="E209" s="10">
        <f t="shared" si="167"/>
        <v>1</v>
      </c>
      <c r="F209" s="248">
        <f t="shared" si="168"/>
        <v>42370</v>
      </c>
      <c r="G209" s="245">
        <v>42370</v>
      </c>
      <c r="H209" s="251">
        <v>42400</v>
      </c>
      <c r="I209" s="959">
        <f t="shared" si="165"/>
        <v>7.1499999999999994E-2</v>
      </c>
      <c r="J209" s="37">
        <f t="shared" si="145"/>
        <v>0.32080804139008517</v>
      </c>
      <c r="K209" s="1036"/>
      <c r="L209" s="37"/>
      <c r="M209" s="1004">
        <v>0</v>
      </c>
      <c r="N209" s="38">
        <f t="shared" ref="N209:O228" si="184">M209</f>
        <v>0</v>
      </c>
      <c r="O209" s="40">
        <f t="shared" si="184"/>
        <v>0</v>
      </c>
      <c r="P209" s="159">
        <f t="shared" si="172"/>
        <v>0</v>
      </c>
      <c r="Q209" s="38">
        <f t="shared" ref="Q209:X218" si="185">P209</f>
        <v>0</v>
      </c>
      <c r="R209" s="40">
        <f t="shared" si="185"/>
        <v>0</v>
      </c>
      <c r="S209" s="38">
        <f t="shared" si="185"/>
        <v>0</v>
      </c>
      <c r="T209" s="38">
        <f t="shared" si="185"/>
        <v>0</v>
      </c>
      <c r="U209" s="38">
        <f t="shared" si="185"/>
        <v>0</v>
      </c>
      <c r="V209" s="159">
        <f t="shared" si="185"/>
        <v>0</v>
      </c>
      <c r="W209" s="38">
        <f t="shared" si="185"/>
        <v>0</v>
      </c>
      <c r="X209" s="39">
        <f t="shared" si="185"/>
        <v>0</v>
      </c>
      <c r="Y209" s="46">
        <v>0</v>
      </c>
      <c r="Z209" s="46">
        <v>0</v>
      </c>
      <c r="AA209" s="47">
        <v>0</v>
      </c>
      <c r="AB209" s="46">
        <v>0</v>
      </c>
      <c r="AC209" s="46">
        <v>0</v>
      </c>
      <c r="AD209" s="47">
        <v>0</v>
      </c>
      <c r="AE209" s="46">
        <v>0</v>
      </c>
      <c r="AF209" s="46">
        <v>0</v>
      </c>
      <c r="AG209" s="47">
        <v>0</v>
      </c>
      <c r="AH209" s="46">
        <v>0</v>
      </c>
      <c r="AI209" s="46">
        <v>0</v>
      </c>
      <c r="AJ209" s="47">
        <v>0</v>
      </c>
      <c r="AK209" s="46">
        <v>0</v>
      </c>
      <c r="AL209" s="46">
        <v>0</v>
      </c>
      <c r="AM209" s="47">
        <v>0</v>
      </c>
      <c r="AN209" s="46">
        <v>0</v>
      </c>
      <c r="AO209" s="46">
        <v>0</v>
      </c>
      <c r="AP209" s="47">
        <v>0</v>
      </c>
      <c r="AQ209" s="46">
        <v>0</v>
      </c>
      <c r="AR209" s="46">
        <v>0</v>
      </c>
      <c r="AS209" s="47">
        <v>0</v>
      </c>
      <c r="AT209" s="46">
        <v>0</v>
      </c>
      <c r="AU209" s="46">
        <v>0</v>
      </c>
      <c r="AV209" s="46">
        <v>0</v>
      </c>
      <c r="AW209" s="1545">
        <v>0</v>
      </c>
      <c r="AX209" s="10">
        <f t="shared" si="169"/>
        <v>20</v>
      </c>
      <c r="AY209" s="42">
        <f>IF(AND($E209=MONTH(Summary!$E$24),$D209=YEAR(Summary!$E$24)),Summary!$E$25,1)*IF(G209="",0,INT((H209-MOD(H209,7)-G209)/7)+1-IF(BA209,IF(WEEKDAY(F209)=7,1,0),0))</f>
        <v>5</v>
      </c>
      <c r="AZ209" s="42">
        <f>IF(AND($E209=MONTH(Summary!$E$24),$D209=YEAR(Summary!$E$24)),Summary!$E$25,1)*IF(G209="",0,INT((H209-MOD(H209-1,7)-G209)/7)+1-IF(BA209,IF(WEEKDAY(F209)=1,1,0),0))</f>
        <v>5</v>
      </c>
      <c r="BA209" s="42">
        <v>1</v>
      </c>
      <c r="BB209" s="10">
        <f>IF(AND($E209=MONTH(Summary!$E$24),$D209=YEAR(Summary!$E$24)),Summary!$E$25,1)*IF(G209="",0,H209-G209+1)</f>
        <v>31</v>
      </c>
      <c r="BC209" s="914">
        <f>Summary!$E$19</f>
        <v>1.4999999999999999E-2</v>
      </c>
      <c r="BD209" s="113">
        <v>14184</v>
      </c>
      <c r="BE209" s="171">
        <v>3546</v>
      </c>
      <c r="BF209" s="171">
        <v>4255.2</v>
      </c>
      <c r="BG209" s="174"/>
      <c r="BH209" s="1198">
        <v>1</v>
      </c>
      <c r="BI209" s="1198">
        <v>1</v>
      </c>
      <c r="BJ209" s="1198">
        <v>1</v>
      </c>
      <c r="BK209" s="1198">
        <v>1</v>
      </c>
      <c r="BL209" s="95">
        <v>2836.8</v>
      </c>
      <c r="BM209" s="171">
        <v>709.2</v>
      </c>
      <c r="BN209" s="171">
        <v>851.04</v>
      </c>
      <c r="BO209" s="174"/>
      <c r="BP209" s="1198">
        <v>1</v>
      </c>
      <c r="BQ209" s="1199">
        <v>1</v>
      </c>
      <c r="BR209" s="1199">
        <v>1</v>
      </c>
      <c r="BS209" s="1200">
        <v>1</v>
      </c>
      <c r="BT209" s="94">
        <f t="shared" si="146"/>
        <v>21985.200000000001</v>
      </c>
      <c r="BU209" s="233">
        <f t="shared" si="147"/>
        <v>21985.200000000001</v>
      </c>
      <c r="BV209" s="92">
        <f t="shared" si="148"/>
        <v>4397.04</v>
      </c>
      <c r="BW209" s="233">
        <f t="shared" si="149"/>
        <v>4397.04</v>
      </c>
      <c r="BX209" s="88">
        <v>16.046543463381244</v>
      </c>
      <c r="BY209" s="90">
        <v>0</v>
      </c>
      <c r="BZ209" s="88">
        <v>0</v>
      </c>
      <c r="CA209" s="88">
        <v>0</v>
      </c>
      <c r="CB209" s="88">
        <v>0</v>
      </c>
      <c r="CC209" s="88">
        <v>0</v>
      </c>
      <c r="CD209" s="88">
        <v>0</v>
      </c>
      <c r="CE209" s="100">
        <v>0</v>
      </c>
      <c r="CF209" s="88">
        <v>0</v>
      </c>
      <c r="CG209" s="88">
        <v>0</v>
      </c>
      <c r="CH209" s="88">
        <v>0</v>
      </c>
      <c r="CI209" s="88">
        <v>0</v>
      </c>
      <c r="CJ209" s="228">
        <v>0</v>
      </c>
      <c r="CK209" s="88">
        <v>0</v>
      </c>
      <c r="CL209" s="88">
        <v>0</v>
      </c>
      <c r="CM209" s="88">
        <v>0</v>
      </c>
      <c r="CN209" s="88">
        <v>0</v>
      </c>
      <c r="CO209" s="88">
        <v>0</v>
      </c>
      <c r="CP209" s="88">
        <v>0</v>
      </c>
      <c r="CQ209" s="229">
        <v>0</v>
      </c>
      <c r="CR209" s="91">
        <v>0</v>
      </c>
      <c r="CS209" s="91">
        <v>0</v>
      </c>
      <c r="CT209" s="91">
        <v>0</v>
      </c>
      <c r="CU209" s="91">
        <v>0</v>
      </c>
      <c r="CV209" s="91">
        <v>0</v>
      </c>
      <c r="CW209" s="91">
        <v>0</v>
      </c>
      <c r="CX209" s="225">
        <v>0</v>
      </c>
      <c r="CY209" s="1265">
        <v>7666.0309600000001</v>
      </c>
      <c r="CZ209" s="90">
        <v>0</v>
      </c>
      <c r="DA209" s="88">
        <v>0</v>
      </c>
      <c r="DB209" s="88">
        <v>0</v>
      </c>
      <c r="DC209" s="88">
        <v>0</v>
      </c>
      <c r="DD209" s="88">
        <v>0</v>
      </c>
      <c r="DE209" s="152">
        <v>0</v>
      </c>
      <c r="DF209" s="230">
        <v>0</v>
      </c>
      <c r="DG209" s="38">
        <v>0</v>
      </c>
      <c r="DH209" s="1237">
        <v>0</v>
      </c>
      <c r="DI209" s="956">
        <v>0</v>
      </c>
      <c r="DJ209" s="956">
        <v>0</v>
      </c>
      <c r="DK209" s="956">
        <v>0</v>
      </c>
      <c r="DL209" s="152">
        <v>0</v>
      </c>
      <c r="DM209" s="160">
        <v>0</v>
      </c>
      <c r="DN209" s="160">
        <v>0</v>
      </c>
      <c r="DO209" s="160">
        <v>0</v>
      </c>
      <c r="DP209" s="160">
        <v>0</v>
      </c>
      <c r="DQ209" s="160">
        <v>0</v>
      </c>
      <c r="DR209" s="230">
        <v>0</v>
      </c>
      <c r="DS209" s="88">
        <v>0</v>
      </c>
      <c r="DT209" s="88">
        <v>0</v>
      </c>
      <c r="DU209" s="88">
        <v>0</v>
      </c>
      <c r="DV209" s="88">
        <v>0</v>
      </c>
      <c r="DW209" s="88">
        <v>0</v>
      </c>
      <c r="DX209" s="88">
        <v>0</v>
      </c>
      <c r="DY209" s="88">
        <v>0</v>
      </c>
      <c r="DZ209" s="88">
        <v>0</v>
      </c>
      <c r="EA209" s="88">
        <v>0</v>
      </c>
      <c r="EB209" s="152">
        <v>0</v>
      </c>
      <c r="EC209" s="52">
        <f t="shared" si="150"/>
        <v>0</v>
      </c>
      <c r="ED209" s="52">
        <f t="shared" si="150"/>
        <v>0</v>
      </c>
      <c r="EE209" s="52">
        <f t="shared" si="150"/>
        <v>0</v>
      </c>
      <c r="EF209" s="52">
        <f t="shared" ref="EF209:EF272" si="186">DV209*BG209</f>
        <v>0</v>
      </c>
      <c r="EG209" s="52">
        <f t="shared" si="151"/>
        <v>0</v>
      </c>
      <c r="EH209" s="238">
        <v>0</v>
      </c>
      <c r="EI209" s="211">
        <v>0</v>
      </c>
      <c r="EJ209" s="211">
        <v>0</v>
      </c>
      <c r="EK209" s="211">
        <v>0</v>
      </c>
      <c r="EL209" s="217">
        <f>IF(C209&gt;=Summary!$E$26,MAX(0,SUM(EH209:EK209)),0)</f>
        <v>0</v>
      </c>
      <c r="EM209" s="52">
        <f>IF(C209&gt;=Summary!$E$26,DX209*BL209,0)</f>
        <v>0</v>
      </c>
      <c r="EN209" s="52">
        <f>IF(C209&gt;=Summary!$E$26,DY209*BM209,0)</f>
        <v>0</v>
      </c>
      <c r="EO209" s="52">
        <f>IF(C209&gt;=Summary!$E$26,DZ209*BN209,0)</f>
        <v>0</v>
      </c>
      <c r="EP209" s="52">
        <f>IF(C209&gt;=Summary!$E$26,EA209*BO209,0)</f>
        <v>0</v>
      </c>
      <c r="EQ209" s="52">
        <f>IF(C209&gt;=Summary!$E$26,DX209*BL209+DY209*BM209+DZ209*BN209+EA209*BO209,0)</f>
        <v>0</v>
      </c>
      <c r="ER209" s="826">
        <v>0</v>
      </c>
      <c r="ES209" s="278">
        <v>0</v>
      </c>
      <c r="ET209" s="278">
        <v>0</v>
      </c>
      <c r="EU209" s="278">
        <v>0</v>
      </c>
      <c r="EV209" s="212">
        <f>IF(C209&gt;=Summary!$E$26,MAX(0,SUM(ER209:EU209)),0)</f>
        <v>0</v>
      </c>
      <c r="EW209" s="52"/>
      <c r="EX209" s="1049">
        <f t="shared" si="152"/>
        <v>0</v>
      </c>
      <c r="EY209" s="1045" t="str">
        <f t="shared" si="153"/>
        <v/>
      </c>
      <c r="EZ209" s="1684" t="s">
        <v>525</v>
      </c>
      <c r="FA209" s="1046">
        <f t="shared" si="166"/>
        <v>45</v>
      </c>
      <c r="FB209" s="256">
        <f t="shared" si="154"/>
        <v>8865</v>
      </c>
      <c r="FC209" s="194">
        <f t="shared" si="155"/>
        <v>2659.5</v>
      </c>
      <c r="FD209" s="194">
        <f t="shared" si="156"/>
        <v>2216.25</v>
      </c>
      <c r="FE209" s="194">
        <f t="shared" si="157"/>
        <v>664.875</v>
      </c>
      <c r="FF209" s="194">
        <f t="shared" si="158"/>
        <v>2659.5</v>
      </c>
      <c r="FG209" s="194">
        <f t="shared" si="159"/>
        <v>797.85</v>
      </c>
      <c r="FH209" s="257">
        <f>IF(EZ209="No",IF((OR(MONTH(C209)=5,MONTH(C209)=6,MONTH(C209)=7,MONTH(C209)=8,MONTH(C209)=9)),Summary!$O$15*12*(AX209+AY209+AZ209+BA209)*(1-$BC209),Summary!$O$15*13*(AX209+AY209+AZ209+BA209)*(1-$BC209)+IF(Summary!$O$16="Yes",(CALC!FA209+Summary!$O$15)*6*(AX209+AY209+AZ209+BA209)*(1-$BC209),0)),0)</f>
        <v>0</v>
      </c>
      <c r="FI209" s="1412">
        <f>IF(MONTH(C209)=5,FI208*(IF(Summary!$E$70="no",(1+(Summary!$E$71*0.8)),1+HLOOKUP(YEAR(C209)-1,CCFMODEL!$I$127:$AF$128,2)*0.8)),+FI208)</f>
        <v>38.879706486334918</v>
      </c>
      <c r="FJ209" s="1411">
        <f>IF(MONTH(C209)=5,FJ208*(IF(Summary!$E$70="no",(1+(Summary!$E$71*0.8)),1+HLOOKUP(YEAR(CALC!C209)-1,CCFMODEL!$I$127:$AF$128,2)*0.8)),FJ208)</f>
        <v>33.981475747899019</v>
      </c>
      <c r="FK209" s="832">
        <f t="shared" ref="FK209:FK272" si="187">SUM(FB209:FG209)*FI209+FH209*FJ209</f>
        <v>694507.22497273842</v>
      </c>
      <c r="FL209" s="1412">
        <f>IF(MONTH(C209)=5,FL208*(IF(Summary!$E$70="no",(1+(Summary!$E$71*0.8)),1+HLOOKUP(YEAR(CALC!C209)-1,CCFMODEL!$I$127:$AF$128,2)*0.8)),+FL208)</f>
        <v>81.76838158299681</v>
      </c>
      <c r="FM209" s="1411">
        <f>IF(MONTH(C209)=5,FM208*(IF(Summary!$E$70="no",(1+(Summary!$E$71*0.8)),1+HLOOKUP(YEAR(CALC!C209)-1,CCFMODEL!$I$127:$AF$128,2)*0.8)),+FM208)</f>
        <v>39.025487163074075</v>
      </c>
      <c r="FN209" s="832">
        <f t="shared" ref="FN209:FN272" si="188">IF((OR(MONTH(C209)=5,MONTH(C209)=6,MONTH(C209)=7,MONTH(C209)=8,MONTH(C209)=9)),SUM(FB209:FG209)/(1-BC209)*FL209,SUM(FB209:FG209)/(1-BC209)*FM209)</f>
        <v>707727.20970234834</v>
      </c>
      <c r="FO209" s="194">
        <f t="shared" si="160"/>
        <v>1402234.4346750868</v>
      </c>
      <c r="FP209" s="263">
        <f t="shared" ref="FP209:FP240" si="189">FB209</f>
        <v>8865</v>
      </c>
      <c r="FQ209" s="194">
        <f t="shared" ref="FQ209:FQ240" si="190">FC209</f>
        <v>2659.5</v>
      </c>
      <c r="FR209" s="194">
        <f t="shared" ref="FR209:FR240" si="191">FD209</f>
        <v>2216.25</v>
      </c>
      <c r="FS209" s="194">
        <f t="shared" si="176"/>
        <v>664.875</v>
      </c>
      <c r="FT209" s="194">
        <f t="shared" si="176"/>
        <v>2659.5</v>
      </c>
      <c r="FU209" s="194">
        <f t="shared" si="176"/>
        <v>797.85</v>
      </c>
      <c r="FV209" s="257">
        <f t="shared" si="176"/>
        <v>0</v>
      </c>
      <c r="FW209" s="189">
        <f t="shared" ref="FW209:FW272" si="192">IF(ER209&gt;0,MIN(FB209-FP209,BL209),0)</f>
        <v>0</v>
      </c>
      <c r="FX209" s="189">
        <f t="shared" ref="FX209:FX272" si="193">IF(ES209&gt;0,MIN(FD209-FR209,BM209),0)</f>
        <v>0</v>
      </c>
      <c r="FY209" s="189">
        <f t="shared" ref="FY209:FY272" si="194">IF(ET209&gt;0,MIN(FF209-FT209,BN209),0)</f>
        <v>0</v>
      </c>
      <c r="FZ209" s="258">
        <f t="shared" ref="FZ209:FZ272" si="195">IF(EU209&gt;0,MIN(FH209-FV209,BO209),0)</f>
        <v>0</v>
      </c>
      <c r="GA209" s="1294">
        <f>(SUM(FP209:FV209)+SUM(GU209:HB209)/(1-Summary!$O$25))*CY209/1000</f>
        <v>233848.1731082364</v>
      </c>
      <c r="GB209" s="1369">
        <f>IF($C209&lt;Summary!$M$81,+Summary!$O$81,VLOOKUP(C209,GasTable,19))</f>
        <v>3.9888826763916541</v>
      </c>
      <c r="GC209" s="1370">
        <f>IF(H209&lt;=Summary!$N$84,MIN(GA209,Summary!$O$75*(H209-G209+1)),0)</f>
        <v>0</v>
      </c>
      <c r="GD209" s="1371">
        <f>IF(C209&lt;Summary!$N$84,IF(Summary!$O$75*(H209-G209+1)*0.8&gt;GC209,1,0),0)</f>
        <v>0</v>
      </c>
      <c r="GE209" s="1372">
        <v>0</v>
      </c>
      <c r="GF209" s="1370">
        <f t="shared" si="161"/>
        <v>233848.1731082364</v>
      </c>
      <c r="GG209" s="1371">
        <f>GF209*(IF(Summary!$O$74=1,VLOOKUP($C209,GasTable,16)+Summary!$O$92+Summary!$O$93,VLOOKUP($C209,GasTable,19)+Summary!$O$92+Summary!$O$93))</f>
        <v>944976.41643622005</v>
      </c>
      <c r="GH209" s="1373">
        <v>6182.7681484070636</v>
      </c>
      <c r="GI209" s="1466">
        <v>0</v>
      </c>
      <c r="GJ209" s="1374">
        <f t="shared" si="162"/>
        <v>951159.18458462716</v>
      </c>
      <c r="GK209" s="189">
        <f t="shared" ref="GK209:GK272" si="196">SUM(FP209:FV209,GU209:GX209,GY209:HB209)</f>
        <v>30062.012849999999</v>
      </c>
      <c r="GL209" s="266">
        <v>0.51362407432000012</v>
      </c>
      <c r="GM209" s="255">
        <f t="shared" ref="GM209:GM272" si="197">IF(GK209&gt;GC209/(CY209/1000),GC209/(CY209/1000),+GK209)*GL209</f>
        <v>0</v>
      </c>
      <c r="GN209" s="189">
        <f>IF(SUM(GU209:HB209)=0,0,IF(Summary!$O$16="Yes",SUM(GX209:HB209),IF(Summary!$O$17="Yes",SUM(GY209:HB209),SUM(GU209:HB209))))</f>
        <v>12199.037850000001</v>
      </c>
      <c r="GO209" s="203">
        <v>3.8184399679854697</v>
      </c>
      <c r="GP209" s="258">
        <f t="shared" si="163"/>
        <v>46581.293697407535</v>
      </c>
      <c r="GQ209" s="189"/>
      <c r="GR209" s="189"/>
      <c r="GS209" s="189"/>
      <c r="GT209" s="189"/>
      <c r="GU209" s="268">
        <v>5132.835</v>
      </c>
      <c r="GV209" s="189">
        <v>1283.20875</v>
      </c>
      <c r="GW209" s="189">
        <v>1539.8504999999998</v>
      </c>
      <c r="GX209" s="189"/>
      <c r="GY209" s="254">
        <v>2737.5120000000002</v>
      </c>
      <c r="GZ209" s="189">
        <v>684.37800000000004</v>
      </c>
      <c r="HA209" s="189">
        <v>821.25359999999989</v>
      </c>
      <c r="HB209" s="255"/>
      <c r="HC209" s="189">
        <v>12199.037850000001</v>
      </c>
      <c r="HD209" s="189"/>
      <c r="HE209" s="189">
        <v>20950.521525</v>
      </c>
      <c r="HF209" s="189">
        <v>686796.2792443051</v>
      </c>
      <c r="HG209" s="189"/>
      <c r="HH209" s="203">
        <v>55.868098536082748</v>
      </c>
      <c r="HI209" s="189">
        <v>1170465.8009410226</v>
      </c>
      <c r="HJ209" s="268">
        <f t="shared" ref="HJ209:HJ272" si="198">MAX(FB209-FP209-FW209,0)</f>
        <v>0</v>
      </c>
      <c r="HK209" s="189">
        <f t="shared" ref="HK209:HK272" si="199">MAX(FD209-FR209-FX209,0)</f>
        <v>0</v>
      </c>
      <c r="HL209" s="189">
        <f t="shared" ref="HL209:HL272" si="200">MAX(FF209-FT209-FY209,0)</f>
        <v>0</v>
      </c>
      <c r="HM209" s="255">
        <f t="shared" ref="HM209:HM272" si="201">MAX(FH209-FV209-FZ209,0)</f>
        <v>0</v>
      </c>
      <c r="HN209" s="189">
        <f t="shared" ref="HN209:HN272" si="202">SUM(HJ209:HM209)</f>
        <v>0</v>
      </c>
      <c r="HO209" s="203">
        <f t="shared" si="164"/>
        <v>0</v>
      </c>
      <c r="HP209" s="258">
        <f t="shared" ref="HP209:HP272" si="203">(HJ209*CE209+HK209*CF209+HL209*CG209+HM209*CH209)</f>
        <v>0</v>
      </c>
      <c r="HQ209" s="804"/>
      <c r="HR209" s="268"/>
      <c r="HS209" s="1408"/>
      <c r="HT209" s="255"/>
      <c r="HU209" s="268"/>
      <c r="HV209" s="1408"/>
      <c r="HW209" s="255"/>
      <c r="HX209" s="1408"/>
      <c r="HY209" s="1408"/>
      <c r="HZ209"/>
      <c r="IA209" s="203"/>
      <c r="IB209" s="203"/>
      <c r="IC209" s="203"/>
      <c r="ID209" s="203"/>
      <c r="IE209" s="203"/>
      <c r="IF209" s="203"/>
      <c r="IG209" s="203"/>
      <c r="IH209" s="203"/>
      <c r="II209" s="203"/>
      <c r="IJ209" s="203"/>
      <c r="IK209" s="203"/>
      <c r="IL209" s="821"/>
      <c r="IM209" s="820"/>
      <c r="IN209" s="820"/>
      <c r="IR209" s="223"/>
    </row>
    <row r="210" spans="1:252" ht="13.8" thickBot="1">
      <c r="A210" t="str">
        <f t="shared" ref="A210:A273" si="204">+D210&amp;"Q"&amp;ROUNDUP(E210/3,0)</f>
        <v>2016Q1</v>
      </c>
      <c r="B210">
        <f t="shared" ref="B210:B273" si="205">YEAR(C210)</f>
        <v>2016</v>
      </c>
      <c r="C210" s="49">
        <f t="shared" ref="C210:C273" si="206">EOMONTH(C209,0)+1</f>
        <v>42401</v>
      </c>
      <c r="D210" s="115">
        <f t="shared" ref="D210:D273" si="207">+YEAR(C210)</f>
        <v>2016</v>
      </c>
      <c r="E210" s="10">
        <f t="shared" si="167"/>
        <v>2</v>
      </c>
      <c r="F210" s="248" t="str">
        <f t="shared" si="168"/>
        <v/>
      </c>
      <c r="G210" s="245">
        <v>42401</v>
      </c>
      <c r="H210" s="251">
        <v>42429</v>
      </c>
      <c r="I210" s="959">
        <f t="shared" si="165"/>
        <v>7.1499999999999994E-2</v>
      </c>
      <c r="J210" s="37">
        <f t="shared" ref="J210:J273" si="208">(1+I210/2)^(-2*(DATE(D211,E211,20)-$H$7)/365.25)</f>
        <v>0.31902361507382809</v>
      </c>
      <c r="K210" s="1036"/>
      <c r="L210" s="37"/>
      <c r="M210" s="1004">
        <v>0</v>
      </c>
      <c r="N210" s="38">
        <f t="shared" si="184"/>
        <v>0</v>
      </c>
      <c r="O210" s="40">
        <f t="shared" si="184"/>
        <v>0</v>
      </c>
      <c r="P210" s="159">
        <f t="shared" si="172"/>
        <v>0</v>
      </c>
      <c r="Q210" s="38">
        <f t="shared" si="185"/>
        <v>0</v>
      </c>
      <c r="R210" s="40">
        <f t="shared" si="185"/>
        <v>0</v>
      </c>
      <c r="S210" s="38">
        <f t="shared" si="185"/>
        <v>0</v>
      </c>
      <c r="T210" s="38">
        <f t="shared" si="185"/>
        <v>0</v>
      </c>
      <c r="U210" s="38">
        <f t="shared" si="185"/>
        <v>0</v>
      </c>
      <c r="V210" s="159">
        <f t="shared" si="185"/>
        <v>0</v>
      </c>
      <c r="W210" s="38">
        <f t="shared" si="185"/>
        <v>0</v>
      </c>
      <c r="X210" s="39">
        <f t="shared" si="185"/>
        <v>0</v>
      </c>
      <c r="Y210" s="46">
        <v>0</v>
      </c>
      <c r="Z210" s="46">
        <v>0</v>
      </c>
      <c r="AA210" s="47">
        <v>0</v>
      </c>
      <c r="AB210" s="46">
        <v>0</v>
      </c>
      <c r="AC210" s="46">
        <v>0</v>
      </c>
      <c r="AD210" s="47">
        <v>0</v>
      </c>
      <c r="AE210" s="46">
        <v>0</v>
      </c>
      <c r="AF210" s="46">
        <v>0</v>
      </c>
      <c r="AG210" s="47">
        <v>0</v>
      </c>
      <c r="AH210" s="46">
        <v>0</v>
      </c>
      <c r="AI210" s="46">
        <v>0</v>
      </c>
      <c r="AJ210" s="47">
        <v>0</v>
      </c>
      <c r="AK210" s="46">
        <v>0</v>
      </c>
      <c r="AL210" s="46">
        <v>0</v>
      </c>
      <c r="AM210" s="47">
        <v>0</v>
      </c>
      <c r="AN210" s="46">
        <v>0</v>
      </c>
      <c r="AO210" s="46">
        <v>0</v>
      </c>
      <c r="AP210" s="47">
        <v>0</v>
      </c>
      <c r="AQ210" s="46">
        <v>0</v>
      </c>
      <c r="AR210" s="46">
        <v>0</v>
      </c>
      <c r="AS210" s="47">
        <v>0</v>
      </c>
      <c r="AT210" s="46">
        <v>0</v>
      </c>
      <c r="AU210" s="46">
        <v>0</v>
      </c>
      <c r="AV210" s="46">
        <v>0</v>
      </c>
      <c r="AW210" s="1545">
        <v>0</v>
      </c>
      <c r="AX210" s="10">
        <f t="shared" si="169"/>
        <v>21</v>
      </c>
      <c r="AY210" s="42">
        <f>IF(AND($E210=MONTH(Summary!$E$24),$D210=YEAR(Summary!$E$24)),Summary!$E$25,1)*IF(G210="",0,INT((H210-MOD(H210,7)-G210)/7)+1-IF(BA210,IF(WEEKDAY(F210)=7,1,0),0))</f>
        <v>4</v>
      </c>
      <c r="AZ210" s="42">
        <f>IF(AND($E210=MONTH(Summary!$E$24),$D210=YEAR(Summary!$E$24)),Summary!$E$25,1)*IF(G210="",0,INT((H210-MOD(H210-1,7)-G210)/7)+1-IF(BA210,IF(WEEKDAY(F210)=1,1,0),0))</f>
        <v>4</v>
      </c>
      <c r="BA210" s="42">
        <v>0</v>
      </c>
      <c r="BB210" s="10">
        <f>IF(AND($E210=MONTH(Summary!$E$24),$D210=YEAR(Summary!$E$24)),Summary!$E$25,1)*IF(G210="",0,H210-G210+1)</f>
        <v>29</v>
      </c>
      <c r="BC210" s="914">
        <f>Summary!$E$19</f>
        <v>1.4999999999999999E-2</v>
      </c>
      <c r="BD210" s="113">
        <v>14893.2</v>
      </c>
      <c r="BE210" s="171">
        <v>2836.8</v>
      </c>
      <c r="BF210" s="171">
        <v>2836.8</v>
      </c>
      <c r="BG210" s="174"/>
      <c r="BH210" s="1198">
        <v>1</v>
      </c>
      <c r="BI210" s="1198">
        <v>1</v>
      </c>
      <c r="BJ210" s="1198">
        <v>1</v>
      </c>
      <c r="BK210" s="1198">
        <v>1</v>
      </c>
      <c r="BL210" s="95">
        <v>2978.64</v>
      </c>
      <c r="BM210" s="171">
        <v>567.36</v>
      </c>
      <c r="BN210" s="171">
        <v>567.36</v>
      </c>
      <c r="BO210" s="174"/>
      <c r="BP210" s="1198">
        <v>1</v>
      </c>
      <c r="BQ210" s="1199">
        <v>1</v>
      </c>
      <c r="BR210" s="1199">
        <v>1</v>
      </c>
      <c r="BS210" s="1200">
        <v>1</v>
      </c>
      <c r="BT210" s="94">
        <f t="shared" ref="BT210:BT273" si="209">SUM(BD210:BF210)</f>
        <v>20566.8</v>
      </c>
      <c r="BU210" s="233">
        <f t="shared" ref="BU210:BU273" si="210">SUM(BD210:BG210)</f>
        <v>20566.8</v>
      </c>
      <c r="BV210" s="92">
        <f t="shared" ref="BV210:BV273" si="211">SUM(BL210:BN210)</f>
        <v>4113.3599999999997</v>
      </c>
      <c r="BW210" s="233">
        <f t="shared" ref="BW210:BW273" si="212">SUM(BL210:BO210)</f>
        <v>4113.3599999999997</v>
      </c>
      <c r="BX210" s="88">
        <v>16.131416837782339</v>
      </c>
      <c r="BY210" s="90">
        <v>0</v>
      </c>
      <c r="BZ210" s="88">
        <v>0</v>
      </c>
      <c r="CA210" s="88">
        <v>0</v>
      </c>
      <c r="CB210" s="88">
        <v>0</v>
      </c>
      <c r="CC210" s="88">
        <v>0</v>
      </c>
      <c r="CD210" s="88">
        <v>0</v>
      </c>
      <c r="CE210" s="100">
        <v>0</v>
      </c>
      <c r="CF210" s="88">
        <v>0</v>
      </c>
      <c r="CG210" s="88">
        <v>0</v>
      </c>
      <c r="CH210" s="88">
        <v>0</v>
      </c>
      <c r="CI210" s="88">
        <v>0</v>
      </c>
      <c r="CJ210" s="228">
        <v>0</v>
      </c>
      <c r="CK210" s="88">
        <v>0</v>
      </c>
      <c r="CL210" s="88">
        <v>0</v>
      </c>
      <c r="CM210" s="88">
        <v>0</v>
      </c>
      <c r="CN210" s="88">
        <v>0</v>
      </c>
      <c r="CO210" s="88">
        <v>0</v>
      </c>
      <c r="CP210" s="88">
        <v>0</v>
      </c>
      <c r="CQ210" s="229">
        <v>0</v>
      </c>
      <c r="CR210" s="91">
        <v>0</v>
      </c>
      <c r="CS210" s="91">
        <v>0</v>
      </c>
      <c r="CT210" s="91">
        <v>0</v>
      </c>
      <c r="CU210" s="91">
        <v>0</v>
      </c>
      <c r="CV210" s="91">
        <v>0</v>
      </c>
      <c r="CW210" s="91">
        <v>0</v>
      </c>
      <c r="CX210" s="225">
        <v>0</v>
      </c>
      <c r="CY210" s="1265">
        <v>7668.0619199999992</v>
      </c>
      <c r="CZ210" s="90">
        <v>0</v>
      </c>
      <c r="DA210" s="88">
        <v>0</v>
      </c>
      <c r="DB210" s="88">
        <v>0</v>
      </c>
      <c r="DC210" s="88">
        <v>0</v>
      </c>
      <c r="DD210" s="88">
        <v>0</v>
      </c>
      <c r="DE210" s="152">
        <v>0</v>
      </c>
      <c r="DF210" s="230">
        <v>0</v>
      </c>
      <c r="DG210" s="38">
        <v>0</v>
      </c>
      <c r="DH210" s="1237">
        <v>0</v>
      </c>
      <c r="DI210" s="956">
        <v>0</v>
      </c>
      <c r="DJ210" s="956">
        <v>0</v>
      </c>
      <c r="DK210" s="956">
        <v>0</v>
      </c>
      <c r="DL210" s="152">
        <v>0</v>
      </c>
      <c r="DM210" s="160">
        <v>0</v>
      </c>
      <c r="DN210" s="160">
        <v>0</v>
      </c>
      <c r="DO210" s="160">
        <v>0</v>
      </c>
      <c r="DP210" s="160">
        <v>0</v>
      </c>
      <c r="DQ210" s="160">
        <v>0</v>
      </c>
      <c r="DR210" s="230">
        <v>0</v>
      </c>
      <c r="DS210" s="88">
        <v>0</v>
      </c>
      <c r="DT210" s="88">
        <v>0</v>
      </c>
      <c r="DU210" s="88">
        <v>0</v>
      </c>
      <c r="DV210" s="88">
        <v>0</v>
      </c>
      <c r="DW210" s="88">
        <v>0</v>
      </c>
      <c r="DX210" s="88">
        <v>0</v>
      </c>
      <c r="DY210" s="88">
        <v>0</v>
      </c>
      <c r="DZ210" s="88">
        <v>0</v>
      </c>
      <c r="EA210" s="88">
        <v>0</v>
      </c>
      <c r="EB210" s="152">
        <v>0</v>
      </c>
      <c r="EC210" s="52">
        <f t="shared" ref="EC210:EF273" si="213">DS210*BD210</f>
        <v>0</v>
      </c>
      <c r="ED210" s="52">
        <f t="shared" si="213"/>
        <v>0</v>
      </c>
      <c r="EE210" s="52">
        <f t="shared" si="213"/>
        <v>0</v>
      </c>
      <c r="EF210" s="52">
        <f t="shared" si="186"/>
        <v>0</v>
      </c>
      <c r="EG210" s="52">
        <f t="shared" ref="EG210:EG273" si="214">DS210*BD210+DT210*BE210+DU210*BF210+DV210*BG210</f>
        <v>0</v>
      </c>
      <c r="EH210" s="238">
        <v>0</v>
      </c>
      <c r="EI210" s="211">
        <v>0</v>
      </c>
      <c r="EJ210" s="211">
        <v>0</v>
      </c>
      <c r="EK210" s="211">
        <v>0</v>
      </c>
      <c r="EL210" s="217">
        <f>IF(C210&gt;=Summary!$E$26,MAX(0,SUM(EH210:EK210)),0)</f>
        <v>0</v>
      </c>
      <c r="EM210" s="52">
        <f>IF(C210&gt;=Summary!$E$26,DX210*BL210,0)</f>
        <v>0</v>
      </c>
      <c r="EN210" s="52">
        <f>IF(C210&gt;=Summary!$E$26,DY210*BM210,0)</f>
        <v>0</v>
      </c>
      <c r="EO210" s="52">
        <f>IF(C210&gt;=Summary!$E$26,DZ210*BN210,0)</f>
        <v>0</v>
      </c>
      <c r="EP210" s="52">
        <f>IF(C210&gt;=Summary!$E$26,EA210*BO210,0)</f>
        <v>0</v>
      </c>
      <c r="EQ210" s="52">
        <f>IF(C210&gt;=Summary!$E$26,DX210*BL210+DY210*BM210+DZ210*BN210+EA210*BO210,0)</f>
        <v>0</v>
      </c>
      <c r="ER210" s="826">
        <v>0</v>
      </c>
      <c r="ES210" s="278">
        <v>0</v>
      </c>
      <c r="ET210" s="278">
        <v>0</v>
      </c>
      <c r="EU210" s="278">
        <v>0</v>
      </c>
      <c r="EV210" s="212">
        <f>IF(C210&gt;=Summary!$E$26,MAX(0,SUM(ER210:EU210)),0)</f>
        <v>0</v>
      </c>
      <c r="EW210" s="52"/>
      <c r="EX210" s="1049">
        <f t="shared" ref="EX210:EX273" si="215">(EQ210-EV210)+IF(EZ210="Yes",(EG210-EL210),0)</f>
        <v>0</v>
      </c>
      <c r="EY210" s="1045" t="str">
        <f t="shared" ref="EY210:EY273" si="216">IF(EX210,EX210/EQ210,"")</f>
        <v/>
      </c>
      <c r="EZ210" s="1684" t="s">
        <v>525</v>
      </c>
      <c r="FA210" s="1046">
        <f t="shared" si="166"/>
        <v>45</v>
      </c>
      <c r="FB210" s="256">
        <f t="shared" ref="FB210:FB273" si="217">IF(EZ210="No",IF((OR(MONTH(C210)=5,MONTH(C210)=6,MONTH(C210)=7,MONTH(C210)=8,MONTH(C210)=9)),$FA210*12*AX210*(1-$BC210),$FA210*10*AX210*(1-$BC210)),0)</f>
        <v>9308.25</v>
      </c>
      <c r="FC210" s="194">
        <f t="shared" ref="FC210:FC273" si="218">IF(EZ210="No",IF((OR(MONTH(C210)=5,MONTH(C210)=6,MONTH(C210)=7,MONTH(C210)=8,MONTH(C210)=9)),0,$FA210*3*AX210*(1-$BC210)),0)</f>
        <v>2792.4749999999999</v>
      </c>
      <c r="FD210" s="194">
        <f t="shared" ref="FD210:FD273" si="219">IF(EZ210="No",IF((OR(MONTH(C210)=5,MONTH(C210)=6,MONTH(C210)=7,MONTH(C210)=8,MONTH(C210)=9)),$FA210*12*AY210*(1-$BC210),$FA210*10*AY210*(1-$BC210)),0)</f>
        <v>1773</v>
      </c>
      <c r="FE210" s="194">
        <f t="shared" ref="FE210:FE273" si="220">IF(EZ210="No",IF((OR(MONTH(C210)=5,MONTH(C210)=6,MONTH(C210)=7,MONTH(C210)=8,MONTH(C210)=9)),0,$FA210*3*AY210*(1-$BC210)),0)</f>
        <v>531.9</v>
      </c>
      <c r="FF210" s="194">
        <f t="shared" ref="FF210:FF273" si="221">IF(EZ210="No",IF((OR(MONTH(C210)=5,MONTH(C210)=6,MONTH(C210)=7,MONTH(C210)=8,MONTH(C210)=9)),$FA210*12*(AZ210+BA210)*(1-$BC210),$FA210*10*(AZ210+BA210)*(1-$BC210)),0)</f>
        <v>1773</v>
      </c>
      <c r="FG210" s="194">
        <f t="shared" ref="FG210:FG273" si="222">IF(EZ210="No",IF((OR(MONTH(C210)=5,MONTH(C210)=6,MONTH(C210)=7,MONTH(C210)=8,MONTH(C210)=9)),0,$FA210*3*(AZ210+BA210)*(1-$BC210)),0)</f>
        <v>531.9</v>
      </c>
      <c r="FH210" s="257">
        <f>IF(EZ210="No",IF((OR(MONTH(C210)=5,MONTH(C210)=6,MONTH(C210)=7,MONTH(C210)=8,MONTH(C210)=9)),Summary!$O$15*12*(AX210+AY210+AZ210+BA210)*(1-$BC210),Summary!$O$15*13*(AX210+AY210+AZ210+BA210)*(1-$BC210)+IF(Summary!$O$16="Yes",(CALC!FA210+Summary!$O$15)*6*(AX210+AY210+AZ210+BA210)*(1-$BC210),0)),0)</f>
        <v>0</v>
      </c>
      <c r="FI210" s="1412">
        <f>IF(MONTH(C210)=5,FI209*(IF(Summary!$E$70="no",(1+(Summary!$E$71*0.8)),1+HLOOKUP(YEAR(C210)-1,CCFMODEL!$I$127:$AF$128,2)*0.8)),+FI209)</f>
        <v>38.879706486334918</v>
      </c>
      <c r="FJ210" s="1411">
        <f>IF(MONTH(C210)=5,FJ209*(IF(Summary!$E$70="no",(1+(Summary!$E$71*0.8)),1+HLOOKUP(YEAR(CALC!C210)-1,CCFMODEL!$I$127:$AF$128,2)*0.8)),FJ209)</f>
        <v>33.981475747899019</v>
      </c>
      <c r="FK210" s="832">
        <f t="shared" si="187"/>
        <v>649700.30723256187</v>
      </c>
      <c r="FL210" s="1412">
        <f>IF(MONTH(C210)=5,FL209*(IF(Summary!$E$70="no",(1+(Summary!$E$71*0.8)),1+HLOOKUP(YEAR(CALC!C210)-1,CCFMODEL!$I$127:$AF$128,2)*0.8)),+FL209)</f>
        <v>81.76838158299681</v>
      </c>
      <c r="FM210" s="1411">
        <f>IF(MONTH(C210)=5,FM209*(IF(Summary!$E$70="no",(1+(Summary!$E$71*0.8)),1+HLOOKUP(YEAR(CALC!C210)-1,CCFMODEL!$I$127:$AF$128,2)*0.8)),+FM209)</f>
        <v>39.025487163074075</v>
      </c>
      <c r="FN210" s="832">
        <f t="shared" si="188"/>
        <v>662067.38972155168</v>
      </c>
      <c r="FO210" s="194">
        <f t="shared" ref="FO210:FO273" si="223">FK210+FN210</f>
        <v>1311767.6969541134</v>
      </c>
      <c r="FP210" s="263">
        <f t="shared" si="189"/>
        <v>9308.25</v>
      </c>
      <c r="FQ210" s="194">
        <f t="shared" si="190"/>
        <v>2792.4749999999999</v>
      </c>
      <c r="FR210" s="194">
        <f t="shared" si="191"/>
        <v>1773</v>
      </c>
      <c r="FS210" s="194">
        <f t="shared" si="176"/>
        <v>531.9</v>
      </c>
      <c r="FT210" s="194">
        <f t="shared" si="176"/>
        <v>1773</v>
      </c>
      <c r="FU210" s="194">
        <f t="shared" si="176"/>
        <v>531.9</v>
      </c>
      <c r="FV210" s="257">
        <f t="shared" si="176"/>
        <v>0</v>
      </c>
      <c r="FW210" s="189">
        <f t="shared" si="192"/>
        <v>0</v>
      </c>
      <c r="FX210" s="189">
        <f t="shared" si="193"/>
        <v>0</v>
      </c>
      <c r="FY210" s="189">
        <f t="shared" si="194"/>
        <v>0</v>
      </c>
      <c r="FZ210" s="258">
        <f t="shared" si="195"/>
        <v>0</v>
      </c>
      <c r="GA210" s="1294">
        <f>(SUM(FP210:FV210)+SUM(GU210:HB210)/(1-Summary!$O$25))*CY210/1000</f>
        <v>218819.15055605519</v>
      </c>
      <c r="GB210" s="1369">
        <f>IF($C210&lt;Summary!$M$81,+Summary!$O$81,VLOOKUP(C210,GasTable,19))</f>
        <v>3.6842007822313274</v>
      </c>
      <c r="GC210" s="1370">
        <f>IF(H210&lt;=Summary!$N$84,MIN(GA210,Summary!$O$75*(H210-G210+1)),0)</f>
        <v>0</v>
      </c>
      <c r="GD210" s="1371">
        <f>IF(C210&lt;Summary!$N$84,IF(Summary!$O$75*(H210-G210+1)*0.8&gt;GC210,1,0),0)</f>
        <v>0</v>
      </c>
      <c r="GE210" s="1372">
        <v>0</v>
      </c>
      <c r="GF210" s="1370">
        <f t="shared" ref="GF210:GF273" si="224">ABS(MIN(0,GC210-$GA210))</f>
        <v>218819.15055605519</v>
      </c>
      <c r="GG210" s="1371">
        <f>GF210*(IF(Summary!$O$74=1,VLOOKUP($C210,GasTable,16)+Summary!$O$92+Summary!$O$93,VLOOKUP($C210,GasTable,19)+Summary!$O$92+Summary!$O$93))</f>
        <v>817574.1633897837</v>
      </c>
      <c r="GH210" s="1373">
        <v>5342.0911342354248</v>
      </c>
      <c r="GI210" s="1466">
        <v>0</v>
      </c>
      <c r="GJ210" s="1374">
        <f t="shared" ref="GJ210:GJ273" si="225">+GB210*GC210+GE210+GG210+GH210-GI210</f>
        <v>822916.25452401908</v>
      </c>
      <c r="GK210" s="189">
        <f t="shared" si="196"/>
        <v>28122.528150000002</v>
      </c>
      <c r="GL210" s="266">
        <v>0.51376014863999997</v>
      </c>
      <c r="GM210" s="255">
        <f t="shared" si="197"/>
        <v>0</v>
      </c>
      <c r="GN210" s="189">
        <f>IF(SUM(GU210:HB210)=0,0,IF(Summary!$O$16="Yes",SUM(GX210:HB210),IF(Summary!$O$17="Yes",SUM(GY210:HB210),SUM(GU210:HB210))))</f>
        <v>11412.003149999999</v>
      </c>
      <c r="GO210" s="203">
        <v>3.8184399679854697</v>
      </c>
      <c r="GP210" s="258">
        <f t="shared" ref="GP210:GP273" si="226">GN210*GO210</f>
        <v>43576.048942736074</v>
      </c>
      <c r="GQ210" s="189"/>
      <c r="GR210" s="189"/>
      <c r="GS210" s="189"/>
      <c r="GT210" s="189"/>
      <c r="GU210" s="268">
        <v>5389.4767500000007</v>
      </c>
      <c r="GV210" s="189">
        <v>1026.5670000000002</v>
      </c>
      <c r="GW210" s="189">
        <v>1026.5670000000002</v>
      </c>
      <c r="GX210" s="189"/>
      <c r="GY210" s="254">
        <v>2874.3875999999996</v>
      </c>
      <c r="GZ210" s="189">
        <v>547.50239999999997</v>
      </c>
      <c r="HA210" s="189">
        <v>547.50239999999997</v>
      </c>
      <c r="HB210" s="255"/>
      <c r="HC210" s="189">
        <v>11412.003149999999</v>
      </c>
      <c r="HD210" s="189"/>
      <c r="HE210" s="189">
        <v>19598.874974999999</v>
      </c>
      <c r="HF210" s="189">
        <v>482291.92001448909</v>
      </c>
      <c r="HG210" s="189"/>
      <c r="HH210" s="203">
        <v>41.946288117762883</v>
      </c>
      <c r="HI210" s="189">
        <v>822100.05648536282</v>
      </c>
      <c r="HJ210" s="268">
        <f t="shared" si="198"/>
        <v>0</v>
      </c>
      <c r="HK210" s="189">
        <f t="shared" si="199"/>
        <v>0</v>
      </c>
      <c r="HL210" s="189">
        <f t="shared" si="200"/>
        <v>0</v>
      </c>
      <c r="HM210" s="255">
        <f t="shared" si="201"/>
        <v>0</v>
      </c>
      <c r="HN210" s="189">
        <f t="shared" si="202"/>
        <v>0</v>
      </c>
      <c r="HO210" s="203">
        <f t="shared" ref="HO210:HO273" si="227">IF(ISERROR(+HP210/HN210),0,+HP210/HN210)</f>
        <v>0</v>
      </c>
      <c r="HP210" s="258">
        <f t="shared" si="203"/>
        <v>0</v>
      </c>
      <c r="HQ210" s="804"/>
      <c r="HR210" s="268"/>
      <c r="HS210" s="1408"/>
      <c r="HT210" s="255"/>
      <c r="HU210" s="268"/>
      <c r="HV210" s="1408"/>
      <c r="HW210" s="255"/>
      <c r="HX210" s="1408"/>
      <c r="HY210" s="1408"/>
      <c r="HZ210"/>
      <c r="IA210" s="203"/>
      <c r="IB210" s="203"/>
      <c r="IC210" s="203"/>
      <c r="ID210" s="203"/>
      <c r="IE210" s="203"/>
      <c r="IF210" s="203"/>
      <c r="IG210" s="203"/>
      <c r="IH210" s="203"/>
      <c r="II210" s="203"/>
      <c r="IJ210" s="203"/>
      <c r="IK210" s="203"/>
      <c r="IL210" s="821"/>
      <c r="IM210" s="820"/>
      <c r="IN210" s="820"/>
      <c r="IR210" s="223"/>
    </row>
    <row r="211" spans="1:252" ht="13.8" thickBot="1">
      <c r="A211" t="str">
        <f t="shared" si="204"/>
        <v>2016Q1</v>
      </c>
      <c r="B211">
        <f t="shared" si="205"/>
        <v>2016</v>
      </c>
      <c r="C211" s="49">
        <f t="shared" si="206"/>
        <v>42430</v>
      </c>
      <c r="D211" s="115">
        <f t="shared" si="207"/>
        <v>2016</v>
      </c>
      <c r="E211" s="10">
        <f t="shared" si="167"/>
        <v>3</v>
      </c>
      <c r="F211" s="248" t="str">
        <f t="shared" si="168"/>
        <v/>
      </c>
      <c r="G211" s="245">
        <v>42430</v>
      </c>
      <c r="H211" s="251">
        <v>42460</v>
      </c>
      <c r="I211" s="959">
        <f t="shared" ref="I211:I274" si="228">I210</f>
        <v>7.1499999999999994E-2</v>
      </c>
      <c r="J211" s="37">
        <f t="shared" si="208"/>
        <v>0.31712709933818273</v>
      </c>
      <c r="K211" s="1036"/>
      <c r="L211" s="37"/>
      <c r="M211" s="1004">
        <v>0</v>
      </c>
      <c r="N211" s="38">
        <f t="shared" si="184"/>
        <v>0</v>
      </c>
      <c r="O211" s="40">
        <f t="shared" si="184"/>
        <v>0</v>
      </c>
      <c r="P211" s="159">
        <f t="shared" si="172"/>
        <v>0</v>
      </c>
      <c r="Q211" s="38">
        <f t="shared" si="185"/>
        <v>0</v>
      </c>
      <c r="R211" s="40">
        <f t="shared" si="185"/>
        <v>0</v>
      </c>
      <c r="S211" s="38">
        <f t="shared" si="185"/>
        <v>0</v>
      </c>
      <c r="T211" s="38">
        <f t="shared" si="185"/>
        <v>0</v>
      </c>
      <c r="U211" s="38">
        <f t="shared" si="185"/>
        <v>0</v>
      </c>
      <c r="V211" s="159">
        <f t="shared" si="185"/>
        <v>0</v>
      </c>
      <c r="W211" s="38">
        <f t="shared" si="185"/>
        <v>0</v>
      </c>
      <c r="X211" s="39">
        <f t="shared" si="185"/>
        <v>0</v>
      </c>
      <c r="Y211" s="46">
        <v>0</v>
      </c>
      <c r="Z211" s="46">
        <v>0</v>
      </c>
      <c r="AA211" s="47">
        <v>0</v>
      </c>
      <c r="AB211" s="46">
        <v>0</v>
      </c>
      <c r="AC211" s="46">
        <v>0</v>
      </c>
      <c r="AD211" s="47">
        <v>0</v>
      </c>
      <c r="AE211" s="46">
        <v>0</v>
      </c>
      <c r="AF211" s="46">
        <v>0</v>
      </c>
      <c r="AG211" s="47">
        <v>0</v>
      </c>
      <c r="AH211" s="46">
        <v>0</v>
      </c>
      <c r="AI211" s="46">
        <v>0</v>
      </c>
      <c r="AJ211" s="47">
        <v>0</v>
      </c>
      <c r="AK211" s="46">
        <v>0</v>
      </c>
      <c r="AL211" s="46">
        <v>0</v>
      </c>
      <c r="AM211" s="47">
        <v>0</v>
      </c>
      <c r="AN211" s="46">
        <v>0</v>
      </c>
      <c r="AO211" s="46">
        <v>0</v>
      </c>
      <c r="AP211" s="47">
        <v>0</v>
      </c>
      <c r="AQ211" s="46">
        <v>0</v>
      </c>
      <c r="AR211" s="46">
        <v>0</v>
      </c>
      <c r="AS211" s="47">
        <v>0</v>
      </c>
      <c r="AT211" s="46">
        <v>0</v>
      </c>
      <c r="AU211" s="46">
        <v>0</v>
      </c>
      <c r="AV211" s="46">
        <v>0</v>
      </c>
      <c r="AW211" s="1545">
        <v>0</v>
      </c>
      <c r="AX211" s="10">
        <f t="shared" si="169"/>
        <v>23</v>
      </c>
      <c r="AY211" s="42">
        <f>IF(AND($E211=MONTH(Summary!$E$24),$D211=YEAR(Summary!$E$24)),Summary!$E$25,1)*IF(G211="",0,INT((H211-MOD(H211,7)-G211)/7)+1-IF(BA211,IF(WEEKDAY(F211)=7,1,0),0))</f>
        <v>4</v>
      </c>
      <c r="AZ211" s="42">
        <f>IF(AND($E211=MONTH(Summary!$E$24),$D211=YEAR(Summary!$E$24)),Summary!$E$25,1)*IF(G211="",0,INT((H211-MOD(H211-1,7)-G211)/7)+1-IF(BA211,IF(WEEKDAY(F211)=1,1,0),0))</f>
        <v>4</v>
      </c>
      <c r="BA211" s="42">
        <v>0</v>
      </c>
      <c r="BB211" s="10">
        <f>IF(AND($E211=MONTH(Summary!$E$24),$D211=YEAR(Summary!$E$24)),Summary!$E$25,1)*IF(G211="",0,H211-G211+1)</f>
        <v>31</v>
      </c>
      <c r="BC211" s="914">
        <f>Summary!$E$19</f>
        <v>1.4999999999999999E-2</v>
      </c>
      <c r="BD211" s="113">
        <v>16311.6</v>
      </c>
      <c r="BE211" s="171">
        <v>2836.8</v>
      </c>
      <c r="BF211" s="171">
        <v>2836.8</v>
      </c>
      <c r="BG211" s="174"/>
      <c r="BH211" s="1198">
        <v>1</v>
      </c>
      <c r="BI211" s="1198">
        <v>1</v>
      </c>
      <c r="BJ211" s="1198">
        <v>1</v>
      </c>
      <c r="BK211" s="1198">
        <v>1</v>
      </c>
      <c r="BL211" s="95">
        <v>3262.32</v>
      </c>
      <c r="BM211" s="171">
        <v>567.36</v>
      </c>
      <c r="BN211" s="171">
        <v>567.36</v>
      </c>
      <c r="BO211" s="174"/>
      <c r="BP211" s="1198">
        <v>1</v>
      </c>
      <c r="BQ211" s="1199">
        <v>1</v>
      </c>
      <c r="BR211" s="1199">
        <v>1</v>
      </c>
      <c r="BS211" s="1200">
        <v>1</v>
      </c>
      <c r="BT211" s="94">
        <f t="shared" si="209"/>
        <v>21985.200000000001</v>
      </c>
      <c r="BU211" s="233">
        <f t="shared" si="210"/>
        <v>21985.200000000001</v>
      </c>
      <c r="BV211" s="92">
        <f t="shared" si="211"/>
        <v>4397.04</v>
      </c>
      <c r="BW211" s="233">
        <f t="shared" si="212"/>
        <v>4397.04</v>
      </c>
      <c r="BX211" s="88">
        <v>16.210814510609172</v>
      </c>
      <c r="BY211" s="90">
        <v>0</v>
      </c>
      <c r="BZ211" s="88">
        <v>0</v>
      </c>
      <c r="CA211" s="88">
        <v>0</v>
      </c>
      <c r="CB211" s="88">
        <v>0</v>
      </c>
      <c r="CC211" s="88">
        <v>0</v>
      </c>
      <c r="CD211" s="88">
        <v>0</v>
      </c>
      <c r="CE211" s="100">
        <v>0</v>
      </c>
      <c r="CF211" s="88">
        <v>0</v>
      </c>
      <c r="CG211" s="88">
        <v>0</v>
      </c>
      <c r="CH211" s="88">
        <v>0</v>
      </c>
      <c r="CI211" s="88">
        <v>0</v>
      </c>
      <c r="CJ211" s="228">
        <v>0</v>
      </c>
      <c r="CK211" s="88">
        <v>0</v>
      </c>
      <c r="CL211" s="88">
        <v>0</v>
      </c>
      <c r="CM211" s="88">
        <v>0</v>
      </c>
      <c r="CN211" s="88">
        <v>0</v>
      </c>
      <c r="CO211" s="88">
        <v>0</v>
      </c>
      <c r="CP211" s="88">
        <v>0</v>
      </c>
      <c r="CQ211" s="229">
        <v>0</v>
      </c>
      <c r="CR211" s="91">
        <v>0</v>
      </c>
      <c r="CS211" s="91">
        <v>0</v>
      </c>
      <c r="CT211" s="91">
        <v>0</v>
      </c>
      <c r="CU211" s="91">
        <v>0</v>
      </c>
      <c r="CV211" s="91">
        <v>0</v>
      </c>
      <c r="CW211" s="91">
        <v>0</v>
      </c>
      <c r="CX211" s="225">
        <v>0</v>
      </c>
      <c r="CY211" s="1265">
        <v>7670.0928800000011</v>
      </c>
      <c r="CZ211" s="90">
        <v>0</v>
      </c>
      <c r="DA211" s="88">
        <v>0</v>
      </c>
      <c r="DB211" s="88">
        <v>0</v>
      </c>
      <c r="DC211" s="88">
        <v>0</v>
      </c>
      <c r="DD211" s="88">
        <v>0</v>
      </c>
      <c r="DE211" s="152">
        <v>0</v>
      </c>
      <c r="DF211" s="230">
        <v>0</v>
      </c>
      <c r="DG211" s="38">
        <v>0</v>
      </c>
      <c r="DH211" s="1237">
        <v>0</v>
      </c>
      <c r="DI211" s="956">
        <v>0</v>
      </c>
      <c r="DJ211" s="956">
        <v>0</v>
      </c>
      <c r="DK211" s="956">
        <v>0</v>
      </c>
      <c r="DL211" s="152">
        <v>0</v>
      </c>
      <c r="DM211" s="160">
        <v>0</v>
      </c>
      <c r="DN211" s="160">
        <v>0</v>
      </c>
      <c r="DO211" s="160">
        <v>0</v>
      </c>
      <c r="DP211" s="160">
        <v>0</v>
      </c>
      <c r="DQ211" s="160">
        <v>0</v>
      </c>
      <c r="DR211" s="230">
        <v>0</v>
      </c>
      <c r="DS211" s="88">
        <v>0</v>
      </c>
      <c r="DT211" s="88">
        <v>0</v>
      </c>
      <c r="DU211" s="88">
        <v>0</v>
      </c>
      <c r="DV211" s="88">
        <v>0</v>
      </c>
      <c r="DW211" s="88">
        <v>0</v>
      </c>
      <c r="DX211" s="88">
        <v>0</v>
      </c>
      <c r="DY211" s="88">
        <v>0</v>
      </c>
      <c r="DZ211" s="88">
        <v>0</v>
      </c>
      <c r="EA211" s="88">
        <v>0</v>
      </c>
      <c r="EB211" s="152">
        <v>0</v>
      </c>
      <c r="EC211" s="52">
        <f t="shared" si="213"/>
        <v>0</v>
      </c>
      <c r="ED211" s="52">
        <f t="shared" si="213"/>
        <v>0</v>
      </c>
      <c r="EE211" s="52">
        <f t="shared" si="213"/>
        <v>0</v>
      </c>
      <c r="EF211" s="52">
        <f t="shared" si="186"/>
        <v>0</v>
      </c>
      <c r="EG211" s="52">
        <f t="shared" si="214"/>
        <v>0</v>
      </c>
      <c r="EH211" s="238">
        <v>0</v>
      </c>
      <c r="EI211" s="211">
        <v>0</v>
      </c>
      <c r="EJ211" s="211">
        <v>0</v>
      </c>
      <c r="EK211" s="211">
        <v>0</v>
      </c>
      <c r="EL211" s="217">
        <f>IF(C211&gt;=Summary!$E$26,MAX(0,SUM(EH211:EK211)),0)</f>
        <v>0</v>
      </c>
      <c r="EM211" s="52">
        <f>IF(C211&gt;=Summary!$E$26,DX211*BL211,0)</f>
        <v>0</v>
      </c>
      <c r="EN211" s="52">
        <f>IF(C211&gt;=Summary!$E$26,DY211*BM211,0)</f>
        <v>0</v>
      </c>
      <c r="EO211" s="52">
        <f>IF(C211&gt;=Summary!$E$26,DZ211*BN211,0)</f>
        <v>0</v>
      </c>
      <c r="EP211" s="52">
        <f>IF(C211&gt;=Summary!$E$26,EA211*BO211,0)</f>
        <v>0</v>
      </c>
      <c r="EQ211" s="52">
        <f>IF(C211&gt;=Summary!$E$26,DX211*BL211+DY211*BM211+DZ211*BN211+EA211*BO211,0)</f>
        <v>0</v>
      </c>
      <c r="ER211" s="826">
        <v>0</v>
      </c>
      <c r="ES211" s="278">
        <v>0</v>
      </c>
      <c r="ET211" s="278">
        <v>0</v>
      </c>
      <c r="EU211" s="278">
        <v>0</v>
      </c>
      <c r="EV211" s="212">
        <f>IF(C211&gt;=Summary!$E$26,MAX(0,SUM(ER211:EU211)),0)</f>
        <v>0</v>
      </c>
      <c r="EW211" s="52"/>
      <c r="EX211" s="1049">
        <f t="shared" si="215"/>
        <v>0</v>
      </c>
      <c r="EY211" s="1045" t="str">
        <f t="shared" si="216"/>
        <v/>
      </c>
      <c r="EZ211" s="1684" t="s">
        <v>525</v>
      </c>
      <c r="FA211" s="1046">
        <f t="shared" ref="FA211:FA274" si="229">FA210</f>
        <v>45</v>
      </c>
      <c r="FB211" s="256">
        <f t="shared" si="217"/>
        <v>10194.75</v>
      </c>
      <c r="FC211" s="194">
        <f t="shared" si="218"/>
        <v>3058.4250000000002</v>
      </c>
      <c r="FD211" s="194">
        <f t="shared" si="219"/>
        <v>1773</v>
      </c>
      <c r="FE211" s="194">
        <f t="shared" si="220"/>
        <v>531.9</v>
      </c>
      <c r="FF211" s="194">
        <f t="shared" si="221"/>
        <v>1773</v>
      </c>
      <c r="FG211" s="194">
        <f t="shared" si="222"/>
        <v>531.9</v>
      </c>
      <c r="FH211" s="257">
        <f>IF(EZ211="No",IF((OR(MONTH(C211)=5,MONTH(C211)=6,MONTH(C211)=7,MONTH(C211)=8,MONTH(C211)=9)),Summary!$O$15*12*(AX211+AY211+AZ211+BA211)*(1-$BC211),Summary!$O$15*13*(AX211+AY211+AZ211+BA211)*(1-$BC211)+IF(Summary!$O$16="Yes",(CALC!FA211+Summary!$O$15)*6*(AX211+AY211+AZ211+BA211)*(1-$BC211),0)),0)</f>
        <v>0</v>
      </c>
      <c r="FI211" s="1412">
        <f>IF(MONTH(C211)=5,FI210*(IF(Summary!$E$70="no",(1+(Summary!$E$71*0.8)),1+HLOOKUP(YEAR(C211)-1,CCFMODEL!$I$127:$AF$128,2)*0.8)),+FI210)</f>
        <v>38.879706486334918</v>
      </c>
      <c r="FJ211" s="1411">
        <f>IF(MONTH(C211)=5,FJ210*(IF(Summary!$E$70="no",(1+(Summary!$E$71*0.8)),1+HLOOKUP(YEAR(CALC!C211)-1,CCFMODEL!$I$127:$AF$128,2)*0.8)),FJ210)</f>
        <v>33.981475747899019</v>
      </c>
      <c r="FK211" s="832">
        <f t="shared" si="187"/>
        <v>694507.22497273842</v>
      </c>
      <c r="FL211" s="1412">
        <f>IF(MONTH(C211)=5,FL210*(IF(Summary!$E$70="no",(1+(Summary!$E$71*0.8)),1+HLOOKUP(YEAR(CALC!C211)-1,CCFMODEL!$I$127:$AF$128,2)*0.8)),+FL210)</f>
        <v>81.76838158299681</v>
      </c>
      <c r="FM211" s="1411">
        <f>IF(MONTH(C211)=5,FM210*(IF(Summary!$E$70="no",(1+(Summary!$E$71*0.8)),1+HLOOKUP(YEAR(CALC!C211)-1,CCFMODEL!$I$127:$AF$128,2)*0.8)),+FM210)</f>
        <v>39.025487163074075</v>
      </c>
      <c r="FN211" s="832">
        <f t="shared" si="188"/>
        <v>707727.20970234834</v>
      </c>
      <c r="FO211" s="194">
        <f t="shared" si="223"/>
        <v>1402234.4346750868</v>
      </c>
      <c r="FP211" s="263">
        <f t="shared" si="189"/>
        <v>10194.75</v>
      </c>
      <c r="FQ211" s="194">
        <f t="shared" si="190"/>
        <v>3058.4250000000002</v>
      </c>
      <c r="FR211" s="194">
        <f t="shared" si="191"/>
        <v>1773</v>
      </c>
      <c r="FS211" s="194">
        <f t="shared" si="176"/>
        <v>531.9</v>
      </c>
      <c r="FT211" s="194">
        <f t="shared" si="176"/>
        <v>1773</v>
      </c>
      <c r="FU211" s="194">
        <f t="shared" si="176"/>
        <v>531.9</v>
      </c>
      <c r="FV211" s="257">
        <f t="shared" si="176"/>
        <v>0</v>
      </c>
      <c r="FW211" s="189">
        <f t="shared" si="192"/>
        <v>0</v>
      </c>
      <c r="FX211" s="189">
        <f t="shared" si="193"/>
        <v>0</v>
      </c>
      <c r="FY211" s="189">
        <f t="shared" si="194"/>
        <v>0</v>
      </c>
      <c r="FZ211" s="258">
        <f t="shared" si="195"/>
        <v>0</v>
      </c>
      <c r="GA211" s="1294">
        <f>(SUM(FP211:FV211)+SUM(GU211:HB211)/(1-Summary!$O$25))*CY211/1000</f>
        <v>233972.07980470921</v>
      </c>
      <c r="GB211" s="1369">
        <f>IF($C211&lt;Summary!$M$81,+Summary!$O$81,VLOOKUP(C211,GasTable,19))</f>
        <v>3.4866092248723328</v>
      </c>
      <c r="GC211" s="1370">
        <f>IF(H211&lt;=Summary!$N$84,MIN(GA211,Summary!$O$75*(H211-G211+1)),0)</f>
        <v>0</v>
      </c>
      <c r="GD211" s="1371">
        <f>IF(C211&lt;Summary!$N$84,IF(Summary!$O$75*(H211-G211+1)*0.8&gt;GC211,1,0),0)</f>
        <v>0</v>
      </c>
      <c r="GE211" s="1372">
        <v>0</v>
      </c>
      <c r="GF211" s="1370">
        <f t="shared" si="224"/>
        <v>233972.07980470921</v>
      </c>
      <c r="GG211" s="1371">
        <f>GF211*(IF(Summary!$O$74=1,VLOOKUP($C211,GasTable,16)+Summary!$O$92+Summary!$O$93,VLOOKUP($C211,GasTable,19)+Summary!$O$92+Summary!$O$93))</f>
        <v>827959.15716749022</v>
      </c>
      <c r="GH211" s="1373">
        <v>5404.2442985521157</v>
      </c>
      <c r="GI211" s="1466">
        <v>0</v>
      </c>
      <c r="GJ211" s="1374">
        <f t="shared" si="225"/>
        <v>833363.40146604239</v>
      </c>
      <c r="GK211" s="189">
        <f t="shared" si="196"/>
        <v>30062.012849999999</v>
      </c>
      <c r="GL211" s="266">
        <v>0.51389622296000004</v>
      </c>
      <c r="GM211" s="255">
        <f t="shared" si="197"/>
        <v>0</v>
      </c>
      <c r="GN211" s="189">
        <f>IF(SUM(GU211:HB211)=0,0,IF(Summary!$O$16="Yes",SUM(GX211:HB211),IF(Summary!$O$17="Yes",SUM(GY211:HB211),SUM(GU211:HB211))))</f>
        <v>12199.037849999999</v>
      </c>
      <c r="GO211" s="203">
        <v>3.8184399679854697</v>
      </c>
      <c r="GP211" s="258">
        <f t="shared" si="226"/>
        <v>46581.293697407527</v>
      </c>
      <c r="GQ211" s="189"/>
      <c r="GR211" s="189"/>
      <c r="GS211" s="189"/>
      <c r="GT211" s="189"/>
      <c r="GU211" s="268">
        <v>5902.7602500000003</v>
      </c>
      <c r="GV211" s="189">
        <v>1026.5670000000002</v>
      </c>
      <c r="GW211" s="189">
        <v>1026.5670000000002</v>
      </c>
      <c r="GX211" s="189"/>
      <c r="GY211" s="254">
        <v>3148.1388000000002</v>
      </c>
      <c r="GZ211" s="189">
        <v>547.50239999999997</v>
      </c>
      <c r="HA211" s="189">
        <v>547.50239999999997</v>
      </c>
      <c r="HB211" s="255"/>
      <c r="HC211" s="189">
        <v>12199.037849999999</v>
      </c>
      <c r="HD211" s="189"/>
      <c r="HE211" s="189">
        <v>20950.521524999996</v>
      </c>
      <c r="HF211" s="189">
        <v>511386.15436664515</v>
      </c>
      <c r="HG211" s="189"/>
      <c r="HH211" s="203">
        <v>41.232276199367227</v>
      </c>
      <c r="HI211" s="189">
        <v>863837.69003958814</v>
      </c>
      <c r="HJ211" s="268">
        <f t="shared" si="198"/>
        <v>0</v>
      </c>
      <c r="HK211" s="189">
        <f t="shared" si="199"/>
        <v>0</v>
      </c>
      <c r="HL211" s="189">
        <f t="shared" si="200"/>
        <v>0</v>
      </c>
      <c r="HM211" s="255">
        <f t="shared" si="201"/>
        <v>0</v>
      </c>
      <c r="HN211" s="189">
        <f t="shared" si="202"/>
        <v>0</v>
      </c>
      <c r="HO211" s="203">
        <f t="shared" si="227"/>
        <v>0</v>
      </c>
      <c r="HP211" s="258">
        <f t="shared" si="203"/>
        <v>0</v>
      </c>
      <c r="HQ211" s="804"/>
      <c r="HR211" s="268"/>
      <c r="HS211" s="1408"/>
      <c r="HT211" s="255"/>
      <c r="HU211" s="268"/>
      <c r="HV211" s="1408"/>
      <c r="HW211" s="255"/>
      <c r="HX211" s="1408"/>
      <c r="HY211" s="1408"/>
      <c r="HZ211"/>
      <c r="IA211" s="203"/>
      <c r="IB211" s="203"/>
      <c r="IC211" s="203"/>
      <c r="ID211" s="203"/>
      <c r="IE211" s="203"/>
      <c r="IF211" s="203"/>
      <c r="IG211" s="203"/>
      <c r="IH211" s="203"/>
      <c r="II211" s="203"/>
      <c r="IJ211" s="203"/>
      <c r="IK211" s="203"/>
      <c r="IL211" s="821"/>
      <c r="IM211" s="820"/>
      <c r="IN211" s="820"/>
      <c r="IR211" s="223"/>
    </row>
    <row r="212" spans="1:252" ht="13.8" thickBot="1">
      <c r="A212" t="str">
        <f t="shared" si="204"/>
        <v>2016Q2</v>
      </c>
      <c r="B212">
        <f t="shared" si="205"/>
        <v>2016</v>
      </c>
      <c r="C212" s="49">
        <f t="shared" si="206"/>
        <v>42461</v>
      </c>
      <c r="D212" s="115">
        <f t="shared" si="207"/>
        <v>2016</v>
      </c>
      <c r="E212" s="10">
        <f t="shared" ref="E212:E275" si="230">MONTH(C212)</f>
        <v>4</v>
      </c>
      <c r="F212" s="248" t="str">
        <f t="shared" ref="F212:F275" si="231">IF(G212="","",Holiday(D212,E212))</f>
        <v/>
      </c>
      <c r="G212" s="245">
        <v>42461</v>
      </c>
      <c r="H212" s="251">
        <v>42490</v>
      </c>
      <c r="I212" s="959">
        <f t="shared" si="228"/>
        <v>7.1499999999999994E-2</v>
      </c>
      <c r="J212" s="37">
        <f t="shared" si="208"/>
        <v>0.31530249686391976</v>
      </c>
      <c r="K212" s="1036"/>
      <c r="L212" s="37"/>
      <c r="M212" s="1004">
        <v>0</v>
      </c>
      <c r="N212" s="38">
        <f t="shared" si="184"/>
        <v>0</v>
      </c>
      <c r="O212" s="40">
        <f t="shared" si="184"/>
        <v>0</v>
      </c>
      <c r="P212" s="159">
        <f t="shared" si="172"/>
        <v>0</v>
      </c>
      <c r="Q212" s="38">
        <f t="shared" si="185"/>
        <v>0</v>
      </c>
      <c r="R212" s="40">
        <f t="shared" si="185"/>
        <v>0</v>
      </c>
      <c r="S212" s="38">
        <f t="shared" si="185"/>
        <v>0</v>
      </c>
      <c r="T212" s="38">
        <f t="shared" si="185"/>
        <v>0</v>
      </c>
      <c r="U212" s="38">
        <f t="shared" si="185"/>
        <v>0</v>
      </c>
      <c r="V212" s="159">
        <f t="shared" si="185"/>
        <v>0</v>
      </c>
      <c r="W212" s="38">
        <f t="shared" si="185"/>
        <v>0</v>
      </c>
      <c r="X212" s="39">
        <f t="shared" si="185"/>
        <v>0</v>
      </c>
      <c r="Y212" s="46">
        <v>0</v>
      </c>
      <c r="Z212" s="46">
        <v>0</v>
      </c>
      <c r="AA212" s="47">
        <v>0</v>
      </c>
      <c r="AB212" s="46">
        <v>0</v>
      </c>
      <c r="AC212" s="46">
        <v>0</v>
      </c>
      <c r="AD212" s="47">
        <v>0</v>
      </c>
      <c r="AE212" s="46">
        <v>0</v>
      </c>
      <c r="AF212" s="46">
        <v>0</v>
      </c>
      <c r="AG212" s="47">
        <v>0</v>
      </c>
      <c r="AH212" s="46">
        <v>0</v>
      </c>
      <c r="AI212" s="46">
        <v>0</v>
      </c>
      <c r="AJ212" s="47">
        <v>0</v>
      </c>
      <c r="AK212" s="46">
        <v>0</v>
      </c>
      <c r="AL212" s="46">
        <v>0</v>
      </c>
      <c r="AM212" s="47">
        <v>0</v>
      </c>
      <c r="AN212" s="46">
        <v>0</v>
      </c>
      <c r="AO212" s="46">
        <v>0</v>
      </c>
      <c r="AP212" s="47">
        <v>0</v>
      </c>
      <c r="AQ212" s="46">
        <v>0</v>
      </c>
      <c r="AR212" s="46">
        <v>0</v>
      </c>
      <c r="AS212" s="47">
        <v>0</v>
      </c>
      <c r="AT212" s="46">
        <v>0</v>
      </c>
      <c r="AU212" s="46">
        <v>0</v>
      </c>
      <c r="AV212" s="46">
        <v>0</v>
      </c>
      <c r="AW212" s="1545">
        <v>0</v>
      </c>
      <c r="AX212" s="10">
        <f t="shared" ref="AX212:AX275" si="232">BB212-SUM(AY212:BA212)</f>
        <v>21</v>
      </c>
      <c r="AY212" s="42">
        <f>IF(AND($E212=MONTH(Summary!$E$24),$D212=YEAR(Summary!$E$24)),Summary!$E$25,1)*IF(G212="",0,INT((H212-MOD(H212,7)-G212)/7)+1-IF(BA212,IF(WEEKDAY(F212)=7,1,0),0))</f>
        <v>5</v>
      </c>
      <c r="AZ212" s="42">
        <f>IF(AND($E212=MONTH(Summary!$E$24),$D212=YEAR(Summary!$E$24)),Summary!$E$25,1)*IF(G212="",0,INT((H212-MOD(H212-1,7)-G212)/7)+1-IF(BA212,IF(WEEKDAY(F212)=1,1,0),0))</f>
        <v>4</v>
      </c>
      <c r="BA212" s="42">
        <v>0</v>
      </c>
      <c r="BB212" s="10">
        <f>IF(AND($E212=MONTH(Summary!$E$24),$D212=YEAR(Summary!$E$24)),Summary!$E$25,1)*IF(G212="",0,H212-G212+1)</f>
        <v>30</v>
      </c>
      <c r="BC212" s="914">
        <f>Summary!$E$19</f>
        <v>1.4999999999999999E-2</v>
      </c>
      <c r="BD212" s="113">
        <v>14893.2</v>
      </c>
      <c r="BE212" s="171">
        <v>3546</v>
      </c>
      <c r="BF212" s="171">
        <v>2836.8</v>
      </c>
      <c r="BG212" s="174"/>
      <c r="BH212" s="1198">
        <v>1</v>
      </c>
      <c r="BI212" s="1198">
        <v>1</v>
      </c>
      <c r="BJ212" s="1198">
        <v>1</v>
      </c>
      <c r="BK212" s="1198">
        <v>1</v>
      </c>
      <c r="BL212" s="95">
        <v>2978.64</v>
      </c>
      <c r="BM212" s="171">
        <v>709.2</v>
      </c>
      <c r="BN212" s="171">
        <v>567.36</v>
      </c>
      <c r="BO212" s="174"/>
      <c r="BP212" s="1198">
        <v>1</v>
      </c>
      <c r="BQ212" s="1199">
        <v>1</v>
      </c>
      <c r="BR212" s="1199">
        <v>1</v>
      </c>
      <c r="BS212" s="1200">
        <v>1</v>
      </c>
      <c r="BT212" s="94">
        <f t="shared" si="209"/>
        <v>21276</v>
      </c>
      <c r="BU212" s="233">
        <f t="shared" si="210"/>
        <v>21276</v>
      </c>
      <c r="BV212" s="92">
        <f t="shared" si="211"/>
        <v>4255.2</v>
      </c>
      <c r="BW212" s="233">
        <f t="shared" si="212"/>
        <v>4255.2</v>
      </c>
      <c r="BX212" s="88">
        <v>16.295687885010267</v>
      </c>
      <c r="BY212" s="90">
        <v>0</v>
      </c>
      <c r="BZ212" s="88">
        <v>0</v>
      </c>
      <c r="CA212" s="88">
        <v>0</v>
      </c>
      <c r="CB212" s="88">
        <v>0</v>
      </c>
      <c r="CC212" s="88">
        <v>0</v>
      </c>
      <c r="CD212" s="88">
        <v>0</v>
      </c>
      <c r="CE212" s="100">
        <v>0</v>
      </c>
      <c r="CF212" s="88">
        <v>0</v>
      </c>
      <c r="CG212" s="88">
        <v>0</v>
      </c>
      <c r="CH212" s="88">
        <v>0</v>
      </c>
      <c r="CI212" s="88">
        <v>0</v>
      </c>
      <c r="CJ212" s="228">
        <v>0</v>
      </c>
      <c r="CK212" s="88">
        <v>0</v>
      </c>
      <c r="CL212" s="88">
        <v>0</v>
      </c>
      <c r="CM212" s="88">
        <v>0</v>
      </c>
      <c r="CN212" s="88">
        <v>0</v>
      </c>
      <c r="CO212" s="88">
        <v>0</v>
      </c>
      <c r="CP212" s="88">
        <v>0</v>
      </c>
      <c r="CQ212" s="229">
        <v>0</v>
      </c>
      <c r="CR212" s="91">
        <v>0</v>
      </c>
      <c r="CS212" s="91">
        <v>0</v>
      </c>
      <c r="CT212" s="91">
        <v>0</v>
      </c>
      <c r="CU212" s="91">
        <v>0</v>
      </c>
      <c r="CV212" s="91">
        <v>0</v>
      </c>
      <c r="CW212" s="91">
        <v>0</v>
      </c>
      <c r="CX212" s="225">
        <v>0</v>
      </c>
      <c r="CY212" s="1265">
        <v>7672.1238400000002</v>
      </c>
      <c r="CZ212" s="90">
        <v>0</v>
      </c>
      <c r="DA212" s="88">
        <v>0</v>
      </c>
      <c r="DB212" s="88">
        <v>0</v>
      </c>
      <c r="DC212" s="88">
        <v>0</v>
      </c>
      <c r="DD212" s="88">
        <v>0</v>
      </c>
      <c r="DE212" s="152">
        <v>0</v>
      </c>
      <c r="DF212" s="230">
        <v>0</v>
      </c>
      <c r="DG212" s="38">
        <v>0</v>
      </c>
      <c r="DH212" s="1237">
        <v>0</v>
      </c>
      <c r="DI212" s="956">
        <v>0</v>
      </c>
      <c r="DJ212" s="956">
        <v>0</v>
      </c>
      <c r="DK212" s="956">
        <v>0</v>
      </c>
      <c r="DL212" s="152">
        <v>0</v>
      </c>
      <c r="DM212" s="160">
        <v>0</v>
      </c>
      <c r="DN212" s="160">
        <v>0</v>
      </c>
      <c r="DO212" s="160">
        <v>0</v>
      </c>
      <c r="DP212" s="160">
        <v>0</v>
      </c>
      <c r="DQ212" s="160">
        <v>0</v>
      </c>
      <c r="DR212" s="230">
        <v>0</v>
      </c>
      <c r="DS212" s="88">
        <v>0</v>
      </c>
      <c r="DT212" s="88">
        <v>0</v>
      </c>
      <c r="DU212" s="88">
        <v>0</v>
      </c>
      <c r="DV212" s="88">
        <v>0</v>
      </c>
      <c r="DW212" s="88">
        <v>0</v>
      </c>
      <c r="DX212" s="88">
        <v>0</v>
      </c>
      <c r="DY212" s="88">
        <v>0</v>
      </c>
      <c r="DZ212" s="88">
        <v>0</v>
      </c>
      <c r="EA212" s="88">
        <v>0</v>
      </c>
      <c r="EB212" s="152">
        <v>0</v>
      </c>
      <c r="EC212" s="52">
        <f t="shared" si="213"/>
        <v>0</v>
      </c>
      <c r="ED212" s="52">
        <f t="shared" si="213"/>
        <v>0</v>
      </c>
      <c r="EE212" s="52">
        <f t="shared" si="213"/>
        <v>0</v>
      </c>
      <c r="EF212" s="52">
        <f t="shared" si="186"/>
        <v>0</v>
      </c>
      <c r="EG212" s="52">
        <f t="shared" si="214"/>
        <v>0</v>
      </c>
      <c r="EH212" s="238">
        <v>0</v>
      </c>
      <c r="EI212" s="211">
        <v>0</v>
      </c>
      <c r="EJ212" s="211">
        <v>0</v>
      </c>
      <c r="EK212" s="211">
        <v>0</v>
      </c>
      <c r="EL212" s="217">
        <f>IF(C212&gt;=Summary!$E$26,MAX(0,SUM(EH212:EK212)),0)</f>
        <v>0</v>
      </c>
      <c r="EM212" s="52">
        <f>IF(C212&gt;=Summary!$E$26,DX212*BL212,0)</f>
        <v>0</v>
      </c>
      <c r="EN212" s="52">
        <f>IF(C212&gt;=Summary!$E$26,DY212*BM212,0)</f>
        <v>0</v>
      </c>
      <c r="EO212" s="52">
        <f>IF(C212&gt;=Summary!$E$26,DZ212*BN212,0)</f>
        <v>0</v>
      </c>
      <c r="EP212" s="52">
        <f>IF(C212&gt;=Summary!$E$26,EA212*BO212,0)</f>
        <v>0</v>
      </c>
      <c r="EQ212" s="52">
        <f>IF(C212&gt;=Summary!$E$26,DX212*BL212+DY212*BM212+DZ212*BN212+EA212*BO212,0)</f>
        <v>0</v>
      </c>
      <c r="ER212" s="826">
        <v>0</v>
      </c>
      <c r="ES212" s="278">
        <v>0</v>
      </c>
      <c r="ET212" s="278">
        <v>0</v>
      </c>
      <c r="EU212" s="278">
        <v>0</v>
      </c>
      <c r="EV212" s="212">
        <f>IF(C212&gt;=Summary!$E$26,MAX(0,SUM(ER212:EU212)),0)</f>
        <v>0</v>
      </c>
      <c r="EW212" s="52"/>
      <c r="EX212" s="1049">
        <f t="shared" si="215"/>
        <v>0</v>
      </c>
      <c r="EY212" s="1045" t="str">
        <f t="shared" si="216"/>
        <v/>
      </c>
      <c r="EZ212" s="1684" t="s">
        <v>525</v>
      </c>
      <c r="FA212" s="1046">
        <f t="shared" si="229"/>
        <v>45</v>
      </c>
      <c r="FB212" s="256">
        <f t="shared" si="217"/>
        <v>9308.25</v>
      </c>
      <c r="FC212" s="194">
        <f t="shared" si="218"/>
        <v>2792.4749999999999</v>
      </c>
      <c r="FD212" s="194">
        <f t="shared" si="219"/>
        <v>2216.25</v>
      </c>
      <c r="FE212" s="194">
        <f t="shared" si="220"/>
        <v>664.875</v>
      </c>
      <c r="FF212" s="194">
        <f t="shared" si="221"/>
        <v>1773</v>
      </c>
      <c r="FG212" s="194">
        <f t="shared" si="222"/>
        <v>531.9</v>
      </c>
      <c r="FH212" s="257">
        <f>IF(EZ212="No",IF((OR(MONTH(C212)=5,MONTH(C212)=6,MONTH(C212)=7,MONTH(C212)=8,MONTH(C212)=9)),Summary!$O$15*12*(AX212+AY212+AZ212+BA212)*(1-$BC212),Summary!$O$15*13*(AX212+AY212+AZ212+BA212)*(1-$BC212)+IF(Summary!$O$16="Yes",(CALC!FA212+Summary!$O$15)*6*(AX212+AY212+AZ212+BA212)*(1-$BC212),0)),0)</f>
        <v>0</v>
      </c>
      <c r="FI212" s="1412">
        <f>IF(MONTH(C212)=5,FI211*(IF(Summary!$E$70="no",(1+(Summary!$E$71*0.8)),1+HLOOKUP(YEAR(C212)-1,CCFMODEL!$I$127:$AF$128,2)*0.8)),+FI211)</f>
        <v>38.879706486334918</v>
      </c>
      <c r="FJ212" s="1411">
        <f>IF(MONTH(C212)=5,FJ211*(IF(Summary!$E$70="no",(1+(Summary!$E$71*0.8)),1+HLOOKUP(YEAR(CALC!C212)-1,CCFMODEL!$I$127:$AF$128,2)*0.8)),FJ211)</f>
        <v>33.981475747899019</v>
      </c>
      <c r="FK212" s="832">
        <f t="shared" si="187"/>
        <v>672103.76610265009</v>
      </c>
      <c r="FL212" s="1412">
        <f>IF(MONTH(C212)=5,FL211*(IF(Summary!$E$70="no",(1+(Summary!$E$71*0.8)),1+HLOOKUP(YEAR(CALC!C212)-1,CCFMODEL!$I$127:$AF$128,2)*0.8)),+FL211)</f>
        <v>81.76838158299681</v>
      </c>
      <c r="FM212" s="1411">
        <f>IF(MONTH(C212)=5,FM211*(IF(Summary!$E$70="no",(1+(Summary!$E$71*0.8)),1+HLOOKUP(YEAR(CALC!C212)-1,CCFMODEL!$I$127:$AF$128,2)*0.8)),+FM211)</f>
        <v>39.025487163074075</v>
      </c>
      <c r="FN212" s="832">
        <f t="shared" si="188"/>
        <v>684897.29971195001</v>
      </c>
      <c r="FO212" s="194">
        <f t="shared" si="223"/>
        <v>1357001.0658146001</v>
      </c>
      <c r="FP212" s="263">
        <f t="shared" si="189"/>
        <v>9308.25</v>
      </c>
      <c r="FQ212" s="194">
        <f t="shared" si="190"/>
        <v>2792.4749999999999</v>
      </c>
      <c r="FR212" s="194">
        <f t="shared" si="191"/>
        <v>2216.25</v>
      </c>
      <c r="FS212" s="194">
        <f t="shared" si="176"/>
        <v>664.875</v>
      </c>
      <c r="FT212" s="194">
        <f t="shared" si="176"/>
        <v>1773</v>
      </c>
      <c r="FU212" s="194">
        <f t="shared" si="176"/>
        <v>531.9</v>
      </c>
      <c r="FV212" s="257">
        <f t="shared" si="176"/>
        <v>0</v>
      </c>
      <c r="FW212" s="189">
        <f t="shared" si="192"/>
        <v>0</v>
      </c>
      <c r="FX212" s="189">
        <f t="shared" si="193"/>
        <v>0</v>
      </c>
      <c r="FY212" s="189">
        <f t="shared" si="194"/>
        <v>0</v>
      </c>
      <c r="FZ212" s="258">
        <f t="shared" si="195"/>
        <v>0</v>
      </c>
      <c r="GA212" s="1294">
        <f>(SUM(FP212:FV212)+SUM(GU212:HB212)/(1-Summary!$O$25))*CY212/1000</f>
        <v>226484.54821252803</v>
      </c>
      <c r="GB212" s="1369">
        <f>IF($C212&lt;Summary!$M$81,+Summary!$O$81,VLOOKUP(C212,GasTable,19))</f>
        <v>3.3820084591321913</v>
      </c>
      <c r="GC212" s="1370">
        <f>IF(H212&lt;=Summary!$N$84,MIN(GA212,Summary!$O$75*(H212-G212+1)),0)</f>
        <v>0</v>
      </c>
      <c r="GD212" s="1371">
        <f>IF(C212&lt;Summary!$N$84,IF(Summary!$O$75*(H212-G212+1)*0.8&gt;GC212,1,0),0)</f>
        <v>0</v>
      </c>
      <c r="GE212" s="1372">
        <v>0</v>
      </c>
      <c r="GF212" s="1370">
        <f t="shared" si="224"/>
        <v>226484.54821252803</v>
      </c>
      <c r="GG212" s="1371">
        <f>GF212*(IF(Summary!$O$74=1,VLOOKUP($C212,GasTable,16)+Summary!$O$92+Summary!$O$93,VLOOKUP($C212,GasTable,19)+Summary!$O$92+Summary!$O$93))</f>
        <v>777772.50287937501</v>
      </c>
      <c r="GH212" s="1373">
        <v>5073.0126886982871</v>
      </c>
      <c r="GI212" s="1466">
        <v>0</v>
      </c>
      <c r="GJ212" s="1374">
        <f t="shared" si="225"/>
        <v>782845.51556807326</v>
      </c>
      <c r="GK212" s="189">
        <f t="shared" si="196"/>
        <v>29092.270500000002</v>
      </c>
      <c r="GL212" s="266">
        <v>0.51403229728000011</v>
      </c>
      <c r="GM212" s="255">
        <f t="shared" si="197"/>
        <v>0</v>
      </c>
      <c r="GN212" s="189">
        <f>IF(SUM(GU212:HB212)=0,0,IF(Summary!$O$16="Yes",SUM(GX212:HB212),IF(Summary!$O$17="Yes",SUM(GY212:HB212),SUM(GU212:HB212))))</f>
        <v>11805.520500000001</v>
      </c>
      <c r="GO212" s="203">
        <v>3.8184399679854697</v>
      </c>
      <c r="GP212" s="258">
        <f t="shared" si="226"/>
        <v>45078.671320071808</v>
      </c>
      <c r="GQ212" s="189"/>
      <c r="GR212" s="189"/>
      <c r="GS212" s="189"/>
      <c r="GT212" s="189"/>
      <c r="GU212" s="268">
        <v>5389.4767500000007</v>
      </c>
      <c r="GV212" s="189">
        <v>1283.20875</v>
      </c>
      <c r="GW212" s="189">
        <v>1026.5670000000002</v>
      </c>
      <c r="GX212" s="189"/>
      <c r="GY212" s="254">
        <v>2874.3875999999996</v>
      </c>
      <c r="GZ212" s="189">
        <v>684.37800000000004</v>
      </c>
      <c r="HA212" s="189">
        <v>547.50239999999997</v>
      </c>
      <c r="HB212" s="255"/>
      <c r="HC212" s="189">
        <v>11805.520500000001</v>
      </c>
      <c r="HD212" s="189"/>
      <c r="HE212" s="189">
        <v>20274.698250000001</v>
      </c>
      <c r="HF212" s="189">
        <v>492443.2876716922</v>
      </c>
      <c r="HG212" s="189"/>
      <c r="HH212" s="203">
        <v>40.959229579690685</v>
      </c>
      <c r="HI212" s="189">
        <v>830436.02028070309</v>
      </c>
      <c r="HJ212" s="268">
        <f t="shared" si="198"/>
        <v>0</v>
      </c>
      <c r="HK212" s="189">
        <f t="shared" si="199"/>
        <v>0</v>
      </c>
      <c r="HL212" s="189">
        <f t="shared" si="200"/>
        <v>0</v>
      </c>
      <c r="HM212" s="255">
        <f t="shared" si="201"/>
        <v>0</v>
      </c>
      <c r="HN212" s="189">
        <f t="shared" si="202"/>
        <v>0</v>
      </c>
      <c r="HO212" s="203">
        <f t="shared" si="227"/>
        <v>0</v>
      </c>
      <c r="HP212" s="258">
        <f t="shared" si="203"/>
        <v>0</v>
      </c>
      <c r="HQ212" s="804"/>
      <c r="HR212" s="268"/>
      <c r="HS212" s="1408"/>
      <c r="HT212" s="255"/>
      <c r="HU212" s="268"/>
      <c r="HV212" s="1408"/>
      <c r="HW212" s="255"/>
      <c r="HX212" s="1408"/>
      <c r="HY212" s="1408"/>
      <c r="HZ212"/>
      <c r="IA212" s="203"/>
      <c r="IB212" s="203"/>
      <c r="IC212" s="203"/>
      <c r="ID212" s="203"/>
      <c r="IE212" s="203"/>
      <c r="IF212" s="203"/>
      <c r="IG212" s="203"/>
      <c r="IH212" s="203"/>
      <c r="II212" s="203"/>
      <c r="IJ212" s="203"/>
      <c r="IK212" s="203"/>
      <c r="IL212" s="821"/>
      <c r="IM212" s="820"/>
      <c r="IN212" s="820"/>
      <c r="IR212" s="223"/>
    </row>
    <row r="213" spans="1:252" ht="13.8" thickBot="1">
      <c r="A213" t="str">
        <f t="shared" si="204"/>
        <v>2016Q2</v>
      </c>
      <c r="B213">
        <f t="shared" si="205"/>
        <v>2016</v>
      </c>
      <c r="C213" s="49">
        <f t="shared" si="206"/>
        <v>42491</v>
      </c>
      <c r="D213" s="115">
        <f t="shared" si="207"/>
        <v>2016</v>
      </c>
      <c r="E213" s="10">
        <f t="shared" si="230"/>
        <v>5</v>
      </c>
      <c r="F213" s="248">
        <f t="shared" si="231"/>
        <v>42520</v>
      </c>
      <c r="G213" s="245">
        <v>42491</v>
      </c>
      <c r="H213" s="251">
        <v>42521</v>
      </c>
      <c r="I213" s="959">
        <f t="shared" si="228"/>
        <v>7.1499999999999994E-2</v>
      </c>
      <c r="J213" s="37">
        <f t="shared" si="208"/>
        <v>0.31342810224691847</v>
      </c>
      <c r="K213" s="1036"/>
      <c r="L213" s="37"/>
      <c r="M213" s="1004">
        <v>0</v>
      </c>
      <c r="N213" s="38">
        <f t="shared" si="184"/>
        <v>0</v>
      </c>
      <c r="O213" s="40">
        <f t="shared" si="184"/>
        <v>0</v>
      </c>
      <c r="P213" s="159">
        <f t="shared" si="172"/>
        <v>0</v>
      </c>
      <c r="Q213" s="38">
        <f t="shared" si="185"/>
        <v>0</v>
      </c>
      <c r="R213" s="40">
        <f t="shared" si="185"/>
        <v>0</v>
      </c>
      <c r="S213" s="38">
        <f t="shared" si="185"/>
        <v>0</v>
      </c>
      <c r="T213" s="38">
        <f t="shared" si="185"/>
        <v>0</v>
      </c>
      <c r="U213" s="38">
        <f t="shared" si="185"/>
        <v>0</v>
      </c>
      <c r="V213" s="159">
        <f t="shared" si="185"/>
        <v>0</v>
      </c>
      <c r="W213" s="38">
        <f t="shared" si="185"/>
        <v>0</v>
      </c>
      <c r="X213" s="39">
        <f t="shared" si="185"/>
        <v>0</v>
      </c>
      <c r="Y213" s="46">
        <v>0</v>
      </c>
      <c r="Z213" s="46">
        <v>0</v>
      </c>
      <c r="AA213" s="47">
        <v>0</v>
      </c>
      <c r="AB213" s="46">
        <v>0</v>
      </c>
      <c r="AC213" s="46">
        <v>0</v>
      </c>
      <c r="AD213" s="47">
        <v>0</v>
      </c>
      <c r="AE213" s="46">
        <v>0</v>
      </c>
      <c r="AF213" s="46">
        <v>0</v>
      </c>
      <c r="AG213" s="47">
        <v>0</v>
      </c>
      <c r="AH213" s="46">
        <v>0</v>
      </c>
      <c r="AI213" s="46">
        <v>0</v>
      </c>
      <c r="AJ213" s="47">
        <v>0</v>
      </c>
      <c r="AK213" s="46">
        <v>0</v>
      </c>
      <c r="AL213" s="46">
        <v>0</v>
      </c>
      <c r="AM213" s="47">
        <v>0</v>
      </c>
      <c r="AN213" s="46">
        <v>0</v>
      </c>
      <c r="AO213" s="46">
        <v>0</v>
      </c>
      <c r="AP213" s="47">
        <v>0</v>
      </c>
      <c r="AQ213" s="46">
        <v>0</v>
      </c>
      <c r="AR213" s="46">
        <v>0</v>
      </c>
      <c r="AS213" s="47">
        <v>0</v>
      </c>
      <c r="AT213" s="46">
        <v>0</v>
      </c>
      <c r="AU213" s="46">
        <v>0</v>
      </c>
      <c r="AV213" s="46">
        <v>0</v>
      </c>
      <c r="AW213" s="1545">
        <v>0</v>
      </c>
      <c r="AX213" s="10">
        <f t="shared" si="232"/>
        <v>21</v>
      </c>
      <c r="AY213" s="42">
        <f>IF(AND($E213=MONTH(Summary!$E$24),$D213=YEAR(Summary!$E$24)),Summary!$E$25,1)*IF(G213="",0,INT((H213-MOD(H213,7)-G213)/7)+1-IF(BA213,IF(WEEKDAY(F213)=7,1,0),0))</f>
        <v>4</v>
      </c>
      <c r="AZ213" s="42">
        <f>IF(AND($E213=MONTH(Summary!$E$24),$D213=YEAR(Summary!$E$24)),Summary!$E$25,1)*IF(G213="",0,INT((H213-MOD(H213-1,7)-G213)/7)+1-IF(BA213,IF(WEEKDAY(F213)=1,1,0),0))</f>
        <v>5</v>
      </c>
      <c r="BA213" s="42">
        <v>1</v>
      </c>
      <c r="BB213" s="10">
        <f>IF(AND($E213=MONTH(Summary!$E$24),$D213=YEAR(Summary!$E$24)),Summary!$E$25,1)*IF(G213="",0,H213-G213+1)</f>
        <v>31</v>
      </c>
      <c r="BC213" s="914">
        <f>Summary!$E$19</f>
        <v>1.4999999999999999E-2</v>
      </c>
      <c r="BD213" s="113">
        <v>14893.2</v>
      </c>
      <c r="BE213" s="171">
        <v>2836.8</v>
      </c>
      <c r="BF213" s="171">
        <v>4255.2</v>
      </c>
      <c r="BG213" s="174"/>
      <c r="BH213" s="1198">
        <v>1</v>
      </c>
      <c r="BI213" s="1198">
        <v>1</v>
      </c>
      <c r="BJ213" s="1198">
        <v>1</v>
      </c>
      <c r="BK213" s="1198">
        <v>1</v>
      </c>
      <c r="BL213" s="95">
        <v>2978.64</v>
      </c>
      <c r="BM213" s="171">
        <v>567.36</v>
      </c>
      <c r="BN213" s="171">
        <v>851.04</v>
      </c>
      <c r="BO213" s="174"/>
      <c r="BP213" s="1198">
        <v>1</v>
      </c>
      <c r="BQ213" s="1199">
        <v>1</v>
      </c>
      <c r="BR213" s="1199">
        <v>1</v>
      </c>
      <c r="BS213" s="1200">
        <v>1</v>
      </c>
      <c r="BT213" s="94">
        <f t="shared" si="209"/>
        <v>21985.200000000001</v>
      </c>
      <c r="BU213" s="233">
        <f t="shared" si="210"/>
        <v>21985.200000000001</v>
      </c>
      <c r="BV213" s="92">
        <f t="shared" si="211"/>
        <v>4397.04</v>
      </c>
      <c r="BW213" s="233">
        <f t="shared" si="212"/>
        <v>4397.04</v>
      </c>
      <c r="BX213" s="88">
        <v>16.377823408624231</v>
      </c>
      <c r="BY213" s="90">
        <v>0</v>
      </c>
      <c r="BZ213" s="88">
        <v>0</v>
      </c>
      <c r="CA213" s="88">
        <v>0</v>
      </c>
      <c r="CB213" s="88">
        <v>0</v>
      </c>
      <c r="CC213" s="88">
        <v>0</v>
      </c>
      <c r="CD213" s="88">
        <v>0</v>
      </c>
      <c r="CE213" s="100">
        <v>0</v>
      </c>
      <c r="CF213" s="88">
        <v>0</v>
      </c>
      <c r="CG213" s="88">
        <v>0</v>
      </c>
      <c r="CH213" s="88">
        <v>0</v>
      </c>
      <c r="CI213" s="88">
        <v>0</v>
      </c>
      <c r="CJ213" s="228">
        <v>0</v>
      </c>
      <c r="CK213" s="88">
        <v>0</v>
      </c>
      <c r="CL213" s="88">
        <v>0</v>
      </c>
      <c r="CM213" s="88">
        <v>0</v>
      </c>
      <c r="CN213" s="88">
        <v>0</v>
      </c>
      <c r="CO213" s="88">
        <v>0</v>
      </c>
      <c r="CP213" s="88">
        <v>0</v>
      </c>
      <c r="CQ213" s="229">
        <v>0</v>
      </c>
      <c r="CR213" s="91">
        <v>0</v>
      </c>
      <c r="CS213" s="91">
        <v>0</v>
      </c>
      <c r="CT213" s="91">
        <v>0</v>
      </c>
      <c r="CU213" s="91">
        <v>0</v>
      </c>
      <c r="CV213" s="91">
        <v>0</v>
      </c>
      <c r="CW213" s="91">
        <v>0</v>
      </c>
      <c r="CX213" s="225">
        <v>0</v>
      </c>
      <c r="CY213" s="1265">
        <v>7674.1548000000003</v>
      </c>
      <c r="CZ213" s="90">
        <v>0</v>
      </c>
      <c r="DA213" s="88">
        <v>0</v>
      </c>
      <c r="DB213" s="88">
        <v>0</v>
      </c>
      <c r="DC213" s="88">
        <v>0</v>
      </c>
      <c r="DD213" s="88">
        <v>0</v>
      </c>
      <c r="DE213" s="152">
        <v>0</v>
      </c>
      <c r="DF213" s="230">
        <v>0</v>
      </c>
      <c r="DG213" s="38">
        <v>0</v>
      </c>
      <c r="DH213" s="1237">
        <v>0</v>
      </c>
      <c r="DI213" s="956">
        <v>0</v>
      </c>
      <c r="DJ213" s="956">
        <v>0</v>
      </c>
      <c r="DK213" s="956">
        <v>0</v>
      </c>
      <c r="DL213" s="152">
        <v>0</v>
      </c>
      <c r="DM213" s="160">
        <v>0</v>
      </c>
      <c r="DN213" s="160">
        <v>0</v>
      </c>
      <c r="DO213" s="160">
        <v>0</v>
      </c>
      <c r="DP213" s="160">
        <v>0</v>
      </c>
      <c r="DQ213" s="160">
        <v>0</v>
      </c>
      <c r="DR213" s="230">
        <v>0</v>
      </c>
      <c r="DS213" s="88">
        <v>0</v>
      </c>
      <c r="DT213" s="88">
        <v>0</v>
      </c>
      <c r="DU213" s="88">
        <v>0</v>
      </c>
      <c r="DV213" s="88">
        <v>0</v>
      </c>
      <c r="DW213" s="88">
        <v>0</v>
      </c>
      <c r="DX213" s="88">
        <v>0</v>
      </c>
      <c r="DY213" s="88">
        <v>0</v>
      </c>
      <c r="DZ213" s="88">
        <v>0</v>
      </c>
      <c r="EA213" s="88">
        <v>0</v>
      </c>
      <c r="EB213" s="152">
        <v>0</v>
      </c>
      <c r="EC213" s="52">
        <f t="shared" si="213"/>
        <v>0</v>
      </c>
      <c r="ED213" s="52">
        <f t="shared" si="213"/>
        <v>0</v>
      </c>
      <c r="EE213" s="52">
        <f t="shared" si="213"/>
        <v>0</v>
      </c>
      <c r="EF213" s="52">
        <f t="shared" si="186"/>
        <v>0</v>
      </c>
      <c r="EG213" s="52">
        <f t="shared" si="214"/>
        <v>0</v>
      </c>
      <c r="EH213" s="238">
        <v>0</v>
      </c>
      <c r="EI213" s="211">
        <v>0</v>
      </c>
      <c r="EJ213" s="211">
        <v>0</v>
      </c>
      <c r="EK213" s="211">
        <v>0</v>
      </c>
      <c r="EL213" s="217">
        <f>IF(C213&gt;=Summary!$E$26,MAX(0,SUM(EH213:EK213)),0)</f>
        <v>0</v>
      </c>
      <c r="EM213" s="52">
        <f>IF(C213&gt;=Summary!$E$26,DX213*BL213,0)</f>
        <v>0</v>
      </c>
      <c r="EN213" s="52">
        <f>IF(C213&gt;=Summary!$E$26,DY213*BM213,0)</f>
        <v>0</v>
      </c>
      <c r="EO213" s="52">
        <f>IF(C213&gt;=Summary!$E$26,DZ213*BN213,0)</f>
        <v>0</v>
      </c>
      <c r="EP213" s="52">
        <f>IF(C213&gt;=Summary!$E$26,EA213*BO213,0)</f>
        <v>0</v>
      </c>
      <c r="EQ213" s="52">
        <f>IF(C213&gt;=Summary!$E$26,DX213*BL213+DY213*BM213+DZ213*BN213+EA213*BO213,0)</f>
        <v>0</v>
      </c>
      <c r="ER213" s="826">
        <v>0</v>
      </c>
      <c r="ES213" s="278">
        <v>0</v>
      </c>
      <c r="ET213" s="278">
        <v>0</v>
      </c>
      <c r="EU213" s="278">
        <v>0</v>
      </c>
      <c r="EV213" s="212">
        <f>IF(C213&gt;=Summary!$E$26,MAX(0,SUM(ER213:EU213)),0)</f>
        <v>0</v>
      </c>
      <c r="EW213" s="52"/>
      <c r="EX213" s="1049">
        <f t="shared" si="215"/>
        <v>0</v>
      </c>
      <c r="EY213" s="1045" t="str">
        <f t="shared" si="216"/>
        <v/>
      </c>
      <c r="EZ213" s="1684" t="s">
        <v>525</v>
      </c>
      <c r="FA213" s="1046">
        <f t="shared" si="229"/>
        <v>45</v>
      </c>
      <c r="FB213" s="256">
        <f t="shared" si="217"/>
        <v>11169.9</v>
      </c>
      <c r="FC213" s="194">
        <f t="shared" si="218"/>
        <v>0</v>
      </c>
      <c r="FD213" s="194">
        <f t="shared" si="219"/>
        <v>2127.6</v>
      </c>
      <c r="FE213" s="194">
        <f t="shared" si="220"/>
        <v>0</v>
      </c>
      <c r="FF213" s="194">
        <f t="shared" si="221"/>
        <v>3191.4</v>
      </c>
      <c r="FG213" s="194">
        <f t="shared" si="222"/>
        <v>0</v>
      </c>
      <c r="FH213" s="257">
        <f>IF(EZ213="No",IF((OR(MONTH(C213)=5,MONTH(C213)=6,MONTH(C213)=7,MONTH(C213)=8,MONTH(C213)=9)),Summary!$O$15*12*(AX213+AY213+AZ213+BA213)*(1-$BC213),Summary!$O$15*13*(AX213+AY213+AZ213+BA213)*(1-$BC213)+IF(Summary!$O$16="Yes",(CALC!FA213+Summary!$O$15)*6*(AX213+AY213+AZ213+BA213)*(1-$BC213),0)),0)</f>
        <v>0</v>
      </c>
      <c r="FI213" s="1412">
        <f>IF(MONTH(C213)=5,FI212*(IF(Summary!$E$70="no",(1+(Summary!$E$71*0.8)),1+HLOOKUP(YEAR(C213)-1,CCFMODEL!$I$127:$AF$128,2)*0.8)),+FI212)</f>
        <v>39.812819442006955</v>
      </c>
      <c r="FJ213" s="1411">
        <f>IF(MONTH(C213)=5,FJ212*(IF(Summary!$E$70="no",(1+(Summary!$E$71*0.8)),1+HLOOKUP(YEAR(CALC!C213)-1,CCFMODEL!$I$127:$AF$128,2)*0.8)),FJ212)</f>
        <v>34.797031165848594</v>
      </c>
      <c r="FK213" s="832">
        <f t="shared" si="187"/>
        <v>656469.59849730856</v>
      </c>
      <c r="FL213" s="1412">
        <f>IF(MONTH(C213)=5,FL212*(IF(Summary!$E$70="no",(1+(Summary!$E$71*0.8)),1+HLOOKUP(YEAR(CALC!C213)-1,CCFMODEL!$I$127:$AF$128,2)*0.8)),+FL212)</f>
        <v>83.730822740988728</v>
      </c>
      <c r="FM213" s="1411">
        <f>IF(MONTH(C213)=5,FM212*(IF(Summary!$E$70="no",(1+(Summary!$E$71*0.8)),1+HLOOKUP(YEAR(CALC!C213)-1,CCFMODEL!$I$127:$AF$128,2)*0.8)),+FM212)</f>
        <v>39.96209885498785</v>
      </c>
      <c r="FN213" s="832">
        <f t="shared" si="188"/>
        <v>1401653.9726841513</v>
      </c>
      <c r="FO213" s="194">
        <f t="shared" si="223"/>
        <v>2058123.5711814598</v>
      </c>
      <c r="FP213" s="263">
        <f t="shared" si="189"/>
        <v>11169.9</v>
      </c>
      <c r="FQ213" s="194">
        <f t="shared" si="190"/>
        <v>0</v>
      </c>
      <c r="FR213" s="194">
        <f t="shared" si="191"/>
        <v>2127.6</v>
      </c>
      <c r="FS213" s="194">
        <f t="shared" si="176"/>
        <v>0</v>
      </c>
      <c r="FT213" s="194">
        <f t="shared" si="176"/>
        <v>3191.4</v>
      </c>
      <c r="FU213" s="194">
        <f t="shared" si="176"/>
        <v>0</v>
      </c>
      <c r="FV213" s="257">
        <f t="shared" si="176"/>
        <v>0</v>
      </c>
      <c r="FW213" s="189">
        <f t="shared" si="192"/>
        <v>0</v>
      </c>
      <c r="FX213" s="189">
        <f t="shared" si="193"/>
        <v>0</v>
      </c>
      <c r="FY213" s="189">
        <f t="shared" si="194"/>
        <v>0</v>
      </c>
      <c r="FZ213" s="258">
        <f t="shared" si="195"/>
        <v>0</v>
      </c>
      <c r="GA213" s="1294">
        <f>(SUM(FP213:FV213)+SUM(GU213:HB213)/(1-Summary!$O$25))*CY213/1000</f>
        <v>202461.39373075202</v>
      </c>
      <c r="GB213" s="1369">
        <f>IF($C213&lt;Summary!$M$81,+Summary!$O$81,VLOOKUP(C213,GasTable,19))</f>
        <v>3.3565023975044461</v>
      </c>
      <c r="GC213" s="1370">
        <f>IF(H213&lt;=Summary!$N$84,MIN(GA213,Summary!$O$75*(H213-G213+1)),0)</f>
        <v>0</v>
      </c>
      <c r="GD213" s="1371">
        <f>IF(C213&lt;Summary!$N$84,IF(Summary!$O$75*(H213-G213+1)*0.8&gt;GC213,1,0),0)</f>
        <v>0</v>
      </c>
      <c r="GE213" s="1372">
        <v>0</v>
      </c>
      <c r="GF213" s="1370">
        <f t="shared" si="224"/>
        <v>202461.39373075202</v>
      </c>
      <c r="GG213" s="1371">
        <f>GF213*(IF(Summary!$O$74=1,VLOOKUP($C213,GasTable,16)+Summary!$O$92+Summary!$O$93,VLOOKUP($C213,GasTable,19)+Summary!$O$92+Summary!$O$93))</f>
        <v>690110.39207273303</v>
      </c>
      <c r="GH213" s="1373">
        <v>5202.5787161318913</v>
      </c>
      <c r="GI213" s="1466">
        <v>0</v>
      </c>
      <c r="GJ213" s="1374">
        <f t="shared" si="225"/>
        <v>695312.97078886488</v>
      </c>
      <c r="GK213" s="189">
        <f t="shared" si="196"/>
        <v>26035.973100000003</v>
      </c>
      <c r="GL213" s="266">
        <v>0.51416837159999995</v>
      </c>
      <c r="GM213" s="255">
        <f t="shared" si="197"/>
        <v>0</v>
      </c>
      <c r="GN213" s="189">
        <f>IF(SUM(GU213:HB213)=0,0,IF(Summary!$O$16="Yes",SUM(GX213:HB213),IF(Summary!$O$17="Yes",SUM(GY213:HB213),SUM(GU213:HB213))))</f>
        <v>9547.0730999999996</v>
      </c>
      <c r="GO213" s="203">
        <v>3.8184399679854697</v>
      </c>
      <c r="GP213" s="258">
        <f t="shared" si="226"/>
        <v>36454.92550231894</v>
      </c>
      <c r="GQ213" s="189"/>
      <c r="GR213" s="189"/>
      <c r="GS213" s="189"/>
      <c r="GT213" s="189"/>
      <c r="GU213" s="268">
        <v>3592.9845000000009</v>
      </c>
      <c r="GV213" s="189">
        <v>684.37800000000027</v>
      </c>
      <c r="GW213" s="189">
        <v>1026.5669999999998</v>
      </c>
      <c r="GX213" s="189"/>
      <c r="GY213" s="254">
        <v>2874.3875999999996</v>
      </c>
      <c r="GZ213" s="189">
        <v>547.50239999999997</v>
      </c>
      <c r="HA213" s="189">
        <v>821.25359999999989</v>
      </c>
      <c r="HB213" s="255"/>
      <c r="HC213" s="189">
        <v>9547.0730999999996</v>
      </c>
      <c r="HD213" s="189"/>
      <c r="HE213" s="189">
        <v>22276.5039</v>
      </c>
      <c r="HF213" s="189">
        <v>423883.65719426551</v>
      </c>
      <c r="HG213" s="189"/>
      <c r="HH213" s="203">
        <v>44.985163175575998</v>
      </c>
      <c r="HI213" s="189">
        <v>1002112.1629228551</v>
      </c>
      <c r="HJ213" s="268">
        <f t="shared" si="198"/>
        <v>0</v>
      </c>
      <c r="HK213" s="189">
        <f t="shared" si="199"/>
        <v>0</v>
      </c>
      <c r="HL213" s="189">
        <f t="shared" si="200"/>
        <v>0</v>
      </c>
      <c r="HM213" s="255">
        <f t="shared" si="201"/>
        <v>0</v>
      </c>
      <c r="HN213" s="189">
        <f t="shared" si="202"/>
        <v>0</v>
      </c>
      <c r="HO213" s="203">
        <f t="shared" si="227"/>
        <v>0</v>
      </c>
      <c r="HP213" s="258">
        <f t="shared" si="203"/>
        <v>0</v>
      </c>
      <c r="HQ213" s="203"/>
      <c r="HR213" s="268"/>
      <c r="HS213" s="1408"/>
      <c r="HT213" s="255"/>
      <c r="HU213" s="268"/>
      <c r="HV213" s="1408"/>
      <c r="HW213" s="255"/>
      <c r="HX213" s="1408"/>
      <c r="HY213" s="1408"/>
      <c r="HZ213"/>
      <c r="IA213" s="203"/>
      <c r="IB213" s="203"/>
      <c r="IC213" s="203"/>
      <c r="ID213" s="203"/>
      <c r="IE213" s="203"/>
      <c r="IF213" s="203"/>
      <c r="IG213" s="203"/>
      <c r="IH213" s="203"/>
      <c r="II213" s="203"/>
      <c r="IJ213" s="203"/>
      <c r="IK213" s="203"/>
      <c r="IL213" s="821"/>
      <c r="IM213" s="820"/>
      <c r="IN213" s="820"/>
      <c r="IR213" s="223"/>
    </row>
    <row r="214" spans="1:252" ht="13.8" thickBot="1">
      <c r="A214" t="str">
        <f t="shared" si="204"/>
        <v>2016Q2</v>
      </c>
      <c r="B214">
        <f t="shared" si="205"/>
        <v>2016</v>
      </c>
      <c r="C214" s="49">
        <f t="shared" si="206"/>
        <v>42522</v>
      </c>
      <c r="D214" s="115">
        <f t="shared" si="207"/>
        <v>2016</v>
      </c>
      <c r="E214" s="10">
        <f t="shared" si="230"/>
        <v>6</v>
      </c>
      <c r="F214" s="248" t="str">
        <f t="shared" si="231"/>
        <v/>
      </c>
      <c r="G214" s="245">
        <v>42522</v>
      </c>
      <c r="H214" s="251">
        <v>42551</v>
      </c>
      <c r="I214" s="959">
        <f t="shared" si="228"/>
        <v>7.1499999999999994E-2</v>
      </c>
      <c r="J214" s="37">
        <f t="shared" si="208"/>
        <v>0.31162478208898575</v>
      </c>
      <c r="K214" s="1036"/>
      <c r="L214" s="37"/>
      <c r="M214" s="1004">
        <v>0</v>
      </c>
      <c r="N214" s="38">
        <f t="shared" si="184"/>
        <v>0</v>
      </c>
      <c r="O214" s="40">
        <f t="shared" si="184"/>
        <v>0</v>
      </c>
      <c r="P214" s="159">
        <f t="shared" si="172"/>
        <v>0</v>
      </c>
      <c r="Q214" s="38">
        <f t="shared" si="185"/>
        <v>0</v>
      </c>
      <c r="R214" s="40">
        <f t="shared" si="185"/>
        <v>0</v>
      </c>
      <c r="S214" s="38">
        <f t="shared" si="185"/>
        <v>0</v>
      </c>
      <c r="T214" s="38">
        <f t="shared" si="185"/>
        <v>0</v>
      </c>
      <c r="U214" s="38">
        <f t="shared" si="185"/>
        <v>0</v>
      </c>
      <c r="V214" s="159">
        <f t="shared" si="185"/>
        <v>0</v>
      </c>
      <c r="W214" s="38">
        <f t="shared" si="185"/>
        <v>0</v>
      </c>
      <c r="X214" s="39">
        <f t="shared" si="185"/>
        <v>0</v>
      </c>
      <c r="Y214" s="46">
        <v>0</v>
      </c>
      <c r="Z214" s="46">
        <v>0</v>
      </c>
      <c r="AA214" s="47">
        <v>0</v>
      </c>
      <c r="AB214" s="46">
        <v>0</v>
      </c>
      <c r="AC214" s="46">
        <v>0</v>
      </c>
      <c r="AD214" s="47">
        <v>0</v>
      </c>
      <c r="AE214" s="46">
        <v>0</v>
      </c>
      <c r="AF214" s="46">
        <v>0</v>
      </c>
      <c r="AG214" s="47">
        <v>0</v>
      </c>
      <c r="AH214" s="46">
        <v>0</v>
      </c>
      <c r="AI214" s="46">
        <v>0</v>
      </c>
      <c r="AJ214" s="47">
        <v>0</v>
      </c>
      <c r="AK214" s="46">
        <v>0</v>
      </c>
      <c r="AL214" s="46">
        <v>0</v>
      </c>
      <c r="AM214" s="47">
        <v>0</v>
      </c>
      <c r="AN214" s="46">
        <v>0</v>
      </c>
      <c r="AO214" s="46">
        <v>0</v>
      </c>
      <c r="AP214" s="47">
        <v>0</v>
      </c>
      <c r="AQ214" s="46">
        <v>0</v>
      </c>
      <c r="AR214" s="46">
        <v>0</v>
      </c>
      <c r="AS214" s="47">
        <v>0</v>
      </c>
      <c r="AT214" s="46">
        <v>0</v>
      </c>
      <c r="AU214" s="46">
        <v>0</v>
      </c>
      <c r="AV214" s="46">
        <v>0</v>
      </c>
      <c r="AW214" s="1545">
        <v>0</v>
      </c>
      <c r="AX214" s="10">
        <f t="shared" si="232"/>
        <v>22</v>
      </c>
      <c r="AY214" s="42">
        <f>IF(AND($E214=MONTH(Summary!$E$24),$D214=YEAR(Summary!$E$24)),Summary!$E$25,1)*IF(G214="",0,INT((H214-MOD(H214,7)-G214)/7)+1-IF(BA214,IF(WEEKDAY(F214)=7,1,0),0))</f>
        <v>4</v>
      </c>
      <c r="AZ214" s="42">
        <f>IF(AND($E214=MONTH(Summary!$E$24),$D214=YEAR(Summary!$E$24)),Summary!$E$25,1)*IF(G214="",0,INT((H214-MOD(H214-1,7)-G214)/7)+1-IF(BA214,IF(WEEKDAY(F214)=1,1,0),0))</f>
        <v>4</v>
      </c>
      <c r="BA214" s="42">
        <v>0</v>
      </c>
      <c r="BB214" s="10">
        <f>IF(AND($E214=MONTH(Summary!$E$24),$D214=YEAR(Summary!$E$24)),Summary!$E$25,1)*IF(G214="",0,H214-G214+1)</f>
        <v>30</v>
      </c>
      <c r="BC214" s="914">
        <f>Summary!$E$19</f>
        <v>1.4999999999999999E-2</v>
      </c>
      <c r="BD214" s="113">
        <v>15602.4</v>
      </c>
      <c r="BE214" s="171">
        <v>2836.8</v>
      </c>
      <c r="BF214" s="171">
        <v>2836.8</v>
      </c>
      <c r="BG214" s="174"/>
      <c r="BH214" s="1198">
        <v>1</v>
      </c>
      <c r="BI214" s="1198">
        <v>1</v>
      </c>
      <c r="BJ214" s="1198">
        <v>1</v>
      </c>
      <c r="BK214" s="1198">
        <v>1</v>
      </c>
      <c r="BL214" s="95">
        <v>3120.48</v>
      </c>
      <c r="BM214" s="171">
        <v>567.36</v>
      </c>
      <c r="BN214" s="171">
        <v>567.36</v>
      </c>
      <c r="BO214" s="174"/>
      <c r="BP214" s="1198">
        <v>1</v>
      </c>
      <c r="BQ214" s="1199">
        <v>1</v>
      </c>
      <c r="BR214" s="1199">
        <v>1</v>
      </c>
      <c r="BS214" s="1200">
        <v>1</v>
      </c>
      <c r="BT214" s="94">
        <f t="shared" si="209"/>
        <v>21276</v>
      </c>
      <c r="BU214" s="233">
        <f t="shared" si="210"/>
        <v>21276</v>
      </c>
      <c r="BV214" s="92">
        <f t="shared" si="211"/>
        <v>4255.2</v>
      </c>
      <c r="BW214" s="233">
        <f t="shared" si="212"/>
        <v>4255.2</v>
      </c>
      <c r="BX214" s="88">
        <v>16.462696783025326</v>
      </c>
      <c r="BY214" s="90">
        <v>0</v>
      </c>
      <c r="BZ214" s="88">
        <v>0</v>
      </c>
      <c r="CA214" s="88">
        <v>0</v>
      </c>
      <c r="CB214" s="88">
        <v>0</v>
      </c>
      <c r="CC214" s="88">
        <v>0</v>
      </c>
      <c r="CD214" s="88">
        <v>0</v>
      </c>
      <c r="CE214" s="100">
        <v>0</v>
      </c>
      <c r="CF214" s="88">
        <v>0</v>
      </c>
      <c r="CG214" s="88">
        <v>0</v>
      </c>
      <c r="CH214" s="88">
        <v>0</v>
      </c>
      <c r="CI214" s="88">
        <v>0</v>
      </c>
      <c r="CJ214" s="228">
        <v>0</v>
      </c>
      <c r="CK214" s="88">
        <v>0</v>
      </c>
      <c r="CL214" s="88">
        <v>0</v>
      </c>
      <c r="CM214" s="88">
        <v>0</v>
      </c>
      <c r="CN214" s="88">
        <v>0</v>
      </c>
      <c r="CO214" s="88">
        <v>0</v>
      </c>
      <c r="CP214" s="88">
        <v>0</v>
      </c>
      <c r="CQ214" s="229">
        <v>0</v>
      </c>
      <c r="CR214" s="91">
        <v>0</v>
      </c>
      <c r="CS214" s="91">
        <v>0</v>
      </c>
      <c r="CT214" s="91">
        <v>0</v>
      </c>
      <c r="CU214" s="91">
        <v>0</v>
      </c>
      <c r="CV214" s="91">
        <v>0</v>
      </c>
      <c r="CW214" s="91">
        <v>0</v>
      </c>
      <c r="CX214" s="225">
        <v>0</v>
      </c>
      <c r="CY214" s="1265">
        <v>7676.1857600000003</v>
      </c>
      <c r="CZ214" s="90">
        <v>0</v>
      </c>
      <c r="DA214" s="88">
        <v>0</v>
      </c>
      <c r="DB214" s="88">
        <v>0</v>
      </c>
      <c r="DC214" s="88">
        <v>0</v>
      </c>
      <c r="DD214" s="88">
        <v>0</v>
      </c>
      <c r="DE214" s="152">
        <v>0</v>
      </c>
      <c r="DF214" s="230">
        <v>0</v>
      </c>
      <c r="DG214" s="38">
        <v>0</v>
      </c>
      <c r="DH214" s="1237">
        <v>0</v>
      </c>
      <c r="DI214" s="956">
        <v>0</v>
      </c>
      <c r="DJ214" s="956">
        <v>0</v>
      </c>
      <c r="DK214" s="956">
        <v>0</v>
      </c>
      <c r="DL214" s="152">
        <v>0</v>
      </c>
      <c r="DM214" s="160">
        <v>0</v>
      </c>
      <c r="DN214" s="160">
        <v>0</v>
      </c>
      <c r="DO214" s="160">
        <v>0</v>
      </c>
      <c r="DP214" s="160">
        <v>0</v>
      </c>
      <c r="DQ214" s="160">
        <v>0</v>
      </c>
      <c r="DR214" s="230">
        <v>0</v>
      </c>
      <c r="DS214" s="88">
        <v>0</v>
      </c>
      <c r="DT214" s="88">
        <v>0</v>
      </c>
      <c r="DU214" s="88">
        <v>0</v>
      </c>
      <c r="DV214" s="88">
        <v>0</v>
      </c>
      <c r="DW214" s="88">
        <v>0</v>
      </c>
      <c r="DX214" s="88">
        <v>0</v>
      </c>
      <c r="DY214" s="88">
        <v>0</v>
      </c>
      <c r="DZ214" s="88">
        <v>0</v>
      </c>
      <c r="EA214" s="88">
        <v>0</v>
      </c>
      <c r="EB214" s="152">
        <v>0</v>
      </c>
      <c r="EC214" s="52">
        <f t="shared" si="213"/>
        <v>0</v>
      </c>
      <c r="ED214" s="52">
        <f t="shared" si="213"/>
        <v>0</v>
      </c>
      <c r="EE214" s="52">
        <f t="shared" si="213"/>
        <v>0</v>
      </c>
      <c r="EF214" s="52">
        <f t="shared" si="186"/>
        <v>0</v>
      </c>
      <c r="EG214" s="52">
        <f t="shared" si="214"/>
        <v>0</v>
      </c>
      <c r="EH214" s="238">
        <v>0</v>
      </c>
      <c r="EI214" s="211">
        <v>0</v>
      </c>
      <c r="EJ214" s="211">
        <v>0</v>
      </c>
      <c r="EK214" s="211">
        <v>0</v>
      </c>
      <c r="EL214" s="217">
        <f>IF(C214&gt;=Summary!$E$26,MAX(0,SUM(EH214:EK214)),0)</f>
        <v>0</v>
      </c>
      <c r="EM214" s="52">
        <f>IF(C214&gt;=Summary!$E$26,DX214*BL214,0)</f>
        <v>0</v>
      </c>
      <c r="EN214" s="52">
        <f>IF(C214&gt;=Summary!$E$26,DY214*BM214,0)</f>
        <v>0</v>
      </c>
      <c r="EO214" s="52">
        <f>IF(C214&gt;=Summary!$E$26,DZ214*BN214,0)</f>
        <v>0</v>
      </c>
      <c r="EP214" s="52">
        <f>IF(C214&gt;=Summary!$E$26,EA214*BO214,0)</f>
        <v>0</v>
      </c>
      <c r="EQ214" s="52">
        <f>IF(C214&gt;=Summary!$E$26,DX214*BL214+DY214*BM214+DZ214*BN214+EA214*BO214,0)</f>
        <v>0</v>
      </c>
      <c r="ER214" s="826">
        <v>0</v>
      </c>
      <c r="ES214" s="278">
        <v>0</v>
      </c>
      <c r="ET214" s="278">
        <v>0</v>
      </c>
      <c r="EU214" s="278">
        <v>0</v>
      </c>
      <c r="EV214" s="212">
        <f>IF(C214&gt;=Summary!$E$26,MAX(0,SUM(ER214:EU214)),0)</f>
        <v>0</v>
      </c>
      <c r="EW214" s="52"/>
      <c r="EX214" s="1049">
        <f t="shared" si="215"/>
        <v>0</v>
      </c>
      <c r="EY214" s="1045" t="str">
        <f t="shared" si="216"/>
        <v/>
      </c>
      <c r="EZ214" s="1684" t="s">
        <v>525</v>
      </c>
      <c r="FA214" s="1046">
        <f t="shared" si="229"/>
        <v>45</v>
      </c>
      <c r="FB214" s="256">
        <f t="shared" si="217"/>
        <v>11701.8</v>
      </c>
      <c r="FC214" s="194">
        <f t="shared" si="218"/>
        <v>0</v>
      </c>
      <c r="FD214" s="194">
        <f t="shared" si="219"/>
        <v>2127.6</v>
      </c>
      <c r="FE214" s="194">
        <f t="shared" si="220"/>
        <v>0</v>
      </c>
      <c r="FF214" s="194">
        <f t="shared" si="221"/>
        <v>2127.6</v>
      </c>
      <c r="FG214" s="194">
        <f t="shared" si="222"/>
        <v>0</v>
      </c>
      <c r="FH214" s="257">
        <f>IF(EZ214="No",IF((OR(MONTH(C214)=5,MONTH(C214)=6,MONTH(C214)=7,MONTH(C214)=8,MONTH(C214)=9)),Summary!$O$15*12*(AX214+AY214+AZ214+BA214)*(1-$BC214),Summary!$O$15*13*(AX214+AY214+AZ214+BA214)*(1-$BC214)+IF(Summary!$O$16="Yes",(CALC!FA214+Summary!$O$15)*6*(AX214+AY214+AZ214+BA214)*(1-$BC214),0)),0)</f>
        <v>0</v>
      </c>
      <c r="FI214" s="1412">
        <f>IF(MONTH(C214)=5,FI213*(IF(Summary!$E$70="no",(1+(Summary!$E$71*0.8)),1+HLOOKUP(YEAR(C214)-1,CCFMODEL!$I$127:$AF$128,2)*0.8)),+FI213)</f>
        <v>39.812819442006955</v>
      </c>
      <c r="FJ214" s="1411">
        <f>IF(MONTH(C214)=5,FJ213*(IF(Summary!$E$70="no",(1+(Summary!$E$71*0.8)),1+HLOOKUP(YEAR(CALC!C214)-1,CCFMODEL!$I$127:$AF$128,2)*0.8)),FJ213)</f>
        <v>34.797031165848594</v>
      </c>
      <c r="FK214" s="832">
        <f t="shared" si="187"/>
        <v>635293.15983610495</v>
      </c>
      <c r="FL214" s="1412">
        <f>IF(MONTH(C214)=5,FL213*(IF(Summary!$E$70="no",(1+(Summary!$E$71*0.8)),1+HLOOKUP(YEAR(CALC!C214)-1,CCFMODEL!$I$127:$AF$128,2)*0.8)),+FL213)</f>
        <v>83.730822740988728</v>
      </c>
      <c r="FM214" s="1411">
        <f>IF(MONTH(C214)=5,FM213*(IF(Summary!$E$70="no",(1+(Summary!$E$71*0.8)),1+HLOOKUP(YEAR(CALC!C214)-1,CCFMODEL!$I$127:$AF$128,2)*0.8)),+FM213)</f>
        <v>39.96209885498785</v>
      </c>
      <c r="FN214" s="832">
        <f t="shared" si="188"/>
        <v>1356439.3284040175</v>
      </c>
      <c r="FO214" s="194">
        <f t="shared" si="223"/>
        <v>1991732.4882401223</v>
      </c>
      <c r="FP214" s="263">
        <f t="shared" si="189"/>
        <v>11701.8</v>
      </c>
      <c r="FQ214" s="194">
        <f t="shared" si="190"/>
        <v>0</v>
      </c>
      <c r="FR214" s="194">
        <f t="shared" si="191"/>
        <v>2127.6</v>
      </c>
      <c r="FS214" s="194">
        <f t="shared" si="176"/>
        <v>0</v>
      </c>
      <c r="FT214" s="194">
        <f t="shared" si="176"/>
        <v>2127.6</v>
      </c>
      <c r="FU214" s="194">
        <f t="shared" si="176"/>
        <v>0</v>
      </c>
      <c r="FV214" s="257">
        <f t="shared" si="176"/>
        <v>0</v>
      </c>
      <c r="FW214" s="189">
        <f t="shared" si="192"/>
        <v>0</v>
      </c>
      <c r="FX214" s="189">
        <f t="shared" si="193"/>
        <v>0</v>
      </c>
      <c r="FY214" s="189">
        <f t="shared" si="194"/>
        <v>0</v>
      </c>
      <c r="FZ214" s="258">
        <f t="shared" si="195"/>
        <v>0</v>
      </c>
      <c r="GA214" s="1294">
        <f>(SUM(FP214:FV214)+SUM(GU214:HB214)/(1-Summary!$O$25))*CY214/1000</f>
        <v>195982.23387571197</v>
      </c>
      <c r="GB214" s="1369">
        <f>IF($C214&lt;Summary!$M$81,+Summary!$O$81,VLOOKUP(C214,GasTable,19))</f>
        <v>3.3970470086913287</v>
      </c>
      <c r="GC214" s="1370">
        <f>IF(H214&lt;=Summary!$N$84,MIN(GA214,Summary!$O$75*(H214-G214+1)),0)</f>
        <v>0</v>
      </c>
      <c r="GD214" s="1371">
        <f>IF(C214&lt;Summary!$N$84,IF(Summary!$O$75*(H214-G214+1)*0.8&gt;GC214,1,0),0)</f>
        <v>0</v>
      </c>
      <c r="GE214" s="1372">
        <v>0</v>
      </c>
      <c r="GF214" s="1370">
        <f t="shared" si="224"/>
        <v>195982.23387571197</v>
      </c>
      <c r="GG214" s="1371">
        <f>GF214*(IF(Summary!$O$74=1,VLOOKUP($C214,GasTable,16)+Summary!$O$92+Summary!$O$93,VLOOKUP($C214,GasTable,19)+Summary!$O$92+Summary!$O$93))</f>
        <v>675971.53572905634</v>
      </c>
      <c r="GH214" s="1373">
        <v>5095.5705130369934</v>
      </c>
      <c r="GI214" s="1466">
        <v>0</v>
      </c>
      <c r="GJ214" s="1374">
        <f t="shared" si="225"/>
        <v>681067.10624209337</v>
      </c>
      <c r="GK214" s="189">
        <f t="shared" si="196"/>
        <v>25196.103000000006</v>
      </c>
      <c r="GL214" s="266">
        <v>0.51430444592000002</v>
      </c>
      <c r="GM214" s="255">
        <f t="shared" si="197"/>
        <v>0</v>
      </c>
      <c r="GN214" s="189">
        <f>IF(SUM(GU214:HB214)=0,0,IF(Summary!$O$16="Yes",SUM(GX214:HB214),IF(Summary!$O$17="Yes",SUM(GY214:HB214),SUM(GU214:HB214))))</f>
        <v>9239.1029999999992</v>
      </c>
      <c r="GO214" s="203">
        <v>3.8184399679854697</v>
      </c>
      <c r="GP214" s="258">
        <f t="shared" si="226"/>
        <v>35278.960163534452</v>
      </c>
      <c r="GQ214" s="189"/>
      <c r="GR214" s="189"/>
      <c r="GS214" s="189"/>
      <c r="GT214" s="189"/>
      <c r="GU214" s="268">
        <v>3764.0790000000002</v>
      </c>
      <c r="GV214" s="189">
        <v>684.37800000000027</v>
      </c>
      <c r="GW214" s="189">
        <v>684.37800000000027</v>
      </c>
      <c r="GX214" s="189"/>
      <c r="GY214" s="254">
        <v>3011.2631999999999</v>
      </c>
      <c r="GZ214" s="189">
        <v>547.50239999999997</v>
      </c>
      <c r="HA214" s="189">
        <v>547.50239999999997</v>
      </c>
      <c r="HB214" s="255"/>
      <c r="HC214" s="189">
        <v>9239.1029999999992</v>
      </c>
      <c r="HD214" s="189"/>
      <c r="HE214" s="189">
        <v>21557.906999999999</v>
      </c>
      <c r="HF214" s="189">
        <v>390604.9721128557</v>
      </c>
      <c r="HG214" s="189"/>
      <c r="HH214" s="203">
        <v>43.736507354551691</v>
      </c>
      <c r="HI214" s="189">
        <v>942867.55805424135</v>
      </c>
      <c r="HJ214" s="268">
        <f t="shared" si="198"/>
        <v>0</v>
      </c>
      <c r="HK214" s="189">
        <f t="shared" si="199"/>
        <v>0</v>
      </c>
      <c r="HL214" s="189">
        <f t="shared" si="200"/>
        <v>0</v>
      </c>
      <c r="HM214" s="255">
        <f t="shared" si="201"/>
        <v>0</v>
      </c>
      <c r="HN214" s="189">
        <f t="shared" si="202"/>
        <v>0</v>
      </c>
      <c r="HO214" s="203">
        <f t="shared" si="227"/>
        <v>0</v>
      </c>
      <c r="HP214" s="258">
        <f t="shared" si="203"/>
        <v>0</v>
      </c>
      <c r="HQ214" s="203"/>
      <c r="HR214" s="268"/>
      <c r="HS214" s="1408"/>
      <c r="HT214" s="255"/>
      <c r="HU214" s="268"/>
      <c r="HV214" s="1408"/>
      <c r="HW214" s="255"/>
      <c r="HX214" s="1408"/>
      <c r="HY214" s="1408"/>
      <c r="HZ214"/>
      <c r="IA214" s="203"/>
      <c r="IB214" s="203"/>
      <c r="IC214" s="203"/>
      <c r="ID214" s="203"/>
      <c r="IE214" s="203"/>
      <c r="IF214" s="203"/>
      <c r="IG214" s="203"/>
      <c r="IH214" s="203"/>
      <c r="II214" s="203"/>
      <c r="IJ214" s="203"/>
      <c r="IK214" s="203"/>
      <c r="IL214" s="821"/>
      <c r="IM214" s="820"/>
      <c r="IN214" s="820"/>
      <c r="IR214" s="223"/>
    </row>
    <row r="215" spans="1:252" ht="13.8" thickBot="1">
      <c r="A215" t="str">
        <f t="shared" si="204"/>
        <v>2016Q3</v>
      </c>
      <c r="B215">
        <f t="shared" si="205"/>
        <v>2016</v>
      </c>
      <c r="C215" s="49">
        <f t="shared" si="206"/>
        <v>42552</v>
      </c>
      <c r="D215" s="115">
        <f t="shared" si="207"/>
        <v>2016</v>
      </c>
      <c r="E215" s="10">
        <f t="shared" si="230"/>
        <v>7</v>
      </c>
      <c r="F215" s="248">
        <f t="shared" si="231"/>
        <v>42555</v>
      </c>
      <c r="G215" s="245">
        <v>42552</v>
      </c>
      <c r="H215" s="251">
        <v>42582</v>
      </c>
      <c r="I215" s="959">
        <f t="shared" si="228"/>
        <v>7.1499999999999994E-2</v>
      </c>
      <c r="J215" s="37">
        <f t="shared" si="208"/>
        <v>0.30977225056804475</v>
      </c>
      <c r="K215" s="1036"/>
      <c r="L215" s="37"/>
      <c r="M215" s="1004">
        <v>0</v>
      </c>
      <c r="N215" s="38">
        <f t="shared" si="184"/>
        <v>0</v>
      </c>
      <c r="O215" s="40">
        <f t="shared" si="184"/>
        <v>0</v>
      </c>
      <c r="P215" s="159">
        <f t="shared" si="172"/>
        <v>0</v>
      </c>
      <c r="Q215" s="38">
        <f t="shared" si="185"/>
        <v>0</v>
      </c>
      <c r="R215" s="40">
        <f t="shared" si="185"/>
        <v>0</v>
      </c>
      <c r="S215" s="38">
        <f t="shared" si="185"/>
        <v>0</v>
      </c>
      <c r="T215" s="38">
        <f t="shared" si="185"/>
        <v>0</v>
      </c>
      <c r="U215" s="38">
        <f t="shared" si="185"/>
        <v>0</v>
      </c>
      <c r="V215" s="159">
        <f t="shared" si="185"/>
        <v>0</v>
      </c>
      <c r="W215" s="38">
        <f t="shared" si="185"/>
        <v>0</v>
      </c>
      <c r="X215" s="39">
        <f t="shared" si="185"/>
        <v>0</v>
      </c>
      <c r="Y215" s="46">
        <v>0</v>
      </c>
      <c r="Z215" s="46">
        <v>0</v>
      </c>
      <c r="AA215" s="47">
        <v>0</v>
      </c>
      <c r="AB215" s="46">
        <v>0</v>
      </c>
      <c r="AC215" s="46">
        <v>0</v>
      </c>
      <c r="AD215" s="47">
        <v>0</v>
      </c>
      <c r="AE215" s="46">
        <v>0</v>
      </c>
      <c r="AF215" s="46">
        <v>0</v>
      </c>
      <c r="AG215" s="47">
        <v>0</v>
      </c>
      <c r="AH215" s="46">
        <v>0</v>
      </c>
      <c r="AI215" s="46">
        <v>0</v>
      </c>
      <c r="AJ215" s="47">
        <v>0</v>
      </c>
      <c r="AK215" s="46">
        <v>0</v>
      </c>
      <c r="AL215" s="46">
        <v>0</v>
      </c>
      <c r="AM215" s="47">
        <v>0</v>
      </c>
      <c r="AN215" s="46">
        <v>0</v>
      </c>
      <c r="AO215" s="46">
        <v>0</v>
      </c>
      <c r="AP215" s="47">
        <v>0</v>
      </c>
      <c r="AQ215" s="46">
        <v>0</v>
      </c>
      <c r="AR215" s="46">
        <v>0</v>
      </c>
      <c r="AS215" s="47">
        <v>0</v>
      </c>
      <c r="AT215" s="46">
        <v>0</v>
      </c>
      <c r="AU215" s="46">
        <v>0</v>
      </c>
      <c r="AV215" s="46">
        <v>0</v>
      </c>
      <c r="AW215" s="1545">
        <v>0</v>
      </c>
      <c r="AX215" s="10">
        <f t="shared" si="232"/>
        <v>20</v>
      </c>
      <c r="AY215" s="42">
        <f>IF(AND($E215=MONTH(Summary!$E$24),$D215=YEAR(Summary!$E$24)),Summary!$E$25,1)*IF(G215="",0,INT((H215-MOD(H215,7)-G215)/7)+1-IF(BA215,IF(WEEKDAY(F215)=7,1,0),0))</f>
        <v>5</v>
      </c>
      <c r="AZ215" s="42">
        <f>IF(AND($E215=MONTH(Summary!$E$24),$D215=YEAR(Summary!$E$24)),Summary!$E$25,1)*IF(G215="",0,INT((H215-MOD(H215-1,7)-G215)/7)+1-IF(BA215,IF(WEEKDAY(F215)=1,1,0),0))</f>
        <v>5</v>
      </c>
      <c r="BA215" s="42">
        <v>1</v>
      </c>
      <c r="BB215" s="10">
        <f>IF(AND($E215=MONTH(Summary!$E$24),$D215=YEAR(Summary!$E$24)),Summary!$E$25,1)*IF(G215="",0,H215-G215+1)</f>
        <v>31</v>
      </c>
      <c r="BC215" s="914">
        <f>Summary!$E$19</f>
        <v>1.4999999999999999E-2</v>
      </c>
      <c r="BD215" s="113">
        <v>14184</v>
      </c>
      <c r="BE215" s="171">
        <v>3546</v>
      </c>
      <c r="BF215" s="171">
        <v>4255.2</v>
      </c>
      <c r="BG215" s="174"/>
      <c r="BH215" s="1198">
        <v>1</v>
      </c>
      <c r="BI215" s="1198">
        <v>1</v>
      </c>
      <c r="BJ215" s="1198">
        <v>1</v>
      </c>
      <c r="BK215" s="1198">
        <v>1</v>
      </c>
      <c r="BL215" s="95">
        <v>2836.8</v>
      </c>
      <c r="BM215" s="171">
        <v>709.2</v>
      </c>
      <c r="BN215" s="171">
        <v>851.04</v>
      </c>
      <c r="BO215" s="174"/>
      <c r="BP215" s="1198">
        <v>1</v>
      </c>
      <c r="BQ215" s="1199">
        <v>1</v>
      </c>
      <c r="BR215" s="1199">
        <v>1</v>
      </c>
      <c r="BS215" s="1200">
        <v>1</v>
      </c>
      <c r="BT215" s="94">
        <f t="shared" si="209"/>
        <v>21985.200000000001</v>
      </c>
      <c r="BU215" s="233">
        <f t="shared" si="210"/>
        <v>21985.200000000001</v>
      </c>
      <c r="BV215" s="92">
        <f t="shared" si="211"/>
        <v>4397.04</v>
      </c>
      <c r="BW215" s="233">
        <f t="shared" si="212"/>
        <v>4397.04</v>
      </c>
      <c r="BX215" s="88">
        <v>16.544832306639289</v>
      </c>
      <c r="BY215" s="90">
        <v>0</v>
      </c>
      <c r="BZ215" s="88">
        <v>0</v>
      </c>
      <c r="CA215" s="88">
        <v>0</v>
      </c>
      <c r="CB215" s="88">
        <v>0</v>
      </c>
      <c r="CC215" s="88">
        <v>0</v>
      </c>
      <c r="CD215" s="88">
        <v>0</v>
      </c>
      <c r="CE215" s="100">
        <v>0</v>
      </c>
      <c r="CF215" s="88">
        <v>0</v>
      </c>
      <c r="CG215" s="88">
        <v>0</v>
      </c>
      <c r="CH215" s="88">
        <v>0</v>
      </c>
      <c r="CI215" s="88">
        <v>0</v>
      </c>
      <c r="CJ215" s="228">
        <v>0</v>
      </c>
      <c r="CK215" s="88">
        <v>0</v>
      </c>
      <c r="CL215" s="88">
        <v>0</v>
      </c>
      <c r="CM215" s="88">
        <v>0</v>
      </c>
      <c r="CN215" s="88">
        <v>0</v>
      </c>
      <c r="CO215" s="88">
        <v>0</v>
      </c>
      <c r="CP215" s="88">
        <v>0</v>
      </c>
      <c r="CQ215" s="229">
        <v>0</v>
      </c>
      <c r="CR215" s="91">
        <v>0</v>
      </c>
      <c r="CS215" s="91">
        <v>0</v>
      </c>
      <c r="CT215" s="91">
        <v>0</v>
      </c>
      <c r="CU215" s="91">
        <v>0</v>
      </c>
      <c r="CV215" s="91">
        <v>0</v>
      </c>
      <c r="CW215" s="91">
        <v>0</v>
      </c>
      <c r="CX215" s="225">
        <v>0</v>
      </c>
      <c r="CY215" s="1265">
        <v>7678.2167199999994</v>
      </c>
      <c r="CZ215" s="90">
        <v>0</v>
      </c>
      <c r="DA215" s="88">
        <v>0</v>
      </c>
      <c r="DB215" s="88">
        <v>0</v>
      </c>
      <c r="DC215" s="88">
        <v>0</v>
      </c>
      <c r="DD215" s="88">
        <v>0</v>
      </c>
      <c r="DE215" s="152">
        <v>0</v>
      </c>
      <c r="DF215" s="230">
        <v>0</v>
      </c>
      <c r="DG215" s="38">
        <v>0</v>
      </c>
      <c r="DH215" s="1237">
        <v>0</v>
      </c>
      <c r="DI215" s="956">
        <v>0</v>
      </c>
      <c r="DJ215" s="956">
        <v>0</v>
      </c>
      <c r="DK215" s="956">
        <v>0</v>
      </c>
      <c r="DL215" s="152">
        <v>0</v>
      </c>
      <c r="DM215" s="160">
        <v>0</v>
      </c>
      <c r="DN215" s="160">
        <v>0</v>
      </c>
      <c r="DO215" s="160">
        <v>0</v>
      </c>
      <c r="DP215" s="160">
        <v>0</v>
      </c>
      <c r="DQ215" s="160">
        <v>0</v>
      </c>
      <c r="DR215" s="230">
        <v>0</v>
      </c>
      <c r="DS215" s="88">
        <v>0</v>
      </c>
      <c r="DT215" s="88">
        <v>0</v>
      </c>
      <c r="DU215" s="88">
        <v>0</v>
      </c>
      <c r="DV215" s="88">
        <v>0</v>
      </c>
      <c r="DW215" s="88">
        <v>0</v>
      </c>
      <c r="DX215" s="88">
        <v>0</v>
      </c>
      <c r="DY215" s="88">
        <v>0</v>
      </c>
      <c r="DZ215" s="88">
        <v>0</v>
      </c>
      <c r="EA215" s="88">
        <v>0</v>
      </c>
      <c r="EB215" s="152">
        <v>0</v>
      </c>
      <c r="EC215" s="52">
        <f t="shared" si="213"/>
        <v>0</v>
      </c>
      <c r="ED215" s="52">
        <f t="shared" si="213"/>
        <v>0</v>
      </c>
      <c r="EE215" s="52">
        <f t="shared" si="213"/>
        <v>0</v>
      </c>
      <c r="EF215" s="52">
        <f t="shared" si="186"/>
        <v>0</v>
      </c>
      <c r="EG215" s="52">
        <f t="shared" si="214"/>
        <v>0</v>
      </c>
      <c r="EH215" s="238">
        <v>0</v>
      </c>
      <c r="EI215" s="211">
        <v>0</v>
      </c>
      <c r="EJ215" s="211">
        <v>0</v>
      </c>
      <c r="EK215" s="211">
        <v>0</v>
      </c>
      <c r="EL215" s="217">
        <f>IF(C215&gt;=Summary!$E$26,MAX(0,SUM(EH215:EK215)),0)</f>
        <v>0</v>
      </c>
      <c r="EM215" s="52">
        <f>IF(C215&gt;=Summary!$E$26,DX215*BL215,0)</f>
        <v>0</v>
      </c>
      <c r="EN215" s="52">
        <f>IF(C215&gt;=Summary!$E$26,DY215*BM215,0)</f>
        <v>0</v>
      </c>
      <c r="EO215" s="52">
        <f>IF(C215&gt;=Summary!$E$26,DZ215*BN215,0)</f>
        <v>0</v>
      </c>
      <c r="EP215" s="52">
        <f>IF(C215&gt;=Summary!$E$26,EA215*BO215,0)</f>
        <v>0</v>
      </c>
      <c r="EQ215" s="52">
        <f>IF(C215&gt;=Summary!$E$26,DX215*BL215+DY215*BM215+DZ215*BN215+EA215*BO215,0)</f>
        <v>0</v>
      </c>
      <c r="ER215" s="826">
        <v>0</v>
      </c>
      <c r="ES215" s="278">
        <v>0</v>
      </c>
      <c r="ET215" s="278">
        <v>0</v>
      </c>
      <c r="EU215" s="278">
        <v>0</v>
      </c>
      <c r="EV215" s="212">
        <f>IF(C215&gt;=Summary!$E$26,MAX(0,SUM(ER215:EU215)),0)</f>
        <v>0</v>
      </c>
      <c r="EW215" s="52"/>
      <c r="EX215" s="1049">
        <f t="shared" si="215"/>
        <v>0</v>
      </c>
      <c r="EY215" s="1045" t="str">
        <f t="shared" si="216"/>
        <v/>
      </c>
      <c r="EZ215" s="1684" t="s">
        <v>525</v>
      </c>
      <c r="FA215" s="1046">
        <f t="shared" si="229"/>
        <v>45</v>
      </c>
      <c r="FB215" s="256">
        <f t="shared" si="217"/>
        <v>10638</v>
      </c>
      <c r="FC215" s="194">
        <f t="shared" si="218"/>
        <v>0</v>
      </c>
      <c r="FD215" s="194">
        <f t="shared" si="219"/>
        <v>2659.5</v>
      </c>
      <c r="FE215" s="194">
        <f t="shared" si="220"/>
        <v>0</v>
      </c>
      <c r="FF215" s="194">
        <f t="shared" si="221"/>
        <v>3191.4</v>
      </c>
      <c r="FG215" s="194">
        <f t="shared" si="222"/>
        <v>0</v>
      </c>
      <c r="FH215" s="257">
        <f>IF(EZ215="No",IF((OR(MONTH(C215)=5,MONTH(C215)=6,MONTH(C215)=7,MONTH(C215)=8,MONTH(C215)=9)),Summary!$O$15*12*(AX215+AY215+AZ215+BA215)*(1-$BC215),Summary!$O$15*13*(AX215+AY215+AZ215+BA215)*(1-$BC215)+IF(Summary!$O$16="Yes",(CALC!FA215+Summary!$O$15)*6*(AX215+AY215+AZ215+BA215)*(1-$BC215),0)),0)</f>
        <v>0</v>
      </c>
      <c r="FI215" s="1412">
        <f>IF(MONTH(C215)=5,FI214*(IF(Summary!$E$70="no",(1+(Summary!$E$71*0.8)),1+HLOOKUP(YEAR(C215)-1,CCFMODEL!$I$127:$AF$128,2)*0.8)),+FI214)</f>
        <v>39.812819442006955</v>
      </c>
      <c r="FJ215" s="1411">
        <f>IF(MONTH(C215)=5,FJ214*(IF(Summary!$E$70="no",(1+(Summary!$E$71*0.8)),1+HLOOKUP(YEAR(CALC!C215)-1,CCFMODEL!$I$127:$AF$128,2)*0.8)),FJ214)</f>
        <v>34.797031165848594</v>
      </c>
      <c r="FK215" s="832">
        <f t="shared" si="187"/>
        <v>656469.59849730856</v>
      </c>
      <c r="FL215" s="1412">
        <f>IF(MONTH(C215)=5,FL214*(IF(Summary!$E$70="no",(1+(Summary!$E$71*0.8)),1+HLOOKUP(YEAR(CALC!C215)-1,CCFMODEL!$I$127:$AF$128,2)*0.8)),+FL214)</f>
        <v>83.730822740988728</v>
      </c>
      <c r="FM215" s="1411">
        <f>IF(MONTH(C215)=5,FM214*(IF(Summary!$E$70="no",(1+(Summary!$E$71*0.8)),1+HLOOKUP(YEAR(CALC!C215)-1,CCFMODEL!$I$127:$AF$128,2)*0.8)),+FM214)</f>
        <v>39.96209885498785</v>
      </c>
      <c r="FN215" s="832">
        <f t="shared" si="188"/>
        <v>1401653.9726841513</v>
      </c>
      <c r="FO215" s="194">
        <f t="shared" si="223"/>
        <v>2058123.5711814598</v>
      </c>
      <c r="FP215" s="263">
        <f t="shared" si="189"/>
        <v>10638</v>
      </c>
      <c r="FQ215" s="194">
        <f t="shared" si="190"/>
        <v>0</v>
      </c>
      <c r="FR215" s="194">
        <f t="shared" si="191"/>
        <v>2659.5</v>
      </c>
      <c r="FS215" s="194">
        <f t="shared" si="176"/>
        <v>0</v>
      </c>
      <c r="FT215" s="194">
        <f t="shared" si="176"/>
        <v>3191.4</v>
      </c>
      <c r="FU215" s="194">
        <f t="shared" si="176"/>
        <v>0</v>
      </c>
      <c r="FV215" s="257">
        <f t="shared" si="176"/>
        <v>0</v>
      </c>
      <c r="FW215" s="189">
        <f t="shared" si="192"/>
        <v>0</v>
      </c>
      <c r="FX215" s="189">
        <f t="shared" si="193"/>
        <v>0</v>
      </c>
      <c r="FY215" s="189">
        <f t="shared" si="194"/>
        <v>0</v>
      </c>
      <c r="FZ215" s="258">
        <f t="shared" si="195"/>
        <v>0</v>
      </c>
      <c r="GA215" s="1294">
        <f>(SUM(FP215:FV215)+SUM(GU215:HB215)/(1-Summary!$O$25))*CY215/1000</f>
        <v>202568.55627905283</v>
      </c>
      <c r="GB215" s="1369">
        <f>IF($C215&lt;Summary!$M$81,+Summary!$O$81,VLOOKUP(C215,GasTable,19))</f>
        <v>3.4897731108654497</v>
      </c>
      <c r="GC215" s="1370">
        <f>IF(H215&lt;=Summary!$N$84,MIN(GA215,Summary!$O$75*(H215-G215+1)),0)</f>
        <v>0</v>
      </c>
      <c r="GD215" s="1371">
        <f>IF(C215&lt;Summary!$N$84,IF(Summary!$O$75*(H215-G215+1)*0.8&gt;GC215,1,0),0)</f>
        <v>0</v>
      </c>
      <c r="GE215" s="1372">
        <v>0</v>
      </c>
      <c r="GF215" s="1370">
        <f t="shared" si="224"/>
        <v>202568.55627905283</v>
      </c>
      <c r="GG215" s="1371">
        <f>GF215*(IF(Summary!$O$74=1,VLOOKUP($C215,GasTable,16)+Summary!$O$92+Summary!$O$93,VLOOKUP($C215,GasTable,19)+Summary!$O$92+Summary!$O$93))</f>
        <v>717472.12259161181</v>
      </c>
      <c r="GH215" s="1373">
        <v>5409.1483218414469</v>
      </c>
      <c r="GI215" s="1466">
        <v>0</v>
      </c>
      <c r="GJ215" s="1374">
        <f t="shared" si="225"/>
        <v>722881.27091345331</v>
      </c>
      <c r="GK215" s="189">
        <f t="shared" si="196"/>
        <v>26035.973099999999</v>
      </c>
      <c r="GL215" s="266">
        <v>0.51444052023999998</v>
      </c>
      <c r="GM215" s="255">
        <f t="shared" si="197"/>
        <v>0</v>
      </c>
      <c r="GN215" s="189">
        <f>IF(SUM(GU215:HB215)=0,0,IF(Summary!$O$16="Yes",SUM(GX215:HB215),IF(Summary!$O$17="Yes",SUM(GY215:HB215),SUM(GU215:HB215))))</f>
        <v>9547.0731000000014</v>
      </c>
      <c r="GO215" s="203">
        <v>3.8184399679854697</v>
      </c>
      <c r="GP215" s="258">
        <f t="shared" si="226"/>
        <v>36454.925502318947</v>
      </c>
      <c r="GQ215" s="189"/>
      <c r="GR215" s="189"/>
      <c r="GS215" s="189"/>
      <c r="GT215" s="189"/>
      <c r="GU215" s="268">
        <v>3421.89</v>
      </c>
      <c r="GV215" s="189">
        <v>855.47249999999997</v>
      </c>
      <c r="GW215" s="189">
        <v>1026.5669999999998</v>
      </c>
      <c r="GX215" s="189"/>
      <c r="GY215" s="254">
        <v>2737.5120000000002</v>
      </c>
      <c r="GZ215" s="189">
        <v>684.37800000000004</v>
      </c>
      <c r="HA215" s="189">
        <v>821.25359999999989</v>
      </c>
      <c r="HB215" s="255"/>
      <c r="HC215" s="189">
        <v>9547.0731000000014</v>
      </c>
      <c r="HD215" s="189"/>
      <c r="HE215" s="189">
        <v>22276.503900000003</v>
      </c>
      <c r="HF215" s="189">
        <v>533881.01238298893</v>
      </c>
      <c r="HG215" s="189"/>
      <c r="HH215" s="203">
        <v>59.218842419891729</v>
      </c>
      <c r="HI215" s="189">
        <v>1319188.7741202037</v>
      </c>
      <c r="HJ215" s="268">
        <f t="shared" si="198"/>
        <v>0</v>
      </c>
      <c r="HK215" s="189">
        <f t="shared" si="199"/>
        <v>0</v>
      </c>
      <c r="HL215" s="189">
        <f t="shared" si="200"/>
        <v>0</v>
      </c>
      <c r="HM215" s="255">
        <f t="shared" si="201"/>
        <v>0</v>
      </c>
      <c r="HN215" s="189">
        <f t="shared" si="202"/>
        <v>0</v>
      </c>
      <c r="HO215" s="203">
        <f t="shared" si="227"/>
        <v>0</v>
      </c>
      <c r="HP215" s="258">
        <f t="shared" si="203"/>
        <v>0</v>
      </c>
      <c r="HQ215" s="203"/>
      <c r="HR215" s="268"/>
      <c r="HS215" s="1408"/>
      <c r="HT215" s="255"/>
      <c r="HU215" s="268"/>
      <c r="HV215" s="1408"/>
      <c r="HW215" s="255"/>
      <c r="HX215" s="1408"/>
      <c r="HY215" s="1408"/>
      <c r="HZ215"/>
      <c r="IA215" s="203"/>
      <c r="IB215" s="203"/>
      <c r="IC215" s="203"/>
      <c r="ID215" s="203"/>
      <c r="IE215" s="203"/>
      <c r="IF215" s="203"/>
      <c r="IG215" s="203"/>
      <c r="IH215" s="203"/>
      <c r="II215" s="203"/>
      <c r="IJ215" s="203"/>
      <c r="IK215" s="203"/>
      <c r="IL215" s="821"/>
      <c r="IM215" s="820"/>
      <c r="IN215" s="820"/>
      <c r="IR215" s="223"/>
    </row>
    <row r="216" spans="1:252" ht="13.8" thickBot="1">
      <c r="A216" t="str">
        <f t="shared" si="204"/>
        <v>2016Q3</v>
      </c>
      <c r="B216">
        <f t="shared" si="205"/>
        <v>2016</v>
      </c>
      <c r="C216" s="49">
        <f t="shared" si="206"/>
        <v>42583</v>
      </c>
      <c r="D216" s="115">
        <f t="shared" si="207"/>
        <v>2016</v>
      </c>
      <c r="E216" s="10">
        <f t="shared" si="230"/>
        <v>8</v>
      </c>
      <c r="F216" s="248" t="str">
        <f t="shared" si="231"/>
        <v/>
      </c>
      <c r="G216" s="245">
        <v>42583</v>
      </c>
      <c r="H216" s="251">
        <v>42613</v>
      </c>
      <c r="I216" s="959">
        <f t="shared" si="228"/>
        <v>7.1499999999999994E-2</v>
      </c>
      <c r="J216" s="37">
        <f t="shared" si="208"/>
        <v>0.3079307318844432</v>
      </c>
      <c r="K216" s="1036"/>
      <c r="L216" s="37"/>
      <c r="M216" s="1004">
        <v>0</v>
      </c>
      <c r="N216" s="38">
        <f t="shared" si="184"/>
        <v>0</v>
      </c>
      <c r="O216" s="40">
        <f t="shared" si="184"/>
        <v>0</v>
      </c>
      <c r="P216" s="159">
        <f t="shared" si="172"/>
        <v>0</v>
      </c>
      <c r="Q216" s="38">
        <f t="shared" si="185"/>
        <v>0</v>
      </c>
      <c r="R216" s="40">
        <f t="shared" si="185"/>
        <v>0</v>
      </c>
      <c r="S216" s="38">
        <f t="shared" si="185"/>
        <v>0</v>
      </c>
      <c r="T216" s="38">
        <f t="shared" si="185"/>
        <v>0</v>
      </c>
      <c r="U216" s="38">
        <f t="shared" si="185"/>
        <v>0</v>
      </c>
      <c r="V216" s="159">
        <f t="shared" si="185"/>
        <v>0</v>
      </c>
      <c r="W216" s="38">
        <f t="shared" si="185"/>
        <v>0</v>
      </c>
      <c r="X216" s="39">
        <f t="shared" si="185"/>
        <v>0</v>
      </c>
      <c r="Y216" s="46">
        <v>0</v>
      </c>
      <c r="Z216" s="46">
        <v>0</v>
      </c>
      <c r="AA216" s="47">
        <v>0</v>
      </c>
      <c r="AB216" s="46">
        <v>0</v>
      </c>
      <c r="AC216" s="46">
        <v>0</v>
      </c>
      <c r="AD216" s="47">
        <v>0</v>
      </c>
      <c r="AE216" s="46">
        <v>0</v>
      </c>
      <c r="AF216" s="46">
        <v>0</v>
      </c>
      <c r="AG216" s="47">
        <v>0</v>
      </c>
      <c r="AH216" s="46">
        <v>0</v>
      </c>
      <c r="AI216" s="46">
        <v>0</v>
      </c>
      <c r="AJ216" s="47">
        <v>0</v>
      </c>
      <c r="AK216" s="46">
        <v>0</v>
      </c>
      <c r="AL216" s="46">
        <v>0</v>
      </c>
      <c r="AM216" s="47">
        <v>0</v>
      </c>
      <c r="AN216" s="46">
        <v>0</v>
      </c>
      <c r="AO216" s="46">
        <v>0</v>
      </c>
      <c r="AP216" s="47">
        <v>0</v>
      </c>
      <c r="AQ216" s="46">
        <v>0</v>
      </c>
      <c r="AR216" s="46">
        <v>0</v>
      </c>
      <c r="AS216" s="47">
        <v>0</v>
      </c>
      <c r="AT216" s="46">
        <v>0</v>
      </c>
      <c r="AU216" s="46">
        <v>0</v>
      </c>
      <c r="AV216" s="46">
        <v>0</v>
      </c>
      <c r="AW216" s="1545">
        <v>0</v>
      </c>
      <c r="AX216" s="10">
        <f t="shared" si="232"/>
        <v>23</v>
      </c>
      <c r="AY216" s="42">
        <f>IF(AND($E216=MONTH(Summary!$E$24),$D216=YEAR(Summary!$E$24)),Summary!$E$25,1)*IF(G216="",0,INT((H216-MOD(H216,7)-G216)/7)+1-IF(BA216,IF(WEEKDAY(F216)=7,1,0),0))</f>
        <v>4</v>
      </c>
      <c r="AZ216" s="42">
        <f>IF(AND($E216=MONTH(Summary!$E$24),$D216=YEAR(Summary!$E$24)),Summary!$E$25,1)*IF(G216="",0,INT((H216-MOD(H216-1,7)-G216)/7)+1-IF(BA216,IF(WEEKDAY(F216)=1,1,0),0))</f>
        <v>4</v>
      </c>
      <c r="BA216" s="42">
        <v>0</v>
      </c>
      <c r="BB216" s="10">
        <f>IF(AND($E216=MONTH(Summary!$E$24),$D216=YEAR(Summary!$E$24)),Summary!$E$25,1)*IF(G216="",0,H216-G216+1)</f>
        <v>31</v>
      </c>
      <c r="BC216" s="914">
        <f>Summary!$E$19</f>
        <v>1.4999999999999999E-2</v>
      </c>
      <c r="BD216" s="113">
        <v>16311.6</v>
      </c>
      <c r="BE216" s="171">
        <v>2836.8</v>
      </c>
      <c r="BF216" s="171">
        <v>2836.8</v>
      </c>
      <c r="BG216" s="174"/>
      <c r="BH216" s="1198">
        <v>1</v>
      </c>
      <c r="BI216" s="1198">
        <v>1</v>
      </c>
      <c r="BJ216" s="1198">
        <v>1</v>
      </c>
      <c r="BK216" s="1198">
        <v>1</v>
      </c>
      <c r="BL216" s="95">
        <v>3262.32</v>
      </c>
      <c r="BM216" s="171">
        <v>567.36</v>
      </c>
      <c r="BN216" s="171">
        <v>567.36</v>
      </c>
      <c r="BO216" s="174"/>
      <c r="BP216" s="1198">
        <v>1</v>
      </c>
      <c r="BQ216" s="1199">
        <v>1</v>
      </c>
      <c r="BR216" s="1199">
        <v>1</v>
      </c>
      <c r="BS216" s="1200">
        <v>1</v>
      </c>
      <c r="BT216" s="94">
        <f t="shared" si="209"/>
        <v>21985.200000000001</v>
      </c>
      <c r="BU216" s="233">
        <f t="shared" si="210"/>
        <v>21985.200000000001</v>
      </c>
      <c r="BV216" s="92">
        <f t="shared" si="211"/>
        <v>4397.04</v>
      </c>
      <c r="BW216" s="233">
        <f t="shared" si="212"/>
        <v>4397.04</v>
      </c>
      <c r="BX216" s="88">
        <v>16.629705681040384</v>
      </c>
      <c r="BY216" s="90">
        <v>0</v>
      </c>
      <c r="BZ216" s="88">
        <v>0</v>
      </c>
      <c r="CA216" s="88">
        <v>0</v>
      </c>
      <c r="CB216" s="88">
        <v>0</v>
      </c>
      <c r="CC216" s="88">
        <v>0</v>
      </c>
      <c r="CD216" s="88">
        <v>0</v>
      </c>
      <c r="CE216" s="100">
        <v>0</v>
      </c>
      <c r="CF216" s="88">
        <v>0</v>
      </c>
      <c r="CG216" s="88">
        <v>0</v>
      </c>
      <c r="CH216" s="88">
        <v>0</v>
      </c>
      <c r="CI216" s="88">
        <v>0</v>
      </c>
      <c r="CJ216" s="228">
        <v>0</v>
      </c>
      <c r="CK216" s="88">
        <v>0</v>
      </c>
      <c r="CL216" s="88">
        <v>0</v>
      </c>
      <c r="CM216" s="88">
        <v>0</v>
      </c>
      <c r="CN216" s="88">
        <v>0</v>
      </c>
      <c r="CO216" s="88">
        <v>0</v>
      </c>
      <c r="CP216" s="88">
        <v>0</v>
      </c>
      <c r="CQ216" s="229">
        <v>0</v>
      </c>
      <c r="CR216" s="91">
        <v>0</v>
      </c>
      <c r="CS216" s="91">
        <v>0</v>
      </c>
      <c r="CT216" s="91">
        <v>0</v>
      </c>
      <c r="CU216" s="91">
        <v>0</v>
      </c>
      <c r="CV216" s="91">
        <v>0</v>
      </c>
      <c r="CW216" s="91">
        <v>0</v>
      </c>
      <c r="CX216" s="225">
        <v>0</v>
      </c>
      <c r="CY216" s="1265">
        <v>7680.2476799999995</v>
      </c>
      <c r="CZ216" s="90">
        <v>0</v>
      </c>
      <c r="DA216" s="88">
        <v>0</v>
      </c>
      <c r="DB216" s="88">
        <v>0</v>
      </c>
      <c r="DC216" s="88">
        <v>0</v>
      </c>
      <c r="DD216" s="88">
        <v>0</v>
      </c>
      <c r="DE216" s="152">
        <v>0</v>
      </c>
      <c r="DF216" s="230">
        <v>0</v>
      </c>
      <c r="DG216" s="38">
        <v>0</v>
      </c>
      <c r="DH216" s="1237">
        <v>0</v>
      </c>
      <c r="DI216" s="956">
        <v>0</v>
      </c>
      <c r="DJ216" s="956">
        <v>0</v>
      </c>
      <c r="DK216" s="956">
        <v>0</v>
      </c>
      <c r="DL216" s="152">
        <v>0</v>
      </c>
      <c r="DM216" s="160">
        <v>0</v>
      </c>
      <c r="DN216" s="160">
        <v>0</v>
      </c>
      <c r="DO216" s="160">
        <v>0</v>
      </c>
      <c r="DP216" s="160">
        <v>0</v>
      </c>
      <c r="DQ216" s="160">
        <v>0</v>
      </c>
      <c r="DR216" s="230">
        <v>0</v>
      </c>
      <c r="DS216" s="88">
        <v>0</v>
      </c>
      <c r="DT216" s="88">
        <v>0</v>
      </c>
      <c r="DU216" s="88">
        <v>0</v>
      </c>
      <c r="DV216" s="88">
        <v>0</v>
      </c>
      <c r="DW216" s="88">
        <v>0</v>
      </c>
      <c r="DX216" s="88">
        <v>0</v>
      </c>
      <c r="DY216" s="88">
        <v>0</v>
      </c>
      <c r="DZ216" s="88">
        <v>0</v>
      </c>
      <c r="EA216" s="88">
        <v>0</v>
      </c>
      <c r="EB216" s="152">
        <v>0</v>
      </c>
      <c r="EC216" s="52">
        <f t="shared" si="213"/>
        <v>0</v>
      </c>
      <c r="ED216" s="52">
        <f t="shared" si="213"/>
        <v>0</v>
      </c>
      <c r="EE216" s="52">
        <f t="shared" si="213"/>
        <v>0</v>
      </c>
      <c r="EF216" s="52">
        <f t="shared" si="186"/>
        <v>0</v>
      </c>
      <c r="EG216" s="52">
        <f t="shared" si="214"/>
        <v>0</v>
      </c>
      <c r="EH216" s="238">
        <v>0</v>
      </c>
      <c r="EI216" s="211">
        <v>0</v>
      </c>
      <c r="EJ216" s="211">
        <v>0</v>
      </c>
      <c r="EK216" s="211">
        <v>0</v>
      </c>
      <c r="EL216" s="217">
        <f>IF(C216&gt;=Summary!$E$26,MAX(0,SUM(EH216:EK216)),0)</f>
        <v>0</v>
      </c>
      <c r="EM216" s="52">
        <f>IF(C216&gt;=Summary!$E$26,DX216*BL216,0)</f>
        <v>0</v>
      </c>
      <c r="EN216" s="52">
        <f>IF(C216&gt;=Summary!$E$26,DY216*BM216,0)</f>
        <v>0</v>
      </c>
      <c r="EO216" s="52">
        <f>IF(C216&gt;=Summary!$E$26,DZ216*BN216,0)</f>
        <v>0</v>
      </c>
      <c r="EP216" s="52">
        <f>IF(C216&gt;=Summary!$E$26,EA216*BO216,0)</f>
        <v>0</v>
      </c>
      <c r="EQ216" s="52">
        <f>IF(C216&gt;=Summary!$E$26,DX216*BL216+DY216*BM216+DZ216*BN216+EA216*BO216,0)</f>
        <v>0</v>
      </c>
      <c r="ER216" s="826">
        <v>0</v>
      </c>
      <c r="ES216" s="278">
        <v>0</v>
      </c>
      <c r="ET216" s="278">
        <v>0</v>
      </c>
      <c r="EU216" s="278">
        <v>0</v>
      </c>
      <c r="EV216" s="212">
        <f>IF(C216&gt;=Summary!$E$26,MAX(0,SUM(ER216:EU216)),0)</f>
        <v>0</v>
      </c>
      <c r="EW216" s="52"/>
      <c r="EX216" s="1049">
        <f t="shared" si="215"/>
        <v>0</v>
      </c>
      <c r="EY216" s="1045" t="str">
        <f t="shared" si="216"/>
        <v/>
      </c>
      <c r="EZ216" s="1684" t="s">
        <v>525</v>
      </c>
      <c r="FA216" s="1046">
        <f t="shared" si="229"/>
        <v>45</v>
      </c>
      <c r="FB216" s="256">
        <f t="shared" si="217"/>
        <v>12233.7</v>
      </c>
      <c r="FC216" s="194">
        <f t="shared" si="218"/>
        <v>0</v>
      </c>
      <c r="FD216" s="194">
        <f t="shared" si="219"/>
        <v>2127.6</v>
      </c>
      <c r="FE216" s="194">
        <f t="shared" si="220"/>
        <v>0</v>
      </c>
      <c r="FF216" s="194">
        <f t="shared" si="221"/>
        <v>2127.6</v>
      </c>
      <c r="FG216" s="194">
        <f t="shared" si="222"/>
        <v>0</v>
      </c>
      <c r="FH216" s="257">
        <f>IF(EZ216="No",IF((OR(MONTH(C216)=5,MONTH(C216)=6,MONTH(C216)=7,MONTH(C216)=8,MONTH(C216)=9)),Summary!$O$15*12*(AX216+AY216+AZ216+BA216)*(1-$BC216),Summary!$O$15*13*(AX216+AY216+AZ216+BA216)*(1-$BC216)+IF(Summary!$O$16="Yes",(CALC!FA216+Summary!$O$15)*6*(AX216+AY216+AZ216+BA216)*(1-$BC216),0)),0)</f>
        <v>0</v>
      </c>
      <c r="FI216" s="1412">
        <f>IF(MONTH(C216)=5,FI215*(IF(Summary!$E$70="no",(1+(Summary!$E$71*0.8)),1+HLOOKUP(YEAR(C216)-1,CCFMODEL!$I$127:$AF$128,2)*0.8)),+FI215)</f>
        <v>39.812819442006955</v>
      </c>
      <c r="FJ216" s="1411">
        <f>IF(MONTH(C216)=5,FJ215*(IF(Summary!$E$70="no",(1+(Summary!$E$71*0.8)),1+HLOOKUP(YEAR(CALC!C216)-1,CCFMODEL!$I$127:$AF$128,2)*0.8)),FJ215)</f>
        <v>34.797031165848594</v>
      </c>
      <c r="FK216" s="832">
        <f t="shared" si="187"/>
        <v>656469.59849730856</v>
      </c>
      <c r="FL216" s="1412">
        <f>IF(MONTH(C216)=5,FL215*(IF(Summary!$E$70="no",(1+(Summary!$E$71*0.8)),1+HLOOKUP(YEAR(CALC!C216)-1,CCFMODEL!$I$127:$AF$128,2)*0.8)),+FL215)</f>
        <v>83.730822740988728</v>
      </c>
      <c r="FM216" s="1411">
        <f>IF(MONTH(C216)=5,FM215*(IF(Summary!$E$70="no",(1+(Summary!$E$71*0.8)),1+HLOOKUP(YEAR(CALC!C216)-1,CCFMODEL!$I$127:$AF$128,2)*0.8)),+FM215)</f>
        <v>39.96209885498785</v>
      </c>
      <c r="FN216" s="832">
        <f t="shared" si="188"/>
        <v>1401653.9726841513</v>
      </c>
      <c r="FO216" s="194">
        <f t="shared" si="223"/>
        <v>2058123.5711814598</v>
      </c>
      <c r="FP216" s="263">
        <f t="shared" si="189"/>
        <v>12233.7</v>
      </c>
      <c r="FQ216" s="194">
        <f t="shared" si="190"/>
        <v>0</v>
      </c>
      <c r="FR216" s="194">
        <f t="shared" si="191"/>
        <v>2127.6</v>
      </c>
      <c r="FS216" s="194">
        <f t="shared" si="176"/>
        <v>0</v>
      </c>
      <c r="FT216" s="194">
        <f t="shared" si="176"/>
        <v>2127.6</v>
      </c>
      <c r="FU216" s="194">
        <f t="shared" si="176"/>
        <v>0</v>
      </c>
      <c r="FV216" s="257">
        <f t="shared" si="176"/>
        <v>0</v>
      </c>
      <c r="FW216" s="189">
        <f t="shared" si="192"/>
        <v>0</v>
      </c>
      <c r="FX216" s="189">
        <f t="shared" si="193"/>
        <v>0</v>
      </c>
      <c r="FY216" s="189">
        <f t="shared" si="194"/>
        <v>0</v>
      </c>
      <c r="FZ216" s="258">
        <f t="shared" si="195"/>
        <v>0</v>
      </c>
      <c r="GA216" s="1294">
        <f>(SUM(FP216:FV216)+SUM(GU216:HB216)/(1-Summary!$O$25))*CY216/1000</f>
        <v>202622.13755320318</v>
      </c>
      <c r="GB216" s="1369">
        <f>IF($C216&lt;Summary!$M$81,+Summary!$O$81,VLOOKUP(C216,GasTable,19))</f>
        <v>3.6214634340875969</v>
      </c>
      <c r="GC216" s="1370">
        <f>IF(H216&lt;=Summary!$N$84,MIN(GA216,Summary!$O$75*(H216-G216+1)),0)</f>
        <v>0</v>
      </c>
      <c r="GD216" s="1371">
        <f>IF(C216&lt;Summary!$N$84,IF(Summary!$O$75*(H216-G216+1)*0.8&gt;GC216,1,0),0)</f>
        <v>0</v>
      </c>
      <c r="GE216" s="1372">
        <v>0</v>
      </c>
      <c r="GF216" s="1370">
        <f t="shared" si="224"/>
        <v>202622.13755320318</v>
      </c>
      <c r="GG216" s="1371">
        <f>GF216*(IF(Summary!$O$74=1,VLOOKUP($C216,GasTable,16)+Summary!$O$92+Summary!$O$93,VLOOKUP($C216,GasTable,19)+Summary!$O$92+Summary!$O$93))</f>
        <v>744345.27545211441</v>
      </c>
      <c r="GH216" s="1373">
        <v>5613.2683228357755</v>
      </c>
      <c r="GI216" s="1466">
        <v>0</v>
      </c>
      <c r="GJ216" s="1374">
        <f t="shared" si="225"/>
        <v>749958.5437749502</v>
      </c>
      <c r="GK216" s="189">
        <f t="shared" si="196"/>
        <v>26035.973100000007</v>
      </c>
      <c r="GL216" s="266">
        <v>0.51457659456000004</v>
      </c>
      <c r="GM216" s="255">
        <f t="shared" si="197"/>
        <v>0</v>
      </c>
      <c r="GN216" s="189">
        <f>IF(SUM(GU216:HB216)=0,0,IF(Summary!$O$16="Yes",SUM(GX216:HB216),IF(Summary!$O$17="Yes",SUM(GY216:HB216),SUM(GU216:HB216))))</f>
        <v>9547.0730999999996</v>
      </c>
      <c r="GO216" s="203">
        <v>3.8184399679854697</v>
      </c>
      <c r="GP216" s="258">
        <f t="shared" si="226"/>
        <v>36454.92550231894</v>
      </c>
      <c r="GQ216" s="189"/>
      <c r="GR216" s="189"/>
      <c r="GS216" s="189"/>
      <c r="GT216" s="189"/>
      <c r="GU216" s="268">
        <v>3935.1734999999994</v>
      </c>
      <c r="GV216" s="189">
        <v>684.37800000000027</v>
      </c>
      <c r="GW216" s="189">
        <v>684.37800000000027</v>
      </c>
      <c r="GX216" s="189"/>
      <c r="GY216" s="254">
        <v>3148.1388000000002</v>
      </c>
      <c r="GZ216" s="189">
        <v>547.50239999999997</v>
      </c>
      <c r="HA216" s="189">
        <v>547.50239999999997</v>
      </c>
      <c r="HB216" s="255"/>
      <c r="HC216" s="189">
        <v>9547.0730999999996</v>
      </c>
      <c r="HD216" s="189"/>
      <c r="HE216" s="189">
        <v>22276.5039</v>
      </c>
      <c r="HF216" s="189">
        <v>660525.84682874812</v>
      </c>
      <c r="HG216" s="189"/>
      <c r="HH216" s="203">
        <v>72.846405208413771</v>
      </c>
      <c r="HI216" s="189">
        <v>1622763.2297262098</v>
      </c>
      <c r="HJ216" s="268">
        <f t="shared" si="198"/>
        <v>0</v>
      </c>
      <c r="HK216" s="189">
        <f t="shared" si="199"/>
        <v>0</v>
      </c>
      <c r="HL216" s="189">
        <f t="shared" si="200"/>
        <v>0</v>
      </c>
      <c r="HM216" s="255">
        <f t="shared" si="201"/>
        <v>0</v>
      </c>
      <c r="HN216" s="189">
        <f t="shared" si="202"/>
        <v>0</v>
      </c>
      <c r="HO216" s="203">
        <f t="shared" si="227"/>
        <v>0</v>
      </c>
      <c r="HP216" s="258">
        <f t="shared" si="203"/>
        <v>0</v>
      </c>
      <c r="HQ216" s="203"/>
      <c r="HR216" s="268"/>
      <c r="HS216" s="1408"/>
      <c r="HT216" s="255"/>
      <c r="HU216" s="268"/>
      <c r="HV216" s="1408"/>
      <c r="HW216" s="255"/>
      <c r="HX216" s="1408"/>
      <c r="HY216" s="1408"/>
      <c r="HZ216"/>
      <c r="IA216" s="203"/>
      <c r="IB216" s="203"/>
      <c r="IC216" s="203"/>
      <c r="ID216" s="203"/>
      <c r="IE216" s="203"/>
      <c r="IF216" s="203"/>
      <c r="IG216" s="203"/>
      <c r="IH216" s="203"/>
      <c r="II216" s="203"/>
      <c r="IJ216" s="203"/>
      <c r="IK216" s="203"/>
      <c r="IL216" s="821"/>
      <c r="IM216" s="820"/>
      <c r="IN216" s="820"/>
      <c r="IR216" s="223"/>
    </row>
    <row r="217" spans="1:252" ht="13.8" thickBot="1">
      <c r="A217" t="str">
        <f t="shared" si="204"/>
        <v>2016Q3</v>
      </c>
      <c r="B217">
        <f t="shared" si="205"/>
        <v>2016</v>
      </c>
      <c r="C217" s="49">
        <f t="shared" si="206"/>
        <v>42614</v>
      </c>
      <c r="D217" s="115">
        <f t="shared" si="207"/>
        <v>2016</v>
      </c>
      <c r="E217" s="10">
        <f t="shared" si="230"/>
        <v>9</v>
      </c>
      <c r="F217" s="248">
        <f t="shared" si="231"/>
        <v>42618</v>
      </c>
      <c r="G217" s="245">
        <v>42614</v>
      </c>
      <c r="H217" s="251">
        <v>42643</v>
      </c>
      <c r="I217" s="959">
        <f t="shared" si="228"/>
        <v>7.1499999999999994E-2</v>
      </c>
      <c r="J217" s="37">
        <f t="shared" si="208"/>
        <v>0.30615904104985203</v>
      </c>
      <c r="K217" s="1036"/>
      <c r="L217" s="37"/>
      <c r="M217" s="1004">
        <v>0</v>
      </c>
      <c r="N217" s="38">
        <f t="shared" si="184"/>
        <v>0</v>
      </c>
      <c r="O217" s="40">
        <f t="shared" si="184"/>
        <v>0</v>
      </c>
      <c r="P217" s="159">
        <f t="shared" si="172"/>
        <v>0</v>
      </c>
      <c r="Q217" s="38">
        <f t="shared" si="185"/>
        <v>0</v>
      </c>
      <c r="R217" s="40">
        <f t="shared" si="185"/>
        <v>0</v>
      </c>
      <c r="S217" s="38">
        <f t="shared" si="185"/>
        <v>0</v>
      </c>
      <c r="T217" s="38">
        <f t="shared" si="185"/>
        <v>0</v>
      </c>
      <c r="U217" s="38">
        <f t="shared" si="185"/>
        <v>0</v>
      </c>
      <c r="V217" s="159">
        <f t="shared" si="185"/>
        <v>0</v>
      </c>
      <c r="W217" s="38">
        <f t="shared" si="185"/>
        <v>0</v>
      </c>
      <c r="X217" s="39">
        <f t="shared" si="185"/>
        <v>0</v>
      </c>
      <c r="Y217" s="46">
        <v>0</v>
      </c>
      <c r="Z217" s="46">
        <v>0</v>
      </c>
      <c r="AA217" s="47">
        <v>0</v>
      </c>
      <c r="AB217" s="46">
        <v>0</v>
      </c>
      <c r="AC217" s="46">
        <v>0</v>
      </c>
      <c r="AD217" s="47">
        <v>0</v>
      </c>
      <c r="AE217" s="46">
        <v>0</v>
      </c>
      <c r="AF217" s="46">
        <v>0</v>
      </c>
      <c r="AG217" s="47">
        <v>0</v>
      </c>
      <c r="AH217" s="46">
        <v>0</v>
      </c>
      <c r="AI217" s="46">
        <v>0</v>
      </c>
      <c r="AJ217" s="47">
        <v>0</v>
      </c>
      <c r="AK217" s="46">
        <v>0</v>
      </c>
      <c r="AL217" s="46">
        <v>0</v>
      </c>
      <c r="AM217" s="47">
        <v>0</v>
      </c>
      <c r="AN217" s="46">
        <v>0</v>
      </c>
      <c r="AO217" s="46">
        <v>0</v>
      </c>
      <c r="AP217" s="47">
        <v>0</v>
      </c>
      <c r="AQ217" s="46">
        <v>0</v>
      </c>
      <c r="AR217" s="46">
        <v>0</v>
      </c>
      <c r="AS217" s="47">
        <v>0</v>
      </c>
      <c r="AT217" s="46">
        <v>0</v>
      </c>
      <c r="AU217" s="46">
        <v>0</v>
      </c>
      <c r="AV217" s="46">
        <v>0</v>
      </c>
      <c r="AW217" s="1545">
        <v>0</v>
      </c>
      <c r="AX217" s="10">
        <f t="shared" si="232"/>
        <v>21</v>
      </c>
      <c r="AY217" s="42">
        <f>IF(AND($E217=MONTH(Summary!$E$24),$D217=YEAR(Summary!$E$24)),Summary!$E$25,1)*IF(G217="",0,INT((H217-MOD(H217,7)-G217)/7)+1-IF(BA217,IF(WEEKDAY(F217)=7,1,0),0))</f>
        <v>4</v>
      </c>
      <c r="AZ217" s="42">
        <f>IF(AND($E217=MONTH(Summary!$E$24),$D217=YEAR(Summary!$E$24)),Summary!$E$25,1)*IF(G217="",0,INT((H217-MOD(H217-1,7)-G217)/7)+1-IF(BA217,IF(WEEKDAY(F217)=1,1,0),0))</f>
        <v>4</v>
      </c>
      <c r="BA217" s="42">
        <v>1</v>
      </c>
      <c r="BB217" s="10">
        <f>IF(AND($E217=MONTH(Summary!$E$24),$D217=YEAR(Summary!$E$24)),Summary!$E$25,1)*IF(G217="",0,H217-G217+1)</f>
        <v>30</v>
      </c>
      <c r="BC217" s="914">
        <f>Summary!$E$19</f>
        <v>1.4999999999999999E-2</v>
      </c>
      <c r="BD217" s="113">
        <v>14893.2</v>
      </c>
      <c r="BE217" s="171">
        <v>2836.8</v>
      </c>
      <c r="BF217" s="171">
        <v>3546</v>
      </c>
      <c r="BG217" s="174"/>
      <c r="BH217" s="1198">
        <v>1</v>
      </c>
      <c r="BI217" s="1198">
        <v>1</v>
      </c>
      <c r="BJ217" s="1198">
        <v>1</v>
      </c>
      <c r="BK217" s="1198">
        <v>1</v>
      </c>
      <c r="BL217" s="95">
        <v>2978.64</v>
      </c>
      <c r="BM217" s="171">
        <v>567.36</v>
      </c>
      <c r="BN217" s="171">
        <v>709.2</v>
      </c>
      <c r="BO217" s="174"/>
      <c r="BP217" s="1198">
        <v>1</v>
      </c>
      <c r="BQ217" s="1199">
        <v>1</v>
      </c>
      <c r="BR217" s="1199">
        <v>1</v>
      </c>
      <c r="BS217" s="1200">
        <v>1</v>
      </c>
      <c r="BT217" s="94">
        <f t="shared" si="209"/>
        <v>21276</v>
      </c>
      <c r="BU217" s="233">
        <f t="shared" si="210"/>
        <v>21276</v>
      </c>
      <c r="BV217" s="92">
        <f t="shared" si="211"/>
        <v>4255.2</v>
      </c>
      <c r="BW217" s="233">
        <f t="shared" si="212"/>
        <v>4255.2</v>
      </c>
      <c r="BX217" s="88">
        <v>16.714579055441479</v>
      </c>
      <c r="BY217" s="90">
        <v>0</v>
      </c>
      <c r="BZ217" s="88">
        <v>0</v>
      </c>
      <c r="CA217" s="88">
        <v>0</v>
      </c>
      <c r="CB217" s="88">
        <v>0</v>
      </c>
      <c r="CC217" s="88">
        <v>0</v>
      </c>
      <c r="CD217" s="88">
        <v>0</v>
      </c>
      <c r="CE217" s="100">
        <v>0</v>
      </c>
      <c r="CF217" s="88">
        <v>0</v>
      </c>
      <c r="CG217" s="88">
        <v>0</v>
      </c>
      <c r="CH217" s="88">
        <v>0</v>
      </c>
      <c r="CI217" s="88">
        <v>0</v>
      </c>
      <c r="CJ217" s="228">
        <v>0</v>
      </c>
      <c r="CK217" s="88">
        <v>0</v>
      </c>
      <c r="CL217" s="88">
        <v>0</v>
      </c>
      <c r="CM217" s="88">
        <v>0</v>
      </c>
      <c r="CN217" s="88">
        <v>0</v>
      </c>
      <c r="CO217" s="88">
        <v>0</v>
      </c>
      <c r="CP217" s="88">
        <v>0</v>
      </c>
      <c r="CQ217" s="229">
        <v>0</v>
      </c>
      <c r="CR217" s="91">
        <v>0</v>
      </c>
      <c r="CS217" s="91">
        <v>0</v>
      </c>
      <c r="CT217" s="91">
        <v>0</v>
      </c>
      <c r="CU217" s="91">
        <v>0</v>
      </c>
      <c r="CV217" s="91">
        <v>0</v>
      </c>
      <c r="CW217" s="91">
        <v>0</v>
      </c>
      <c r="CX217" s="225">
        <v>0</v>
      </c>
      <c r="CY217" s="1265">
        <v>7682.2786400000005</v>
      </c>
      <c r="CZ217" s="90">
        <v>0</v>
      </c>
      <c r="DA217" s="88">
        <v>0</v>
      </c>
      <c r="DB217" s="88">
        <v>0</v>
      </c>
      <c r="DC217" s="88">
        <v>0</v>
      </c>
      <c r="DD217" s="88">
        <v>0</v>
      </c>
      <c r="DE217" s="152">
        <v>0</v>
      </c>
      <c r="DF217" s="230">
        <v>0</v>
      </c>
      <c r="DG217" s="38">
        <v>0</v>
      </c>
      <c r="DH217" s="1237">
        <v>0</v>
      </c>
      <c r="DI217" s="956">
        <v>0</v>
      </c>
      <c r="DJ217" s="956">
        <v>0</v>
      </c>
      <c r="DK217" s="956">
        <v>0</v>
      </c>
      <c r="DL217" s="152">
        <v>0</v>
      </c>
      <c r="DM217" s="160">
        <v>0</v>
      </c>
      <c r="DN217" s="160">
        <v>0</v>
      </c>
      <c r="DO217" s="160">
        <v>0</v>
      </c>
      <c r="DP217" s="160">
        <v>0</v>
      </c>
      <c r="DQ217" s="160">
        <v>0</v>
      </c>
      <c r="DR217" s="230">
        <v>0</v>
      </c>
      <c r="DS217" s="88">
        <v>0</v>
      </c>
      <c r="DT217" s="88">
        <v>0</v>
      </c>
      <c r="DU217" s="88">
        <v>0</v>
      </c>
      <c r="DV217" s="88">
        <v>0</v>
      </c>
      <c r="DW217" s="88">
        <v>0</v>
      </c>
      <c r="DX217" s="88">
        <v>0</v>
      </c>
      <c r="DY217" s="88">
        <v>0</v>
      </c>
      <c r="DZ217" s="88">
        <v>0</v>
      </c>
      <c r="EA217" s="88">
        <v>0</v>
      </c>
      <c r="EB217" s="152">
        <v>0</v>
      </c>
      <c r="EC217" s="52">
        <f t="shared" si="213"/>
        <v>0</v>
      </c>
      <c r="ED217" s="52">
        <f t="shared" si="213"/>
        <v>0</v>
      </c>
      <c r="EE217" s="52">
        <f t="shared" si="213"/>
        <v>0</v>
      </c>
      <c r="EF217" s="52">
        <f t="shared" si="186"/>
        <v>0</v>
      </c>
      <c r="EG217" s="52">
        <f t="shared" si="214"/>
        <v>0</v>
      </c>
      <c r="EH217" s="238">
        <v>0</v>
      </c>
      <c r="EI217" s="211">
        <v>0</v>
      </c>
      <c r="EJ217" s="211">
        <v>0</v>
      </c>
      <c r="EK217" s="211">
        <v>0</v>
      </c>
      <c r="EL217" s="217">
        <f>IF(C217&gt;=Summary!$E$26,MAX(0,SUM(EH217:EK217)),0)</f>
        <v>0</v>
      </c>
      <c r="EM217" s="52">
        <f>IF(C217&gt;=Summary!$E$26,DX217*BL217,0)</f>
        <v>0</v>
      </c>
      <c r="EN217" s="52">
        <f>IF(C217&gt;=Summary!$E$26,DY217*BM217,0)</f>
        <v>0</v>
      </c>
      <c r="EO217" s="52">
        <f>IF(C217&gt;=Summary!$E$26,DZ217*BN217,0)</f>
        <v>0</v>
      </c>
      <c r="EP217" s="52">
        <f>IF(C217&gt;=Summary!$E$26,EA217*BO217,0)</f>
        <v>0</v>
      </c>
      <c r="EQ217" s="52">
        <f>IF(C217&gt;=Summary!$E$26,DX217*BL217+DY217*BM217+DZ217*BN217+EA217*BO217,0)</f>
        <v>0</v>
      </c>
      <c r="ER217" s="826">
        <v>0</v>
      </c>
      <c r="ES217" s="278">
        <v>0</v>
      </c>
      <c r="ET217" s="278">
        <v>0</v>
      </c>
      <c r="EU217" s="278">
        <v>0</v>
      </c>
      <c r="EV217" s="212">
        <f>IF(C217&gt;=Summary!$E$26,MAX(0,SUM(ER217:EU217)),0)</f>
        <v>0</v>
      </c>
      <c r="EW217" s="52"/>
      <c r="EX217" s="1049">
        <f t="shared" si="215"/>
        <v>0</v>
      </c>
      <c r="EY217" s="1045" t="str">
        <f t="shared" si="216"/>
        <v/>
      </c>
      <c r="EZ217" s="1684" t="s">
        <v>525</v>
      </c>
      <c r="FA217" s="1046">
        <f t="shared" si="229"/>
        <v>45</v>
      </c>
      <c r="FB217" s="256">
        <f t="shared" si="217"/>
        <v>11169.9</v>
      </c>
      <c r="FC217" s="194">
        <f t="shared" si="218"/>
        <v>0</v>
      </c>
      <c r="FD217" s="194">
        <f t="shared" si="219"/>
        <v>2127.6</v>
      </c>
      <c r="FE217" s="194">
        <f t="shared" si="220"/>
        <v>0</v>
      </c>
      <c r="FF217" s="194">
        <f t="shared" si="221"/>
        <v>2659.5</v>
      </c>
      <c r="FG217" s="194">
        <f t="shared" si="222"/>
        <v>0</v>
      </c>
      <c r="FH217" s="257">
        <f>IF(EZ217="No",IF((OR(MONTH(C217)=5,MONTH(C217)=6,MONTH(C217)=7,MONTH(C217)=8,MONTH(C217)=9)),Summary!$O$15*12*(AX217+AY217+AZ217+BA217)*(1-$BC217),Summary!$O$15*13*(AX217+AY217+AZ217+BA217)*(1-$BC217)+IF(Summary!$O$16="Yes",(CALC!FA217+Summary!$O$15)*6*(AX217+AY217+AZ217+BA217)*(1-$BC217),0)),0)</f>
        <v>0</v>
      </c>
      <c r="FI217" s="1412">
        <f>IF(MONTH(C217)=5,FI216*(IF(Summary!$E$70="no",(1+(Summary!$E$71*0.8)),1+HLOOKUP(YEAR(C217)-1,CCFMODEL!$I$127:$AF$128,2)*0.8)),+FI216)</f>
        <v>39.812819442006955</v>
      </c>
      <c r="FJ217" s="1411">
        <f>IF(MONTH(C217)=5,FJ216*(IF(Summary!$E$70="no",(1+(Summary!$E$71*0.8)),1+HLOOKUP(YEAR(CALC!C217)-1,CCFMODEL!$I$127:$AF$128,2)*0.8)),FJ216)</f>
        <v>34.797031165848594</v>
      </c>
      <c r="FK217" s="832">
        <f t="shared" si="187"/>
        <v>635293.15983610495</v>
      </c>
      <c r="FL217" s="1412">
        <f>IF(MONTH(C217)=5,FL216*(IF(Summary!$E$70="no",(1+(Summary!$E$71*0.8)),1+HLOOKUP(YEAR(CALC!C217)-1,CCFMODEL!$I$127:$AF$128,2)*0.8)),+FL216)</f>
        <v>83.730822740988728</v>
      </c>
      <c r="FM217" s="1411">
        <f>IF(MONTH(C217)=5,FM216*(IF(Summary!$E$70="no",(1+(Summary!$E$71*0.8)),1+HLOOKUP(YEAR(CALC!C217)-1,CCFMODEL!$I$127:$AF$128,2)*0.8)),+FM216)</f>
        <v>39.96209885498785</v>
      </c>
      <c r="FN217" s="832">
        <f t="shared" si="188"/>
        <v>1356439.3284040175</v>
      </c>
      <c r="FO217" s="194">
        <f t="shared" si="223"/>
        <v>1991732.4882401223</v>
      </c>
      <c r="FP217" s="263">
        <f t="shared" si="189"/>
        <v>11169.9</v>
      </c>
      <c r="FQ217" s="194">
        <f t="shared" si="190"/>
        <v>0</v>
      </c>
      <c r="FR217" s="194">
        <f t="shared" si="191"/>
        <v>2127.6</v>
      </c>
      <c r="FS217" s="194">
        <f t="shared" si="176"/>
        <v>0</v>
      </c>
      <c r="FT217" s="194">
        <f t="shared" si="176"/>
        <v>2659.5</v>
      </c>
      <c r="FU217" s="194">
        <f t="shared" si="176"/>
        <v>0</v>
      </c>
      <c r="FV217" s="257">
        <f t="shared" si="176"/>
        <v>0</v>
      </c>
      <c r="FW217" s="189">
        <f t="shared" si="192"/>
        <v>0</v>
      </c>
      <c r="FX217" s="189">
        <f t="shared" si="193"/>
        <v>0</v>
      </c>
      <c r="FY217" s="189">
        <f t="shared" si="194"/>
        <v>0</v>
      </c>
      <c r="FZ217" s="258">
        <f t="shared" si="195"/>
        <v>0</v>
      </c>
      <c r="GA217" s="1294">
        <f>(SUM(FP217:FV217)+SUM(GU217:HB217)/(1-Summary!$O$25))*CY217/1000</f>
        <v>196137.79241356801</v>
      </c>
      <c r="GB217" s="1369">
        <f>IF($C217&lt;Summary!$M$81,+Summary!$O$81,VLOOKUP(C217,GasTable,19))</f>
        <v>3.7782536817262207</v>
      </c>
      <c r="GC217" s="1370">
        <f>IF(H217&lt;=Summary!$N$84,MIN(GA217,Summary!$O$75*(H217-G217+1)),0)</f>
        <v>0</v>
      </c>
      <c r="GD217" s="1371">
        <f>IF(C217&lt;Summary!$N$84,IF(Summary!$O$75*(H217-G217+1)*0.8&gt;GC217,1,0),0)</f>
        <v>0</v>
      </c>
      <c r="GE217" s="1372">
        <v>0</v>
      </c>
      <c r="GF217" s="1370">
        <f t="shared" si="224"/>
        <v>196137.79241356801</v>
      </c>
      <c r="GG217" s="1371">
        <f>GF217*(IF(Summary!$O$74=1,VLOOKUP($C217,GasTable,16)+Summary!$O$92+Summary!$O$93,VLOOKUP($C217,GasTable,19)+Summary!$O$92+Summary!$O$93))</f>
        <v>751277.11529696349</v>
      </c>
      <c r="GH217" s="1373">
        <v>5667.3805225893311</v>
      </c>
      <c r="GI217" s="1466">
        <v>0</v>
      </c>
      <c r="GJ217" s="1374">
        <f t="shared" si="225"/>
        <v>756944.4958195528</v>
      </c>
      <c r="GK217" s="189">
        <f t="shared" si="196"/>
        <v>25196.103000000003</v>
      </c>
      <c r="GL217" s="266">
        <v>0.51471266888</v>
      </c>
      <c r="GM217" s="255">
        <f t="shared" si="197"/>
        <v>0</v>
      </c>
      <c r="GN217" s="189">
        <f>IF(SUM(GU217:HB217)=0,0,IF(Summary!$O$16="Yes",SUM(GX217:HB217),IF(Summary!$O$17="Yes",SUM(GY217:HB217),SUM(GU217:HB217))))</f>
        <v>9239.103000000001</v>
      </c>
      <c r="GO217" s="203">
        <v>3.8184399679854697</v>
      </c>
      <c r="GP217" s="258">
        <f t="shared" si="226"/>
        <v>35278.960163534459</v>
      </c>
      <c r="GQ217" s="189"/>
      <c r="GR217" s="189"/>
      <c r="GS217" s="189"/>
      <c r="GT217" s="189"/>
      <c r="GU217" s="268">
        <v>3592.9845000000009</v>
      </c>
      <c r="GV217" s="189">
        <v>684.37800000000027</v>
      </c>
      <c r="GW217" s="189">
        <v>855.47249999999997</v>
      </c>
      <c r="GX217" s="189"/>
      <c r="GY217" s="254">
        <v>2874.3875999999996</v>
      </c>
      <c r="GZ217" s="189">
        <v>547.50239999999997</v>
      </c>
      <c r="HA217" s="189">
        <v>684.37800000000004</v>
      </c>
      <c r="HB217" s="255"/>
      <c r="HC217" s="189">
        <v>9239.103000000001</v>
      </c>
      <c r="HD217" s="189"/>
      <c r="HE217" s="189">
        <v>21557.906999999999</v>
      </c>
      <c r="HF217" s="189">
        <v>571376.11665965221</v>
      </c>
      <c r="HG217" s="189"/>
      <c r="HH217" s="203">
        <v>64.189687697408402</v>
      </c>
      <c r="HI217" s="189">
        <v>1383795.3177397745</v>
      </c>
      <c r="HJ217" s="268">
        <f t="shared" si="198"/>
        <v>0</v>
      </c>
      <c r="HK217" s="189">
        <f t="shared" si="199"/>
        <v>0</v>
      </c>
      <c r="HL217" s="189">
        <f t="shared" si="200"/>
        <v>0</v>
      </c>
      <c r="HM217" s="255">
        <f t="shared" si="201"/>
        <v>0</v>
      </c>
      <c r="HN217" s="189">
        <f t="shared" si="202"/>
        <v>0</v>
      </c>
      <c r="HO217" s="203">
        <f t="shared" si="227"/>
        <v>0</v>
      </c>
      <c r="HP217" s="258">
        <f t="shared" si="203"/>
        <v>0</v>
      </c>
      <c r="HQ217" s="203"/>
      <c r="HR217" s="268"/>
      <c r="HS217" s="1408"/>
      <c r="HT217" s="255"/>
      <c r="HU217" s="268"/>
      <c r="HV217" s="1408"/>
      <c r="HW217" s="255"/>
      <c r="HX217" s="1408"/>
      <c r="HY217" s="1408"/>
      <c r="HZ217"/>
      <c r="IA217" s="203"/>
      <c r="IB217" s="203"/>
      <c r="IC217" s="203"/>
      <c r="ID217" s="203"/>
      <c r="IE217" s="203"/>
      <c r="IF217" s="203"/>
      <c r="IG217" s="203"/>
      <c r="IH217" s="203"/>
      <c r="II217" s="203"/>
      <c r="IJ217" s="203"/>
      <c r="IK217" s="203"/>
      <c r="IL217" s="821"/>
      <c r="IM217" s="820"/>
      <c r="IN217" s="820"/>
      <c r="IR217" s="223"/>
    </row>
    <row r="218" spans="1:252" ht="13.8" thickBot="1">
      <c r="A218" t="str">
        <f t="shared" si="204"/>
        <v>2016Q4</v>
      </c>
      <c r="B218">
        <f t="shared" si="205"/>
        <v>2016</v>
      </c>
      <c r="C218" s="49">
        <f t="shared" si="206"/>
        <v>42644</v>
      </c>
      <c r="D218" s="115">
        <f t="shared" si="207"/>
        <v>2016</v>
      </c>
      <c r="E218" s="10">
        <f t="shared" si="230"/>
        <v>10</v>
      </c>
      <c r="F218" s="248" t="str">
        <f t="shared" si="231"/>
        <v/>
      </c>
      <c r="G218" s="245">
        <v>42644</v>
      </c>
      <c r="H218" s="251">
        <v>42674</v>
      </c>
      <c r="I218" s="959">
        <f t="shared" si="228"/>
        <v>7.1499999999999994E-2</v>
      </c>
      <c r="J218" s="37">
        <f t="shared" si="208"/>
        <v>0.30433900199466563</v>
      </c>
      <c r="K218" s="1036"/>
      <c r="L218" s="37"/>
      <c r="M218" s="1004">
        <v>0</v>
      </c>
      <c r="N218" s="38">
        <f t="shared" si="184"/>
        <v>0</v>
      </c>
      <c r="O218" s="40">
        <f t="shared" si="184"/>
        <v>0</v>
      </c>
      <c r="P218" s="159">
        <f t="shared" si="172"/>
        <v>0</v>
      </c>
      <c r="Q218" s="38">
        <f t="shared" si="185"/>
        <v>0</v>
      </c>
      <c r="R218" s="40">
        <f t="shared" si="185"/>
        <v>0</v>
      </c>
      <c r="S218" s="38">
        <f t="shared" si="185"/>
        <v>0</v>
      </c>
      <c r="T218" s="38">
        <f t="shared" si="185"/>
        <v>0</v>
      </c>
      <c r="U218" s="38">
        <f t="shared" si="185"/>
        <v>0</v>
      </c>
      <c r="V218" s="159">
        <f t="shared" si="185"/>
        <v>0</v>
      </c>
      <c r="W218" s="38">
        <f t="shared" si="185"/>
        <v>0</v>
      </c>
      <c r="X218" s="39">
        <f t="shared" si="185"/>
        <v>0</v>
      </c>
      <c r="Y218" s="46">
        <v>0</v>
      </c>
      <c r="Z218" s="46">
        <v>0</v>
      </c>
      <c r="AA218" s="47">
        <v>0</v>
      </c>
      <c r="AB218" s="46">
        <v>0</v>
      </c>
      <c r="AC218" s="46">
        <v>0</v>
      </c>
      <c r="AD218" s="47">
        <v>0</v>
      </c>
      <c r="AE218" s="46">
        <v>0</v>
      </c>
      <c r="AF218" s="46">
        <v>0</v>
      </c>
      <c r="AG218" s="47">
        <v>0</v>
      </c>
      <c r="AH218" s="46">
        <v>0</v>
      </c>
      <c r="AI218" s="46">
        <v>0</v>
      </c>
      <c r="AJ218" s="47">
        <v>0</v>
      </c>
      <c r="AK218" s="46">
        <v>0</v>
      </c>
      <c r="AL218" s="46">
        <v>0</v>
      </c>
      <c r="AM218" s="47">
        <v>0</v>
      </c>
      <c r="AN218" s="46">
        <v>0</v>
      </c>
      <c r="AO218" s="46">
        <v>0</v>
      </c>
      <c r="AP218" s="47">
        <v>0</v>
      </c>
      <c r="AQ218" s="46">
        <v>0</v>
      </c>
      <c r="AR218" s="46">
        <v>0</v>
      </c>
      <c r="AS218" s="47">
        <v>0</v>
      </c>
      <c r="AT218" s="46">
        <v>0</v>
      </c>
      <c r="AU218" s="46">
        <v>0</v>
      </c>
      <c r="AV218" s="46">
        <v>0</v>
      </c>
      <c r="AW218" s="1545">
        <v>0</v>
      </c>
      <c r="AX218" s="10">
        <f t="shared" si="232"/>
        <v>21</v>
      </c>
      <c r="AY218" s="42">
        <f>IF(AND($E218=MONTH(Summary!$E$24),$D218=YEAR(Summary!$E$24)),Summary!$E$25,1)*IF(G218="",0,INT((H218-MOD(H218,7)-G218)/7)+1-IF(BA218,IF(WEEKDAY(F218)=7,1,0),0))</f>
        <v>5</v>
      </c>
      <c r="AZ218" s="42">
        <f>IF(AND($E218=MONTH(Summary!$E$24),$D218=YEAR(Summary!$E$24)),Summary!$E$25,1)*IF(G218="",0,INT((H218-MOD(H218-1,7)-G218)/7)+1-IF(BA218,IF(WEEKDAY(F218)=1,1,0),0))</f>
        <v>5</v>
      </c>
      <c r="BA218" s="42">
        <v>0</v>
      </c>
      <c r="BB218" s="10">
        <f>IF(AND($E218=MONTH(Summary!$E$24),$D218=YEAR(Summary!$E$24)),Summary!$E$25,1)*IF(G218="",0,H218-G218+1)</f>
        <v>31</v>
      </c>
      <c r="BC218" s="914">
        <f>Summary!$E$19</f>
        <v>1.4999999999999999E-2</v>
      </c>
      <c r="BD218" s="113">
        <v>14893.2</v>
      </c>
      <c r="BE218" s="171">
        <v>3546</v>
      </c>
      <c r="BF218" s="171">
        <v>3546</v>
      </c>
      <c r="BG218" s="174"/>
      <c r="BH218" s="1198">
        <v>1</v>
      </c>
      <c r="BI218" s="1198">
        <v>1</v>
      </c>
      <c r="BJ218" s="1198">
        <v>1</v>
      </c>
      <c r="BK218" s="1198">
        <v>1</v>
      </c>
      <c r="BL218" s="95">
        <v>2978.64</v>
      </c>
      <c r="BM218" s="171">
        <v>709.2</v>
      </c>
      <c r="BN218" s="171">
        <v>709.2</v>
      </c>
      <c r="BO218" s="174"/>
      <c r="BP218" s="1198">
        <v>1</v>
      </c>
      <c r="BQ218" s="1199">
        <v>1</v>
      </c>
      <c r="BR218" s="1199">
        <v>1</v>
      </c>
      <c r="BS218" s="1200">
        <v>1</v>
      </c>
      <c r="BT218" s="94">
        <f t="shared" si="209"/>
        <v>21985.200000000001</v>
      </c>
      <c r="BU218" s="233">
        <f t="shared" si="210"/>
        <v>21985.200000000001</v>
      </c>
      <c r="BV218" s="92">
        <f t="shared" si="211"/>
        <v>4397.04</v>
      </c>
      <c r="BW218" s="233">
        <f t="shared" si="212"/>
        <v>4397.04</v>
      </c>
      <c r="BX218" s="88">
        <v>16.79671457905544</v>
      </c>
      <c r="BY218" s="90">
        <v>0</v>
      </c>
      <c r="BZ218" s="88">
        <v>0</v>
      </c>
      <c r="CA218" s="88">
        <v>0</v>
      </c>
      <c r="CB218" s="88">
        <v>0</v>
      </c>
      <c r="CC218" s="88">
        <v>0</v>
      </c>
      <c r="CD218" s="88">
        <v>0</v>
      </c>
      <c r="CE218" s="100">
        <v>0</v>
      </c>
      <c r="CF218" s="88">
        <v>0</v>
      </c>
      <c r="CG218" s="88">
        <v>0</v>
      </c>
      <c r="CH218" s="88">
        <v>0</v>
      </c>
      <c r="CI218" s="88">
        <v>0</v>
      </c>
      <c r="CJ218" s="228">
        <v>0</v>
      </c>
      <c r="CK218" s="88">
        <v>0</v>
      </c>
      <c r="CL218" s="88">
        <v>0</v>
      </c>
      <c r="CM218" s="88">
        <v>0</v>
      </c>
      <c r="CN218" s="88">
        <v>0</v>
      </c>
      <c r="CO218" s="88">
        <v>0</v>
      </c>
      <c r="CP218" s="88">
        <v>0</v>
      </c>
      <c r="CQ218" s="229">
        <v>0</v>
      </c>
      <c r="CR218" s="91">
        <v>0</v>
      </c>
      <c r="CS218" s="91">
        <v>0</v>
      </c>
      <c r="CT218" s="91">
        <v>0</v>
      </c>
      <c r="CU218" s="91">
        <v>0</v>
      </c>
      <c r="CV218" s="91">
        <v>0</v>
      </c>
      <c r="CW218" s="91">
        <v>0</v>
      </c>
      <c r="CX218" s="225">
        <v>0</v>
      </c>
      <c r="CY218" s="1265">
        <v>7684.3096000000005</v>
      </c>
      <c r="CZ218" s="90">
        <v>0</v>
      </c>
      <c r="DA218" s="88">
        <v>0</v>
      </c>
      <c r="DB218" s="88">
        <v>0</v>
      </c>
      <c r="DC218" s="88">
        <v>0</v>
      </c>
      <c r="DD218" s="88">
        <v>0</v>
      </c>
      <c r="DE218" s="152">
        <v>0</v>
      </c>
      <c r="DF218" s="230">
        <v>0</v>
      </c>
      <c r="DG218" s="38">
        <v>0</v>
      </c>
      <c r="DH218" s="1237">
        <v>0</v>
      </c>
      <c r="DI218" s="956">
        <v>0</v>
      </c>
      <c r="DJ218" s="956">
        <v>0</v>
      </c>
      <c r="DK218" s="956">
        <v>0</v>
      </c>
      <c r="DL218" s="152">
        <v>0</v>
      </c>
      <c r="DM218" s="160">
        <v>0</v>
      </c>
      <c r="DN218" s="160">
        <v>0</v>
      </c>
      <c r="DO218" s="160">
        <v>0</v>
      </c>
      <c r="DP218" s="160">
        <v>0</v>
      </c>
      <c r="DQ218" s="160">
        <v>0</v>
      </c>
      <c r="DR218" s="230">
        <v>0</v>
      </c>
      <c r="DS218" s="88">
        <v>0</v>
      </c>
      <c r="DT218" s="88">
        <v>0</v>
      </c>
      <c r="DU218" s="88">
        <v>0</v>
      </c>
      <c r="DV218" s="88">
        <v>0</v>
      </c>
      <c r="DW218" s="88">
        <v>0</v>
      </c>
      <c r="DX218" s="88">
        <v>0</v>
      </c>
      <c r="DY218" s="88">
        <v>0</v>
      </c>
      <c r="DZ218" s="88">
        <v>0</v>
      </c>
      <c r="EA218" s="88">
        <v>0</v>
      </c>
      <c r="EB218" s="152">
        <v>0</v>
      </c>
      <c r="EC218" s="52">
        <f t="shared" si="213"/>
        <v>0</v>
      </c>
      <c r="ED218" s="52">
        <f t="shared" si="213"/>
        <v>0</v>
      </c>
      <c r="EE218" s="52">
        <f t="shared" si="213"/>
        <v>0</v>
      </c>
      <c r="EF218" s="52">
        <f t="shared" si="186"/>
        <v>0</v>
      </c>
      <c r="EG218" s="52">
        <f t="shared" si="214"/>
        <v>0</v>
      </c>
      <c r="EH218" s="238">
        <v>0</v>
      </c>
      <c r="EI218" s="211">
        <v>0</v>
      </c>
      <c r="EJ218" s="211">
        <v>0</v>
      </c>
      <c r="EK218" s="211">
        <v>0</v>
      </c>
      <c r="EL218" s="217">
        <f>IF(C218&gt;=Summary!$E$26,MAX(0,SUM(EH218:EK218)),0)</f>
        <v>0</v>
      </c>
      <c r="EM218" s="52">
        <f>IF(C218&gt;=Summary!$E$26,DX218*BL218,0)</f>
        <v>0</v>
      </c>
      <c r="EN218" s="52">
        <f>IF(C218&gt;=Summary!$E$26,DY218*BM218,0)</f>
        <v>0</v>
      </c>
      <c r="EO218" s="52">
        <f>IF(C218&gt;=Summary!$E$26,DZ218*BN218,0)</f>
        <v>0</v>
      </c>
      <c r="EP218" s="52">
        <f>IF(C218&gt;=Summary!$E$26,EA218*BO218,0)</f>
        <v>0</v>
      </c>
      <c r="EQ218" s="52">
        <f>IF(C218&gt;=Summary!$E$26,DX218*BL218+DY218*BM218+DZ218*BN218+EA218*BO218,0)</f>
        <v>0</v>
      </c>
      <c r="ER218" s="826">
        <v>0</v>
      </c>
      <c r="ES218" s="278">
        <v>0</v>
      </c>
      <c r="ET218" s="278">
        <v>0</v>
      </c>
      <c r="EU218" s="278">
        <v>0</v>
      </c>
      <c r="EV218" s="212">
        <f>IF(C218&gt;=Summary!$E$26,MAX(0,SUM(ER218:EU218)),0)</f>
        <v>0</v>
      </c>
      <c r="EW218" s="52"/>
      <c r="EX218" s="1049">
        <f t="shared" si="215"/>
        <v>0</v>
      </c>
      <c r="EY218" s="1045" t="str">
        <f t="shared" si="216"/>
        <v/>
      </c>
      <c r="EZ218" s="1684" t="s">
        <v>525</v>
      </c>
      <c r="FA218" s="1046">
        <f t="shared" si="229"/>
        <v>45</v>
      </c>
      <c r="FB218" s="256">
        <f t="shared" si="217"/>
        <v>9308.25</v>
      </c>
      <c r="FC218" s="194">
        <f t="shared" si="218"/>
        <v>2792.4749999999999</v>
      </c>
      <c r="FD218" s="194">
        <f t="shared" si="219"/>
        <v>2216.25</v>
      </c>
      <c r="FE218" s="194">
        <f t="shared" si="220"/>
        <v>664.875</v>
      </c>
      <c r="FF218" s="194">
        <f t="shared" si="221"/>
        <v>2216.25</v>
      </c>
      <c r="FG218" s="194">
        <f t="shared" si="222"/>
        <v>664.875</v>
      </c>
      <c r="FH218" s="257">
        <f>IF(EZ218="No",IF((OR(MONTH(C218)=5,MONTH(C218)=6,MONTH(C218)=7,MONTH(C218)=8,MONTH(C218)=9)),Summary!$O$15*12*(AX218+AY218+AZ218+BA218)*(1-$BC218),Summary!$O$15*13*(AX218+AY218+AZ218+BA218)*(1-$BC218)+IF(Summary!$O$16="Yes",(CALC!FA218+Summary!$O$15)*6*(AX218+AY218+AZ218+BA218)*(1-$BC218),0)),0)</f>
        <v>0</v>
      </c>
      <c r="FI218" s="1412">
        <f>IF(MONTH(C218)=5,FI217*(IF(Summary!$E$70="no",(1+(Summary!$E$71*0.8)),1+HLOOKUP(YEAR(C218)-1,CCFMODEL!$I$127:$AF$128,2)*0.8)),+FI217)</f>
        <v>39.812819442006955</v>
      </c>
      <c r="FJ218" s="1411">
        <f>IF(MONTH(C218)=5,FJ217*(IF(Summary!$E$70="no",(1+(Summary!$E$71*0.8)),1+HLOOKUP(YEAR(CALC!C218)-1,CCFMODEL!$I$127:$AF$128,2)*0.8)),FJ217)</f>
        <v>34.797031165848594</v>
      </c>
      <c r="FK218" s="832">
        <f t="shared" si="187"/>
        <v>711175.39837208414</v>
      </c>
      <c r="FL218" s="1412">
        <f>IF(MONTH(C218)=5,FL217*(IF(Summary!$E$70="no",(1+(Summary!$E$71*0.8)),1+HLOOKUP(YEAR(CALC!C218)-1,CCFMODEL!$I$127:$AF$128,2)*0.8)),+FL217)</f>
        <v>83.730822740988728</v>
      </c>
      <c r="FM218" s="1411">
        <f>IF(MONTH(C218)=5,FM217*(IF(Summary!$E$70="no",(1+(Summary!$E$71*0.8)),1+HLOOKUP(YEAR(CALC!C218)-1,CCFMODEL!$I$127:$AF$128,2)*0.8)),+FM217)</f>
        <v>39.96209885498785</v>
      </c>
      <c r="FN218" s="832">
        <f t="shared" si="188"/>
        <v>724712.66273520468</v>
      </c>
      <c r="FO218" s="194">
        <f t="shared" si="223"/>
        <v>1435888.0611072888</v>
      </c>
      <c r="FP218" s="263">
        <f t="shared" si="189"/>
        <v>9308.25</v>
      </c>
      <c r="FQ218" s="194">
        <f t="shared" si="190"/>
        <v>2792.4749999999999</v>
      </c>
      <c r="FR218" s="194">
        <f t="shared" si="191"/>
        <v>2216.25</v>
      </c>
      <c r="FS218" s="194">
        <f t="shared" si="176"/>
        <v>664.875</v>
      </c>
      <c r="FT218" s="194">
        <f t="shared" si="176"/>
        <v>2216.25</v>
      </c>
      <c r="FU218" s="194">
        <f t="shared" si="176"/>
        <v>664.875</v>
      </c>
      <c r="FV218" s="257">
        <f t="shared" si="176"/>
        <v>0</v>
      </c>
      <c r="FW218" s="189">
        <f t="shared" si="192"/>
        <v>0</v>
      </c>
      <c r="FX218" s="189">
        <f t="shared" si="193"/>
        <v>0</v>
      </c>
      <c r="FY218" s="189">
        <f t="shared" si="194"/>
        <v>0</v>
      </c>
      <c r="FZ218" s="258">
        <f t="shared" si="195"/>
        <v>0</v>
      </c>
      <c r="GA218" s="1294">
        <f>(SUM(FP218:FV218)+SUM(GU218:HB218)/(1-Summary!$O$25))*CY218/1000</f>
        <v>234405.75324236401</v>
      </c>
      <c r="GB218" s="1369">
        <f>IF($C218&lt;Summary!$M$81,+Summary!$O$81,VLOOKUP(C218,GasTable,19))</f>
        <v>3.9461570718739689</v>
      </c>
      <c r="GC218" s="1370">
        <f>IF(H218&lt;=Summary!$N$84,MIN(GA218,Summary!$O$75*(H218-G218+1)),0)</f>
        <v>0</v>
      </c>
      <c r="GD218" s="1371">
        <f>IF(C218&lt;Summary!$N$84,IF(Summary!$O$75*(H218-G218+1)*0.8&gt;GC218,1,0),0)</f>
        <v>0</v>
      </c>
      <c r="GE218" s="1372">
        <v>0</v>
      </c>
      <c r="GF218" s="1370">
        <f t="shared" si="224"/>
        <v>234405.75324236401</v>
      </c>
      <c r="GG218" s="1371">
        <f>GF218*(IF(Summary!$O$74=1,VLOOKUP($C218,GasTable,16)+Summary!$O$92+Summary!$O$93,VLOOKUP($C218,GasTable,19)+Summary!$O$92+Summary!$O$93))</f>
        <v>937214.46058922634</v>
      </c>
      <c r="GH218" s="1373">
        <v>6116.5434614046517</v>
      </c>
      <c r="GI218" s="1466">
        <v>0</v>
      </c>
      <c r="GJ218" s="1374">
        <f t="shared" si="225"/>
        <v>943331.00405063096</v>
      </c>
      <c r="GK218" s="189">
        <f t="shared" si="196"/>
        <v>30062.012850000003</v>
      </c>
      <c r="GL218" s="266">
        <v>0.51484874320000007</v>
      </c>
      <c r="GM218" s="255">
        <f t="shared" si="197"/>
        <v>0</v>
      </c>
      <c r="GN218" s="189">
        <f>IF(SUM(GU218:HB218)=0,0,IF(Summary!$O$16="Yes",SUM(GX218:HB218),IF(Summary!$O$17="Yes",SUM(GY218:HB218),SUM(GU218:HB218))))</f>
        <v>12199.037850000001</v>
      </c>
      <c r="GO218" s="203">
        <v>3.8184399679854697</v>
      </c>
      <c r="GP218" s="258">
        <f t="shared" si="226"/>
        <v>46581.293697407535</v>
      </c>
      <c r="GQ218" s="189"/>
      <c r="GR218" s="189"/>
      <c r="GS218" s="189"/>
      <c r="GT218" s="189"/>
      <c r="GU218" s="268">
        <v>5389.4767500000007</v>
      </c>
      <c r="GV218" s="189">
        <v>1283.20875</v>
      </c>
      <c r="GW218" s="189">
        <v>1283.20875</v>
      </c>
      <c r="GX218" s="189"/>
      <c r="GY218" s="254">
        <v>2874.3875999999996</v>
      </c>
      <c r="GZ218" s="189">
        <v>684.37800000000004</v>
      </c>
      <c r="HA218" s="189">
        <v>684.37800000000004</v>
      </c>
      <c r="HB218" s="255"/>
      <c r="HC218" s="189">
        <v>12199.037850000001</v>
      </c>
      <c r="HD218" s="189"/>
      <c r="HE218" s="189">
        <v>20950.521525</v>
      </c>
      <c r="HF218" s="189">
        <v>694233.36313122604</v>
      </c>
      <c r="HG218" s="189"/>
      <c r="HH218" s="203">
        <v>56.008765633958205</v>
      </c>
      <c r="HI218" s="189">
        <v>1173412.8500029217</v>
      </c>
      <c r="HJ218" s="268">
        <f t="shared" si="198"/>
        <v>0</v>
      </c>
      <c r="HK218" s="189">
        <f t="shared" si="199"/>
        <v>0</v>
      </c>
      <c r="HL218" s="189">
        <f t="shared" si="200"/>
        <v>0</v>
      </c>
      <c r="HM218" s="255">
        <f t="shared" si="201"/>
        <v>0</v>
      </c>
      <c r="HN218" s="189">
        <f t="shared" si="202"/>
        <v>0</v>
      </c>
      <c r="HO218" s="203">
        <f t="shared" si="227"/>
        <v>0</v>
      </c>
      <c r="HP218" s="258">
        <f t="shared" si="203"/>
        <v>0</v>
      </c>
      <c r="HQ218" s="203"/>
      <c r="HR218" s="268"/>
      <c r="HS218" s="1408"/>
      <c r="HT218" s="255"/>
      <c r="HU218" s="268"/>
      <c r="HV218" s="1408"/>
      <c r="HW218" s="255"/>
      <c r="HX218" s="1408"/>
      <c r="HY218" s="1408"/>
      <c r="HZ218"/>
      <c r="IA218" s="203"/>
      <c r="IB218" s="203"/>
      <c r="IC218" s="203"/>
      <c r="ID218" s="203"/>
      <c r="IE218" s="203"/>
      <c r="IF218" s="203"/>
      <c r="IG218" s="203"/>
      <c r="IH218" s="203"/>
      <c r="II218" s="203"/>
      <c r="IJ218" s="203"/>
      <c r="IK218" s="203"/>
      <c r="IL218" s="821"/>
      <c r="IM218" s="820"/>
      <c r="IN218" s="820"/>
      <c r="IR218" s="223"/>
    </row>
    <row r="219" spans="1:252" ht="13.8" thickBot="1">
      <c r="A219" t="str">
        <f t="shared" si="204"/>
        <v>2016Q4</v>
      </c>
      <c r="B219">
        <f t="shared" si="205"/>
        <v>2016</v>
      </c>
      <c r="C219" s="49">
        <f t="shared" si="206"/>
        <v>42675</v>
      </c>
      <c r="D219" s="115">
        <f t="shared" si="207"/>
        <v>2016</v>
      </c>
      <c r="E219" s="10">
        <f t="shared" si="230"/>
        <v>11</v>
      </c>
      <c r="F219" s="248">
        <f t="shared" si="231"/>
        <v>42698</v>
      </c>
      <c r="G219" s="245">
        <v>42675</v>
      </c>
      <c r="H219" s="251">
        <v>42704</v>
      </c>
      <c r="I219" s="959">
        <f t="shared" si="228"/>
        <v>7.1499999999999994E-2</v>
      </c>
      <c r="J219" s="37">
        <f t="shared" si="208"/>
        <v>0.30258797631060069</v>
      </c>
      <c r="K219" s="1036"/>
      <c r="L219" s="37"/>
      <c r="M219" s="1004">
        <v>0</v>
      </c>
      <c r="N219" s="38">
        <f t="shared" si="184"/>
        <v>0</v>
      </c>
      <c r="O219" s="40">
        <f t="shared" si="184"/>
        <v>0</v>
      </c>
      <c r="P219" s="159">
        <f t="shared" si="172"/>
        <v>0</v>
      </c>
      <c r="Q219" s="38">
        <f t="shared" ref="Q219:X228" si="233">P219</f>
        <v>0</v>
      </c>
      <c r="R219" s="40">
        <f t="shared" si="233"/>
        <v>0</v>
      </c>
      <c r="S219" s="38">
        <f t="shared" si="233"/>
        <v>0</v>
      </c>
      <c r="T219" s="38">
        <f t="shared" si="233"/>
        <v>0</v>
      </c>
      <c r="U219" s="38">
        <f t="shared" si="233"/>
        <v>0</v>
      </c>
      <c r="V219" s="159">
        <f t="shared" si="233"/>
        <v>0</v>
      </c>
      <c r="W219" s="38">
        <f t="shared" si="233"/>
        <v>0</v>
      </c>
      <c r="X219" s="39">
        <f t="shared" si="233"/>
        <v>0</v>
      </c>
      <c r="Y219" s="46">
        <v>0</v>
      </c>
      <c r="Z219" s="46">
        <v>0</v>
      </c>
      <c r="AA219" s="47">
        <v>0</v>
      </c>
      <c r="AB219" s="46">
        <v>0</v>
      </c>
      <c r="AC219" s="46">
        <v>0</v>
      </c>
      <c r="AD219" s="47">
        <v>0</v>
      </c>
      <c r="AE219" s="46">
        <v>0</v>
      </c>
      <c r="AF219" s="46">
        <v>0</v>
      </c>
      <c r="AG219" s="47">
        <v>0</v>
      </c>
      <c r="AH219" s="46">
        <v>0</v>
      </c>
      <c r="AI219" s="46">
        <v>0</v>
      </c>
      <c r="AJ219" s="47">
        <v>0</v>
      </c>
      <c r="AK219" s="46">
        <v>0</v>
      </c>
      <c r="AL219" s="46">
        <v>0</v>
      </c>
      <c r="AM219" s="47">
        <v>0</v>
      </c>
      <c r="AN219" s="46">
        <v>0</v>
      </c>
      <c r="AO219" s="46">
        <v>0</v>
      </c>
      <c r="AP219" s="47">
        <v>0</v>
      </c>
      <c r="AQ219" s="46">
        <v>0</v>
      </c>
      <c r="AR219" s="46">
        <v>0</v>
      </c>
      <c r="AS219" s="47">
        <v>0</v>
      </c>
      <c r="AT219" s="46">
        <v>0</v>
      </c>
      <c r="AU219" s="46">
        <v>0</v>
      </c>
      <c r="AV219" s="46">
        <v>0</v>
      </c>
      <c r="AW219" s="1545">
        <v>0</v>
      </c>
      <c r="AX219" s="10">
        <f t="shared" si="232"/>
        <v>21</v>
      </c>
      <c r="AY219" s="42">
        <f>IF(AND($E219=MONTH(Summary!$E$24),$D219=YEAR(Summary!$E$24)),Summary!$E$25,1)*IF(G219="",0,INT((H219-MOD(H219,7)-G219)/7)+1-IF(BA219,IF(WEEKDAY(F219)=7,1,0),0))</f>
        <v>4</v>
      </c>
      <c r="AZ219" s="42">
        <f>IF(AND($E219=MONTH(Summary!$E$24),$D219=YEAR(Summary!$E$24)),Summary!$E$25,1)*IF(G219="",0,INT((H219-MOD(H219-1,7)-G219)/7)+1-IF(BA219,IF(WEEKDAY(F219)=1,1,0),0))</f>
        <v>4</v>
      </c>
      <c r="BA219" s="42">
        <v>1</v>
      </c>
      <c r="BB219" s="10">
        <f>IF(AND($E219=MONTH(Summary!$E$24),$D219=YEAR(Summary!$E$24)),Summary!$E$25,1)*IF(G219="",0,H219-G219+1)</f>
        <v>30</v>
      </c>
      <c r="BC219" s="914">
        <f>Summary!$E$19</f>
        <v>1.4999999999999999E-2</v>
      </c>
      <c r="BD219" s="113">
        <v>14893.2</v>
      </c>
      <c r="BE219" s="171">
        <v>2836.8</v>
      </c>
      <c r="BF219" s="171">
        <v>3546</v>
      </c>
      <c r="BG219" s="174"/>
      <c r="BH219" s="1198">
        <v>1</v>
      </c>
      <c r="BI219" s="1198">
        <v>1</v>
      </c>
      <c r="BJ219" s="1198">
        <v>1</v>
      </c>
      <c r="BK219" s="1198">
        <v>1</v>
      </c>
      <c r="BL219" s="95">
        <v>2978.64</v>
      </c>
      <c r="BM219" s="171">
        <v>567.36</v>
      </c>
      <c r="BN219" s="171">
        <v>709.2</v>
      </c>
      <c r="BO219" s="174"/>
      <c r="BP219" s="1198">
        <v>1</v>
      </c>
      <c r="BQ219" s="1199">
        <v>1</v>
      </c>
      <c r="BR219" s="1199">
        <v>1</v>
      </c>
      <c r="BS219" s="1200">
        <v>1</v>
      </c>
      <c r="BT219" s="94">
        <f t="shared" si="209"/>
        <v>21276</v>
      </c>
      <c r="BU219" s="233">
        <f t="shared" si="210"/>
        <v>21276</v>
      </c>
      <c r="BV219" s="92">
        <f t="shared" si="211"/>
        <v>4255.2</v>
      </c>
      <c r="BW219" s="233">
        <f t="shared" si="212"/>
        <v>4255.2</v>
      </c>
      <c r="BX219" s="88">
        <v>16.881587953456538</v>
      </c>
      <c r="BY219" s="90">
        <v>0</v>
      </c>
      <c r="BZ219" s="88">
        <v>0</v>
      </c>
      <c r="CA219" s="88">
        <v>0</v>
      </c>
      <c r="CB219" s="88">
        <v>0</v>
      </c>
      <c r="CC219" s="88">
        <v>0</v>
      </c>
      <c r="CD219" s="88">
        <v>0</v>
      </c>
      <c r="CE219" s="100">
        <v>0</v>
      </c>
      <c r="CF219" s="88">
        <v>0</v>
      </c>
      <c r="CG219" s="88">
        <v>0</v>
      </c>
      <c r="CH219" s="88">
        <v>0</v>
      </c>
      <c r="CI219" s="88">
        <v>0</v>
      </c>
      <c r="CJ219" s="228">
        <v>0</v>
      </c>
      <c r="CK219" s="88">
        <v>0</v>
      </c>
      <c r="CL219" s="88">
        <v>0</v>
      </c>
      <c r="CM219" s="88">
        <v>0</v>
      </c>
      <c r="CN219" s="88">
        <v>0</v>
      </c>
      <c r="CO219" s="88">
        <v>0</v>
      </c>
      <c r="CP219" s="88">
        <v>0</v>
      </c>
      <c r="CQ219" s="229">
        <v>0</v>
      </c>
      <c r="CR219" s="91">
        <v>0</v>
      </c>
      <c r="CS219" s="91">
        <v>0</v>
      </c>
      <c r="CT219" s="91">
        <v>0</v>
      </c>
      <c r="CU219" s="91">
        <v>0</v>
      </c>
      <c r="CV219" s="91">
        <v>0</v>
      </c>
      <c r="CW219" s="91">
        <v>0</v>
      </c>
      <c r="CX219" s="225">
        <v>0</v>
      </c>
      <c r="CY219" s="1265">
        <v>7686.3405599999996</v>
      </c>
      <c r="CZ219" s="90">
        <v>0</v>
      </c>
      <c r="DA219" s="88">
        <v>0</v>
      </c>
      <c r="DB219" s="88">
        <v>0</v>
      </c>
      <c r="DC219" s="88">
        <v>0</v>
      </c>
      <c r="DD219" s="88">
        <v>0</v>
      </c>
      <c r="DE219" s="152">
        <v>0</v>
      </c>
      <c r="DF219" s="230">
        <v>0</v>
      </c>
      <c r="DG219" s="38">
        <v>0</v>
      </c>
      <c r="DH219" s="1237">
        <v>0</v>
      </c>
      <c r="DI219" s="956">
        <v>0</v>
      </c>
      <c r="DJ219" s="956">
        <v>0</v>
      </c>
      <c r="DK219" s="956">
        <v>0</v>
      </c>
      <c r="DL219" s="152">
        <v>0</v>
      </c>
      <c r="DM219" s="160">
        <v>0</v>
      </c>
      <c r="DN219" s="160">
        <v>0</v>
      </c>
      <c r="DO219" s="160">
        <v>0</v>
      </c>
      <c r="DP219" s="160">
        <v>0</v>
      </c>
      <c r="DQ219" s="160">
        <v>0</v>
      </c>
      <c r="DR219" s="230">
        <v>0</v>
      </c>
      <c r="DS219" s="88">
        <v>0</v>
      </c>
      <c r="DT219" s="88">
        <v>0</v>
      </c>
      <c r="DU219" s="88">
        <v>0</v>
      </c>
      <c r="DV219" s="88">
        <v>0</v>
      </c>
      <c r="DW219" s="88">
        <v>0</v>
      </c>
      <c r="DX219" s="88">
        <v>0</v>
      </c>
      <c r="DY219" s="88">
        <v>0</v>
      </c>
      <c r="DZ219" s="88">
        <v>0</v>
      </c>
      <c r="EA219" s="88">
        <v>0</v>
      </c>
      <c r="EB219" s="152">
        <v>0</v>
      </c>
      <c r="EC219" s="52">
        <f t="shared" si="213"/>
        <v>0</v>
      </c>
      <c r="ED219" s="52">
        <f t="shared" si="213"/>
        <v>0</v>
      </c>
      <c r="EE219" s="52">
        <f t="shared" si="213"/>
        <v>0</v>
      </c>
      <c r="EF219" s="52">
        <f t="shared" si="186"/>
        <v>0</v>
      </c>
      <c r="EG219" s="52">
        <f t="shared" si="214"/>
        <v>0</v>
      </c>
      <c r="EH219" s="238">
        <v>0</v>
      </c>
      <c r="EI219" s="211">
        <v>0</v>
      </c>
      <c r="EJ219" s="211">
        <v>0</v>
      </c>
      <c r="EK219" s="211">
        <v>0</v>
      </c>
      <c r="EL219" s="217">
        <f>IF(C219&gt;=Summary!$E$26,MAX(0,SUM(EH219:EK219)),0)</f>
        <v>0</v>
      </c>
      <c r="EM219" s="52">
        <f>IF(C219&gt;=Summary!$E$26,DX219*BL219,0)</f>
        <v>0</v>
      </c>
      <c r="EN219" s="52">
        <f>IF(C219&gt;=Summary!$E$26,DY219*BM219,0)</f>
        <v>0</v>
      </c>
      <c r="EO219" s="52">
        <f>IF(C219&gt;=Summary!$E$26,DZ219*BN219,0)</f>
        <v>0</v>
      </c>
      <c r="EP219" s="52">
        <f>IF(C219&gt;=Summary!$E$26,EA219*BO219,0)</f>
        <v>0</v>
      </c>
      <c r="EQ219" s="52">
        <f>IF(C219&gt;=Summary!$E$26,DX219*BL219+DY219*BM219+DZ219*BN219+EA219*BO219,0)</f>
        <v>0</v>
      </c>
      <c r="ER219" s="826">
        <v>0</v>
      </c>
      <c r="ES219" s="278">
        <v>0</v>
      </c>
      <c r="ET219" s="278">
        <v>0</v>
      </c>
      <c r="EU219" s="278">
        <v>0</v>
      </c>
      <c r="EV219" s="212">
        <f>IF(C219&gt;=Summary!$E$26,MAX(0,SUM(ER219:EU219)),0)</f>
        <v>0</v>
      </c>
      <c r="EW219" s="52"/>
      <c r="EX219" s="1049">
        <f t="shared" si="215"/>
        <v>0</v>
      </c>
      <c r="EY219" s="1045" t="str">
        <f t="shared" si="216"/>
        <v/>
      </c>
      <c r="EZ219" s="1684" t="s">
        <v>525</v>
      </c>
      <c r="FA219" s="1046">
        <f t="shared" si="229"/>
        <v>45</v>
      </c>
      <c r="FB219" s="256">
        <f t="shared" si="217"/>
        <v>9308.25</v>
      </c>
      <c r="FC219" s="194">
        <f t="shared" si="218"/>
        <v>2792.4749999999999</v>
      </c>
      <c r="FD219" s="194">
        <f t="shared" si="219"/>
        <v>1773</v>
      </c>
      <c r="FE219" s="194">
        <f t="shared" si="220"/>
        <v>531.9</v>
      </c>
      <c r="FF219" s="194">
        <f t="shared" si="221"/>
        <v>2216.25</v>
      </c>
      <c r="FG219" s="194">
        <f t="shared" si="222"/>
        <v>664.875</v>
      </c>
      <c r="FH219" s="257">
        <f>IF(EZ219="No",IF((OR(MONTH(C219)=5,MONTH(C219)=6,MONTH(C219)=7,MONTH(C219)=8,MONTH(C219)=9)),Summary!$O$15*12*(AX219+AY219+AZ219+BA219)*(1-$BC219),Summary!$O$15*13*(AX219+AY219+AZ219+BA219)*(1-$BC219)+IF(Summary!$O$16="Yes",(CALC!FA219+Summary!$O$15)*6*(AX219+AY219+AZ219+BA219)*(1-$BC219),0)),0)</f>
        <v>0</v>
      </c>
      <c r="FI219" s="1412">
        <f>IF(MONTH(C219)=5,FI218*(IF(Summary!$E$70="no",(1+(Summary!$E$71*0.8)),1+HLOOKUP(YEAR(C219)-1,CCFMODEL!$I$127:$AF$128,2)*0.8)),+FI218)</f>
        <v>39.812819442006955</v>
      </c>
      <c r="FJ219" s="1411">
        <f>IF(MONTH(C219)=5,FJ218*(IF(Summary!$E$70="no",(1+(Summary!$E$71*0.8)),1+HLOOKUP(YEAR(CALC!C219)-1,CCFMODEL!$I$127:$AF$128,2)*0.8)),FJ218)</f>
        <v>34.797031165848594</v>
      </c>
      <c r="FK219" s="832">
        <f t="shared" si="187"/>
        <v>688234.25648911367</v>
      </c>
      <c r="FL219" s="1412">
        <f>IF(MONTH(C219)=5,FL218*(IF(Summary!$E$70="no",(1+(Summary!$E$71*0.8)),1+HLOOKUP(YEAR(CALC!C219)-1,CCFMODEL!$I$127:$AF$128,2)*0.8)),+FL218)</f>
        <v>83.730822740988728</v>
      </c>
      <c r="FM219" s="1411">
        <f>IF(MONTH(C219)=5,FM218*(IF(Summary!$E$70="no",(1+(Summary!$E$71*0.8)),1+HLOOKUP(YEAR(CALC!C219)-1,CCFMODEL!$I$127:$AF$128,2)*0.8)),+FM218)</f>
        <v>39.96209885498785</v>
      </c>
      <c r="FN219" s="832">
        <f t="shared" si="188"/>
        <v>701334.83490503673</v>
      </c>
      <c r="FO219" s="194">
        <f t="shared" si="223"/>
        <v>1389569.0913941504</v>
      </c>
      <c r="FP219" s="263">
        <f t="shared" si="189"/>
        <v>9308.25</v>
      </c>
      <c r="FQ219" s="194">
        <f t="shared" si="190"/>
        <v>2792.4749999999999</v>
      </c>
      <c r="FR219" s="194">
        <f t="shared" si="191"/>
        <v>1773</v>
      </c>
      <c r="FS219" s="194">
        <f t="shared" si="176"/>
        <v>531.9</v>
      </c>
      <c r="FT219" s="194">
        <f t="shared" si="176"/>
        <v>2216.25</v>
      </c>
      <c r="FU219" s="194">
        <f t="shared" si="176"/>
        <v>664.875</v>
      </c>
      <c r="FV219" s="257">
        <f t="shared" si="176"/>
        <v>0</v>
      </c>
      <c r="FW219" s="189">
        <f t="shared" si="192"/>
        <v>0</v>
      </c>
      <c r="FX219" s="189">
        <f t="shared" si="193"/>
        <v>0</v>
      </c>
      <c r="FY219" s="189">
        <f t="shared" si="194"/>
        <v>0</v>
      </c>
      <c r="FZ219" s="258">
        <f t="shared" si="195"/>
        <v>0</v>
      </c>
      <c r="GA219" s="1294">
        <f>(SUM(FP219:FV219)+SUM(GU219:HB219)/(1-Summary!$O$25))*CY219/1000</f>
        <v>226904.232184452</v>
      </c>
      <c r="GB219" s="1369">
        <f>IF($C219&lt;Summary!$M$81,+Summary!$O$81,VLOOKUP(C219,GasTable,19))</f>
        <v>4.1117266109237409</v>
      </c>
      <c r="GC219" s="1370">
        <f>IF(H219&lt;=Summary!$N$84,MIN(GA219,Summary!$O$75*(H219-G219+1)),0)</f>
        <v>0</v>
      </c>
      <c r="GD219" s="1371">
        <f>IF(C219&lt;Summary!$N$84,IF(Summary!$O$75*(H219-G219+1)*0.8&gt;GC219,1,0),0)</f>
        <v>0</v>
      </c>
      <c r="GE219" s="1372">
        <v>0</v>
      </c>
      <c r="GF219" s="1370">
        <f t="shared" si="224"/>
        <v>226904.232184452</v>
      </c>
      <c r="GG219" s="1371">
        <f>GF219*(IF(Summary!$O$74=1,VLOOKUP($C219,GasTable,16)+Summary!$O$92+Summary!$O$93,VLOOKUP($C219,GasTable,19)+Summary!$O$92+Summary!$O$93))</f>
        <v>944789.88010084047</v>
      </c>
      <c r="GH219" s="1373">
        <v>6167.5899163856111</v>
      </c>
      <c r="GI219" s="1466">
        <v>0</v>
      </c>
      <c r="GJ219" s="1374">
        <f t="shared" si="225"/>
        <v>950957.47001722606</v>
      </c>
      <c r="GK219" s="189">
        <f t="shared" si="196"/>
        <v>29092.270500000002</v>
      </c>
      <c r="GL219" s="266">
        <v>0.51498481752000003</v>
      </c>
      <c r="GM219" s="255">
        <f t="shared" si="197"/>
        <v>0</v>
      </c>
      <c r="GN219" s="189">
        <f>IF(SUM(GU219:HB219)=0,0,IF(Summary!$O$16="Yes",SUM(GX219:HB219),IF(Summary!$O$17="Yes",SUM(GY219:HB219),SUM(GU219:HB219))))</f>
        <v>11805.520500000001</v>
      </c>
      <c r="GO219" s="203">
        <v>3.8184399679854697</v>
      </c>
      <c r="GP219" s="258">
        <f t="shared" si="226"/>
        <v>45078.671320071808</v>
      </c>
      <c r="GQ219" s="189"/>
      <c r="GR219" s="189"/>
      <c r="GS219" s="189"/>
      <c r="GT219" s="189"/>
      <c r="GU219" s="268">
        <v>5389.4767500000007</v>
      </c>
      <c r="GV219" s="189">
        <v>1026.5670000000002</v>
      </c>
      <c r="GW219" s="189">
        <v>1283.20875</v>
      </c>
      <c r="GX219" s="189"/>
      <c r="GY219" s="254">
        <v>2874.3875999999996</v>
      </c>
      <c r="GZ219" s="189">
        <v>547.50239999999997</v>
      </c>
      <c r="HA219" s="189">
        <v>684.37800000000004</v>
      </c>
      <c r="HB219" s="255"/>
      <c r="HC219" s="189">
        <v>11805.520500000001</v>
      </c>
      <c r="HD219" s="189"/>
      <c r="HE219" s="189">
        <v>20274.698250000001</v>
      </c>
      <c r="HF219" s="189">
        <v>664840.93397162517</v>
      </c>
      <c r="HG219" s="189"/>
      <c r="HH219" s="203">
        <v>55.984586668876361</v>
      </c>
      <c r="HI219" s="189">
        <v>1135070.601362441</v>
      </c>
      <c r="HJ219" s="268">
        <f t="shared" si="198"/>
        <v>0</v>
      </c>
      <c r="HK219" s="189">
        <f t="shared" si="199"/>
        <v>0</v>
      </c>
      <c r="HL219" s="189">
        <f t="shared" si="200"/>
        <v>0</v>
      </c>
      <c r="HM219" s="255">
        <f t="shared" si="201"/>
        <v>0</v>
      </c>
      <c r="HN219" s="189">
        <f t="shared" si="202"/>
        <v>0</v>
      </c>
      <c r="HO219" s="203">
        <f t="shared" si="227"/>
        <v>0</v>
      </c>
      <c r="HP219" s="258">
        <f t="shared" si="203"/>
        <v>0</v>
      </c>
      <c r="HQ219" s="203"/>
      <c r="HR219" s="268"/>
      <c r="HS219" s="1408"/>
      <c r="HT219" s="255"/>
      <c r="HU219" s="268"/>
      <c r="HV219" s="1408"/>
      <c r="HW219" s="255"/>
      <c r="HX219" s="1408"/>
      <c r="HY219" s="1408"/>
      <c r="HZ219"/>
      <c r="IA219" s="203"/>
      <c r="IB219" s="203"/>
      <c r="IC219" s="203"/>
      <c r="ID219" s="203"/>
      <c r="IE219" s="203"/>
      <c r="IF219" s="203"/>
      <c r="IG219" s="203"/>
      <c r="IH219" s="203"/>
      <c r="II219" s="203"/>
      <c r="IJ219" s="203"/>
      <c r="IK219" s="203"/>
      <c r="IL219" s="821"/>
      <c r="IM219" s="820"/>
      <c r="IN219" s="820"/>
      <c r="IR219" s="223"/>
    </row>
    <row r="220" spans="1:252" ht="13.8" thickBot="1">
      <c r="A220" t="str">
        <f t="shared" si="204"/>
        <v>2016Q4</v>
      </c>
      <c r="B220">
        <f t="shared" si="205"/>
        <v>2016</v>
      </c>
      <c r="C220" s="49">
        <f t="shared" si="206"/>
        <v>42705</v>
      </c>
      <c r="D220" s="115">
        <f t="shared" si="207"/>
        <v>2016</v>
      </c>
      <c r="E220" s="10">
        <f t="shared" si="230"/>
        <v>12</v>
      </c>
      <c r="F220" s="248">
        <f t="shared" si="231"/>
        <v>42730</v>
      </c>
      <c r="G220" s="245">
        <v>42705</v>
      </c>
      <c r="H220" s="251">
        <v>42735</v>
      </c>
      <c r="I220" s="959">
        <f t="shared" si="228"/>
        <v>7.1499999999999994E-2</v>
      </c>
      <c r="J220" s="37">
        <f t="shared" si="208"/>
        <v>0.3007891663436415</v>
      </c>
      <c r="K220" s="1036"/>
      <c r="L220" s="37"/>
      <c r="M220" s="1004">
        <v>0</v>
      </c>
      <c r="N220" s="38">
        <f t="shared" si="184"/>
        <v>0</v>
      </c>
      <c r="O220" s="40">
        <f t="shared" si="184"/>
        <v>0</v>
      </c>
      <c r="P220" s="159">
        <f t="shared" si="172"/>
        <v>0</v>
      </c>
      <c r="Q220" s="38">
        <f t="shared" si="233"/>
        <v>0</v>
      </c>
      <c r="R220" s="40">
        <f t="shared" si="233"/>
        <v>0</v>
      </c>
      <c r="S220" s="38">
        <f t="shared" si="233"/>
        <v>0</v>
      </c>
      <c r="T220" s="38">
        <f t="shared" si="233"/>
        <v>0</v>
      </c>
      <c r="U220" s="38">
        <f t="shared" si="233"/>
        <v>0</v>
      </c>
      <c r="V220" s="159">
        <f t="shared" si="233"/>
        <v>0</v>
      </c>
      <c r="W220" s="38">
        <f t="shared" si="233"/>
        <v>0</v>
      </c>
      <c r="X220" s="39">
        <f t="shared" si="233"/>
        <v>0</v>
      </c>
      <c r="Y220" s="46">
        <v>0</v>
      </c>
      <c r="Z220" s="46">
        <v>0</v>
      </c>
      <c r="AA220" s="47">
        <v>0</v>
      </c>
      <c r="AB220" s="46">
        <v>0</v>
      </c>
      <c r="AC220" s="46">
        <v>0</v>
      </c>
      <c r="AD220" s="47">
        <v>0</v>
      </c>
      <c r="AE220" s="46">
        <v>0</v>
      </c>
      <c r="AF220" s="46">
        <v>0</v>
      </c>
      <c r="AG220" s="47">
        <v>0</v>
      </c>
      <c r="AH220" s="46">
        <v>0</v>
      </c>
      <c r="AI220" s="46">
        <v>0</v>
      </c>
      <c r="AJ220" s="47">
        <v>0</v>
      </c>
      <c r="AK220" s="46">
        <v>0</v>
      </c>
      <c r="AL220" s="46">
        <v>0</v>
      </c>
      <c r="AM220" s="47">
        <v>0</v>
      </c>
      <c r="AN220" s="46">
        <v>0</v>
      </c>
      <c r="AO220" s="46">
        <v>0</v>
      </c>
      <c r="AP220" s="47">
        <v>0</v>
      </c>
      <c r="AQ220" s="46">
        <v>0</v>
      </c>
      <c r="AR220" s="46">
        <v>0</v>
      </c>
      <c r="AS220" s="47">
        <v>0</v>
      </c>
      <c r="AT220" s="46">
        <v>0</v>
      </c>
      <c r="AU220" s="46">
        <v>0</v>
      </c>
      <c r="AV220" s="46">
        <v>0</v>
      </c>
      <c r="AW220" s="1545">
        <v>0</v>
      </c>
      <c r="AX220" s="10">
        <f t="shared" si="232"/>
        <v>21</v>
      </c>
      <c r="AY220" s="42">
        <f>IF(AND($E220=MONTH(Summary!$E$24),$D220=YEAR(Summary!$E$24)),Summary!$E$25,1)*IF(G220="",0,INT((H220-MOD(H220,7)-G220)/7)+1-IF(BA220,IF(WEEKDAY(F220)=7,1,0),0))</f>
        <v>5</v>
      </c>
      <c r="AZ220" s="42">
        <f>IF(AND($E220=MONTH(Summary!$E$24),$D220=YEAR(Summary!$E$24)),Summary!$E$25,1)*IF(G220="",0,INT((H220-MOD(H220-1,7)-G220)/7)+1-IF(BA220,IF(WEEKDAY(F220)=1,1,0),0))</f>
        <v>4</v>
      </c>
      <c r="BA220" s="42">
        <v>1</v>
      </c>
      <c r="BB220" s="10">
        <f>IF(AND($E220=MONTH(Summary!$E$24),$D220=YEAR(Summary!$E$24)),Summary!$E$25,1)*IF(G220="",0,H220-G220+1)</f>
        <v>31</v>
      </c>
      <c r="BC220" s="914">
        <f>Summary!$E$19</f>
        <v>1.4999999999999999E-2</v>
      </c>
      <c r="BD220" s="113">
        <v>14893.2</v>
      </c>
      <c r="BE220" s="171">
        <v>3546</v>
      </c>
      <c r="BF220" s="171">
        <v>3546</v>
      </c>
      <c r="BG220" s="174"/>
      <c r="BH220" s="1198">
        <v>1</v>
      </c>
      <c r="BI220" s="1198">
        <v>1</v>
      </c>
      <c r="BJ220" s="1198">
        <v>1</v>
      </c>
      <c r="BK220" s="1198">
        <v>1</v>
      </c>
      <c r="BL220" s="95">
        <v>2978.64</v>
      </c>
      <c r="BM220" s="171">
        <v>709.2</v>
      </c>
      <c r="BN220" s="171">
        <v>709.2</v>
      </c>
      <c r="BO220" s="174"/>
      <c r="BP220" s="1198">
        <v>1</v>
      </c>
      <c r="BQ220" s="1199">
        <v>1</v>
      </c>
      <c r="BR220" s="1199">
        <v>1</v>
      </c>
      <c r="BS220" s="1200">
        <v>1</v>
      </c>
      <c r="BT220" s="94">
        <f t="shared" si="209"/>
        <v>21985.200000000001</v>
      </c>
      <c r="BU220" s="233">
        <f t="shared" si="210"/>
        <v>21985.200000000001</v>
      </c>
      <c r="BV220" s="92">
        <f t="shared" si="211"/>
        <v>4397.04</v>
      </c>
      <c r="BW220" s="233">
        <f t="shared" si="212"/>
        <v>4397.04</v>
      </c>
      <c r="BX220" s="88">
        <v>16.963723477070499</v>
      </c>
      <c r="BY220" s="90">
        <v>0</v>
      </c>
      <c r="BZ220" s="88">
        <v>0</v>
      </c>
      <c r="CA220" s="88">
        <v>0</v>
      </c>
      <c r="CB220" s="88">
        <v>0</v>
      </c>
      <c r="CC220" s="88">
        <v>0</v>
      </c>
      <c r="CD220" s="88">
        <v>0</v>
      </c>
      <c r="CE220" s="100">
        <v>0</v>
      </c>
      <c r="CF220" s="88">
        <v>0</v>
      </c>
      <c r="CG220" s="88">
        <v>0</v>
      </c>
      <c r="CH220" s="88">
        <v>0</v>
      </c>
      <c r="CI220" s="88">
        <v>0</v>
      </c>
      <c r="CJ220" s="228">
        <v>0</v>
      </c>
      <c r="CK220" s="88">
        <v>0</v>
      </c>
      <c r="CL220" s="88">
        <v>0</v>
      </c>
      <c r="CM220" s="88">
        <v>0</v>
      </c>
      <c r="CN220" s="88">
        <v>0</v>
      </c>
      <c r="CO220" s="88">
        <v>0</v>
      </c>
      <c r="CP220" s="88">
        <v>0</v>
      </c>
      <c r="CQ220" s="229">
        <v>0</v>
      </c>
      <c r="CR220" s="91">
        <v>0</v>
      </c>
      <c r="CS220" s="91">
        <v>0</v>
      </c>
      <c r="CT220" s="91">
        <v>0</v>
      </c>
      <c r="CU220" s="91">
        <v>0</v>
      </c>
      <c r="CV220" s="91">
        <v>0</v>
      </c>
      <c r="CW220" s="91">
        <v>0</v>
      </c>
      <c r="CX220" s="225">
        <v>0</v>
      </c>
      <c r="CY220" s="1265">
        <v>7688.3715199999997</v>
      </c>
      <c r="CZ220" s="90">
        <v>0</v>
      </c>
      <c r="DA220" s="88">
        <v>0</v>
      </c>
      <c r="DB220" s="88">
        <v>0</v>
      </c>
      <c r="DC220" s="88">
        <v>0</v>
      </c>
      <c r="DD220" s="88">
        <v>0</v>
      </c>
      <c r="DE220" s="152">
        <v>0</v>
      </c>
      <c r="DF220" s="230">
        <v>0</v>
      </c>
      <c r="DG220" s="38">
        <v>0</v>
      </c>
      <c r="DH220" s="1237">
        <v>0</v>
      </c>
      <c r="DI220" s="956">
        <v>0</v>
      </c>
      <c r="DJ220" s="956">
        <v>0</v>
      </c>
      <c r="DK220" s="956">
        <v>0</v>
      </c>
      <c r="DL220" s="152">
        <v>0</v>
      </c>
      <c r="DM220" s="160">
        <v>0</v>
      </c>
      <c r="DN220" s="160">
        <v>0</v>
      </c>
      <c r="DO220" s="160">
        <v>0</v>
      </c>
      <c r="DP220" s="160">
        <v>0</v>
      </c>
      <c r="DQ220" s="160">
        <v>0</v>
      </c>
      <c r="DR220" s="230">
        <v>0</v>
      </c>
      <c r="DS220" s="88">
        <v>0</v>
      </c>
      <c r="DT220" s="88">
        <v>0</v>
      </c>
      <c r="DU220" s="88">
        <v>0</v>
      </c>
      <c r="DV220" s="88">
        <v>0</v>
      </c>
      <c r="DW220" s="88">
        <v>0</v>
      </c>
      <c r="DX220" s="88">
        <v>0</v>
      </c>
      <c r="DY220" s="88">
        <v>0</v>
      </c>
      <c r="DZ220" s="88">
        <v>0</v>
      </c>
      <c r="EA220" s="88">
        <v>0</v>
      </c>
      <c r="EB220" s="152">
        <v>0</v>
      </c>
      <c r="EC220" s="52">
        <f t="shared" si="213"/>
        <v>0</v>
      </c>
      <c r="ED220" s="52">
        <f t="shared" si="213"/>
        <v>0</v>
      </c>
      <c r="EE220" s="52">
        <f t="shared" si="213"/>
        <v>0</v>
      </c>
      <c r="EF220" s="52">
        <f t="shared" si="186"/>
        <v>0</v>
      </c>
      <c r="EG220" s="52">
        <f t="shared" si="214"/>
        <v>0</v>
      </c>
      <c r="EH220" s="238">
        <v>0</v>
      </c>
      <c r="EI220" s="211">
        <v>0</v>
      </c>
      <c r="EJ220" s="211">
        <v>0</v>
      </c>
      <c r="EK220" s="211">
        <v>0</v>
      </c>
      <c r="EL220" s="217">
        <f>IF(C220&gt;=Summary!$E$26,MAX(0,SUM(EH220:EK220)),0)</f>
        <v>0</v>
      </c>
      <c r="EM220" s="52">
        <f>IF(C220&gt;=Summary!$E$26,DX220*BL220,0)</f>
        <v>0</v>
      </c>
      <c r="EN220" s="52">
        <f>IF(C220&gt;=Summary!$E$26,DY220*BM220,0)</f>
        <v>0</v>
      </c>
      <c r="EO220" s="52">
        <f>IF(C220&gt;=Summary!$E$26,DZ220*BN220,0)</f>
        <v>0</v>
      </c>
      <c r="EP220" s="52">
        <f>IF(C220&gt;=Summary!$E$26,EA220*BO220,0)</f>
        <v>0</v>
      </c>
      <c r="EQ220" s="52">
        <f>IF(C220&gt;=Summary!$E$26,DX220*BL220+DY220*BM220+DZ220*BN220+EA220*BO220,0)</f>
        <v>0</v>
      </c>
      <c r="ER220" s="826">
        <v>0</v>
      </c>
      <c r="ES220" s="278">
        <v>0</v>
      </c>
      <c r="ET220" s="278">
        <v>0</v>
      </c>
      <c r="EU220" s="278">
        <v>0</v>
      </c>
      <c r="EV220" s="212">
        <f>IF(C220&gt;=Summary!$E$26,MAX(0,SUM(ER220:EU220)),0)</f>
        <v>0</v>
      </c>
      <c r="EW220" s="52"/>
      <c r="EX220" s="1049">
        <f t="shared" si="215"/>
        <v>0</v>
      </c>
      <c r="EY220" s="1045" t="str">
        <f t="shared" si="216"/>
        <v/>
      </c>
      <c r="EZ220" s="1684" t="s">
        <v>525</v>
      </c>
      <c r="FA220" s="1046">
        <f t="shared" si="229"/>
        <v>45</v>
      </c>
      <c r="FB220" s="256">
        <f t="shared" si="217"/>
        <v>9308.25</v>
      </c>
      <c r="FC220" s="194">
        <f t="shared" si="218"/>
        <v>2792.4749999999999</v>
      </c>
      <c r="FD220" s="194">
        <f t="shared" si="219"/>
        <v>2216.25</v>
      </c>
      <c r="FE220" s="194">
        <f t="shared" si="220"/>
        <v>664.875</v>
      </c>
      <c r="FF220" s="194">
        <f t="shared" si="221"/>
        <v>2216.25</v>
      </c>
      <c r="FG220" s="194">
        <f t="shared" si="222"/>
        <v>664.875</v>
      </c>
      <c r="FH220" s="257">
        <f>IF(EZ220="No",IF((OR(MONTH(C220)=5,MONTH(C220)=6,MONTH(C220)=7,MONTH(C220)=8,MONTH(C220)=9)),Summary!$O$15*12*(AX220+AY220+AZ220+BA220)*(1-$BC220),Summary!$O$15*13*(AX220+AY220+AZ220+BA220)*(1-$BC220)+IF(Summary!$O$16="Yes",(CALC!FA220+Summary!$O$15)*6*(AX220+AY220+AZ220+BA220)*(1-$BC220),0)),0)</f>
        <v>0</v>
      </c>
      <c r="FI220" s="1412">
        <f>IF(MONTH(C220)=5,FI219*(IF(Summary!$E$70="no",(1+(Summary!$E$71*0.8)),1+HLOOKUP(YEAR(C220)-1,CCFMODEL!$I$127:$AF$128,2)*0.8)),+FI219)</f>
        <v>39.812819442006955</v>
      </c>
      <c r="FJ220" s="1411">
        <f>IF(MONTH(C220)=5,FJ219*(IF(Summary!$E$70="no",(1+(Summary!$E$71*0.8)),1+HLOOKUP(YEAR(CALC!C220)-1,CCFMODEL!$I$127:$AF$128,2)*0.8)),FJ219)</f>
        <v>34.797031165848594</v>
      </c>
      <c r="FK220" s="832">
        <f t="shared" si="187"/>
        <v>711175.39837208414</v>
      </c>
      <c r="FL220" s="1412">
        <f>IF(MONTH(C220)=5,FL219*(IF(Summary!$E$70="no",(1+(Summary!$E$71*0.8)),1+HLOOKUP(YEAR(CALC!C220)-1,CCFMODEL!$I$127:$AF$128,2)*0.8)),+FL219)</f>
        <v>83.730822740988728</v>
      </c>
      <c r="FM220" s="1411">
        <f>IF(MONTH(C220)=5,FM219*(IF(Summary!$E$70="no",(1+(Summary!$E$71*0.8)),1+HLOOKUP(YEAR(CALC!C220)-1,CCFMODEL!$I$127:$AF$128,2)*0.8)),+FM219)</f>
        <v>39.96209885498785</v>
      </c>
      <c r="FN220" s="832">
        <f t="shared" si="188"/>
        <v>724712.66273520468</v>
      </c>
      <c r="FO220" s="194">
        <f t="shared" si="223"/>
        <v>1435888.0611072888</v>
      </c>
      <c r="FP220" s="263">
        <f t="shared" si="189"/>
        <v>9308.25</v>
      </c>
      <c r="FQ220" s="194">
        <f t="shared" si="190"/>
        <v>2792.4749999999999</v>
      </c>
      <c r="FR220" s="194">
        <f t="shared" si="191"/>
        <v>2216.25</v>
      </c>
      <c r="FS220" s="194">
        <f t="shared" si="176"/>
        <v>664.875</v>
      </c>
      <c r="FT220" s="194">
        <f t="shared" si="176"/>
        <v>2216.25</v>
      </c>
      <c r="FU220" s="194">
        <f t="shared" si="176"/>
        <v>664.875</v>
      </c>
      <c r="FV220" s="257">
        <f t="shared" si="176"/>
        <v>0</v>
      </c>
      <c r="FW220" s="189">
        <f t="shared" si="192"/>
        <v>0</v>
      </c>
      <c r="FX220" s="189">
        <f t="shared" si="193"/>
        <v>0</v>
      </c>
      <c r="FY220" s="189">
        <f t="shared" si="194"/>
        <v>0</v>
      </c>
      <c r="FZ220" s="258">
        <f t="shared" si="195"/>
        <v>0</v>
      </c>
      <c r="GA220" s="1294">
        <f>(SUM(FP220:FV220)+SUM(GU220:HB220)/(1-Summary!$O$25))*CY220/1000</f>
        <v>234529.65993883679</v>
      </c>
      <c r="GB220" s="1369">
        <f>IF($C220&lt;Summary!$M$81,+Summary!$O$81,VLOOKUP(C220,GasTable,19))</f>
        <v>4.2866193187797572</v>
      </c>
      <c r="GC220" s="1370">
        <f>IF(H220&lt;=Summary!$N$84,MIN(GA220,Summary!$O$75*(H220-G220+1)),0)</f>
        <v>0</v>
      </c>
      <c r="GD220" s="1371">
        <f>IF(C220&lt;Summary!$N$84,IF(Summary!$O$75*(H220-G220+1)*0.8&gt;GC220,1,0),0)</f>
        <v>0</v>
      </c>
      <c r="GE220" s="1372">
        <v>0</v>
      </c>
      <c r="GF220" s="1370">
        <f t="shared" si="224"/>
        <v>234529.65993883679</v>
      </c>
      <c r="GG220" s="1371">
        <f>GF220*(IF(Summary!$O$74=1,VLOOKUP($C220,GasTable,16)+Summary!$O$92+Summary!$O$93,VLOOKUP($C220,GasTable,19)+Summary!$O$92+Summary!$O$93))</f>
        <v>1017558.3664034781</v>
      </c>
      <c r="GH220" s="1373">
        <v>6644.259944108624</v>
      </c>
      <c r="GI220" s="1466">
        <v>0</v>
      </c>
      <c r="GJ220" s="1374">
        <f t="shared" si="225"/>
        <v>1024202.6263475867</v>
      </c>
      <c r="GK220" s="189">
        <f t="shared" si="196"/>
        <v>30062.012850000003</v>
      </c>
      <c r="GL220" s="266">
        <v>0.51512089183999998</v>
      </c>
      <c r="GM220" s="255">
        <f t="shared" si="197"/>
        <v>0</v>
      </c>
      <c r="GN220" s="189">
        <f>IF(SUM(GU220:HB220)=0,0,IF(Summary!$O$16="Yes",SUM(GX220:HB220),IF(Summary!$O$17="Yes",SUM(GY220:HB220),SUM(GU220:HB220))))</f>
        <v>12199.037850000001</v>
      </c>
      <c r="GO220" s="203">
        <v>3.8184399679854697</v>
      </c>
      <c r="GP220" s="258">
        <f t="shared" si="226"/>
        <v>46581.293697407535</v>
      </c>
      <c r="GQ220" s="189"/>
      <c r="GR220" s="189"/>
      <c r="GS220" s="189"/>
      <c r="GT220" s="189"/>
      <c r="GU220" s="268">
        <v>5389.4767500000007</v>
      </c>
      <c r="GV220" s="189">
        <v>1283.20875</v>
      </c>
      <c r="GW220" s="189">
        <v>1283.20875</v>
      </c>
      <c r="GX220" s="189"/>
      <c r="GY220" s="254">
        <v>2874.3875999999996</v>
      </c>
      <c r="GZ220" s="189">
        <v>684.37800000000004</v>
      </c>
      <c r="HA220" s="189">
        <v>684.37800000000004</v>
      </c>
      <c r="HB220" s="255"/>
      <c r="HC220" s="189">
        <v>12199.037850000001</v>
      </c>
      <c r="HD220" s="189"/>
      <c r="HE220" s="189">
        <v>20950.521525</v>
      </c>
      <c r="HF220" s="189">
        <v>698540.23036607238</v>
      </c>
      <c r="HG220" s="189"/>
      <c r="HH220" s="203">
        <v>56.892414610468485</v>
      </c>
      <c r="HI220" s="189">
        <v>1191925.7569058444</v>
      </c>
      <c r="HJ220" s="268">
        <f t="shared" si="198"/>
        <v>0</v>
      </c>
      <c r="HK220" s="189">
        <f t="shared" si="199"/>
        <v>0</v>
      </c>
      <c r="HL220" s="189">
        <f t="shared" si="200"/>
        <v>0</v>
      </c>
      <c r="HM220" s="255">
        <f t="shared" si="201"/>
        <v>0</v>
      </c>
      <c r="HN220" s="189">
        <f t="shared" si="202"/>
        <v>0</v>
      </c>
      <c r="HO220" s="203">
        <f t="shared" si="227"/>
        <v>0</v>
      </c>
      <c r="HP220" s="258">
        <f t="shared" si="203"/>
        <v>0</v>
      </c>
      <c r="HQ220" s="203"/>
      <c r="HR220" s="268"/>
      <c r="HS220" s="1408"/>
      <c r="HT220" s="255"/>
      <c r="HU220" s="268"/>
      <c r="HV220" s="1408"/>
      <c r="HW220" s="255"/>
      <c r="HX220" s="1408"/>
      <c r="HY220" s="1408"/>
      <c r="HZ220"/>
      <c r="IA220" s="203"/>
      <c r="IB220" s="203"/>
      <c r="IC220" s="203"/>
      <c r="ID220" s="203"/>
      <c r="IE220" s="203"/>
      <c r="IF220" s="203"/>
      <c r="IG220" s="203"/>
      <c r="IH220" s="203"/>
      <c r="II220" s="203"/>
      <c r="IJ220" s="203"/>
      <c r="IK220" s="203"/>
      <c r="IL220" s="821"/>
      <c r="IM220" s="820"/>
      <c r="IN220" s="820"/>
      <c r="IR220" s="223"/>
    </row>
    <row r="221" spans="1:252" ht="13.8" thickBot="1">
      <c r="A221" t="str">
        <f t="shared" si="204"/>
        <v>2017Q1</v>
      </c>
      <c r="B221">
        <f t="shared" si="205"/>
        <v>2017</v>
      </c>
      <c r="C221" s="49">
        <f t="shared" si="206"/>
        <v>42736</v>
      </c>
      <c r="D221" s="115">
        <f t="shared" si="207"/>
        <v>2017</v>
      </c>
      <c r="E221" s="10">
        <f t="shared" si="230"/>
        <v>1</v>
      </c>
      <c r="F221" s="248">
        <f t="shared" si="231"/>
        <v>42737</v>
      </c>
      <c r="G221" s="245">
        <v>42736</v>
      </c>
      <c r="H221" s="251">
        <v>42766</v>
      </c>
      <c r="I221" s="959">
        <f t="shared" si="228"/>
        <v>7.1499999999999994E-2</v>
      </c>
      <c r="J221" s="37">
        <f t="shared" si="208"/>
        <v>0.29900104985279691</v>
      </c>
      <c r="K221" s="1036"/>
      <c r="L221" s="37"/>
      <c r="M221" s="1004">
        <v>0</v>
      </c>
      <c r="N221" s="38">
        <f t="shared" si="184"/>
        <v>0</v>
      </c>
      <c r="O221" s="40">
        <f t="shared" si="184"/>
        <v>0</v>
      </c>
      <c r="P221" s="159">
        <f t="shared" si="172"/>
        <v>0</v>
      </c>
      <c r="Q221" s="38">
        <f t="shared" si="233"/>
        <v>0</v>
      </c>
      <c r="R221" s="40">
        <f t="shared" si="233"/>
        <v>0</v>
      </c>
      <c r="S221" s="38">
        <f t="shared" si="233"/>
        <v>0</v>
      </c>
      <c r="T221" s="38">
        <f t="shared" si="233"/>
        <v>0</v>
      </c>
      <c r="U221" s="38">
        <f t="shared" si="233"/>
        <v>0</v>
      </c>
      <c r="V221" s="159">
        <f t="shared" si="233"/>
        <v>0</v>
      </c>
      <c r="W221" s="38">
        <f t="shared" si="233"/>
        <v>0</v>
      </c>
      <c r="X221" s="39">
        <f t="shared" si="233"/>
        <v>0</v>
      </c>
      <c r="Y221" s="46">
        <v>0</v>
      </c>
      <c r="Z221" s="46">
        <v>0</v>
      </c>
      <c r="AA221" s="47">
        <v>0</v>
      </c>
      <c r="AB221" s="46">
        <v>0</v>
      </c>
      <c r="AC221" s="46">
        <v>0</v>
      </c>
      <c r="AD221" s="47">
        <v>0</v>
      </c>
      <c r="AE221" s="46">
        <v>0</v>
      </c>
      <c r="AF221" s="46">
        <v>0</v>
      </c>
      <c r="AG221" s="47">
        <v>0</v>
      </c>
      <c r="AH221" s="46">
        <v>0</v>
      </c>
      <c r="AI221" s="46">
        <v>0</v>
      </c>
      <c r="AJ221" s="47">
        <v>0</v>
      </c>
      <c r="AK221" s="46">
        <v>0</v>
      </c>
      <c r="AL221" s="46">
        <v>0</v>
      </c>
      <c r="AM221" s="47">
        <v>0</v>
      </c>
      <c r="AN221" s="46">
        <v>0</v>
      </c>
      <c r="AO221" s="46">
        <v>0</v>
      </c>
      <c r="AP221" s="47">
        <v>0</v>
      </c>
      <c r="AQ221" s="46">
        <v>0</v>
      </c>
      <c r="AR221" s="46">
        <v>0</v>
      </c>
      <c r="AS221" s="47">
        <v>0</v>
      </c>
      <c r="AT221" s="46">
        <v>0</v>
      </c>
      <c r="AU221" s="46">
        <v>0</v>
      </c>
      <c r="AV221" s="46">
        <v>0</v>
      </c>
      <c r="AW221" s="1545">
        <v>0</v>
      </c>
      <c r="AX221" s="10">
        <f t="shared" si="232"/>
        <v>21</v>
      </c>
      <c r="AY221" s="42">
        <f>IF(AND($E221=MONTH(Summary!$E$24),$D221=YEAR(Summary!$E$24)),Summary!$E$25,1)*IF(G221="",0,INT((H221-MOD(H221,7)-G221)/7)+1-IF(BA221,IF(WEEKDAY(F221)=7,1,0),0))</f>
        <v>4</v>
      </c>
      <c r="AZ221" s="42">
        <f>IF(AND($E221=MONTH(Summary!$E$24),$D221=YEAR(Summary!$E$24)),Summary!$E$25,1)*IF(G221="",0,INT((H221-MOD(H221-1,7)-G221)/7)+1-IF(BA221,IF(WEEKDAY(F221)=1,1,0),0))</f>
        <v>5</v>
      </c>
      <c r="BA221" s="42">
        <v>1</v>
      </c>
      <c r="BB221" s="10">
        <f>IF(AND($E221=MONTH(Summary!$E$24),$D221=YEAR(Summary!$E$24)),Summary!$E$25,1)*IF(G221="",0,H221-G221+1)</f>
        <v>31</v>
      </c>
      <c r="BC221" s="914">
        <f>Summary!$E$19</f>
        <v>1.4999999999999999E-2</v>
      </c>
      <c r="BD221" s="113">
        <v>14893.2</v>
      </c>
      <c r="BE221" s="171">
        <v>2836.8</v>
      </c>
      <c r="BF221" s="171">
        <v>4255.2</v>
      </c>
      <c r="BG221" s="174"/>
      <c r="BH221" s="1198">
        <v>1</v>
      </c>
      <c r="BI221" s="1198">
        <v>1</v>
      </c>
      <c r="BJ221" s="1198">
        <v>1</v>
      </c>
      <c r="BK221" s="1198">
        <v>1</v>
      </c>
      <c r="BL221" s="95">
        <v>2978.64</v>
      </c>
      <c r="BM221" s="171">
        <v>567.36</v>
      </c>
      <c r="BN221" s="171">
        <v>851.04</v>
      </c>
      <c r="BO221" s="174"/>
      <c r="BP221" s="1198">
        <v>1</v>
      </c>
      <c r="BQ221" s="1199">
        <v>1</v>
      </c>
      <c r="BR221" s="1199">
        <v>1</v>
      </c>
      <c r="BS221" s="1200">
        <v>1</v>
      </c>
      <c r="BT221" s="94">
        <f t="shared" si="209"/>
        <v>21985.200000000001</v>
      </c>
      <c r="BU221" s="233">
        <f t="shared" si="210"/>
        <v>21985.200000000001</v>
      </c>
      <c r="BV221" s="92">
        <f t="shared" si="211"/>
        <v>4397.04</v>
      </c>
      <c r="BW221" s="233">
        <f t="shared" si="212"/>
        <v>4397.04</v>
      </c>
      <c r="BX221" s="88">
        <v>17.048596851471594</v>
      </c>
      <c r="BY221" s="90">
        <v>0</v>
      </c>
      <c r="BZ221" s="88">
        <v>0</v>
      </c>
      <c r="CA221" s="88">
        <v>0</v>
      </c>
      <c r="CB221" s="88">
        <v>0</v>
      </c>
      <c r="CC221" s="88">
        <v>0</v>
      </c>
      <c r="CD221" s="88">
        <v>0</v>
      </c>
      <c r="CE221" s="100">
        <v>0</v>
      </c>
      <c r="CF221" s="88">
        <v>0</v>
      </c>
      <c r="CG221" s="88">
        <v>0</v>
      </c>
      <c r="CH221" s="88">
        <v>0</v>
      </c>
      <c r="CI221" s="88">
        <v>0</v>
      </c>
      <c r="CJ221" s="228">
        <v>0</v>
      </c>
      <c r="CK221" s="88">
        <v>0</v>
      </c>
      <c r="CL221" s="88">
        <v>0</v>
      </c>
      <c r="CM221" s="88">
        <v>0</v>
      </c>
      <c r="CN221" s="88">
        <v>0</v>
      </c>
      <c r="CO221" s="88">
        <v>0</v>
      </c>
      <c r="CP221" s="88">
        <v>0</v>
      </c>
      <c r="CQ221" s="229">
        <v>0</v>
      </c>
      <c r="CR221" s="91">
        <v>0</v>
      </c>
      <c r="CS221" s="91">
        <v>0</v>
      </c>
      <c r="CT221" s="91">
        <v>0</v>
      </c>
      <c r="CU221" s="91">
        <v>0</v>
      </c>
      <c r="CV221" s="91">
        <v>0</v>
      </c>
      <c r="CW221" s="91">
        <v>0</v>
      </c>
      <c r="CX221" s="225">
        <v>0</v>
      </c>
      <c r="CY221" s="1265">
        <v>7690.4024799999997</v>
      </c>
      <c r="CZ221" s="90">
        <v>0</v>
      </c>
      <c r="DA221" s="88">
        <v>0</v>
      </c>
      <c r="DB221" s="88">
        <v>0</v>
      </c>
      <c r="DC221" s="88">
        <v>0</v>
      </c>
      <c r="DD221" s="88">
        <v>0</v>
      </c>
      <c r="DE221" s="152">
        <v>0</v>
      </c>
      <c r="DF221" s="230">
        <v>0</v>
      </c>
      <c r="DG221" s="38">
        <v>0</v>
      </c>
      <c r="DH221" s="1237">
        <v>0</v>
      </c>
      <c r="DI221" s="956">
        <v>0</v>
      </c>
      <c r="DJ221" s="956">
        <v>0</v>
      </c>
      <c r="DK221" s="956">
        <v>0</v>
      </c>
      <c r="DL221" s="152">
        <v>0</v>
      </c>
      <c r="DM221" s="160">
        <v>0</v>
      </c>
      <c r="DN221" s="160">
        <v>0</v>
      </c>
      <c r="DO221" s="160">
        <v>0</v>
      </c>
      <c r="DP221" s="160">
        <v>0</v>
      </c>
      <c r="DQ221" s="160">
        <v>0</v>
      </c>
      <c r="DR221" s="230">
        <v>0</v>
      </c>
      <c r="DS221" s="88">
        <v>0</v>
      </c>
      <c r="DT221" s="88">
        <v>0</v>
      </c>
      <c r="DU221" s="88">
        <v>0</v>
      </c>
      <c r="DV221" s="88">
        <v>0</v>
      </c>
      <c r="DW221" s="88">
        <v>0</v>
      </c>
      <c r="DX221" s="88">
        <v>0</v>
      </c>
      <c r="DY221" s="88">
        <v>0</v>
      </c>
      <c r="DZ221" s="88">
        <v>0</v>
      </c>
      <c r="EA221" s="88">
        <v>0</v>
      </c>
      <c r="EB221" s="152">
        <v>0</v>
      </c>
      <c r="EC221" s="52">
        <f t="shared" si="213"/>
        <v>0</v>
      </c>
      <c r="ED221" s="52">
        <f t="shared" si="213"/>
        <v>0</v>
      </c>
      <c r="EE221" s="52">
        <f t="shared" si="213"/>
        <v>0</v>
      </c>
      <c r="EF221" s="52">
        <f t="shared" si="186"/>
        <v>0</v>
      </c>
      <c r="EG221" s="52">
        <f t="shared" si="214"/>
        <v>0</v>
      </c>
      <c r="EH221" s="238">
        <v>0</v>
      </c>
      <c r="EI221" s="211">
        <v>0</v>
      </c>
      <c r="EJ221" s="211">
        <v>0</v>
      </c>
      <c r="EK221" s="211">
        <v>0</v>
      </c>
      <c r="EL221" s="217">
        <f>IF(C221&gt;=Summary!$E$26,MAX(0,SUM(EH221:EK221)),0)</f>
        <v>0</v>
      </c>
      <c r="EM221" s="52">
        <f>IF(C221&gt;=Summary!$E$26,DX221*BL221,0)</f>
        <v>0</v>
      </c>
      <c r="EN221" s="52">
        <f>IF(C221&gt;=Summary!$E$26,DY221*BM221,0)</f>
        <v>0</v>
      </c>
      <c r="EO221" s="52">
        <f>IF(C221&gt;=Summary!$E$26,DZ221*BN221,0)</f>
        <v>0</v>
      </c>
      <c r="EP221" s="52">
        <f>IF(C221&gt;=Summary!$E$26,EA221*BO221,0)</f>
        <v>0</v>
      </c>
      <c r="EQ221" s="52">
        <f>IF(C221&gt;=Summary!$E$26,DX221*BL221+DY221*BM221+DZ221*BN221+EA221*BO221,0)</f>
        <v>0</v>
      </c>
      <c r="ER221" s="826">
        <v>0</v>
      </c>
      <c r="ES221" s="278">
        <v>0</v>
      </c>
      <c r="ET221" s="278">
        <v>0</v>
      </c>
      <c r="EU221" s="278">
        <v>0</v>
      </c>
      <c r="EV221" s="212">
        <f>IF(C221&gt;=Summary!$E$26,MAX(0,SUM(ER221:EU221)),0)</f>
        <v>0</v>
      </c>
      <c r="EW221" s="52"/>
      <c r="EX221" s="1049">
        <f t="shared" si="215"/>
        <v>0</v>
      </c>
      <c r="EY221" s="1045" t="str">
        <f t="shared" si="216"/>
        <v/>
      </c>
      <c r="EZ221" s="1684" t="s">
        <v>525</v>
      </c>
      <c r="FA221" s="1046">
        <f t="shared" si="229"/>
        <v>45</v>
      </c>
      <c r="FB221" s="256">
        <f t="shared" si="217"/>
        <v>9308.25</v>
      </c>
      <c r="FC221" s="194">
        <f t="shared" si="218"/>
        <v>2792.4749999999999</v>
      </c>
      <c r="FD221" s="194">
        <f t="shared" si="219"/>
        <v>1773</v>
      </c>
      <c r="FE221" s="194">
        <f t="shared" si="220"/>
        <v>531.9</v>
      </c>
      <c r="FF221" s="194">
        <f t="shared" si="221"/>
        <v>2659.5</v>
      </c>
      <c r="FG221" s="194">
        <f t="shared" si="222"/>
        <v>797.85</v>
      </c>
      <c r="FH221" s="257">
        <f>IF(EZ221="No",IF((OR(MONTH(C221)=5,MONTH(C221)=6,MONTH(C221)=7,MONTH(C221)=8,MONTH(C221)=9)),Summary!$O$15*12*(AX221+AY221+AZ221+BA221)*(1-$BC221),Summary!$O$15*13*(AX221+AY221+AZ221+BA221)*(1-$BC221)+IF(Summary!$O$16="Yes",(CALC!FA221+Summary!$O$15)*6*(AX221+AY221+AZ221+BA221)*(1-$BC221),0)),0)</f>
        <v>0</v>
      </c>
      <c r="FI221" s="1412">
        <f>IF(MONTH(C221)=5,FI220*(IF(Summary!$E$70="no",(1+(Summary!$E$71*0.8)),1+HLOOKUP(YEAR(C221)-1,CCFMODEL!$I$127:$AF$128,2)*0.8)),+FI220)</f>
        <v>39.812819442006955</v>
      </c>
      <c r="FJ221" s="1411">
        <f>IF(MONTH(C221)=5,FJ220*(IF(Summary!$E$70="no",(1+(Summary!$E$71*0.8)),1+HLOOKUP(YEAR(CALC!C221)-1,CCFMODEL!$I$127:$AF$128,2)*0.8)),FJ220)</f>
        <v>34.797031165848594</v>
      </c>
      <c r="FK221" s="832">
        <f t="shared" si="187"/>
        <v>711175.39837208414</v>
      </c>
      <c r="FL221" s="1412">
        <f>IF(MONTH(C221)=5,FL220*(IF(Summary!$E$70="no",(1+(Summary!$E$71*0.8)),1+HLOOKUP(YEAR(CALC!C221)-1,CCFMODEL!$I$127:$AF$128,2)*0.8)),+FL220)</f>
        <v>83.730822740988728</v>
      </c>
      <c r="FM221" s="1411">
        <f>IF(MONTH(C221)=5,FM220*(IF(Summary!$E$70="no",(1+(Summary!$E$71*0.8)),1+HLOOKUP(YEAR(CALC!C221)-1,CCFMODEL!$I$127:$AF$128,2)*0.8)),+FM220)</f>
        <v>39.96209885498785</v>
      </c>
      <c r="FN221" s="832">
        <f t="shared" si="188"/>
        <v>724712.66273520468</v>
      </c>
      <c r="FO221" s="194">
        <f t="shared" si="223"/>
        <v>1435888.0611072888</v>
      </c>
      <c r="FP221" s="263">
        <f t="shared" si="189"/>
        <v>9308.25</v>
      </c>
      <c r="FQ221" s="194">
        <f t="shared" si="190"/>
        <v>2792.4749999999999</v>
      </c>
      <c r="FR221" s="194">
        <f t="shared" si="191"/>
        <v>1773</v>
      </c>
      <c r="FS221" s="194">
        <f t="shared" si="176"/>
        <v>531.9</v>
      </c>
      <c r="FT221" s="194">
        <f t="shared" si="176"/>
        <v>2659.5</v>
      </c>
      <c r="FU221" s="194">
        <f t="shared" si="176"/>
        <v>797.85</v>
      </c>
      <c r="FV221" s="257">
        <f t="shared" si="176"/>
        <v>0</v>
      </c>
      <c r="FW221" s="189">
        <f t="shared" si="192"/>
        <v>0</v>
      </c>
      <c r="FX221" s="189">
        <f t="shared" si="193"/>
        <v>0</v>
      </c>
      <c r="FY221" s="189">
        <f t="shared" si="194"/>
        <v>0</v>
      </c>
      <c r="FZ221" s="258">
        <f t="shared" si="195"/>
        <v>0</v>
      </c>
      <c r="GA221" s="1294">
        <f>(SUM(FP221:FV221)+SUM(GU221:HB221)/(1-Summary!$O$25))*CY221/1000</f>
        <v>234591.61328707315</v>
      </c>
      <c r="GB221" s="1369">
        <f>IF($C221&lt;Summary!$M$81,+Summary!$O$81,VLOOKUP(C221,GasTable,19))</f>
        <v>4.0712634959283882</v>
      </c>
      <c r="GC221" s="1370">
        <f>IF(H221&lt;=Summary!$N$84,MIN(GA221,Summary!$O$75*(H221-G221+1)),0)</f>
        <v>0</v>
      </c>
      <c r="GD221" s="1371">
        <f>IF(C221&lt;Summary!$N$84,IF(Summary!$O$75*(H221-G221+1)*0.8&gt;GC221,1,0),0)</f>
        <v>0</v>
      </c>
      <c r="GE221" s="1372">
        <v>0</v>
      </c>
      <c r="GF221" s="1370">
        <f t="shared" si="224"/>
        <v>234591.61328707315</v>
      </c>
      <c r="GG221" s="1371">
        <f>GF221*(IF(Summary!$O$74=1,VLOOKUP($C221,GasTable,16)+Summary!$O$92+Summary!$O$93,VLOOKUP($C221,GasTable,19)+Summary!$O$92+Summary!$O$93))</f>
        <v>967306.49467886658</v>
      </c>
      <c r="GH221" s="1373">
        <v>6310.4584186890015</v>
      </c>
      <c r="GI221" s="1466">
        <v>0</v>
      </c>
      <c r="GJ221" s="1374">
        <f t="shared" si="225"/>
        <v>973616.95309755555</v>
      </c>
      <c r="GK221" s="189">
        <f t="shared" si="196"/>
        <v>30062.012849999999</v>
      </c>
      <c r="GL221" s="266">
        <v>0.51525696616000005</v>
      </c>
      <c r="GM221" s="255">
        <f t="shared" si="197"/>
        <v>0</v>
      </c>
      <c r="GN221" s="189">
        <f>IF(SUM(GU221:HB221)=0,0,IF(Summary!$O$16="Yes",SUM(GX221:HB221),IF(Summary!$O$17="Yes",SUM(GY221:HB221),SUM(GU221:HB221))))</f>
        <v>12199.037849999999</v>
      </c>
      <c r="GO221" s="203">
        <v>3.932993167025034</v>
      </c>
      <c r="GP221" s="258">
        <f t="shared" si="226"/>
        <v>47978.732508329755</v>
      </c>
      <c r="GQ221" s="189"/>
      <c r="GR221" s="189"/>
      <c r="GS221" s="189"/>
      <c r="GT221" s="189"/>
      <c r="GU221" s="268">
        <v>5389.4767500000007</v>
      </c>
      <c r="GV221" s="189">
        <v>1026.5670000000002</v>
      </c>
      <c r="GW221" s="189">
        <v>1539.8504999999998</v>
      </c>
      <c r="GX221" s="189"/>
      <c r="GY221" s="254">
        <v>2874.3875999999996</v>
      </c>
      <c r="GZ221" s="189">
        <v>547.50239999999997</v>
      </c>
      <c r="HA221" s="189">
        <v>821.25359999999989</v>
      </c>
      <c r="HB221" s="255"/>
      <c r="HC221" s="189">
        <v>12199.037849999999</v>
      </c>
      <c r="HD221" s="189"/>
      <c r="HE221" s="189">
        <v>20950.521524999996</v>
      </c>
      <c r="HF221" s="189">
        <v>668171.4198591077</v>
      </c>
      <c r="HG221" s="189"/>
      <c r="HH221" s="203">
        <v>54.353041581351128</v>
      </c>
      <c r="HI221" s="189">
        <v>1138724.5675993166</v>
      </c>
      <c r="HJ221" s="268">
        <f t="shared" si="198"/>
        <v>0</v>
      </c>
      <c r="HK221" s="189">
        <f t="shared" si="199"/>
        <v>0</v>
      </c>
      <c r="HL221" s="189">
        <f t="shared" si="200"/>
        <v>0</v>
      </c>
      <c r="HM221" s="255">
        <f t="shared" si="201"/>
        <v>0</v>
      </c>
      <c r="HN221" s="189">
        <f t="shared" si="202"/>
        <v>0</v>
      </c>
      <c r="HO221" s="203">
        <f t="shared" si="227"/>
        <v>0</v>
      </c>
      <c r="HP221" s="258">
        <f t="shared" si="203"/>
        <v>0</v>
      </c>
      <c r="HQ221" s="203"/>
      <c r="HR221" s="268"/>
      <c r="HS221" s="1408"/>
      <c r="HT221" s="255"/>
      <c r="HU221" s="268"/>
      <c r="HV221" s="1408"/>
      <c r="HW221" s="255"/>
      <c r="HX221" s="1408"/>
      <c r="HY221" s="1408"/>
      <c r="HZ221"/>
      <c r="IA221" s="203"/>
      <c r="IB221" s="203"/>
      <c r="IC221" s="203"/>
      <c r="ID221" s="203"/>
      <c r="IE221" s="203"/>
      <c r="IF221" s="203"/>
      <c r="IG221" s="203"/>
      <c r="IH221" s="203"/>
      <c r="II221" s="203"/>
      <c r="IJ221" s="203"/>
      <c r="IK221" s="203"/>
      <c r="IL221" s="821"/>
      <c r="IM221" s="820"/>
      <c r="IN221" s="820"/>
      <c r="IR221" s="223"/>
    </row>
    <row r="222" spans="1:252" ht="13.8" thickBot="1">
      <c r="A222" t="str">
        <f t="shared" si="204"/>
        <v>2017Q1</v>
      </c>
      <c r="B222">
        <f t="shared" si="205"/>
        <v>2017</v>
      </c>
      <c r="C222" s="49">
        <f t="shared" si="206"/>
        <v>42767</v>
      </c>
      <c r="D222" s="115">
        <f t="shared" si="207"/>
        <v>2017</v>
      </c>
      <c r="E222" s="10">
        <f t="shared" si="230"/>
        <v>2</v>
      </c>
      <c r="F222" s="248" t="str">
        <f t="shared" si="231"/>
        <v/>
      </c>
      <c r="G222" s="245">
        <v>42767</v>
      </c>
      <c r="H222" s="251">
        <v>42794</v>
      </c>
      <c r="I222" s="959">
        <f t="shared" si="228"/>
        <v>7.1499999999999994E-2</v>
      </c>
      <c r="J222" s="37">
        <f t="shared" si="208"/>
        <v>0.29739511527930679</v>
      </c>
      <c r="K222" s="1036"/>
      <c r="L222" s="37"/>
      <c r="M222" s="1004">
        <v>0</v>
      </c>
      <c r="N222" s="38">
        <f t="shared" si="184"/>
        <v>0</v>
      </c>
      <c r="O222" s="40">
        <f t="shared" si="184"/>
        <v>0</v>
      </c>
      <c r="P222" s="159">
        <f t="shared" ref="P222:P285" si="234">M222</f>
        <v>0</v>
      </c>
      <c r="Q222" s="38">
        <f t="shared" si="233"/>
        <v>0</v>
      </c>
      <c r="R222" s="40">
        <f t="shared" si="233"/>
        <v>0</v>
      </c>
      <c r="S222" s="38">
        <f t="shared" si="233"/>
        <v>0</v>
      </c>
      <c r="T222" s="38">
        <f t="shared" si="233"/>
        <v>0</v>
      </c>
      <c r="U222" s="38">
        <f t="shared" si="233"/>
        <v>0</v>
      </c>
      <c r="V222" s="159">
        <f t="shared" si="233"/>
        <v>0</v>
      </c>
      <c r="W222" s="38">
        <f t="shared" si="233"/>
        <v>0</v>
      </c>
      <c r="X222" s="39">
        <f t="shared" si="233"/>
        <v>0</v>
      </c>
      <c r="Y222" s="46">
        <v>0</v>
      </c>
      <c r="Z222" s="46">
        <v>0</v>
      </c>
      <c r="AA222" s="47">
        <v>0</v>
      </c>
      <c r="AB222" s="46">
        <v>0</v>
      </c>
      <c r="AC222" s="46">
        <v>0</v>
      </c>
      <c r="AD222" s="47">
        <v>0</v>
      </c>
      <c r="AE222" s="46">
        <v>0</v>
      </c>
      <c r="AF222" s="46">
        <v>0</v>
      </c>
      <c r="AG222" s="47">
        <v>0</v>
      </c>
      <c r="AH222" s="46">
        <v>0</v>
      </c>
      <c r="AI222" s="46">
        <v>0</v>
      </c>
      <c r="AJ222" s="47">
        <v>0</v>
      </c>
      <c r="AK222" s="46">
        <v>0</v>
      </c>
      <c r="AL222" s="46">
        <v>0</v>
      </c>
      <c r="AM222" s="47">
        <v>0</v>
      </c>
      <c r="AN222" s="46">
        <v>0</v>
      </c>
      <c r="AO222" s="46">
        <v>0</v>
      </c>
      <c r="AP222" s="47">
        <v>0</v>
      </c>
      <c r="AQ222" s="46">
        <v>0</v>
      </c>
      <c r="AR222" s="46">
        <v>0</v>
      </c>
      <c r="AS222" s="47">
        <v>0</v>
      </c>
      <c r="AT222" s="46">
        <v>0</v>
      </c>
      <c r="AU222" s="46">
        <v>0</v>
      </c>
      <c r="AV222" s="46">
        <v>0</v>
      </c>
      <c r="AW222" s="1545">
        <v>0</v>
      </c>
      <c r="AX222" s="10">
        <f t="shared" si="232"/>
        <v>20</v>
      </c>
      <c r="AY222" s="42">
        <f>IF(AND($E222=MONTH(Summary!$E$24),$D222=YEAR(Summary!$E$24)),Summary!$E$25,1)*IF(G222="",0,INT((H222-MOD(H222,7)-G222)/7)+1-IF(BA222,IF(WEEKDAY(F222)=7,1,0),0))</f>
        <v>4</v>
      </c>
      <c r="AZ222" s="42">
        <f>IF(AND($E222=MONTH(Summary!$E$24),$D222=YEAR(Summary!$E$24)),Summary!$E$25,1)*IF(G222="",0,INT((H222-MOD(H222-1,7)-G222)/7)+1-IF(BA222,IF(WEEKDAY(F222)=1,1,0),0))</f>
        <v>4</v>
      </c>
      <c r="BA222" s="42">
        <v>0</v>
      </c>
      <c r="BB222" s="10">
        <f>IF(AND($E222=MONTH(Summary!$E$24),$D222=YEAR(Summary!$E$24)),Summary!$E$25,1)*IF(G222="",0,H222-G222+1)</f>
        <v>28</v>
      </c>
      <c r="BC222" s="914">
        <f>Summary!$E$19</f>
        <v>1.4999999999999999E-2</v>
      </c>
      <c r="BD222" s="113">
        <v>14184</v>
      </c>
      <c r="BE222" s="171">
        <v>2836.8</v>
      </c>
      <c r="BF222" s="171">
        <v>2836.8</v>
      </c>
      <c r="BG222" s="174"/>
      <c r="BH222" s="1198">
        <v>1</v>
      </c>
      <c r="BI222" s="1198">
        <v>1</v>
      </c>
      <c r="BJ222" s="1198">
        <v>1</v>
      </c>
      <c r="BK222" s="1198">
        <v>1</v>
      </c>
      <c r="BL222" s="95">
        <v>2836.8</v>
      </c>
      <c r="BM222" s="171">
        <v>567.36</v>
      </c>
      <c r="BN222" s="171">
        <v>567.36</v>
      </c>
      <c r="BO222" s="174"/>
      <c r="BP222" s="1198">
        <v>1</v>
      </c>
      <c r="BQ222" s="1199">
        <v>1</v>
      </c>
      <c r="BR222" s="1199">
        <v>1</v>
      </c>
      <c r="BS222" s="1200">
        <v>1</v>
      </c>
      <c r="BT222" s="94">
        <f t="shared" si="209"/>
        <v>19857.599999999999</v>
      </c>
      <c r="BU222" s="233">
        <f t="shared" si="210"/>
        <v>19857.599999999999</v>
      </c>
      <c r="BV222" s="92">
        <f t="shared" si="211"/>
        <v>3971.5200000000004</v>
      </c>
      <c r="BW222" s="233">
        <f t="shared" si="212"/>
        <v>3971.5200000000004</v>
      </c>
      <c r="BX222" s="88">
        <v>17.133470225872689</v>
      </c>
      <c r="BY222" s="90">
        <v>0</v>
      </c>
      <c r="BZ222" s="88">
        <v>0</v>
      </c>
      <c r="CA222" s="88">
        <v>0</v>
      </c>
      <c r="CB222" s="88">
        <v>0</v>
      </c>
      <c r="CC222" s="88">
        <v>0</v>
      </c>
      <c r="CD222" s="88">
        <v>0</v>
      </c>
      <c r="CE222" s="100">
        <v>0</v>
      </c>
      <c r="CF222" s="88">
        <v>0</v>
      </c>
      <c r="CG222" s="88">
        <v>0</v>
      </c>
      <c r="CH222" s="88">
        <v>0</v>
      </c>
      <c r="CI222" s="88">
        <v>0</v>
      </c>
      <c r="CJ222" s="228">
        <v>0</v>
      </c>
      <c r="CK222" s="88">
        <v>0</v>
      </c>
      <c r="CL222" s="88">
        <v>0</v>
      </c>
      <c r="CM222" s="88">
        <v>0</v>
      </c>
      <c r="CN222" s="88">
        <v>0</v>
      </c>
      <c r="CO222" s="88">
        <v>0</v>
      </c>
      <c r="CP222" s="88">
        <v>0</v>
      </c>
      <c r="CQ222" s="229">
        <v>0</v>
      </c>
      <c r="CR222" s="91">
        <v>0</v>
      </c>
      <c r="CS222" s="91">
        <v>0</v>
      </c>
      <c r="CT222" s="91">
        <v>0</v>
      </c>
      <c r="CU222" s="91">
        <v>0</v>
      </c>
      <c r="CV222" s="91">
        <v>0</v>
      </c>
      <c r="CW222" s="91">
        <v>0</v>
      </c>
      <c r="CX222" s="225">
        <v>0</v>
      </c>
      <c r="CY222" s="1265">
        <v>7692.4334400000007</v>
      </c>
      <c r="CZ222" s="90">
        <v>0</v>
      </c>
      <c r="DA222" s="88">
        <v>0</v>
      </c>
      <c r="DB222" s="88">
        <v>0</v>
      </c>
      <c r="DC222" s="88">
        <v>0</v>
      </c>
      <c r="DD222" s="88">
        <v>0</v>
      </c>
      <c r="DE222" s="152">
        <v>0</v>
      </c>
      <c r="DF222" s="230">
        <v>0</v>
      </c>
      <c r="DG222" s="38">
        <v>0</v>
      </c>
      <c r="DH222" s="1237">
        <v>0</v>
      </c>
      <c r="DI222" s="956">
        <v>0</v>
      </c>
      <c r="DJ222" s="956">
        <v>0</v>
      </c>
      <c r="DK222" s="956">
        <v>0</v>
      </c>
      <c r="DL222" s="152">
        <v>0</v>
      </c>
      <c r="DM222" s="160">
        <v>0</v>
      </c>
      <c r="DN222" s="160">
        <v>0</v>
      </c>
      <c r="DO222" s="160">
        <v>0</v>
      </c>
      <c r="DP222" s="160">
        <v>0</v>
      </c>
      <c r="DQ222" s="160">
        <v>0</v>
      </c>
      <c r="DR222" s="230">
        <v>0</v>
      </c>
      <c r="DS222" s="88">
        <v>0</v>
      </c>
      <c r="DT222" s="88">
        <v>0</v>
      </c>
      <c r="DU222" s="88">
        <v>0</v>
      </c>
      <c r="DV222" s="88">
        <v>0</v>
      </c>
      <c r="DW222" s="88">
        <v>0</v>
      </c>
      <c r="DX222" s="88">
        <v>0</v>
      </c>
      <c r="DY222" s="88">
        <v>0</v>
      </c>
      <c r="DZ222" s="88">
        <v>0</v>
      </c>
      <c r="EA222" s="88">
        <v>0</v>
      </c>
      <c r="EB222" s="152">
        <v>0</v>
      </c>
      <c r="EC222" s="52">
        <f t="shared" si="213"/>
        <v>0</v>
      </c>
      <c r="ED222" s="52">
        <f t="shared" si="213"/>
        <v>0</v>
      </c>
      <c r="EE222" s="52">
        <f t="shared" si="213"/>
        <v>0</v>
      </c>
      <c r="EF222" s="52">
        <f t="shared" si="186"/>
        <v>0</v>
      </c>
      <c r="EG222" s="52">
        <f t="shared" si="214"/>
        <v>0</v>
      </c>
      <c r="EH222" s="238">
        <v>0</v>
      </c>
      <c r="EI222" s="211">
        <v>0</v>
      </c>
      <c r="EJ222" s="211">
        <v>0</v>
      </c>
      <c r="EK222" s="211">
        <v>0</v>
      </c>
      <c r="EL222" s="217">
        <f>IF(C222&gt;=Summary!$E$26,MAX(0,SUM(EH222:EK222)),0)</f>
        <v>0</v>
      </c>
      <c r="EM222" s="52">
        <f>IF(C222&gt;=Summary!$E$26,DX222*BL222,0)</f>
        <v>0</v>
      </c>
      <c r="EN222" s="52">
        <f>IF(C222&gt;=Summary!$E$26,DY222*BM222,0)</f>
        <v>0</v>
      </c>
      <c r="EO222" s="52">
        <f>IF(C222&gt;=Summary!$E$26,DZ222*BN222,0)</f>
        <v>0</v>
      </c>
      <c r="EP222" s="52">
        <f>IF(C222&gt;=Summary!$E$26,EA222*BO222,0)</f>
        <v>0</v>
      </c>
      <c r="EQ222" s="52">
        <f>IF(C222&gt;=Summary!$E$26,DX222*BL222+DY222*BM222+DZ222*BN222+EA222*BO222,0)</f>
        <v>0</v>
      </c>
      <c r="ER222" s="826">
        <v>0</v>
      </c>
      <c r="ES222" s="278">
        <v>0</v>
      </c>
      <c r="ET222" s="278">
        <v>0</v>
      </c>
      <c r="EU222" s="278">
        <v>0</v>
      </c>
      <c r="EV222" s="212">
        <f>IF(C222&gt;=Summary!$E$26,MAX(0,SUM(ER222:EU222)),0)</f>
        <v>0</v>
      </c>
      <c r="EW222" s="52"/>
      <c r="EX222" s="1049">
        <f t="shared" si="215"/>
        <v>0</v>
      </c>
      <c r="EY222" s="1045" t="str">
        <f t="shared" si="216"/>
        <v/>
      </c>
      <c r="EZ222" s="1684" t="s">
        <v>525</v>
      </c>
      <c r="FA222" s="1046">
        <f t="shared" si="229"/>
        <v>45</v>
      </c>
      <c r="FB222" s="256">
        <f t="shared" si="217"/>
        <v>8865</v>
      </c>
      <c r="FC222" s="194">
        <f t="shared" si="218"/>
        <v>2659.5</v>
      </c>
      <c r="FD222" s="194">
        <f t="shared" si="219"/>
        <v>1773</v>
      </c>
      <c r="FE222" s="194">
        <f t="shared" si="220"/>
        <v>531.9</v>
      </c>
      <c r="FF222" s="194">
        <f t="shared" si="221"/>
        <v>1773</v>
      </c>
      <c r="FG222" s="194">
        <f t="shared" si="222"/>
        <v>531.9</v>
      </c>
      <c r="FH222" s="257">
        <f>IF(EZ222="No",IF((OR(MONTH(C222)=5,MONTH(C222)=6,MONTH(C222)=7,MONTH(C222)=8,MONTH(C222)=9)),Summary!$O$15*12*(AX222+AY222+AZ222+BA222)*(1-$BC222),Summary!$O$15*13*(AX222+AY222+AZ222+BA222)*(1-$BC222)+IF(Summary!$O$16="Yes",(CALC!FA222+Summary!$O$15)*6*(AX222+AY222+AZ222+BA222)*(1-$BC222),0)),0)</f>
        <v>0</v>
      </c>
      <c r="FI222" s="1412">
        <f>IF(MONTH(C222)=5,FI221*(IF(Summary!$E$70="no",(1+(Summary!$E$71*0.8)),1+HLOOKUP(YEAR(C222)-1,CCFMODEL!$I$127:$AF$128,2)*0.8)),+FI221)</f>
        <v>39.812819442006955</v>
      </c>
      <c r="FJ222" s="1411">
        <f>IF(MONTH(C222)=5,FJ221*(IF(Summary!$E$70="no",(1+(Summary!$E$71*0.8)),1+HLOOKUP(YEAR(CALC!C222)-1,CCFMODEL!$I$127:$AF$128,2)*0.8)),FJ221)</f>
        <v>34.797031165848594</v>
      </c>
      <c r="FK222" s="832">
        <f t="shared" si="187"/>
        <v>642351.97272317274</v>
      </c>
      <c r="FL222" s="1412">
        <f>IF(MONTH(C222)=5,FL221*(IF(Summary!$E$70="no",(1+(Summary!$E$71*0.8)),1+HLOOKUP(YEAR(CALC!C222)-1,CCFMODEL!$I$127:$AF$128,2)*0.8)),+FL221)</f>
        <v>83.730822740988728</v>
      </c>
      <c r="FM222" s="1411">
        <f>IF(MONTH(C222)=5,FM221*(IF(Summary!$E$70="no",(1+(Summary!$E$71*0.8)),1+HLOOKUP(YEAR(CALC!C222)-1,CCFMODEL!$I$127:$AF$128,2)*0.8)),+FM221)</f>
        <v>39.96209885498785</v>
      </c>
      <c r="FN222" s="832">
        <f t="shared" si="188"/>
        <v>654579.17924470094</v>
      </c>
      <c r="FO222" s="194">
        <f t="shared" si="223"/>
        <v>1296931.1519678738</v>
      </c>
      <c r="FP222" s="263">
        <f t="shared" si="189"/>
        <v>8865</v>
      </c>
      <c r="FQ222" s="194">
        <f t="shared" si="190"/>
        <v>2659.5</v>
      </c>
      <c r="FR222" s="194">
        <f t="shared" si="191"/>
        <v>1773</v>
      </c>
      <c r="FS222" s="194">
        <f t="shared" si="176"/>
        <v>531.9</v>
      </c>
      <c r="FT222" s="194">
        <f t="shared" si="176"/>
        <v>1773</v>
      </c>
      <c r="FU222" s="194">
        <f t="shared" si="176"/>
        <v>531.9</v>
      </c>
      <c r="FV222" s="257">
        <f t="shared" si="176"/>
        <v>0</v>
      </c>
      <c r="FW222" s="189">
        <f t="shared" si="192"/>
        <v>0</v>
      </c>
      <c r="FX222" s="189">
        <f t="shared" si="193"/>
        <v>0</v>
      </c>
      <c r="FY222" s="189">
        <f t="shared" si="194"/>
        <v>0</v>
      </c>
      <c r="FZ222" s="258">
        <f t="shared" si="195"/>
        <v>0</v>
      </c>
      <c r="GA222" s="1294">
        <f>(SUM(FP222:FV222)+SUM(GU222:HB222)/(1-Summary!$O$25))*CY222/1000</f>
        <v>211945.1569609248</v>
      </c>
      <c r="GB222" s="1369">
        <f>IF($C222&lt;Summary!$M$81,+Summary!$O$81,VLOOKUP(C222,GasTable,19))</f>
        <v>3.760289126863376</v>
      </c>
      <c r="GC222" s="1370">
        <f>IF(H222&lt;=Summary!$N$84,MIN(GA222,Summary!$O$75*(H222-G222+1)),0)</f>
        <v>0</v>
      </c>
      <c r="GD222" s="1371">
        <f>IF(C222&lt;Summary!$N$84,IF(Summary!$O$75*(H222-G222+1)*0.8&gt;GC222,1,0),0)</f>
        <v>0</v>
      </c>
      <c r="GE222" s="1372">
        <v>0</v>
      </c>
      <c r="GF222" s="1370">
        <f t="shared" si="224"/>
        <v>211945.1569609248</v>
      </c>
      <c r="GG222" s="1371">
        <f>GF222*(IF(Summary!$O$74=1,VLOOKUP($C222,GasTable,16)+Summary!$O$92+Summary!$O$93,VLOOKUP($C222,GasTable,19)+Summary!$O$92+Summary!$O$93))</f>
        <v>808017.41188918136</v>
      </c>
      <c r="GH222" s="1373">
        <v>5264.4047776087264</v>
      </c>
      <c r="GI222" s="1466">
        <v>0</v>
      </c>
      <c r="GJ222" s="1374">
        <f t="shared" si="225"/>
        <v>813281.81666679005</v>
      </c>
      <c r="GK222" s="189">
        <f t="shared" si="196"/>
        <v>27152.785799999998</v>
      </c>
      <c r="GL222" s="266">
        <v>0.51539304048000012</v>
      </c>
      <c r="GM222" s="255">
        <f t="shared" si="197"/>
        <v>0</v>
      </c>
      <c r="GN222" s="189">
        <f>IF(SUM(GU222:HB222)=0,0,IF(Summary!$O$16="Yes",SUM(GX222:HB222),IF(Summary!$O$17="Yes",SUM(GY222:HB222),SUM(GU222:HB222))))</f>
        <v>11018.485799999999</v>
      </c>
      <c r="GO222" s="203">
        <v>3.932993167025034</v>
      </c>
      <c r="GP222" s="258">
        <f t="shared" si="226"/>
        <v>43335.629362362357</v>
      </c>
      <c r="GQ222" s="189"/>
      <c r="GR222" s="189"/>
      <c r="GS222" s="189"/>
      <c r="GT222" s="189"/>
      <c r="GU222" s="268">
        <v>5132.835</v>
      </c>
      <c r="GV222" s="189">
        <v>1026.5670000000002</v>
      </c>
      <c r="GW222" s="189">
        <v>1026.5670000000002</v>
      </c>
      <c r="GX222" s="189"/>
      <c r="GY222" s="254">
        <v>2737.5120000000002</v>
      </c>
      <c r="GZ222" s="189">
        <v>547.50239999999997</v>
      </c>
      <c r="HA222" s="189">
        <v>547.50239999999997</v>
      </c>
      <c r="HB222" s="255"/>
      <c r="HC222" s="189">
        <v>11018.485799999999</v>
      </c>
      <c r="HD222" s="189"/>
      <c r="HE222" s="189">
        <v>18923.051699999996</v>
      </c>
      <c r="HF222" s="189">
        <v>494805.59069520235</v>
      </c>
      <c r="HG222" s="189"/>
      <c r="HH222" s="203">
        <v>44.571588673023797</v>
      </c>
      <c r="HI222" s="189">
        <v>843430.47681076359</v>
      </c>
      <c r="HJ222" s="268">
        <f t="shared" si="198"/>
        <v>0</v>
      </c>
      <c r="HK222" s="189">
        <f t="shared" si="199"/>
        <v>0</v>
      </c>
      <c r="HL222" s="189">
        <f t="shared" si="200"/>
        <v>0</v>
      </c>
      <c r="HM222" s="255">
        <f t="shared" si="201"/>
        <v>0</v>
      </c>
      <c r="HN222" s="189">
        <f t="shared" si="202"/>
        <v>0</v>
      </c>
      <c r="HO222" s="203">
        <f t="shared" si="227"/>
        <v>0</v>
      </c>
      <c r="HP222" s="258">
        <f t="shared" si="203"/>
        <v>0</v>
      </c>
      <c r="HQ222" s="203"/>
      <c r="HR222" s="268"/>
      <c r="HS222" s="1408"/>
      <c r="HT222" s="255"/>
      <c r="HU222" s="268"/>
      <c r="HV222" s="1408"/>
      <c r="HW222" s="255"/>
      <c r="HX222" s="1408"/>
      <c r="HY222" s="1408"/>
      <c r="HZ222"/>
      <c r="IA222" s="203"/>
      <c r="IB222" s="203"/>
      <c r="IC222" s="203"/>
      <c r="ID222" s="203"/>
      <c r="IE222" s="203"/>
      <c r="IF222" s="203"/>
      <c r="IG222" s="203"/>
      <c r="IH222" s="203"/>
      <c r="II222" s="203"/>
      <c r="IJ222" s="203"/>
      <c r="IK222" s="203"/>
      <c r="IL222" s="821"/>
      <c r="IM222" s="820"/>
      <c r="IN222" s="820"/>
      <c r="IR222" s="223"/>
    </row>
    <row r="223" spans="1:252" ht="13.8" thickBot="1">
      <c r="A223" t="str">
        <f t="shared" si="204"/>
        <v>2017Q1</v>
      </c>
      <c r="B223">
        <f t="shared" si="205"/>
        <v>2017</v>
      </c>
      <c r="C223" s="49">
        <f t="shared" si="206"/>
        <v>42795</v>
      </c>
      <c r="D223" s="115">
        <f t="shared" si="207"/>
        <v>2017</v>
      </c>
      <c r="E223" s="10">
        <f t="shared" si="230"/>
        <v>3</v>
      </c>
      <c r="F223" s="248" t="str">
        <f t="shared" si="231"/>
        <v/>
      </c>
      <c r="G223" s="245">
        <v>42795</v>
      </c>
      <c r="H223" s="251">
        <v>42825</v>
      </c>
      <c r="I223" s="959">
        <f t="shared" si="228"/>
        <v>7.1499999999999994E-2</v>
      </c>
      <c r="J223" s="37">
        <f t="shared" si="208"/>
        <v>0.29562717557459012</v>
      </c>
      <c r="K223" s="1036"/>
      <c r="L223" s="37"/>
      <c r="M223" s="1004">
        <v>0</v>
      </c>
      <c r="N223" s="38">
        <f t="shared" si="184"/>
        <v>0</v>
      </c>
      <c r="O223" s="40">
        <f t="shared" si="184"/>
        <v>0</v>
      </c>
      <c r="P223" s="159">
        <f t="shared" si="234"/>
        <v>0</v>
      </c>
      <c r="Q223" s="38">
        <f t="shared" si="233"/>
        <v>0</v>
      </c>
      <c r="R223" s="40">
        <f t="shared" si="233"/>
        <v>0</v>
      </c>
      <c r="S223" s="38">
        <f t="shared" si="233"/>
        <v>0</v>
      </c>
      <c r="T223" s="38">
        <f t="shared" si="233"/>
        <v>0</v>
      </c>
      <c r="U223" s="38">
        <f t="shared" si="233"/>
        <v>0</v>
      </c>
      <c r="V223" s="159">
        <f t="shared" si="233"/>
        <v>0</v>
      </c>
      <c r="W223" s="38">
        <f t="shared" si="233"/>
        <v>0</v>
      </c>
      <c r="X223" s="39">
        <f t="shared" si="233"/>
        <v>0</v>
      </c>
      <c r="Y223" s="46">
        <v>0</v>
      </c>
      <c r="Z223" s="46">
        <v>0</v>
      </c>
      <c r="AA223" s="47">
        <v>0</v>
      </c>
      <c r="AB223" s="46">
        <v>0</v>
      </c>
      <c r="AC223" s="46">
        <v>0</v>
      </c>
      <c r="AD223" s="47">
        <v>0</v>
      </c>
      <c r="AE223" s="46">
        <v>0</v>
      </c>
      <c r="AF223" s="46">
        <v>0</v>
      </c>
      <c r="AG223" s="47">
        <v>0</v>
      </c>
      <c r="AH223" s="46">
        <v>0</v>
      </c>
      <c r="AI223" s="46">
        <v>0</v>
      </c>
      <c r="AJ223" s="47">
        <v>0</v>
      </c>
      <c r="AK223" s="46">
        <v>0</v>
      </c>
      <c r="AL223" s="46">
        <v>0</v>
      </c>
      <c r="AM223" s="47">
        <v>0</v>
      </c>
      <c r="AN223" s="46">
        <v>0</v>
      </c>
      <c r="AO223" s="46">
        <v>0</v>
      </c>
      <c r="AP223" s="47">
        <v>0</v>
      </c>
      <c r="AQ223" s="46">
        <v>0</v>
      </c>
      <c r="AR223" s="46">
        <v>0</v>
      </c>
      <c r="AS223" s="47">
        <v>0</v>
      </c>
      <c r="AT223" s="46">
        <v>0</v>
      </c>
      <c r="AU223" s="46">
        <v>0</v>
      </c>
      <c r="AV223" s="46">
        <v>0</v>
      </c>
      <c r="AW223" s="1545">
        <v>0</v>
      </c>
      <c r="AX223" s="10">
        <f t="shared" si="232"/>
        <v>23</v>
      </c>
      <c r="AY223" s="42">
        <f>IF(AND($E223=MONTH(Summary!$E$24),$D223=YEAR(Summary!$E$24)),Summary!$E$25,1)*IF(G223="",0,INT((H223-MOD(H223,7)-G223)/7)+1-IF(BA223,IF(WEEKDAY(F223)=7,1,0),0))</f>
        <v>4</v>
      </c>
      <c r="AZ223" s="42">
        <f>IF(AND($E223=MONTH(Summary!$E$24),$D223=YEAR(Summary!$E$24)),Summary!$E$25,1)*IF(G223="",0,INT((H223-MOD(H223-1,7)-G223)/7)+1-IF(BA223,IF(WEEKDAY(F223)=1,1,0),0))</f>
        <v>4</v>
      </c>
      <c r="BA223" s="42">
        <v>0</v>
      </c>
      <c r="BB223" s="10">
        <f>IF(AND($E223=MONTH(Summary!$E$24),$D223=YEAR(Summary!$E$24)),Summary!$E$25,1)*IF(G223="",0,H223-G223+1)</f>
        <v>31</v>
      </c>
      <c r="BC223" s="914">
        <f>Summary!$E$19</f>
        <v>1.4999999999999999E-2</v>
      </c>
      <c r="BD223" s="113">
        <v>16311.6</v>
      </c>
      <c r="BE223" s="171">
        <v>2836.8</v>
      </c>
      <c r="BF223" s="171">
        <v>2836.8</v>
      </c>
      <c r="BG223" s="174"/>
      <c r="BH223" s="1198">
        <v>1</v>
      </c>
      <c r="BI223" s="1198">
        <v>1</v>
      </c>
      <c r="BJ223" s="1198">
        <v>1</v>
      </c>
      <c r="BK223" s="1198">
        <v>1</v>
      </c>
      <c r="BL223" s="95">
        <v>3262.32</v>
      </c>
      <c r="BM223" s="171">
        <v>567.36</v>
      </c>
      <c r="BN223" s="171">
        <v>567.36</v>
      </c>
      <c r="BO223" s="174"/>
      <c r="BP223" s="1198">
        <v>1</v>
      </c>
      <c r="BQ223" s="1199">
        <v>1</v>
      </c>
      <c r="BR223" s="1199">
        <v>1</v>
      </c>
      <c r="BS223" s="1200">
        <v>1</v>
      </c>
      <c r="BT223" s="94">
        <f t="shared" si="209"/>
        <v>21985.200000000001</v>
      </c>
      <c r="BU223" s="233">
        <f t="shared" si="210"/>
        <v>21985.200000000001</v>
      </c>
      <c r="BV223" s="92">
        <f t="shared" si="211"/>
        <v>4397.04</v>
      </c>
      <c r="BW223" s="233">
        <f t="shared" si="212"/>
        <v>4397.04</v>
      </c>
      <c r="BX223" s="88">
        <v>17.21013004791239</v>
      </c>
      <c r="BY223" s="90">
        <v>0</v>
      </c>
      <c r="BZ223" s="88">
        <v>0</v>
      </c>
      <c r="CA223" s="88">
        <v>0</v>
      </c>
      <c r="CB223" s="88">
        <v>0</v>
      </c>
      <c r="CC223" s="88">
        <v>0</v>
      </c>
      <c r="CD223" s="88">
        <v>0</v>
      </c>
      <c r="CE223" s="100">
        <v>0</v>
      </c>
      <c r="CF223" s="88">
        <v>0</v>
      </c>
      <c r="CG223" s="88">
        <v>0</v>
      </c>
      <c r="CH223" s="88">
        <v>0</v>
      </c>
      <c r="CI223" s="88">
        <v>0</v>
      </c>
      <c r="CJ223" s="228">
        <v>0</v>
      </c>
      <c r="CK223" s="88">
        <v>0</v>
      </c>
      <c r="CL223" s="88">
        <v>0</v>
      </c>
      <c r="CM223" s="88">
        <v>0</v>
      </c>
      <c r="CN223" s="88">
        <v>0</v>
      </c>
      <c r="CO223" s="88">
        <v>0</v>
      </c>
      <c r="CP223" s="88">
        <v>0</v>
      </c>
      <c r="CQ223" s="229">
        <v>0</v>
      </c>
      <c r="CR223" s="91">
        <v>0</v>
      </c>
      <c r="CS223" s="91">
        <v>0</v>
      </c>
      <c r="CT223" s="91">
        <v>0</v>
      </c>
      <c r="CU223" s="91">
        <v>0</v>
      </c>
      <c r="CV223" s="91">
        <v>0</v>
      </c>
      <c r="CW223" s="91">
        <v>0</v>
      </c>
      <c r="CX223" s="225">
        <v>0</v>
      </c>
      <c r="CY223" s="1265">
        <v>7694.4644000000008</v>
      </c>
      <c r="CZ223" s="90">
        <v>0</v>
      </c>
      <c r="DA223" s="88">
        <v>0</v>
      </c>
      <c r="DB223" s="88">
        <v>0</v>
      </c>
      <c r="DC223" s="88">
        <v>0</v>
      </c>
      <c r="DD223" s="88">
        <v>0</v>
      </c>
      <c r="DE223" s="152">
        <v>0</v>
      </c>
      <c r="DF223" s="230">
        <v>0</v>
      </c>
      <c r="DG223" s="38">
        <v>0</v>
      </c>
      <c r="DH223" s="1237">
        <v>0</v>
      </c>
      <c r="DI223" s="956">
        <v>0</v>
      </c>
      <c r="DJ223" s="956">
        <v>0</v>
      </c>
      <c r="DK223" s="956">
        <v>0</v>
      </c>
      <c r="DL223" s="152">
        <v>0</v>
      </c>
      <c r="DM223" s="160">
        <v>0</v>
      </c>
      <c r="DN223" s="160">
        <v>0</v>
      </c>
      <c r="DO223" s="160">
        <v>0</v>
      </c>
      <c r="DP223" s="160">
        <v>0</v>
      </c>
      <c r="DQ223" s="160">
        <v>0</v>
      </c>
      <c r="DR223" s="230">
        <v>0</v>
      </c>
      <c r="DS223" s="88">
        <v>0</v>
      </c>
      <c r="DT223" s="88">
        <v>0</v>
      </c>
      <c r="DU223" s="88">
        <v>0</v>
      </c>
      <c r="DV223" s="88">
        <v>0</v>
      </c>
      <c r="DW223" s="88">
        <v>0</v>
      </c>
      <c r="DX223" s="88">
        <v>0</v>
      </c>
      <c r="DY223" s="88">
        <v>0</v>
      </c>
      <c r="DZ223" s="88">
        <v>0</v>
      </c>
      <c r="EA223" s="88">
        <v>0</v>
      </c>
      <c r="EB223" s="152">
        <v>0</v>
      </c>
      <c r="EC223" s="52">
        <f t="shared" si="213"/>
        <v>0</v>
      </c>
      <c r="ED223" s="52">
        <f t="shared" si="213"/>
        <v>0</v>
      </c>
      <c r="EE223" s="52">
        <f t="shared" si="213"/>
        <v>0</v>
      </c>
      <c r="EF223" s="52">
        <f t="shared" si="186"/>
        <v>0</v>
      </c>
      <c r="EG223" s="52">
        <f t="shared" si="214"/>
        <v>0</v>
      </c>
      <c r="EH223" s="238">
        <v>0</v>
      </c>
      <c r="EI223" s="211">
        <v>0</v>
      </c>
      <c r="EJ223" s="211">
        <v>0</v>
      </c>
      <c r="EK223" s="211">
        <v>0</v>
      </c>
      <c r="EL223" s="217">
        <f>IF(C223&gt;=Summary!$E$26,MAX(0,SUM(EH223:EK223)),0)</f>
        <v>0</v>
      </c>
      <c r="EM223" s="52">
        <f>IF(C223&gt;=Summary!$E$26,DX223*BL223,0)</f>
        <v>0</v>
      </c>
      <c r="EN223" s="52">
        <f>IF(C223&gt;=Summary!$E$26,DY223*BM223,0)</f>
        <v>0</v>
      </c>
      <c r="EO223" s="52">
        <f>IF(C223&gt;=Summary!$E$26,DZ223*BN223,0)</f>
        <v>0</v>
      </c>
      <c r="EP223" s="52">
        <f>IF(C223&gt;=Summary!$E$26,EA223*BO223,0)</f>
        <v>0</v>
      </c>
      <c r="EQ223" s="52">
        <f>IF(C223&gt;=Summary!$E$26,DX223*BL223+DY223*BM223+DZ223*BN223+EA223*BO223,0)</f>
        <v>0</v>
      </c>
      <c r="ER223" s="826">
        <v>0</v>
      </c>
      <c r="ES223" s="278">
        <v>0</v>
      </c>
      <c r="ET223" s="278">
        <v>0</v>
      </c>
      <c r="EU223" s="278">
        <v>0</v>
      </c>
      <c r="EV223" s="212">
        <f>IF(C223&gt;=Summary!$E$26,MAX(0,SUM(ER223:EU223)),0)</f>
        <v>0</v>
      </c>
      <c r="EW223" s="52"/>
      <c r="EX223" s="1049">
        <f t="shared" si="215"/>
        <v>0</v>
      </c>
      <c r="EY223" s="1045" t="str">
        <f t="shared" si="216"/>
        <v/>
      </c>
      <c r="EZ223" s="1684" t="s">
        <v>525</v>
      </c>
      <c r="FA223" s="1046">
        <f t="shared" si="229"/>
        <v>45</v>
      </c>
      <c r="FB223" s="256">
        <f t="shared" si="217"/>
        <v>10194.75</v>
      </c>
      <c r="FC223" s="194">
        <f t="shared" si="218"/>
        <v>3058.4250000000002</v>
      </c>
      <c r="FD223" s="194">
        <f t="shared" si="219"/>
        <v>1773</v>
      </c>
      <c r="FE223" s="194">
        <f t="shared" si="220"/>
        <v>531.9</v>
      </c>
      <c r="FF223" s="194">
        <f t="shared" si="221"/>
        <v>1773</v>
      </c>
      <c r="FG223" s="194">
        <f t="shared" si="222"/>
        <v>531.9</v>
      </c>
      <c r="FH223" s="257">
        <f>IF(EZ223="No",IF((OR(MONTH(C223)=5,MONTH(C223)=6,MONTH(C223)=7,MONTH(C223)=8,MONTH(C223)=9)),Summary!$O$15*12*(AX223+AY223+AZ223+BA223)*(1-$BC223),Summary!$O$15*13*(AX223+AY223+AZ223+BA223)*(1-$BC223)+IF(Summary!$O$16="Yes",(CALC!FA223+Summary!$O$15)*6*(AX223+AY223+AZ223+BA223)*(1-$BC223),0)),0)</f>
        <v>0</v>
      </c>
      <c r="FI223" s="1412">
        <f>IF(MONTH(C223)=5,FI222*(IF(Summary!$E$70="no",(1+(Summary!$E$71*0.8)),1+HLOOKUP(YEAR(C223)-1,CCFMODEL!$I$127:$AF$128,2)*0.8)),+FI222)</f>
        <v>39.812819442006955</v>
      </c>
      <c r="FJ223" s="1411">
        <f>IF(MONTH(C223)=5,FJ222*(IF(Summary!$E$70="no",(1+(Summary!$E$71*0.8)),1+HLOOKUP(YEAR(CALC!C223)-1,CCFMODEL!$I$127:$AF$128,2)*0.8)),FJ222)</f>
        <v>34.797031165848594</v>
      </c>
      <c r="FK223" s="832">
        <f t="shared" si="187"/>
        <v>711175.39837208414</v>
      </c>
      <c r="FL223" s="1412">
        <f>IF(MONTH(C223)=5,FL222*(IF(Summary!$E$70="no",(1+(Summary!$E$71*0.8)),1+HLOOKUP(YEAR(CALC!C223)-1,CCFMODEL!$I$127:$AF$128,2)*0.8)),+FL222)</f>
        <v>83.730822740988728</v>
      </c>
      <c r="FM223" s="1411">
        <f>IF(MONTH(C223)=5,FM222*(IF(Summary!$E$70="no",(1+(Summary!$E$71*0.8)),1+HLOOKUP(YEAR(CALC!C223)-1,CCFMODEL!$I$127:$AF$128,2)*0.8)),+FM222)</f>
        <v>39.96209885498785</v>
      </c>
      <c r="FN223" s="832">
        <f t="shared" si="188"/>
        <v>724712.66273520468</v>
      </c>
      <c r="FO223" s="194">
        <f t="shared" si="223"/>
        <v>1435888.0611072888</v>
      </c>
      <c r="FP223" s="263">
        <f t="shared" si="189"/>
        <v>10194.75</v>
      </c>
      <c r="FQ223" s="194">
        <f t="shared" si="190"/>
        <v>3058.4250000000002</v>
      </c>
      <c r="FR223" s="194">
        <f t="shared" si="191"/>
        <v>1773</v>
      </c>
      <c r="FS223" s="194">
        <f t="shared" si="176"/>
        <v>531.9</v>
      </c>
      <c r="FT223" s="194">
        <f t="shared" si="176"/>
        <v>1773</v>
      </c>
      <c r="FU223" s="194">
        <f t="shared" si="176"/>
        <v>531.9</v>
      </c>
      <c r="FV223" s="257">
        <f t="shared" si="176"/>
        <v>0</v>
      </c>
      <c r="FW223" s="189">
        <f t="shared" si="192"/>
        <v>0</v>
      </c>
      <c r="FX223" s="189">
        <f t="shared" si="193"/>
        <v>0</v>
      </c>
      <c r="FY223" s="189">
        <f t="shared" si="194"/>
        <v>0</v>
      </c>
      <c r="FZ223" s="258">
        <f t="shared" si="195"/>
        <v>0</v>
      </c>
      <c r="GA223" s="1294">
        <f>(SUM(FP223:FV223)+SUM(GU223:HB223)/(1-Summary!$O$25))*CY223/1000</f>
        <v>234715.51998354599</v>
      </c>
      <c r="GB223" s="1369">
        <f>IF($C223&lt;Summary!$M$81,+Summary!$O$81,VLOOKUP(C223,GasTable,19))</f>
        <v>3.5584238580472385</v>
      </c>
      <c r="GC223" s="1370">
        <f>IF(H223&lt;=Summary!$N$84,MIN(GA223,Summary!$O$75*(H223-G223+1)),0)</f>
        <v>0</v>
      </c>
      <c r="GD223" s="1371">
        <f>IF(C223&lt;Summary!$N$84,IF(Summary!$O$75*(H223-G223+1)*0.8&gt;GC223,1,0),0)</f>
        <v>0</v>
      </c>
      <c r="GE223" s="1372">
        <v>0</v>
      </c>
      <c r="GF223" s="1370">
        <f t="shared" si="224"/>
        <v>234715.51998354599</v>
      </c>
      <c r="GG223" s="1371">
        <f>GF223*(IF(Summary!$O$74=1,VLOOKUP($C223,GasTable,16)+Summary!$O$92+Summary!$O$93,VLOOKUP($C223,GasTable,19)+Summary!$O$92+Summary!$O$93))</f>
        <v>847445.98475455609</v>
      </c>
      <c r="GH223" s="1373">
        <v>5515.5569799732193</v>
      </c>
      <c r="GI223" s="1466">
        <v>0</v>
      </c>
      <c r="GJ223" s="1374">
        <f t="shared" si="225"/>
        <v>852961.54173452931</v>
      </c>
      <c r="GK223" s="189">
        <f t="shared" si="196"/>
        <v>30062.012849999999</v>
      </c>
      <c r="GL223" s="266">
        <v>0.51552911480000008</v>
      </c>
      <c r="GM223" s="255">
        <f t="shared" si="197"/>
        <v>0</v>
      </c>
      <c r="GN223" s="189">
        <f>IF(SUM(GU223:HB223)=0,0,IF(Summary!$O$16="Yes",SUM(GX223:HB223),IF(Summary!$O$17="Yes",SUM(GY223:HB223),SUM(GU223:HB223))))</f>
        <v>12199.037849999999</v>
      </c>
      <c r="GO223" s="203">
        <v>3.932993167025034</v>
      </c>
      <c r="GP223" s="258">
        <f t="shared" si="226"/>
        <v>47978.732508329755</v>
      </c>
      <c r="GQ223" s="189"/>
      <c r="GR223" s="189"/>
      <c r="GS223" s="189"/>
      <c r="GT223" s="189"/>
      <c r="GU223" s="268">
        <v>5902.7602500000003</v>
      </c>
      <c r="GV223" s="189">
        <v>1026.5670000000002</v>
      </c>
      <c r="GW223" s="189">
        <v>1026.5670000000002</v>
      </c>
      <c r="GX223" s="189"/>
      <c r="GY223" s="254">
        <v>3148.1388000000002</v>
      </c>
      <c r="GZ223" s="189">
        <v>547.50239999999997</v>
      </c>
      <c r="HA223" s="189">
        <v>547.50239999999997</v>
      </c>
      <c r="HB223" s="255"/>
      <c r="HC223" s="189">
        <v>12199.037849999999</v>
      </c>
      <c r="HD223" s="189"/>
      <c r="HE223" s="189">
        <v>20950.521524999996</v>
      </c>
      <c r="HF223" s="189">
        <v>514022.52477155294</v>
      </c>
      <c r="HG223" s="189"/>
      <c r="HH223" s="203">
        <v>41.444842675347836</v>
      </c>
      <c r="HI223" s="189">
        <v>868291.06857011328</v>
      </c>
      <c r="HJ223" s="268">
        <f t="shared" si="198"/>
        <v>0</v>
      </c>
      <c r="HK223" s="189">
        <f t="shared" si="199"/>
        <v>0</v>
      </c>
      <c r="HL223" s="189">
        <f t="shared" si="200"/>
        <v>0</v>
      </c>
      <c r="HM223" s="255">
        <f t="shared" si="201"/>
        <v>0</v>
      </c>
      <c r="HN223" s="189">
        <f t="shared" si="202"/>
        <v>0</v>
      </c>
      <c r="HO223" s="203">
        <f t="shared" si="227"/>
        <v>0</v>
      </c>
      <c r="HP223" s="258">
        <f t="shared" si="203"/>
        <v>0</v>
      </c>
      <c r="HQ223" s="203"/>
      <c r="HR223" s="268"/>
      <c r="HS223" s="1408"/>
      <c r="HT223" s="255"/>
      <c r="HU223" s="268"/>
      <c r="HV223" s="1408"/>
      <c r="HW223" s="255"/>
      <c r="HX223" s="1408"/>
      <c r="HY223" s="1408"/>
      <c r="HZ223"/>
      <c r="IA223" s="203"/>
      <c r="IB223" s="203"/>
      <c r="IC223" s="203"/>
      <c r="ID223" s="203"/>
      <c r="IE223" s="203"/>
      <c r="IF223" s="203"/>
      <c r="IG223" s="203"/>
      <c r="IH223" s="203"/>
      <c r="II223" s="203"/>
      <c r="IJ223" s="203"/>
      <c r="IK223" s="203"/>
      <c r="IL223" s="821"/>
      <c r="IM223" s="820"/>
      <c r="IN223" s="820"/>
      <c r="IR223" s="223"/>
    </row>
    <row r="224" spans="1:252" ht="13.8" thickBot="1">
      <c r="A224" t="str">
        <f t="shared" si="204"/>
        <v>2017Q2</v>
      </c>
      <c r="B224">
        <f t="shared" si="205"/>
        <v>2017</v>
      </c>
      <c r="C224" s="49">
        <f t="shared" si="206"/>
        <v>42826</v>
      </c>
      <c r="D224" s="115">
        <f t="shared" si="207"/>
        <v>2017</v>
      </c>
      <c r="E224" s="10">
        <f t="shared" si="230"/>
        <v>4</v>
      </c>
      <c r="F224" s="248" t="str">
        <f t="shared" si="231"/>
        <v/>
      </c>
      <c r="G224" s="245">
        <v>42826</v>
      </c>
      <c r="H224" s="251">
        <v>42855</v>
      </c>
      <c r="I224" s="959">
        <f t="shared" si="228"/>
        <v>7.1499999999999994E-2</v>
      </c>
      <c r="J224" s="37">
        <f t="shared" si="208"/>
        <v>0.29392627370547075</v>
      </c>
      <c r="K224" s="1036"/>
      <c r="L224" s="37"/>
      <c r="M224" s="1004">
        <v>0</v>
      </c>
      <c r="N224" s="38">
        <f t="shared" si="184"/>
        <v>0</v>
      </c>
      <c r="O224" s="40">
        <f t="shared" si="184"/>
        <v>0</v>
      </c>
      <c r="P224" s="159">
        <f t="shared" si="234"/>
        <v>0</v>
      </c>
      <c r="Q224" s="38">
        <f t="shared" si="233"/>
        <v>0</v>
      </c>
      <c r="R224" s="40">
        <f t="shared" si="233"/>
        <v>0</v>
      </c>
      <c r="S224" s="38">
        <f t="shared" si="233"/>
        <v>0</v>
      </c>
      <c r="T224" s="38">
        <f t="shared" si="233"/>
        <v>0</v>
      </c>
      <c r="U224" s="38">
        <f t="shared" si="233"/>
        <v>0</v>
      </c>
      <c r="V224" s="159">
        <f t="shared" si="233"/>
        <v>0</v>
      </c>
      <c r="W224" s="38">
        <f t="shared" si="233"/>
        <v>0</v>
      </c>
      <c r="X224" s="39">
        <f t="shared" si="233"/>
        <v>0</v>
      </c>
      <c r="Y224" s="46">
        <v>0</v>
      </c>
      <c r="Z224" s="46">
        <v>0</v>
      </c>
      <c r="AA224" s="47">
        <v>0</v>
      </c>
      <c r="AB224" s="46">
        <v>0</v>
      </c>
      <c r="AC224" s="46">
        <v>0</v>
      </c>
      <c r="AD224" s="47">
        <v>0</v>
      </c>
      <c r="AE224" s="46">
        <v>0</v>
      </c>
      <c r="AF224" s="46">
        <v>0</v>
      </c>
      <c r="AG224" s="47">
        <v>0</v>
      </c>
      <c r="AH224" s="46">
        <v>0</v>
      </c>
      <c r="AI224" s="46">
        <v>0</v>
      </c>
      <c r="AJ224" s="47">
        <v>0</v>
      </c>
      <c r="AK224" s="46">
        <v>0</v>
      </c>
      <c r="AL224" s="46">
        <v>0</v>
      </c>
      <c r="AM224" s="47">
        <v>0</v>
      </c>
      <c r="AN224" s="46">
        <v>0</v>
      </c>
      <c r="AO224" s="46">
        <v>0</v>
      </c>
      <c r="AP224" s="47">
        <v>0</v>
      </c>
      <c r="AQ224" s="46">
        <v>0</v>
      </c>
      <c r="AR224" s="46">
        <v>0</v>
      </c>
      <c r="AS224" s="47">
        <v>0</v>
      </c>
      <c r="AT224" s="46">
        <v>0</v>
      </c>
      <c r="AU224" s="46">
        <v>0</v>
      </c>
      <c r="AV224" s="46">
        <v>0</v>
      </c>
      <c r="AW224" s="1545">
        <v>0</v>
      </c>
      <c r="AX224" s="10">
        <f t="shared" si="232"/>
        <v>20</v>
      </c>
      <c r="AY224" s="42">
        <f>IF(AND($E224=MONTH(Summary!$E$24),$D224=YEAR(Summary!$E$24)),Summary!$E$25,1)*IF(G224="",0,INT((H224-MOD(H224,7)-G224)/7)+1-IF(BA224,IF(WEEKDAY(F224)=7,1,0),0))</f>
        <v>5</v>
      </c>
      <c r="AZ224" s="42">
        <f>IF(AND($E224=MONTH(Summary!$E$24),$D224=YEAR(Summary!$E$24)),Summary!$E$25,1)*IF(G224="",0,INT((H224-MOD(H224-1,7)-G224)/7)+1-IF(BA224,IF(WEEKDAY(F224)=1,1,0),0))</f>
        <v>5</v>
      </c>
      <c r="BA224" s="42">
        <v>0</v>
      </c>
      <c r="BB224" s="10">
        <f>IF(AND($E224=MONTH(Summary!$E$24),$D224=YEAR(Summary!$E$24)),Summary!$E$25,1)*IF(G224="",0,H224-G224+1)</f>
        <v>30</v>
      </c>
      <c r="BC224" s="914">
        <f>Summary!$E$19</f>
        <v>1.4999999999999999E-2</v>
      </c>
      <c r="BD224" s="113">
        <v>14184</v>
      </c>
      <c r="BE224" s="171">
        <v>3546</v>
      </c>
      <c r="BF224" s="171">
        <v>3546</v>
      </c>
      <c r="BG224" s="174"/>
      <c r="BH224" s="1198">
        <v>1</v>
      </c>
      <c r="BI224" s="1198">
        <v>1</v>
      </c>
      <c r="BJ224" s="1198">
        <v>1</v>
      </c>
      <c r="BK224" s="1198">
        <v>1</v>
      </c>
      <c r="BL224" s="95">
        <v>2836.8</v>
      </c>
      <c r="BM224" s="171">
        <v>709.2</v>
      </c>
      <c r="BN224" s="171">
        <v>709.2</v>
      </c>
      <c r="BO224" s="174"/>
      <c r="BP224" s="1198">
        <v>1</v>
      </c>
      <c r="BQ224" s="1199">
        <v>1</v>
      </c>
      <c r="BR224" s="1199">
        <v>1</v>
      </c>
      <c r="BS224" s="1200">
        <v>1</v>
      </c>
      <c r="BT224" s="94">
        <f t="shared" si="209"/>
        <v>21276</v>
      </c>
      <c r="BU224" s="233">
        <f t="shared" si="210"/>
        <v>21276</v>
      </c>
      <c r="BV224" s="92">
        <f t="shared" si="211"/>
        <v>4255.2</v>
      </c>
      <c r="BW224" s="233">
        <f t="shared" si="212"/>
        <v>4255.2</v>
      </c>
      <c r="BX224" s="88">
        <v>17.295003422313485</v>
      </c>
      <c r="BY224" s="90">
        <v>0</v>
      </c>
      <c r="BZ224" s="88">
        <v>0</v>
      </c>
      <c r="CA224" s="88">
        <v>0</v>
      </c>
      <c r="CB224" s="88">
        <v>0</v>
      </c>
      <c r="CC224" s="88">
        <v>0</v>
      </c>
      <c r="CD224" s="88">
        <v>0</v>
      </c>
      <c r="CE224" s="100">
        <v>0</v>
      </c>
      <c r="CF224" s="88">
        <v>0</v>
      </c>
      <c r="CG224" s="88">
        <v>0</v>
      </c>
      <c r="CH224" s="88">
        <v>0</v>
      </c>
      <c r="CI224" s="88">
        <v>0</v>
      </c>
      <c r="CJ224" s="228">
        <v>0</v>
      </c>
      <c r="CK224" s="88">
        <v>0</v>
      </c>
      <c r="CL224" s="88">
        <v>0</v>
      </c>
      <c r="CM224" s="88">
        <v>0</v>
      </c>
      <c r="CN224" s="88">
        <v>0</v>
      </c>
      <c r="CO224" s="88">
        <v>0</v>
      </c>
      <c r="CP224" s="88">
        <v>0</v>
      </c>
      <c r="CQ224" s="229">
        <v>0</v>
      </c>
      <c r="CR224" s="91">
        <v>0</v>
      </c>
      <c r="CS224" s="91">
        <v>0</v>
      </c>
      <c r="CT224" s="91">
        <v>0</v>
      </c>
      <c r="CU224" s="91">
        <v>0</v>
      </c>
      <c r="CV224" s="91">
        <v>0</v>
      </c>
      <c r="CW224" s="91">
        <v>0</v>
      </c>
      <c r="CX224" s="225">
        <v>0</v>
      </c>
      <c r="CY224" s="1265">
        <v>7696.4953599999999</v>
      </c>
      <c r="CZ224" s="90">
        <v>0</v>
      </c>
      <c r="DA224" s="88">
        <v>0</v>
      </c>
      <c r="DB224" s="88">
        <v>0</v>
      </c>
      <c r="DC224" s="88">
        <v>0</v>
      </c>
      <c r="DD224" s="88">
        <v>0</v>
      </c>
      <c r="DE224" s="152">
        <v>0</v>
      </c>
      <c r="DF224" s="230">
        <v>0</v>
      </c>
      <c r="DG224" s="38">
        <v>0</v>
      </c>
      <c r="DH224" s="1237">
        <v>0</v>
      </c>
      <c r="DI224" s="956">
        <v>0</v>
      </c>
      <c r="DJ224" s="956">
        <v>0</v>
      </c>
      <c r="DK224" s="956">
        <v>0</v>
      </c>
      <c r="DL224" s="152">
        <v>0</v>
      </c>
      <c r="DM224" s="160">
        <v>0</v>
      </c>
      <c r="DN224" s="160">
        <v>0</v>
      </c>
      <c r="DO224" s="160">
        <v>0</v>
      </c>
      <c r="DP224" s="160">
        <v>0</v>
      </c>
      <c r="DQ224" s="160">
        <v>0</v>
      </c>
      <c r="DR224" s="230">
        <v>0</v>
      </c>
      <c r="DS224" s="88">
        <v>0</v>
      </c>
      <c r="DT224" s="88">
        <v>0</v>
      </c>
      <c r="DU224" s="88">
        <v>0</v>
      </c>
      <c r="DV224" s="88">
        <v>0</v>
      </c>
      <c r="DW224" s="88">
        <v>0</v>
      </c>
      <c r="DX224" s="88">
        <v>0</v>
      </c>
      <c r="DY224" s="88">
        <v>0</v>
      </c>
      <c r="DZ224" s="88">
        <v>0</v>
      </c>
      <c r="EA224" s="88">
        <v>0</v>
      </c>
      <c r="EB224" s="152">
        <v>0</v>
      </c>
      <c r="EC224" s="52">
        <f t="shared" si="213"/>
        <v>0</v>
      </c>
      <c r="ED224" s="52">
        <f t="shared" si="213"/>
        <v>0</v>
      </c>
      <c r="EE224" s="52">
        <f t="shared" si="213"/>
        <v>0</v>
      </c>
      <c r="EF224" s="52">
        <f t="shared" si="186"/>
        <v>0</v>
      </c>
      <c r="EG224" s="52">
        <f t="shared" si="214"/>
        <v>0</v>
      </c>
      <c r="EH224" s="238">
        <v>0</v>
      </c>
      <c r="EI224" s="211">
        <v>0</v>
      </c>
      <c r="EJ224" s="211">
        <v>0</v>
      </c>
      <c r="EK224" s="211">
        <v>0</v>
      </c>
      <c r="EL224" s="217">
        <f>IF(C224&gt;=Summary!$E$26,MAX(0,SUM(EH224:EK224)),0)</f>
        <v>0</v>
      </c>
      <c r="EM224" s="52">
        <f>IF(C224&gt;=Summary!$E$26,DX224*BL224,0)</f>
        <v>0</v>
      </c>
      <c r="EN224" s="52">
        <f>IF(C224&gt;=Summary!$E$26,DY224*BM224,0)</f>
        <v>0</v>
      </c>
      <c r="EO224" s="52">
        <f>IF(C224&gt;=Summary!$E$26,DZ224*BN224,0)</f>
        <v>0</v>
      </c>
      <c r="EP224" s="52">
        <f>IF(C224&gt;=Summary!$E$26,EA224*BO224,0)</f>
        <v>0</v>
      </c>
      <c r="EQ224" s="52">
        <f>IF(C224&gt;=Summary!$E$26,DX224*BL224+DY224*BM224+DZ224*BN224+EA224*BO224,0)</f>
        <v>0</v>
      </c>
      <c r="ER224" s="826">
        <v>0</v>
      </c>
      <c r="ES224" s="278">
        <v>0</v>
      </c>
      <c r="ET224" s="278">
        <v>0</v>
      </c>
      <c r="EU224" s="278">
        <v>0</v>
      </c>
      <c r="EV224" s="212">
        <f>IF(C224&gt;=Summary!$E$26,MAX(0,SUM(ER224:EU224)),0)</f>
        <v>0</v>
      </c>
      <c r="EW224" s="52"/>
      <c r="EX224" s="1049">
        <f t="shared" si="215"/>
        <v>0</v>
      </c>
      <c r="EY224" s="1045" t="str">
        <f t="shared" si="216"/>
        <v/>
      </c>
      <c r="EZ224" s="1684" t="s">
        <v>525</v>
      </c>
      <c r="FA224" s="1046">
        <f t="shared" si="229"/>
        <v>45</v>
      </c>
      <c r="FB224" s="256">
        <f t="shared" si="217"/>
        <v>8865</v>
      </c>
      <c r="FC224" s="194">
        <f t="shared" si="218"/>
        <v>2659.5</v>
      </c>
      <c r="FD224" s="194">
        <f t="shared" si="219"/>
        <v>2216.25</v>
      </c>
      <c r="FE224" s="194">
        <f t="shared" si="220"/>
        <v>664.875</v>
      </c>
      <c r="FF224" s="194">
        <f t="shared" si="221"/>
        <v>2216.25</v>
      </c>
      <c r="FG224" s="194">
        <f t="shared" si="222"/>
        <v>664.875</v>
      </c>
      <c r="FH224" s="257">
        <f>IF(EZ224="No",IF((OR(MONTH(C224)=5,MONTH(C224)=6,MONTH(C224)=7,MONTH(C224)=8,MONTH(C224)=9)),Summary!$O$15*12*(AX224+AY224+AZ224+BA224)*(1-$BC224),Summary!$O$15*13*(AX224+AY224+AZ224+BA224)*(1-$BC224)+IF(Summary!$O$16="Yes",(CALC!FA224+Summary!$O$15)*6*(AX224+AY224+AZ224+BA224)*(1-$BC224),0)),0)</f>
        <v>0</v>
      </c>
      <c r="FI224" s="1412">
        <f>IF(MONTH(C224)=5,FI223*(IF(Summary!$E$70="no",(1+(Summary!$E$71*0.8)),1+HLOOKUP(YEAR(C224)-1,CCFMODEL!$I$127:$AF$128,2)*0.8)),+FI223)</f>
        <v>39.812819442006955</v>
      </c>
      <c r="FJ224" s="1411">
        <f>IF(MONTH(C224)=5,FJ223*(IF(Summary!$E$70="no",(1+(Summary!$E$71*0.8)),1+HLOOKUP(YEAR(CALC!C224)-1,CCFMODEL!$I$127:$AF$128,2)*0.8)),FJ223)</f>
        <v>34.797031165848594</v>
      </c>
      <c r="FK224" s="832">
        <f t="shared" si="187"/>
        <v>688234.25648911367</v>
      </c>
      <c r="FL224" s="1412">
        <f>IF(MONTH(C224)=5,FL223*(IF(Summary!$E$70="no",(1+(Summary!$E$71*0.8)),1+HLOOKUP(YEAR(CALC!C224)-1,CCFMODEL!$I$127:$AF$128,2)*0.8)),+FL223)</f>
        <v>83.730822740988728</v>
      </c>
      <c r="FM224" s="1411">
        <f>IF(MONTH(C224)=5,FM223*(IF(Summary!$E$70="no",(1+(Summary!$E$71*0.8)),1+HLOOKUP(YEAR(CALC!C224)-1,CCFMODEL!$I$127:$AF$128,2)*0.8)),+FM223)</f>
        <v>39.96209885498785</v>
      </c>
      <c r="FN224" s="832">
        <f t="shared" si="188"/>
        <v>701334.83490503673</v>
      </c>
      <c r="FO224" s="194">
        <f t="shared" si="223"/>
        <v>1389569.0913941504</v>
      </c>
      <c r="FP224" s="263">
        <f t="shared" si="189"/>
        <v>8865</v>
      </c>
      <c r="FQ224" s="194">
        <f t="shared" si="190"/>
        <v>2659.5</v>
      </c>
      <c r="FR224" s="194">
        <f t="shared" si="191"/>
        <v>2216.25</v>
      </c>
      <c r="FS224" s="194">
        <f t="shared" si="176"/>
        <v>664.875</v>
      </c>
      <c r="FT224" s="194">
        <f t="shared" si="176"/>
        <v>2216.25</v>
      </c>
      <c r="FU224" s="194">
        <f t="shared" si="176"/>
        <v>664.875</v>
      </c>
      <c r="FV224" s="257">
        <f t="shared" si="176"/>
        <v>0</v>
      </c>
      <c r="FW224" s="189">
        <f t="shared" si="192"/>
        <v>0</v>
      </c>
      <c r="FX224" s="189">
        <f t="shared" si="193"/>
        <v>0</v>
      </c>
      <c r="FY224" s="189">
        <f t="shared" si="194"/>
        <v>0</v>
      </c>
      <c r="FZ224" s="258">
        <f t="shared" si="195"/>
        <v>0</v>
      </c>
      <c r="GA224" s="1294">
        <f>(SUM(FP224:FV224)+SUM(GU224:HB224)/(1-Summary!$O$25))*CY224/1000</f>
        <v>227204.00645011201</v>
      </c>
      <c r="GB224" s="1369">
        <f>IF($C224&lt;Summary!$M$81,+Summary!$O$81,VLOOKUP(C224,GasTable,19))</f>
        <v>3.4516686020453684</v>
      </c>
      <c r="GC224" s="1370">
        <f>IF(H224&lt;=Summary!$N$84,MIN(GA224,Summary!$O$75*(H224-G224+1)),0)</f>
        <v>0</v>
      </c>
      <c r="GD224" s="1371">
        <f>IF(C224&lt;Summary!$N$84,IF(Summary!$O$75*(H224-G224+1)*0.8&gt;GC224,1,0),0)</f>
        <v>0</v>
      </c>
      <c r="GE224" s="1372">
        <v>0</v>
      </c>
      <c r="GF224" s="1370">
        <f t="shared" si="224"/>
        <v>227204.00645011201</v>
      </c>
      <c r="GG224" s="1371">
        <f>GF224*(IF(Summary!$O$74=1,VLOOKUP($C224,GasTable,16)+Summary!$O$92+Summary!$O$93,VLOOKUP($C224,GasTable,19)+Summary!$O$92+Summary!$O$93))</f>
        <v>796070.26405881578</v>
      </c>
      <c r="GH224" s="1373">
        <v>5177.5029030680525</v>
      </c>
      <c r="GI224" s="1466">
        <v>0</v>
      </c>
      <c r="GJ224" s="1374">
        <f t="shared" si="225"/>
        <v>801247.76696188387</v>
      </c>
      <c r="GK224" s="189">
        <f t="shared" si="196"/>
        <v>29092.270500000002</v>
      </c>
      <c r="GL224" s="266">
        <v>0.51566518912000003</v>
      </c>
      <c r="GM224" s="255">
        <f t="shared" si="197"/>
        <v>0</v>
      </c>
      <c r="GN224" s="189">
        <f>IF(SUM(GU224:HB224)=0,0,IF(Summary!$O$16="Yes",SUM(GX224:HB224),IF(Summary!$O$17="Yes",SUM(GY224:HB224),SUM(GU224:HB224))))</f>
        <v>11805.520500000001</v>
      </c>
      <c r="GO224" s="203">
        <v>3.932993167025034</v>
      </c>
      <c r="GP224" s="258">
        <f t="shared" si="226"/>
        <v>46431.031459673963</v>
      </c>
      <c r="GQ224" s="189"/>
      <c r="GR224" s="189"/>
      <c r="GS224" s="189"/>
      <c r="GT224" s="189"/>
      <c r="GU224" s="268">
        <v>5132.835</v>
      </c>
      <c r="GV224" s="189">
        <v>1283.20875</v>
      </c>
      <c r="GW224" s="189">
        <v>1283.20875</v>
      </c>
      <c r="GX224" s="189"/>
      <c r="GY224" s="254">
        <v>2737.5120000000002</v>
      </c>
      <c r="GZ224" s="189">
        <v>684.37800000000004</v>
      </c>
      <c r="HA224" s="189">
        <v>684.37800000000004</v>
      </c>
      <c r="HB224" s="255"/>
      <c r="HC224" s="189">
        <v>11805.520500000001</v>
      </c>
      <c r="HD224" s="189"/>
      <c r="HE224" s="189">
        <v>20274.698250000001</v>
      </c>
      <c r="HF224" s="189">
        <v>507405.3807624004</v>
      </c>
      <c r="HG224" s="189"/>
      <c r="HH224" s="203">
        <v>42.203709545683424</v>
      </c>
      <c r="HI224" s="189">
        <v>855667.47606937611</v>
      </c>
      <c r="HJ224" s="268">
        <f t="shared" si="198"/>
        <v>0</v>
      </c>
      <c r="HK224" s="189">
        <f t="shared" si="199"/>
        <v>0</v>
      </c>
      <c r="HL224" s="189">
        <f t="shared" si="200"/>
        <v>0</v>
      </c>
      <c r="HM224" s="255">
        <f t="shared" si="201"/>
        <v>0</v>
      </c>
      <c r="HN224" s="189">
        <f t="shared" si="202"/>
        <v>0</v>
      </c>
      <c r="HO224" s="203">
        <f t="shared" si="227"/>
        <v>0</v>
      </c>
      <c r="HP224" s="258">
        <f t="shared" si="203"/>
        <v>0</v>
      </c>
      <c r="HQ224" s="203"/>
      <c r="HR224" s="268"/>
      <c r="HS224" s="1408"/>
      <c r="HT224" s="255"/>
      <c r="HU224" s="268"/>
      <c r="HV224" s="1408"/>
      <c r="HW224" s="255"/>
      <c r="HX224" s="1408"/>
      <c r="HY224" s="1408"/>
      <c r="HZ224"/>
      <c r="IA224" s="203"/>
      <c r="IB224" s="203"/>
      <c r="IC224" s="203"/>
      <c r="ID224" s="203"/>
      <c r="IE224" s="203"/>
      <c r="IF224" s="203"/>
      <c r="IG224" s="203"/>
      <c r="IH224" s="203"/>
      <c r="II224" s="203"/>
      <c r="IJ224" s="203"/>
      <c r="IK224" s="203"/>
      <c r="IL224" s="821"/>
      <c r="IM224" s="820"/>
      <c r="IN224" s="820"/>
      <c r="IR224" s="223"/>
    </row>
    <row r="225" spans="1:252" ht="13.8" thickBot="1">
      <c r="A225" t="str">
        <f t="shared" si="204"/>
        <v>2017Q2</v>
      </c>
      <c r="B225">
        <f t="shared" si="205"/>
        <v>2017</v>
      </c>
      <c r="C225" s="49">
        <f t="shared" si="206"/>
        <v>42856</v>
      </c>
      <c r="D225" s="115">
        <f t="shared" si="207"/>
        <v>2017</v>
      </c>
      <c r="E225" s="10">
        <f t="shared" si="230"/>
        <v>5</v>
      </c>
      <c r="F225" s="248">
        <f t="shared" si="231"/>
        <v>42884</v>
      </c>
      <c r="G225" s="245">
        <v>42856</v>
      </c>
      <c r="H225" s="251">
        <v>42886</v>
      </c>
      <c r="I225" s="959">
        <f t="shared" si="228"/>
        <v>7.1499999999999994E-2</v>
      </c>
      <c r="J225" s="37">
        <f t="shared" si="208"/>
        <v>0.29217895539778671</v>
      </c>
      <c r="K225" s="1036"/>
      <c r="L225" s="37"/>
      <c r="M225" s="1004">
        <v>0</v>
      </c>
      <c r="N225" s="38">
        <f t="shared" si="184"/>
        <v>0</v>
      </c>
      <c r="O225" s="40">
        <f t="shared" si="184"/>
        <v>0</v>
      </c>
      <c r="P225" s="159">
        <f t="shared" si="234"/>
        <v>0</v>
      </c>
      <c r="Q225" s="38">
        <f t="shared" si="233"/>
        <v>0</v>
      </c>
      <c r="R225" s="40">
        <f t="shared" si="233"/>
        <v>0</v>
      </c>
      <c r="S225" s="38">
        <f t="shared" si="233"/>
        <v>0</v>
      </c>
      <c r="T225" s="38">
        <f t="shared" si="233"/>
        <v>0</v>
      </c>
      <c r="U225" s="38">
        <f t="shared" si="233"/>
        <v>0</v>
      </c>
      <c r="V225" s="159">
        <f t="shared" si="233"/>
        <v>0</v>
      </c>
      <c r="W225" s="38">
        <f t="shared" si="233"/>
        <v>0</v>
      </c>
      <c r="X225" s="39">
        <f t="shared" si="233"/>
        <v>0</v>
      </c>
      <c r="Y225" s="46">
        <v>0</v>
      </c>
      <c r="Z225" s="46">
        <v>0</v>
      </c>
      <c r="AA225" s="47">
        <v>0</v>
      </c>
      <c r="AB225" s="46">
        <v>0</v>
      </c>
      <c r="AC225" s="46">
        <v>0</v>
      </c>
      <c r="AD225" s="47">
        <v>0</v>
      </c>
      <c r="AE225" s="46">
        <v>0</v>
      </c>
      <c r="AF225" s="46">
        <v>0</v>
      </c>
      <c r="AG225" s="47">
        <v>0</v>
      </c>
      <c r="AH225" s="46">
        <v>0</v>
      </c>
      <c r="AI225" s="46">
        <v>0</v>
      </c>
      <c r="AJ225" s="47">
        <v>0</v>
      </c>
      <c r="AK225" s="46">
        <v>0</v>
      </c>
      <c r="AL225" s="46">
        <v>0</v>
      </c>
      <c r="AM225" s="47">
        <v>0</v>
      </c>
      <c r="AN225" s="46">
        <v>0</v>
      </c>
      <c r="AO225" s="46">
        <v>0</v>
      </c>
      <c r="AP225" s="47">
        <v>0</v>
      </c>
      <c r="AQ225" s="46">
        <v>0</v>
      </c>
      <c r="AR225" s="46">
        <v>0</v>
      </c>
      <c r="AS225" s="47">
        <v>0</v>
      </c>
      <c r="AT225" s="46">
        <v>0</v>
      </c>
      <c r="AU225" s="46">
        <v>0</v>
      </c>
      <c r="AV225" s="46">
        <v>0</v>
      </c>
      <c r="AW225" s="1545">
        <v>0</v>
      </c>
      <c r="AX225" s="10">
        <f t="shared" si="232"/>
        <v>22</v>
      </c>
      <c r="AY225" s="42">
        <f>IF(AND($E225=MONTH(Summary!$E$24),$D225=YEAR(Summary!$E$24)),Summary!$E$25,1)*IF(G225="",0,INT((H225-MOD(H225,7)-G225)/7)+1-IF(BA225,IF(WEEKDAY(F225)=7,1,0),0))</f>
        <v>4</v>
      </c>
      <c r="AZ225" s="42">
        <f>IF(AND($E225=MONTH(Summary!$E$24),$D225=YEAR(Summary!$E$24)),Summary!$E$25,1)*IF(G225="",0,INT((H225-MOD(H225-1,7)-G225)/7)+1-IF(BA225,IF(WEEKDAY(F225)=1,1,0),0))</f>
        <v>4</v>
      </c>
      <c r="BA225" s="42">
        <v>1</v>
      </c>
      <c r="BB225" s="10">
        <f>IF(AND($E225=MONTH(Summary!$E$24),$D225=YEAR(Summary!$E$24)),Summary!$E$25,1)*IF(G225="",0,H225-G225+1)</f>
        <v>31</v>
      </c>
      <c r="BC225" s="914">
        <f>Summary!$E$19</f>
        <v>1.4999999999999999E-2</v>
      </c>
      <c r="BD225" s="113">
        <v>15602.4</v>
      </c>
      <c r="BE225" s="171">
        <v>2836.8</v>
      </c>
      <c r="BF225" s="171">
        <v>3546</v>
      </c>
      <c r="BG225" s="174"/>
      <c r="BH225" s="1198">
        <v>1</v>
      </c>
      <c r="BI225" s="1198">
        <v>1</v>
      </c>
      <c r="BJ225" s="1198">
        <v>1</v>
      </c>
      <c r="BK225" s="1198">
        <v>1</v>
      </c>
      <c r="BL225" s="95">
        <v>3120.48</v>
      </c>
      <c r="BM225" s="171">
        <v>567.36</v>
      </c>
      <c r="BN225" s="171">
        <v>709.2</v>
      </c>
      <c r="BO225" s="174"/>
      <c r="BP225" s="1198">
        <v>1</v>
      </c>
      <c r="BQ225" s="1199">
        <v>1</v>
      </c>
      <c r="BR225" s="1199">
        <v>1</v>
      </c>
      <c r="BS225" s="1200">
        <v>1</v>
      </c>
      <c r="BT225" s="94">
        <f t="shared" si="209"/>
        <v>21985.200000000001</v>
      </c>
      <c r="BU225" s="233">
        <f t="shared" si="210"/>
        <v>21985.200000000001</v>
      </c>
      <c r="BV225" s="92">
        <f t="shared" si="211"/>
        <v>4397.04</v>
      </c>
      <c r="BW225" s="233">
        <f t="shared" si="212"/>
        <v>4397.04</v>
      </c>
      <c r="BX225" s="88">
        <v>17.377138945927445</v>
      </c>
      <c r="BY225" s="90">
        <v>0</v>
      </c>
      <c r="BZ225" s="88">
        <v>0</v>
      </c>
      <c r="CA225" s="88">
        <v>0</v>
      </c>
      <c r="CB225" s="88">
        <v>0</v>
      </c>
      <c r="CC225" s="88">
        <v>0</v>
      </c>
      <c r="CD225" s="88">
        <v>0</v>
      </c>
      <c r="CE225" s="100">
        <v>0</v>
      </c>
      <c r="CF225" s="88">
        <v>0</v>
      </c>
      <c r="CG225" s="88">
        <v>0</v>
      </c>
      <c r="CH225" s="88">
        <v>0</v>
      </c>
      <c r="CI225" s="88">
        <v>0</v>
      </c>
      <c r="CJ225" s="228">
        <v>0</v>
      </c>
      <c r="CK225" s="88">
        <v>0</v>
      </c>
      <c r="CL225" s="88">
        <v>0</v>
      </c>
      <c r="CM225" s="88">
        <v>0</v>
      </c>
      <c r="CN225" s="88">
        <v>0</v>
      </c>
      <c r="CO225" s="88">
        <v>0</v>
      </c>
      <c r="CP225" s="88">
        <v>0</v>
      </c>
      <c r="CQ225" s="229">
        <v>0</v>
      </c>
      <c r="CR225" s="91">
        <v>0</v>
      </c>
      <c r="CS225" s="91">
        <v>0</v>
      </c>
      <c r="CT225" s="91">
        <v>0</v>
      </c>
      <c r="CU225" s="91">
        <v>0</v>
      </c>
      <c r="CV225" s="91">
        <v>0</v>
      </c>
      <c r="CW225" s="91">
        <v>0</v>
      </c>
      <c r="CX225" s="225">
        <v>0</v>
      </c>
      <c r="CY225" s="1265">
        <v>7698.5263199999999</v>
      </c>
      <c r="CZ225" s="90">
        <v>0</v>
      </c>
      <c r="DA225" s="88">
        <v>0</v>
      </c>
      <c r="DB225" s="88">
        <v>0</v>
      </c>
      <c r="DC225" s="88">
        <v>0</v>
      </c>
      <c r="DD225" s="88">
        <v>0</v>
      </c>
      <c r="DE225" s="152">
        <v>0</v>
      </c>
      <c r="DF225" s="230">
        <v>0</v>
      </c>
      <c r="DG225" s="38">
        <v>0</v>
      </c>
      <c r="DH225" s="1237">
        <v>0</v>
      </c>
      <c r="DI225" s="956">
        <v>0</v>
      </c>
      <c r="DJ225" s="956">
        <v>0</v>
      </c>
      <c r="DK225" s="956">
        <v>0</v>
      </c>
      <c r="DL225" s="152">
        <v>0</v>
      </c>
      <c r="DM225" s="160">
        <v>0</v>
      </c>
      <c r="DN225" s="160">
        <v>0</v>
      </c>
      <c r="DO225" s="160">
        <v>0</v>
      </c>
      <c r="DP225" s="160">
        <v>0</v>
      </c>
      <c r="DQ225" s="160">
        <v>0</v>
      </c>
      <c r="DR225" s="230">
        <v>0</v>
      </c>
      <c r="DS225" s="88">
        <v>0</v>
      </c>
      <c r="DT225" s="88">
        <v>0</v>
      </c>
      <c r="DU225" s="88">
        <v>0</v>
      </c>
      <c r="DV225" s="88">
        <v>0</v>
      </c>
      <c r="DW225" s="88">
        <v>0</v>
      </c>
      <c r="DX225" s="88">
        <v>0</v>
      </c>
      <c r="DY225" s="88">
        <v>0</v>
      </c>
      <c r="DZ225" s="88">
        <v>0</v>
      </c>
      <c r="EA225" s="88">
        <v>0</v>
      </c>
      <c r="EB225" s="152">
        <v>0</v>
      </c>
      <c r="EC225" s="52">
        <f t="shared" si="213"/>
        <v>0</v>
      </c>
      <c r="ED225" s="52">
        <f t="shared" si="213"/>
        <v>0</v>
      </c>
      <c r="EE225" s="52">
        <f t="shared" si="213"/>
        <v>0</v>
      </c>
      <c r="EF225" s="52">
        <f t="shared" si="186"/>
        <v>0</v>
      </c>
      <c r="EG225" s="52">
        <f t="shared" si="214"/>
        <v>0</v>
      </c>
      <c r="EH225" s="238">
        <v>0</v>
      </c>
      <c r="EI225" s="211">
        <v>0</v>
      </c>
      <c r="EJ225" s="211">
        <v>0</v>
      </c>
      <c r="EK225" s="211">
        <v>0</v>
      </c>
      <c r="EL225" s="217">
        <f>IF(C225&gt;=Summary!$E$26,MAX(0,SUM(EH225:EK225)),0)</f>
        <v>0</v>
      </c>
      <c r="EM225" s="52">
        <f>IF(C225&gt;=Summary!$E$26,DX225*BL225,0)</f>
        <v>0</v>
      </c>
      <c r="EN225" s="52">
        <f>IF(C225&gt;=Summary!$E$26,DY225*BM225,0)</f>
        <v>0</v>
      </c>
      <c r="EO225" s="52">
        <f>IF(C225&gt;=Summary!$E$26,DZ225*BN225,0)</f>
        <v>0</v>
      </c>
      <c r="EP225" s="52">
        <f>IF(C225&gt;=Summary!$E$26,EA225*BO225,0)</f>
        <v>0</v>
      </c>
      <c r="EQ225" s="52">
        <f>IF(C225&gt;=Summary!$E$26,DX225*BL225+DY225*BM225+DZ225*BN225+EA225*BO225,0)</f>
        <v>0</v>
      </c>
      <c r="ER225" s="826">
        <v>0</v>
      </c>
      <c r="ES225" s="278">
        <v>0</v>
      </c>
      <c r="ET225" s="278">
        <v>0</v>
      </c>
      <c r="EU225" s="278">
        <v>0</v>
      </c>
      <c r="EV225" s="212">
        <f>IF(C225&gt;=Summary!$E$26,MAX(0,SUM(ER225:EU225)),0)</f>
        <v>0</v>
      </c>
      <c r="EW225" s="52"/>
      <c r="EX225" s="1049">
        <f t="shared" si="215"/>
        <v>0</v>
      </c>
      <c r="EY225" s="1045" t="str">
        <f t="shared" si="216"/>
        <v/>
      </c>
      <c r="EZ225" s="1684" t="s">
        <v>525</v>
      </c>
      <c r="FA225" s="1046">
        <f t="shared" si="229"/>
        <v>45</v>
      </c>
      <c r="FB225" s="256">
        <f t="shared" si="217"/>
        <v>11701.8</v>
      </c>
      <c r="FC225" s="194">
        <f t="shared" si="218"/>
        <v>0</v>
      </c>
      <c r="FD225" s="194">
        <f t="shared" si="219"/>
        <v>2127.6</v>
      </c>
      <c r="FE225" s="194">
        <f t="shared" si="220"/>
        <v>0</v>
      </c>
      <c r="FF225" s="194">
        <f t="shared" si="221"/>
        <v>2659.5</v>
      </c>
      <c r="FG225" s="194">
        <f t="shared" si="222"/>
        <v>0</v>
      </c>
      <c r="FH225" s="257">
        <f>IF(EZ225="No",IF((OR(MONTH(C225)=5,MONTH(C225)=6,MONTH(C225)=7,MONTH(C225)=8,MONTH(C225)=9)),Summary!$O$15*12*(AX225+AY225+AZ225+BA225)*(1-$BC225),Summary!$O$15*13*(AX225+AY225+AZ225+BA225)*(1-$BC225)+IF(Summary!$O$16="Yes",(CALC!FA225+Summary!$O$15)*6*(AX225+AY225+AZ225+BA225)*(1-$BC225),0)),0)</f>
        <v>0</v>
      </c>
      <c r="FI225" s="1412">
        <f>IF(MONTH(C225)=5,FI224*(IF(Summary!$E$70="no",(1+(Summary!$E$71*0.8)),1+HLOOKUP(YEAR(C225)-1,CCFMODEL!$I$127:$AF$128,2)*0.8)),+FI224)</f>
        <v>40.768327108615125</v>
      </c>
      <c r="FJ225" s="1411">
        <f>IF(MONTH(C225)=5,FJ224*(IF(Summary!$E$70="no",(1+(Summary!$E$71*0.8)),1+HLOOKUP(YEAR(CALC!C225)-1,CCFMODEL!$I$127:$AF$128,2)*0.8)),FJ224)</f>
        <v>35.632159913828964</v>
      </c>
      <c r="FK225" s="832">
        <f t="shared" si="187"/>
        <v>672224.86886124394</v>
      </c>
      <c r="FL225" s="1412">
        <f>IF(MONTH(C225)=5,FL224*(IF(Summary!$E$70="no",(1+(Summary!$E$71*0.8)),1+HLOOKUP(YEAR(CALC!C225)-1,CCFMODEL!$I$127:$AF$128,2)*0.8)),+FL224)</f>
        <v>85.740362486772455</v>
      </c>
      <c r="FM225" s="1411">
        <f>IF(MONTH(C225)=5,FM224*(IF(Summary!$E$70="no",(1+(Summary!$E$71*0.8)),1+HLOOKUP(YEAR(CALC!C225)-1,CCFMODEL!$I$127:$AF$128,2)*0.8)),+FM224)</f>
        <v>40.921189227507561</v>
      </c>
      <c r="FN225" s="832">
        <f t="shared" si="188"/>
        <v>1435293.6680285709</v>
      </c>
      <c r="FO225" s="194">
        <f t="shared" si="223"/>
        <v>2107518.5368898148</v>
      </c>
      <c r="FP225" s="263">
        <f t="shared" si="189"/>
        <v>11701.8</v>
      </c>
      <c r="FQ225" s="194">
        <f t="shared" si="190"/>
        <v>0</v>
      </c>
      <c r="FR225" s="194">
        <f t="shared" si="191"/>
        <v>2127.6</v>
      </c>
      <c r="FS225" s="194">
        <f t="shared" si="176"/>
        <v>0</v>
      </c>
      <c r="FT225" s="194">
        <f t="shared" si="176"/>
        <v>2659.5</v>
      </c>
      <c r="FU225" s="194">
        <f t="shared" si="176"/>
        <v>0</v>
      </c>
      <c r="FV225" s="257">
        <f t="shared" si="176"/>
        <v>0</v>
      </c>
      <c r="FW225" s="189">
        <f t="shared" si="192"/>
        <v>0</v>
      </c>
      <c r="FX225" s="189">
        <f t="shared" si="193"/>
        <v>0</v>
      </c>
      <c r="FY225" s="189">
        <f t="shared" si="194"/>
        <v>0</v>
      </c>
      <c r="FZ225" s="258">
        <f t="shared" si="195"/>
        <v>0</v>
      </c>
      <c r="GA225" s="1294">
        <f>(SUM(FP225:FV225)+SUM(GU225:HB225)/(1-Summary!$O$25))*CY225/1000</f>
        <v>203104.3690205568</v>
      </c>
      <c r="GB225" s="1369">
        <f>IF($C225&lt;Summary!$M$81,+Summary!$O$81,VLOOKUP(C225,GasTable,19))</f>
        <v>3.4256371851680401</v>
      </c>
      <c r="GC225" s="1370">
        <f>IF(H225&lt;=Summary!$N$84,MIN(GA225,Summary!$O$75*(H225-G225+1)),0)</f>
        <v>0</v>
      </c>
      <c r="GD225" s="1371">
        <f>IF(C225&lt;Summary!$N$84,IF(Summary!$O$75*(H225-G225+1)*0.8&gt;GC225,1,0),0)</f>
        <v>0</v>
      </c>
      <c r="GE225" s="1372">
        <v>0</v>
      </c>
      <c r="GF225" s="1370">
        <f t="shared" si="224"/>
        <v>203104.3690205568</v>
      </c>
      <c r="GG225" s="1371">
        <f>GF225*(IF(Summary!$O$74=1,VLOOKUP($C225,GasTable,16)+Summary!$O$92+Summary!$O$93,VLOOKUP($C225,GasTable,19)+Summary!$O$92+Summary!$O$93))</f>
        <v>706343.61661288212</v>
      </c>
      <c r="GH225" s="1373">
        <v>5309.7376370104621</v>
      </c>
      <c r="GI225" s="1466">
        <v>0</v>
      </c>
      <c r="GJ225" s="1374">
        <f t="shared" si="225"/>
        <v>711653.35424989264</v>
      </c>
      <c r="GK225" s="189">
        <f t="shared" si="196"/>
        <v>26035.973100000007</v>
      </c>
      <c r="GL225" s="266">
        <v>0.5158012634400001</v>
      </c>
      <c r="GM225" s="255">
        <f t="shared" si="197"/>
        <v>0</v>
      </c>
      <c r="GN225" s="189">
        <f>IF(SUM(GU225:HB225)=0,0,IF(Summary!$O$16="Yes",SUM(GX225:HB225),IF(Summary!$O$17="Yes",SUM(GY225:HB225),SUM(GU225:HB225))))</f>
        <v>9547.0730999999996</v>
      </c>
      <c r="GO225" s="203">
        <v>3.932993167025034</v>
      </c>
      <c r="GP225" s="258">
        <f t="shared" si="226"/>
        <v>37548.573267388507</v>
      </c>
      <c r="GQ225" s="189"/>
      <c r="GR225" s="189"/>
      <c r="GS225" s="189"/>
      <c r="GT225" s="189"/>
      <c r="GU225" s="268">
        <v>3764.0790000000002</v>
      </c>
      <c r="GV225" s="189">
        <v>684.37800000000027</v>
      </c>
      <c r="GW225" s="189">
        <v>855.47249999999997</v>
      </c>
      <c r="GX225" s="189"/>
      <c r="GY225" s="254">
        <v>3011.2631999999999</v>
      </c>
      <c r="GZ225" s="189">
        <v>547.50239999999997</v>
      </c>
      <c r="HA225" s="189">
        <v>684.37800000000004</v>
      </c>
      <c r="HB225" s="255"/>
      <c r="HC225" s="189">
        <v>9547.0730999999996</v>
      </c>
      <c r="HD225" s="189"/>
      <c r="HE225" s="189">
        <v>22276.5039</v>
      </c>
      <c r="HF225" s="189">
        <v>413145.14519460505</v>
      </c>
      <c r="HG225" s="189"/>
      <c r="HH225" s="203">
        <v>43.845525668045909</v>
      </c>
      <c r="HI225" s="189">
        <v>976725.02354177483</v>
      </c>
      <c r="HJ225" s="268">
        <f t="shared" si="198"/>
        <v>0</v>
      </c>
      <c r="HK225" s="189">
        <f t="shared" si="199"/>
        <v>0</v>
      </c>
      <c r="HL225" s="189">
        <f t="shared" si="200"/>
        <v>0</v>
      </c>
      <c r="HM225" s="255">
        <f t="shared" si="201"/>
        <v>0</v>
      </c>
      <c r="HN225" s="189">
        <f t="shared" si="202"/>
        <v>0</v>
      </c>
      <c r="HO225" s="203">
        <f t="shared" si="227"/>
        <v>0</v>
      </c>
      <c r="HP225" s="258">
        <f t="shared" si="203"/>
        <v>0</v>
      </c>
      <c r="HQ225" s="203"/>
      <c r="HR225" s="268"/>
      <c r="HS225" s="1408"/>
      <c r="HT225" s="255"/>
      <c r="HU225" s="268"/>
      <c r="HV225" s="1408"/>
      <c r="HW225" s="255"/>
      <c r="HX225" s="1408"/>
      <c r="HY225" s="1408"/>
      <c r="HZ225"/>
      <c r="IA225" s="203"/>
      <c r="IB225" s="203"/>
      <c r="IC225" s="203"/>
      <c r="ID225" s="203"/>
      <c r="IE225" s="203"/>
      <c r="IF225" s="203"/>
      <c r="IG225" s="203"/>
      <c r="IH225" s="203"/>
      <c r="II225" s="203"/>
      <c r="IJ225" s="203"/>
      <c r="IK225" s="203"/>
      <c r="IL225" s="821"/>
      <c r="IM225" s="820"/>
      <c r="IN225" s="820"/>
      <c r="IR225" s="223"/>
    </row>
    <row r="226" spans="1:252" ht="13.8" thickBot="1">
      <c r="A226" t="str">
        <f t="shared" si="204"/>
        <v>2017Q2</v>
      </c>
      <c r="B226">
        <f t="shared" si="205"/>
        <v>2017</v>
      </c>
      <c r="C226" s="49">
        <f t="shared" si="206"/>
        <v>42887</v>
      </c>
      <c r="D226" s="115">
        <f t="shared" si="207"/>
        <v>2017</v>
      </c>
      <c r="E226" s="10">
        <f t="shared" si="230"/>
        <v>6</v>
      </c>
      <c r="F226" s="248" t="str">
        <f t="shared" si="231"/>
        <v/>
      </c>
      <c r="G226" s="245">
        <v>42887</v>
      </c>
      <c r="H226" s="251">
        <v>42916</v>
      </c>
      <c r="I226" s="959">
        <f t="shared" si="228"/>
        <v>7.1499999999999994E-2</v>
      </c>
      <c r="J226" s="37">
        <f t="shared" si="208"/>
        <v>0.29049789299076162</v>
      </c>
      <c r="K226" s="1036"/>
      <c r="L226" s="37"/>
      <c r="M226" s="1004">
        <v>0</v>
      </c>
      <c r="N226" s="38">
        <f t="shared" si="184"/>
        <v>0</v>
      </c>
      <c r="O226" s="40">
        <f t="shared" si="184"/>
        <v>0</v>
      </c>
      <c r="P226" s="159">
        <f t="shared" si="234"/>
        <v>0</v>
      </c>
      <c r="Q226" s="38">
        <f t="shared" si="233"/>
        <v>0</v>
      </c>
      <c r="R226" s="40">
        <f t="shared" si="233"/>
        <v>0</v>
      </c>
      <c r="S226" s="38">
        <f t="shared" si="233"/>
        <v>0</v>
      </c>
      <c r="T226" s="38">
        <f t="shared" si="233"/>
        <v>0</v>
      </c>
      <c r="U226" s="38">
        <f t="shared" si="233"/>
        <v>0</v>
      </c>
      <c r="V226" s="159">
        <f t="shared" si="233"/>
        <v>0</v>
      </c>
      <c r="W226" s="38">
        <f t="shared" si="233"/>
        <v>0</v>
      </c>
      <c r="X226" s="39">
        <f t="shared" si="233"/>
        <v>0</v>
      </c>
      <c r="Y226" s="46">
        <v>0</v>
      </c>
      <c r="Z226" s="46">
        <v>0</v>
      </c>
      <c r="AA226" s="47">
        <v>0</v>
      </c>
      <c r="AB226" s="46">
        <v>0</v>
      </c>
      <c r="AC226" s="46">
        <v>0</v>
      </c>
      <c r="AD226" s="47">
        <v>0</v>
      </c>
      <c r="AE226" s="46">
        <v>0</v>
      </c>
      <c r="AF226" s="46">
        <v>0</v>
      </c>
      <c r="AG226" s="47">
        <v>0</v>
      </c>
      <c r="AH226" s="46">
        <v>0</v>
      </c>
      <c r="AI226" s="46">
        <v>0</v>
      </c>
      <c r="AJ226" s="47">
        <v>0</v>
      </c>
      <c r="AK226" s="46">
        <v>0</v>
      </c>
      <c r="AL226" s="46">
        <v>0</v>
      </c>
      <c r="AM226" s="47">
        <v>0</v>
      </c>
      <c r="AN226" s="46">
        <v>0</v>
      </c>
      <c r="AO226" s="46">
        <v>0</v>
      </c>
      <c r="AP226" s="47">
        <v>0</v>
      </c>
      <c r="AQ226" s="46">
        <v>0</v>
      </c>
      <c r="AR226" s="46">
        <v>0</v>
      </c>
      <c r="AS226" s="47">
        <v>0</v>
      </c>
      <c r="AT226" s="46">
        <v>0</v>
      </c>
      <c r="AU226" s="46">
        <v>0</v>
      </c>
      <c r="AV226" s="46">
        <v>0</v>
      </c>
      <c r="AW226" s="1545">
        <v>0</v>
      </c>
      <c r="AX226" s="10">
        <f t="shared" si="232"/>
        <v>22</v>
      </c>
      <c r="AY226" s="42">
        <f>IF(AND($E226=MONTH(Summary!$E$24),$D226=YEAR(Summary!$E$24)),Summary!$E$25,1)*IF(G226="",0,INT((H226-MOD(H226,7)-G226)/7)+1-IF(BA226,IF(WEEKDAY(F226)=7,1,0),0))</f>
        <v>4</v>
      </c>
      <c r="AZ226" s="42">
        <f>IF(AND($E226=MONTH(Summary!$E$24),$D226=YEAR(Summary!$E$24)),Summary!$E$25,1)*IF(G226="",0,INT((H226-MOD(H226-1,7)-G226)/7)+1-IF(BA226,IF(WEEKDAY(F226)=1,1,0),0))</f>
        <v>4</v>
      </c>
      <c r="BA226" s="42">
        <v>0</v>
      </c>
      <c r="BB226" s="10">
        <f>IF(AND($E226=MONTH(Summary!$E$24),$D226=YEAR(Summary!$E$24)),Summary!$E$25,1)*IF(G226="",0,H226-G226+1)</f>
        <v>30</v>
      </c>
      <c r="BC226" s="914">
        <f>Summary!$E$19</f>
        <v>1.4999999999999999E-2</v>
      </c>
      <c r="BD226" s="113">
        <v>15602.4</v>
      </c>
      <c r="BE226" s="171">
        <v>2836.8</v>
      </c>
      <c r="BF226" s="171">
        <v>2836.8</v>
      </c>
      <c r="BG226" s="174"/>
      <c r="BH226" s="1198">
        <v>1</v>
      </c>
      <c r="BI226" s="1198">
        <v>1</v>
      </c>
      <c r="BJ226" s="1198">
        <v>1</v>
      </c>
      <c r="BK226" s="1198">
        <v>1</v>
      </c>
      <c r="BL226" s="95">
        <v>3120.48</v>
      </c>
      <c r="BM226" s="171">
        <v>567.36</v>
      </c>
      <c r="BN226" s="171">
        <v>567.36</v>
      </c>
      <c r="BO226" s="174"/>
      <c r="BP226" s="1198">
        <v>1</v>
      </c>
      <c r="BQ226" s="1199">
        <v>1</v>
      </c>
      <c r="BR226" s="1199">
        <v>1</v>
      </c>
      <c r="BS226" s="1200">
        <v>1</v>
      </c>
      <c r="BT226" s="94">
        <f t="shared" si="209"/>
        <v>21276</v>
      </c>
      <c r="BU226" s="233">
        <f t="shared" si="210"/>
        <v>21276</v>
      </c>
      <c r="BV226" s="92">
        <f t="shared" si="211"/>
        <v>4255.2</v>
      </c>
      <c r="BW226" s="233">
        <f t="shared" si="212"/>
        <v>4255.2</v>
      </c>
      <c r="BX226" s="88">
        <v>17.462012320328544</v>
      </c>
      <c r="BY226" s="90">
        <v>0</v>
      </c>
      <c r="BZ226" s="88">
        <v>0</v>
      </c>
      <c r="CA226" s="88">
        <v>0</v>
      </c>
      <c r="CB226" s="88">
        <v>0</v>
      </c>
      <c r="CC226" s="88">
        <v>0</v>
      </c>
      <c r="CD226" s="88">
        <v>0</v>
      </c>
      <c r="CE226" s="100">
        <v>0</v>
      </c>
      <c r="CF226" s="88">
        <v>0</v>
      </c>
      <c r="CG226" s="88">
        <v>0</v>
      </c>
      <c r="CH226" s="88">
        <v>0</v>
      </c>
      <c r="CI226" s="88">
        <v>0</v>
      </c>
      <c r="CJ226" s="228">
        <v>0</v>
      </c>
      <c r="CK226" s="88">
        <v>0</v>
      </c>
      <c r="CL226" s="88">
        <v>0</v>
      </c>
      <c r="CM226" s="88">
        <v>0</v>
      </c>
      <c r="CN226" s="88">
        <v>0</v>
      </c>
      <c r="CO226" s="88">
        <v>0</v>
      </c>
      <c r="CP226" s="88">
        <v>0</v>
      </c>
      <c r="CQ226" s="229">
        <v>0</v>
      </c>
      <c r="CR226" s="91">
        <v>0</v>
      </c>
      <c r="CS226" s="91">
        <v>0</v>
      </c>
      <c r="CT226" s="91">
        <v>0</v>
      </c>
      <c r="CU226" s="91">
        <v>0</v>
      </c>
      <c r="CV226" s="91">
        <v>0</v>
      </c>
      <c r="CW226" s="91">
        <v>0</v>
      </c>
      <c r="CX226" s="225">
        <v>0</v>
      </c>
      <c r="CY226" s="1265">
        <v>7700.55728</v>
      </c>
      <c r="CZ226" s="90">
        <v>0</v>
      </c>
      <c r="DA226" s="88">
        <v>0</v>
      </c>
      <c r="DB226" s="88">
        <v>0</v>
      </c>
      <c r="DC226" s="88">
        <v>0</v>
      </c>
      <c r="DD226" s="88">
        <v>0</v>
      </c>
      <c r="DE226" s="152">
        <v>0</v>
      </c>
      <c r="DF226" s="230">
        <v>0</v>
      </c>
      <c r="DG226" s="38">
        <v>0</v>
      </c>
      <c r="DH226" s="1237">
        <v>0</v>
      </c>
      <c r="DI226" s="956">
        <v>0</v>
      </c>
      <c r="DJ226" s="956">
        <v>0</v>
      </c>
      <c r="DK226" s="956">
        <v>0</v>
      </c>
      <c r="DL226" s="152">
        <v>0</v>
      </c>
      <c r="DM226" s="160">
        <v>0</v>
      </c>
      <c r="DN226" s="160">
        <v>0</v>
      </c>
      <c r="DO226" s="160">
        <v>0</v>
      </c>
      <c r="DP226" s="160">
        <v>0</v>
      </c>
      <c r="DQ226" s="160">
        <v>0</v>
      </c>
      <c r="DR226" s="230">
        <v>0</v>
      </c>
      <c r="DS226" s="88">
        <v>0</v>
      </c>
      <c r="DT226" s="88">
        <v>0</v>
      </c>
      <c r="DU226" s="88">
        <v>0</v>
      </c>
      <c r="DV226" s="88">
        <v>0</v>
      </c>
      <c r="DW226" s="88">
        <v>0</v>
      </c>
      <c r="DX226" s="88">
        <v>0</v>
      </c>
      <c r="DY226" s="88">
        <v>0</v>
      </c>
      <c r="DZ226" s="88">
        <v>0</v>
      </c>
      <c r="EA226" s="88">
        <v>0</v>
      </c>
      <c r="EB226" s="152">
        <v>0</v>
      </c>
      <c r="EC226" s="52">
        <f t="shared" si="213"/>
        <v>0</v>
      </c>
      <c r="ED226" s="52">
        <f t="shared" si="213"/>
        <v>0</v>
      </c>
      <c r="EE226" s="52">
        <f t="shared" si="213"/>
        <v>0</v>
      </c>
      <c r="EF226" s="52">
        <f t="shared" si="186"/>
        <v>0</v>
      </c>
      <c r="EG226" s="52">
        <f t="shared" si="214"/>
        <v>0</v>
      </c>
      <c r="EH226" s="238">
        <v>0</v>
      </c>
      <c r="EI226" s="211">
        <v>0</v>
      </c>
      <c r="EJ226" s="211">
        <v>0</v>
      </c>
      <c r="EK226" s="211">
        <v>0</v>
      </c>
      <c r="EL226" s="217">
        <f>IF(C226&gt;=Summary!$E$26,MAX(0,SUM(EH226:EK226)),0)</f>
        <v>0</v>
      </c>
      <c r="EM226" s="52">
        <f>IF(C226&gt;=Summary!$E$26,DX226*BL226,0)</f>
        <v>0</v>
      </c>
      <c r="EN226" s="52">
        <f>IF(C226&gt;=Summary!$E$26,DY226*BM226,0)</f>
        <v>0</v>
      </c>
      <c r="EO226" s="52">
        <f>IF(C226&gt;=Summary!$E$26,DZ226*BN226,0)</f>
        <v>0</v>
      </c>
      <c r="EP226" s="52">
        <f>IF(C226&gt;=Summary!$E$26,EA226*BO226,0)</f>
        <v>0</v>
      </c>
      <c r="EQ226" s="52">
        <f>IF(C226&gt;=Summary!$E$26,DX226*BL226+DY226*BM226+DZ226*BN226+EA226*BO226,0)</f>
        <v>0</v>
      </c>
      <c r="ER226" s="826">
        <v>0</v>
      </c>
      <c r="ES226" s="278">
        <v>0</v>
      </c>
      <c r="ET226" s="278">
        <v>0</v>
      </c>
      <c r="EU226" s="278">
        <v>0</v>
      </c>
      <c r="EV226" s="212">
        <f>IF(C226&gt;=Summary!$E$26,MAX(0,SUM(ER226:EU226)),0)</f>
        <v>0</v>
      </c>
      <c r="EW226" s="52"/>
      <c r="EX226" s="1049">
        <f t="shared" si="215"/>
        <v>0</v>
      </c>
      <c r="EY226" s="1045" t="str">
        <f t="shared" si="216"/>
        <v/>
      </c>
      <c r="EZ226" s="1684" t="s">
        <v>525</v>
      </c>
      <c r="FA226" s="1046">
        <f t="shared" si="229"/>
        <v>45</v>
      </c>
      <c r="FB226" s="256">
        <f t="shared" si="217"/>
        <v>11701.8</v>
      </c>
      <c r="FC226" s="194">
        <f t="shared" si="218"/>
        <v>0</v>
      </c>
      <c r="FD226" s="194">
        <f t="shared" si="219"/>
        <v>2127.6</v>
      </c>
      <c r="FE226" s="194">
        <f t="shared" si="220"/>
        <v>0</v>
      </c>
      <c r="FF226" s="194">
        <f t="shared" si="221"/>
        <v>2127.6</v>
      </c>
      <c r="FG226" s="194">
        <f t="shared" si="222"/>
        <v>0</v>
      </c>
      <c r="FH226" s="257">
        <f>IF(EZ226="No",IF((OR(MONTH(C226)=5,MONTH(C226)=6,MONTH(C226)=7,MONTH(C226)=8,MONTH(C226)=9)),Summary!$O$15*12*(AX226+AY226+AZ226+BA226)*(1-$BC226),Summary!$O$15*13*(AX226+AY226+AZ226+BA226)*(1-$BC226)+IF(Summary!$O$16="Yes",(CALC!FA226+Summary!$O$15)*6*(AX226+AY226+AZ226+BA226)*(1-$BC226),0)),0)</f>
        <v>0</v>
      </c>
      <c r="FI226" s="1412">
        <f>IF(MONTH(C226)=5,FI225*(IF(Summary!$E$70="no",(1+(Summary!$E$71*0.8)),1+HLOOKUP(YEAR(C226)-1,CCFMODEL!$I$127:$AF$128,2)*0.8)),+FI225)</f>
        <v>40.768327108615125</v>
      </c>
      <c r="FJ226" s="1411">
        <f>IF(MONTH(C226)=5,FJ225*(IF(Summary!$E$70="no",(1+(Summary!$E$71*0.8)),1+HLOOKUP(YEAR(CALC!C226)-1,CCFMODEL!$I$127:$AF$128,2)*0.8)),FJ225)</f>
        <v>35.632159913828964</v>
      </c>
      <c r="FK226" s="832">
        <f t="shared" si="187"/>
        <v>650540.19567217154</v>
      </c>
      <c r="FL226" s="1412">
        <f>IF(MONTH(C226)=5,FL225*(IF(Summary!$E$70="no",(1+(Summary!$E$71*0.8)),1+HLOOKUP(YEAR(CALC!C226)-1,CCFMODEL!$I$127:$AF$128,2)*0.8)),+FL225)</f>
        <v>85.740362486772455</v>
      </c>
      <c r="FM226" s="1411">
        <f>IF(MONTH(C226)=5,FM225*(IF(Summary!$E$70="no",(1+(Summary!$E$71*0.8)),1+HLOOKUP(YEAR(CALC!C226)-1,CCFMODEL!$I$127:$AF$128,2)*0.8)),+FM225)</f>
        <v>40.921189227507561</v>
      </c>
      <c r="FN226" s="832">
        <f t="shared" si="188"/>
        <v>1388993.8722857137</v>
      </c>
      <c r="FO226" s="194">
        <f t="shared" si="223"/>
        <v>2039534.0679578851</v>
      </c>
      <c r="FP226" s="263">
        <f t="shared" si="189"/>
        <v>11701.8</v>
      </c>
      <c r="FQ226" s="194">
        <f t="shared" si="190"/>
        <v>0</v>
      </c>
      <c r="FR226" s="194">
        <f t="shared" si="191"/>
        <v>2127.6</v>
      </c>
      <c r="FS226" s="194">
        <f t="shared" si="176"/>
        <v>0</v>
      </c>
      <c r="FT226" s="194">
        <f t="shared" si="176"/>
        <v>2127.6</v>
      </c>
      <c r="FU226" s="194">
        <f t="shared" si="176"/>
        <v>0</v>
      </c>
      <c r="FV226" s="257">
        <f t="shared" si="176"/>
        <v>0</v>
      </c>
      <c r="FW226" s="189">
        <f t="shared" si="192"/>
        <v>0</v>
      </c>
      <c r="FX226" s="189">
        <f t="shared" si="193"/>
        <v>0</v>
      </c>
      <c r="FY226" s="189">
        <f t="shared" si="194"/>
        <v>0</v>
      </c>
      <c r="FZ226" s="258">
        <f t="shared" si="195"/>
        <v>0</v>
      </c>
      <c r="GA226" s="1294">
        <f>(SUM(FP226:FV226)+SUM(GU226:HB226)/(1-Summary!$O$25))*CY226/1000</f>
        <v>196604.46802713597</v>
      </c>
      <c r="GB226" s="1369">
        <f>IF($C226&lt;Summary!$M$81,+Summary!$O$81,VLOOKUP(C226,GasTable,19))</f>
        <v>3.4670169046770241</v>
      </c>
      <c r="GC226" s="1370">
        <f>IF(H226&lt;=Summary!$N$84,MIN(GA226,Summary!$O$75*(H226-G226+1)),0)</f>
        <v>0</v>
      </c>
      <c r="GD226" s="1371">
        <f>IF(C226&lt;Summary!$N$84,IF(Summary!$O$75*(H226-G226+1)*0.8&gt;GC226,1,0),0)</f>
        <v>0</v>
      </c>
      <c r="GE226" s="1372">
        <v>0</v>
      </c>
      <c r="GF226" s="1370">
        <f t="shared" si="224"/>
        <v>196604.46802713597</v>
      </c>
      <c r="GG226" s="1371">
        <f>GF226*(IF(Summary!$O$74=1,VLOOKUP($C226,GasTable,16)+Summary!$O$92+Summary!$O$93,VLOOKUP($C226,GasTable,19)+Summary!$O$92+Summary!$O$93))</f>
        <v>691874.10696932767</v>
      </c>
      <c r="GH226" s="1373">
        <v>5200.5253570155364</v>
      </c>
      <c r="GI226" s="1466">
        <v>0</v>
      </c>
      <c r="GJ226" s="1374">
        <f t="shared" si="225"/>
        <v>697074.63232634321</v>
      </c>
      <c r="GK226" s="189">
        <f t="shared" si="196"/>
        <v>25196.103000000006</v>
      </c>
      <c r="GL226" s="266">
        <v>0.51593733775999995</v>
      </c>
      <c r="GM226" s="255">
        <f t="shared" si="197"/>
        <v>0</v>
      </c>
      <c r="GN226" s="189">
        <f>IF(SUM(GU226:HB226)=0,0,IF(Summary!$O$16="Yes",SUM(GX226:HB226),IF(Summary!$O$17="Yes",SUM(GY226:HB226),SUM(GU226:HB226))))</f>
        <v>9239.1029999999992</v>
      </c>
      <c r="GO226" s="203">
        <v>3.932993167025034</v>
      </c>
      <c r="GP226" s="258">
        <f t="shared" si="226"/>
        <v>36337.328968440488</v>
      </c>
      <c r="GQ226" s="189"/>
      <c r="GR226" s="189"/>
      <c r="GS226" s="189"/>
      <c r="GT226" s="189"/>
      <c r="GU226" s="268">
        <v>3764.0790000000002</v>
      </c>
      <c r="GV226" s="189">
        <v>684.37800000000027</v>
      </c>
      <c r="GW226" s="189">
        <v>684.37800000000027</v>
      </c>
      <c r="GX226" s="189"/>
      <c r="GY226" s="254">
        <v>3011.2631999999999</v>
      </c>
      <c r="GZ226" s="189">
        <v>547.50239999999997</v>
      </c>
      <c r="HA226" s="189">
        <v>547.50239999999997</v>
      </c>
      <c r="HB226" s="255"/>
      <c r="HC226" s="189">
        <v>9239.1029999999992</v>
      </c>
      <c r="HD226" s="189"/>
      <c r="HE226" s="189">
        <v>21557.906999999999</v>
      </c>
      <c r="HF226" s="189">
        <v>403861.39113964053</v>
      </c>
      <c r="HG226" s="189"/>
      <c r="HH226" s="203">
        <v>45.220844497327427</v>
      </c>
      <c r="HI226" s="189">
        <v>974866.76013484644</v>
      </c>
      <c r="HJ226" s="268">
        <f t="shared" si="198"/>
        <v>0</v>
      </c>
      <c r="HK226" s="189">
        <f t="shared" si="199"/>
        <v>0</v>
      </c>
      <c r="HL226" s="189">
        <f t="shared" si="200"/>
        <v>0</v>
      </c>
      <c r="HM226" s="255">
        <f t="shared" si="201"/>
        <v>0</v>
      </c>
      <c r="HN226" s="189">
        <f t="shared" si="202"/>
        <v>0</v>
      </c>
      <c r="HO226" s="203">
        <f t="shared" si="227"/>
        <v>0</v>
      </c>
      <c r="HP226" s="258">
        <f t="shared" si="203"/>
        <v>0</v>
      </c>
      <c r="HQ226" s="203"/>
      <c r="HR226" s="268"/>
      <c r="HS226" s="1408"/>
      <c r="HT226" s="255"/>
      <c r="HU226" s="268"/>
      <c r="HV226" s="1408"/>
      <c r="HW226" s="255"/>
      <c r="HX226" s="1408"/>
      <c r="HY226" s="1408"/>
      <c r="HZ226"/>
      <c r="IA226" s="203"/>
      <c r="IB226" s="203"/>
      <c r="IC226" s="203"/>
      <c r="ID226" s="203"/>
      <c r="IE226" s="203"/>
      <c r="IF226" s="203"/>
      <c r="IG226" s="203"/>
      <c r="IH226" s="203"/>
      <c r="II226" s="203"/>
      <c r="IJ226" s="203"/>
      <c r="IK226" s="203"/>
      <c r="IL226" s="821"/>
      <c r="IM226" s="820"/>
      <c r="IN226" s="820"/>
      <c r="IR226" s="223"/>
    </row>
    <row r="227" spans="1:252" ht="13.8" thickBot="1">
      <c r="A227" t="str">
        <f t="shared" si="204"/>
        <v>2017Q3</v>
      </c>
      <c r="B227">
        <f t="shared" si="205"/>
        <v>2017</v>
      </c>
      <c r="C227" s="49">
        <f t="shared" si="206"/>
        <v>42917</v>
      </c>
      <c r="D227" s="115">
        <f t="shared" si="207"/>
        <v>2017</v>
      </c>
      <c r="E227" s="10">
        <f t="shared" si="230"/>
        <v>7</v>
      </c>
      <c r="F227" s="248">
        <f t="shared" si="231"/>
        <v>42920</v>
      </c>
      <c r="G227" s="245">
        <v>42917</v>
      </c>
      <c r="H227" s="251">
        <v>42947</v>
      </c>
      <c r="I227" s="959">
        <f t="shared" si="228"/>
        <v>7.1499999999999994E-2</v>
      </c>
      <c r="J227" s="37">
        <f t="shared" si="208"/>
        <v>0.28877095555040527</v>
      </c>
      <c r="K227" s="1036"/>
      <c r="L227" s="37"/>
      <c r="M227" s="1004">
        <v>0</v>
      </c>
      <c r="N227" s="38">
        <f t="shared" si="184"/>
        <v>0</v>
      </c>
      <c r="O227" s="40">
        <f t="shared" si="184"/>
        <v>0</v>
      </c>
      <c r="P227" s="159">
        <f t="shared" si="234"/>
        <v>0</v>
      </c>
      <c r="Q227" s="38">
        <f t="shared" si="233"/>
        <v>0</v>
      </c>
      <c r="R227" s="40">
        <f t="shared" si="233"/>
        <v>0</v>
      </c>
      <c r="S227" s="38">
        <f t="shared" si="233"/>
        <v>0</v>
      </c>
      <c r="T227" s="38">
        <f t="shared" si="233"/>
        <v>0</v>
      </c>
      <c r="U227" s="38">
        <f t="shared" si="233"/>
        <v>0</v>
      </c>
      <c r="V227" s="159">
        <f t="shared" si="233"/>
        <v>0</v>
      </c>
      <c r="W227" s="38">
        <f t="shared" si="233"/>
        <v>0</v>
      </c>
      <c r="X227" s="39">
        <f t="shared" si="233"/>
        <v>0</v>
      </c>
      <c r="Y227" s="46">
        <v>0</v>
      </c>
      <c r="Z227" s="46">
        <v>0</v>
      </c>
      <c r="AA227" s="47">
        <v>0</v>
      </c>
      <c r="AB227" s="46">
        <v>0</v>
      </c>
      <c r="AC227" s="46">
        <v>0</v>
      </c>
      <c r="AD227" s="47">
        <v>0</v>
      </c>
      <c r="AE227" s="46">
        <v>0</v>
      </c>
      <c r="AF227" s="46">
        <v>0</v>
      </c>
      <c r="AG227" s="47">
        <v>0</v>
      </c>
      <c r="AH227" s="46">
        <v>0</v>
      </c>
      <c r="AI227" s="46">
        <v>0</v>
      </c>
      <c r="AJ227" s="47">
        <v>0</v>
      </c>
      <c r="AK227" s="46">
        <v>0</v>
      </c>
      <c r="AL227" s="46">
        <v>0</v>
      </c>
      <c r="AM227" s="47">
        <v>0</v>
      </c>
      <c r="AN227" s="46">
        <v>0</v>
      </c>
      <c r="AO227" s="46">
        <v>0</v>
      </c>
      <c r="AP227" s="47">
        <v>0</v>
      </c>
      <c r="AQ227" s="46">
        <v>0</v>
      </c>
      <c r="AR227" s="46">
        <v>0</v>
      </c>
      <c r="AS227" s="47">
        <v>0</v>
      </c>
      <c r="AT227" s="46">
        <v>0</v>
      </c>
      <c r="AU227" s="46">
        <v>0</v>
      </c>
      <c r="AV227" s="46">
        <v>0</v>
      </c>
      <c r="AW227" s="1545">
        <v>0</v>
      </c>
      <c r="AX227" s="10">
        <f t="shared" si="232"/>
        <v>20</v>
      </c>
      <c r="AY227" s="42">
        <f>IF(AND($E227=MONTH(Summary!$E$24),$D227=YEAR(Summary!$E$24)),Summary!$E$25,1)*IF(G227="",0,INT((H227-MOD(H227,7)-G227)/7)+1-IF(BA227,IF(WEEKDAY(F227)=7,1,0),0))</f>
        <v>5</v>
      </c>
      <c r="AZ227" s="42">
        <f>IF(AND($E227=MONTH(Summary!$E$24),$D227=YEAR(Summary!$E$24)),Summary!$E$25,1)*IF(G227="",0,INT((H227-MOD(H227-1,7)-G227)/7)+1-IF(BA227,IF(WEEKDAY(F227)=1,1,0),0))</f>
        <v>5</v>
      </c>
      <c r="BA227" s="42">
        <v>1</v>
      </c>
      <c r="BB227" s="10">
        <f>IF(AND($E227=MONTH(Summary!$E$24),$D227=YEAR(Summary!$E$24)),Summary!$E$25,1)*IF(G227="",0,H227-G227+1)</f>
        <v>31</v>
      </c>
      <c r="BC227" s="914">
        <f>Summary!$E$19</f>
        <v>1.4999999999999999E-2</v>
      </c>
      <c r="BD227" s="113">
        <v>14184</v>
      </c>
      <c r="BE227" s="171">
        <v>3546</v>
      </c>
      <c r="BF227" s="171">
        <v>4255.2</v>
      </c>
      <c r="BG227" s="174"/>
      <c r="BH227" s="1198">
        <v>1</v>
      </c>
      <c r="BI227" s="1198">
        <v>1</v>
      </c>
      <c r="BJ227" s="1198">
        <v>1</v>
      </c>
      <c r="BK227" s="1198">
        <v>1</v>
      </c>
      <c r="BL227" s="95">
        <v>2836.8</v>
      </c>
      <c r="BM227" s="171">
        <v>709.2</v>
      </c>
      <c r="BN227" s="171">
        <v>851.04</v>
      </c>
      <c r="BO227" s="174"/>
      <c r="BP227" s="1198">
        <v>1</v>
      </c>
      <c r="BQ227" s="1199">
        <v>1</v>
      </c>
      <c r="BR227" s="1199">
        <v>1</v>
      </c>
      <c r="BS227" s="1200">
        <v>1</v>
      </c>
      <c r="BT227" s="94">
        <f t="shared" si="209"/>
        <v>21985.200000000001</v>
      </c>
      <c r="BU227" s="233">
        <f t="shared" si="210"/>
        <v>21985.200000000001</v>
      </c>
      <c r="BV227" s="92">
        <f t="shared" si="211"/>
        <v>4397.04</v>
      </c>
      <c r="BW227" s="233">
        <f t="shared" si="212"/>
        <v>4397.04</v>
      </c>
      <c r="BX227" s="88">
        <v>17.544147843942504</v>
      </c>
      <c r="BY227" s="90">
        <v>0</v>
      </c>
      <c r="BZ227" s="88">
        <v>0</v>
      </c>
      <c r="CA227" s="88">
        <v>0</v>
      </c>
      <c r="CB227" s="88">
        <v>0</v>
      </c>
      <c r="CC227" s="88">
        <v>0</v>
      </c>
      <c r="CD227" s="88">
        <v>0</v>
      </c>
      <c r="CE227" s="100">
        <v>0</v>
      </c>
      <c r="CF227" s="88">
        <v>0</v>
      </c>
      <c r="CG227" s="88">
        <v>0</v>
      </c>
      <c r="CH227" s="88">
        <v>0</v>
      </c>
      <c r="CI227" s="88">
        <v>0</v>
      </c>
      <c r="CJ227" s="228">
        <v>0</v>
      </c>
      <c r="CK227" s="88">
        <v>0</v>
      </c>
      <c r="CL227" s="88">
        <v>0</v>
      </c>
      <c r="CM227" s="88">
        <v>0</v>
      </c>
      <c r="CN227" s="88">
        <v>0</v>
      </c>
      <c r="CO227" s="88">
        <v>0</v>
      </c>
      <c r="CP227" s="88">
        <v>0</v>
      </c>
      <c r="CQ227" s="229">
        <v>0</v>
      </c>
      <c r="CR227" s="91">
        <v>0</v>
      </c>
      <c r="CS227" s="91">
        <v>0</v>
      </c>
      <c r="CT227" s="91">
        <v>0</v>
      </c>
      <c r="CU227" s="91">
        <v>0</v>
      </c>
      <c r="CV227" s="91">
        <v>0</v>
      </c>
      <c r="CW227" s="91">
        <v>0</v>
      </c>
      <c r="CX227" s="225">
        <v>0</v>
      </c>
      <c r="CY227" s="1265">
        <v>7702.5882399999991</v>
      </c>
      <c r="CZ227" s="90">
        <v>0</v>
      </c>
      <c r="DA227" s="88">
        <v>0</v>
      </c>
      <c r="DB227" s="88">
        <v>0</v>
      </c>
      <c r="DC227" s="88">
        <v>0</v>
      </c>
      <c r="DD227" s="88">
        <v>0</v>
      </c>
      <c r="DE227" s="152">
        <v>0</v>
      </c>
      <c r="DF227" s="230">
        <v>0</v>
      </c>
      <c r="DG227" s="38">
        <v>0</v>
      </c>
      <c r="DH227" s="1237">
        <v>0</v>
      </c>
      <c r="DI227" s="956">
        <v>0</v>
      </c>
      <c r="DJ227" s="956">
        <v>0</v>
      </c>
      <c r="DK227" s="956">
        <v>0</v>
      </c>
      <c r="DL227" s="152">
        <v>0</v>
      </c>
      <c r="DM227" s="160">
        <v>0</v>
      </c>
      <c r="DN227" s="160">
        <v>0</v>
      </c>
      <c r="DO227" s="160">
        <v>0</v>
      </c>
      <c r="DP227" s="160">
        <v>0</v>
      </c>
      <c r="DQ227" s="160">
        <v>0</v>
      </c>
      <c r="DR227" s="230">
        <v>0</v>
      </c>
      <c r="DS227" s="88">
        <v>0</v>
      </c>
      <c r="DT227" s="88">
        <v>0</v>
      </c>
      <c r="DU227" s="88">
        <v>0</v>
      </c>
      <c r="DV227" s="88">
        <v>0</v>
      </c>
      <c r="DW227" s="88">
        <v>0</v>
      </c>
      <c r="DX227" s="88">
        <v>0</v>
      </c>
      <c r="DY227" s="88">
        <v>0</v>
      </c>
      <c r="DZ227" s="88">
        <v>0</v>
      </c>
      <c r="EA227" s="88">
        <v>0</v>
      </c>
      <c r="EB227" s="152">
        <v>0</v>
      </c>
      <c r="EC227" s="52">
        <f t="shared" si="213"/>
        <v>0</v>
      </c>
      <c r="ED227" s="52">
        <f t="shared" si="213"/>
        <v>0</v>
      </c>
      <c r="EE227" s="52">
        <f t="shared" si="213"/>
        <v>0</v>
      </c>
      <c r="EF227" s="52">
        <f t="shared" si="186"/>
        <v>0</v>
      </c>
      <c r="EG227" s="52">
        <f t="shared" si="214"/>
        <v>0</v>
      </c>
      <c r="EH227" s="238">
        <v>0</v>
      </c>
      <c r="EI227" s="211">
        <v>0</v>
      </c>
      <c r="EJ227" s="211">
        <v>0</v>
      </c>
      <c r="EK227" s="211">
        <v>0</v>
      </c>
      <c r="EL227" s="217">
        <f>IF(C227&gt;=Summary!$E$26,MAX(0,SUM(EH227:EK227)),0)</f>
        <v>0</v>
      </c>
      <c r="EM227" s="52">
        <f>IF(C227&gt;=Summary!$E$26,DX227*BL227,0)</f>
        <v>0</v>
      </c>
      <c r="EN227" s="52">
        <f>IF(C227&gt;=Summary!$E$26,DY227*BM227,0)</f>
        <v>0</v>
      </c>
      <c r="EO227" s="52">
        <f>IF(C227&gt;=Summary!$E$26,DZ227*BN227,0)</f>
        <v>0</v>
      </c>
      <c r="EP227" s="52">
        <f>IF(C227&gt;=Summary!$E$26,EA227*BO227,0)</f>
        <v>0</v>
      </c>
      <c r="EQ227" s="52">
        <f>IF(C227&gt;=Summary!$E$26,DX227*BL227+DY227*BM227+DZ227*BN227+EA227*BO227,0)</f>
        <v>0</v>
      </c>
      <c r="ER227" s="826">
        <v>0</v>
      </c>
      <c r="ES227" s="278">
        <v>0</v>
      </c>
      <c r="ET227" s="278">
        <v>0</v>
      </c>
      <c r="EU227" s="278">
        <v>0</v>
      </c>
      <c r="EV227" s="212">
        <f>IF(C227&gt;=Summary!$E$26,MAX(0,SUM(ER227:EU227)),0)</f>
        <v>0</v>
      </c>
      <c r="EW227" s="52"/>
      <c r="EX227" s="1049">
        <f t="shared" si="215"/>
        <v>0</v>
      </c>
      <c r="EY227" s="1045" t="str">
        <f t="shared" si="216"/>
        <v/>
      </c>
      <c r="EZ227" s="1684" t="s">
        <v>525</v>
      </c>
      <c r="FA227" s="1046">
        <f t="shared" si="229"/>
        <v>45</v>
      </c>
      <c r="FB227" s="256">
        <f t="shared" si="217"/>
        <v>10638</v>
      </c>
      <c r="FC227" s="194">
        <f t="shared" si="218"/>
        <v>0</v>
      </c>
      <c r="FD227" s="194">
        <f t="shared" si="219"/>
        <v>2659.5</v>
      </c>
      <c r="FE227" s="194">
        <f t="shared" si="220"/>
        <v>0</v>
      </c>
      <c r="FF227" s="194">
        <f t="shared" si="221"/>
        <v>3191.4</v>
      </c>
      <c r="FG227" s="194">
        <f t="shared" si="222"/>
        <v>0</v>
      </c>
      <c r="FH227" s="257">
        <f>IF(EZ227="No",IF((OR(MONTH(C227)=5,MONTH(C227)=6,MONTH(C227)=7,MONTH(C227)=8,MONTH(C227)=9)),Summary!$O$15*12*(AX227+AY227+AZ227+BA227)*(1-$BC227),Summary!$O$15*13*(AX227+AY227+AZ227+BA227)*(1-$BC227)+IF(Summary!$O$16="Yes",(CALC!FA227+Summary!$O$15)*6*(AX227+AY227+AZ227+BA227)*(1-$BC227),0)),0)</f>
        <v>0</v>
      </c>
      <c r="FI227" s="1412">
        <f>IF(MONTH(C227)=5,FI226*(IF(Summary!$E$70="no",(1+(Summary!$E$71*0.8)),1+HLOOKUP(YEAR(C227)-1,CCFMODEL!$I$127:$AF$128,2)*0.8)),+FI226)</f>
        <v>40.768327108615125</v>
      </c>
      <c r="FJ227" s="1411">
        <f>IF(MONTH(C227)=5,FJ226*(IF(Summary!$E$70="no",(1+(Summary!$E$71*0.8)),1+HLOOKUP(YEAR(CALC!C227)-1,CCFMODEL!$I$127:$AF$128,2)*0.8)),FJ226)</f>
        <v>35.632159913828964</v>
      </c>
      <c r="FK227" s="832">
        <f t="shared" si="187"/>
        <v>672224.86886124394</v>
      </c>
      <c r="FL227" s="1412">
        <f>IF(MONTH(C227)=5,FL226*(IF(Summary!$E$70="no",(1+(Summary!$E$71*0.8)),1+HLOOKUP(YEAR(CALC!C227)-1,CCFMODEL!$I$127:$AF$128,2)*0.8)),+FL226)</f>
        <v>85.740362486772455</v>
      </c>
      <c r="FM227" s="1411">
        <f>IF(MONTH(C227)=5,FM226*(IF(Summary!$E$70="no",(1+(Summary!$E$71*0.8)),1+HLOOKUP(YEAR(CALC!C227)-1,CCFMODEL!$I$127:$AF$128,2)*0.8)),+FM226)</f>
        <v>40.921189227507561</v>
      </c>
      <c r="FN227" s="832">
        <f t="shared" si="188"/>
        <v>1435293.6680285709</v>
      </c>
      <c r="FO227" s="194">
        <f t="shared" si="223"/>
        <v>2107518.5368898148</v>
      </c>
      <c r="FP227" s="263">
        <f t="shared" si="189"/>
        <v>10638</v>
      </c>
      <c r="FQ227" s="194">
        <f t="shared" si="190"/>
        <v>0</v>
      </c>
      <c r="FR227" s="194">
        <f t="shared" si="191"/>
        <v>2659.5</v>
      </c>
      <c r="FS227" s="194">
        <f t="shared" si="176"/>
        <v>0</v>
      </c>
      <c r="FT227" s="194">
        <f t="shared" si="176"/>
        <v>3191.4</v>
      </c>
      <c r="FU227" s="194">
        <f t="shared" si="176"/>
        <v>0</v>
      </c>
      <c r="FV227" s="257">
        <f t="shared" si="176"/>
        <v>0</v>
      </c>
      <c r="FW227" s="189">
        <f t="shared" si="192"/>
        <v>0</v>
      </c>
      <c r="FX227" s="189">
        <f t="shared" si="193"/>
        <v>0</v>
      </c>
      <c r="FY227" s="189">
        <f t="shared" si="194"/>
        <v>0</v>
      </c>
      <c r="FZ227" s="258">
        <f t="shared" si="195"/>
        <v>0</v>
      </c>
      <c r="GA227" s="1294">
        <f>(SUM(FP227:FV227)+SUM(GU227:HB227)/(1-Summary!$O$25))*CY227/1000</f>
        <v>203211.53156885761</v>
      </c>
      <c r="GB227" s="1369">
        <f>IF($C227&lt;Summary!$M$81,+Summary!$O$81,VLOOKUP(C227,GasTable,19))</f>
        <v>3.5616529114558442</v>
      </c>
      <c r="GC227" s="1370">
        <f>IF(H227&lt;=Summary!$N$84,MIN(GA227,Summary!$O$75*(H227-G227+1)),0)</f>
        <v>0</v>
      </c>
      <c r="GD227" s="1371">
        <f>IF(C227&lt;Summary!$N$84,IF(Summary!$O$75*(H227-G227+1)*0.8&gt;GC227,1,0),0)</f>
        <v>0</v>
      </c>
      <c r="GE227" s="1372">
        <v>0</v>
      </c>
      <c r="GF227" s="1370">
        <f t="shared" si="224"/>
        <v>203211.53156885761</v>
      </c>
      <c r="GG227" s="1371">
        <f>GF227*(IF(Summary!$O$74=1,VLOOKUP($C227,GasTable,16)+Summary!$O$92+Summary!$O$93,VLOOKUP($C227,GasTable,19)+Summary!$O$92+Summary!$O$93))</f>
        <v>734356.26384836028</v>
      </c>
      <c r="GH227" s="1373">
        <v>5520.562012756558</v>
      </c>
      <c r="GI227" s="1466">
        <v>0</v>
      </c>
      <c r="GJ227" s="1374">
        <f t="shared" si="225"/>
        <v>739876.82586111687</v>
      </c>
      <c r="GK227" s="189">
        <f t="shared" si="196"/>
        <v>26035.973099999999</v>
      </c>
      <c r="GL227" s="266">
        <v>0.51607341208000002</v>
      </c>
      <c r="GM227" s="255">
        <f t="shared" si="197"/>
        <v>0</v>
      </c>
      <c r="GN227" s="189">
        <f>IF(SUM(GU227:HB227)=0,0,IF(Summary!$O$16="Yes",SUM(GX227:HB227),IF(Summary!$O$17="Yes",SUM(GY227:HB227),SUM(GU227:HB227))))</f>
        <v>9547.0731000000014</v>
      </c>
      <c r="GO227" s="203">
        <v>3.932993167025034</v>
      </c>
      <c r="GP227" s="258">
        <f t="shared" si="226"/>
        <v>37548.573267388514</v>
      </c>
      <c r="GQ227" s="189"/>
      <c r="GR227" s="189"/>
      <c r="GS227" s="189"/>
      <c r="GT227" s="189"/>
      <c r="GU227" s="268">
        <v>3421.89</v>
      </c>
      <c r="GV227" s="189">
        <v>855.47249999999997</v>
      </c>
      <c r="GW227" s="189">
        <v>1026.5669999999998</v>
      </c>
      <c r="GX227" s="189"/>
      <c r="GY227" s="254">
        <v>2737.5120000000002</v>
      </c>
      <c r="GZ227" s="189">
        <v>684.37800000000004</v>
      </c>
      <c r="HA227" s="189">
        <v>821.25359999999989</v>
      </c>
      <c r="HB227" s="255"/>
      <c r="HC227" s="189">
        <v>9547.0731000000014</v>
      </c>
      <c r="HD227" s="189"/>
      <c r="HE227" s="189">
        <v>22276.503900000003</v>
      </c>
      <c r="HF227" s="189">
        <v>542148.43911753048</v>
      </c>
      <c r="HG227" s="189"/>
      <c r="HH227" s="203">
        <v>60.135877170435734</v>
      </c>
      <c r="HI227" s="189">
        <v>1339617.1023171328</v>
      </c>
      <c r="HJ227" s="268">
        <f t="shared" si="198"/>
        <v>0</v>
      </c>
      <c r="HK227" s="189">
        <f t="shared" si="199"/>
        <v>0</v>
      </c>
      <c r="HL227" s="189">
        <f t="shared" si="200"/>
        <v>0</v>
      </c>
      <c r="HM227" s="255">
        <f t="shared" si="201"/>
        <v>0</v>
      </c>
      <c r="HN227" s="189">
        <f t="shared" si="202"/>
        <v>0</v>
      </c>
      <c r="HO227" s="203">
        <f t="shared" si="227"/>
        <v>0</v>
      </c>
      <c r="HP227" s="258">
        <f t="shared" si="203"/>
        <v>0</v>
      </c>
      <c r="HQ227" s="203"/>
      <c r="HR227" s="268"/>
      <c r="HS227" s="1408"/>
      <c r="HT227" s="255"/>
      <c r="HU227" s="268"/>
      <c r="HV227" s="1408"/>
      <c r="HW227" s="255"/>
      <c r="HX227" s="1408"/>
      <c r="HY227" s="1408"/>
      <c r="HZ227"/>
      <c r="IA227" s="203"/>
      <c r="IB227" s="203"/>
      <c r="IC227" s="203"/>
      <c r="ID227" s="203"/>
      <c r="IE227" s="203"/>
      <c r="IF227" s="203"/>
      <c r="IG227" s="203"/>
      <c r="IH227" s="203"/>
      <c r="II227" s="203"/>
      <c r="IJ227" s="203"/>
      <c r="IK227" s="203"/>
      <c r="IL227" s="821"/>
      <c r="IM227" s="820"/>
      <c r="IN227" s="820"/>
      <c r="IR227" s="223"/>
    </row>
    <row r="228" spans="1:252" ht="13.8" thickBot="1">
      <c r="A228" t="str">
        <f t="shared" si="204"/>
        <v>2017Q3</v>
      </c>
      <c r="B228">
        <f t="shared" si="205"/>
        <v>2017</v>
      </c>
      <c r="C228" s="49">
        <f t="shared" si="206"/>
        <v>42948</v>
      </c>
      <c r="D228" s="115">
        <f t="shared" si="207"/>
        <v>2017</v>
      </c>
      <c r="E228" s="10">
        <f t="shared" si="230"/>
        <v>8</v>
      </c>
      <c r="F228" s="248" t="str">
        <f t="shared" si="231"/>
        <v/>
      </c>
      <c r="G228" s="245">
        <v>42948</v>
      </c>
      <c r="H228" s="251">
        <v>42978</v>
      </c>
      <c r="I228" s="959">
        <f t="shared" si="228"/>
        <v>7.1499999999999994E-2</v>
      </c>
      <c r="J228" s="37">
        <f t="shared" si="208"/>
        <v>0.28705428432193852</v>
      </c>
      <c r="K228" s="1036"/>
      <c r="L228" s="37"/>
      <c r="M228" s="1004">
        <v>0</v>
      </c>
      <c r="N228" s="38">
        <f t="shared" si="184"/>
        <v>0</v>
      </c>
      <c r="O228" s="40">
        <f t="shared" si="184"/>
        <v>0</v>
      </c>
      <c r="P228" s="159">
        <f t="shared" si="234"/>
        <v>0</v>
      </c>
      <c r="Q228" s="38">
        <f t="shared" si="233"/>
        <v>0</v>
      </c>
      <c r="R228" s="40">
        <f t="shared" si="233"/>
        <v>0</v>
      </c>
      <c r="S228" s="38">
        <f t="shared" si="233"/>
        <v>0</v>
      </c>
      <c r="T228" s="38">
        <f t="shared" si="233"/>
        <v>0</v>
      </c>
      <c r="U228" s="38">
        <f t="shared" si="233"/>
        <v>0</v>
      </c>
      <c r="V228" s="159">
        <f t="shared" si="233"/>
        <v>0</v>
      </c>
      <c r="W228" s="38">
        <f t="shared" si="233"/>
        <v>0</v>
      </c>
      <c r="X228" s="39">
        <f t="shared" si="233"/>
        <v>0</v>
      </c>
      <c r="Y228" s="46">
        <v>0</v>
      </c>
      <c r="Z228" s="46">
        <v>0</v>
      </c>
      <c r="AA228" s="47">
        <v>0</v>
      </c>
      <c r="AB228" s="46">
        <v>0</v>
      </c>
      <c r="AC228" s="46">
        <v>0</v>
      </c>
      <c r="AD228" s="47">
        <v>0</v>
      </c>
      <c r="AE228" s="46">
        <v>0</v>
      </c>
      <c r="AF228" s="46">
        <v>0</v>
      </c>
      <c r="AG228" s="47">
        <v>0</v>
      </c>
      <c r="AH228" s="46">
        <v>0</v>
      </c>
      <c r="AI228" s="46">
        <v>0</v>
      </c>
      <c r="AJ228" s="47">
        <v>0</v>
      </c>
      <c r="AK228" s="46">
        <v>0</v>
      </c>
      <c r="AL228" s="46">
        <v>0</v>
      </c>
      <c r="AM228" s="47">
        <v>0</v>
      </c>
      <c r="AN228" s="46">
        <v>0</v>
      </c>
      <c r="AO228" s="46">
        <v>0</v>
      </c>
      <c r="AP228" s="47">
        <v>0</v>
      </c>
      <c r="AQ228" s="46">
        <v>0</v>
      </c>
      <c r="AR228" s="46">
        <v>0</v>
      </c>
      <c r="AS228" s="47">
        <v>0</v>
      </c>
      <c r="AT228" s="46">
        <v>0</v>
      </c>
      <c r="AU228" s="46">
        <v>0</v>
      </c>
      <c r="AV228" s="46">
        <v>0</v>
      </c>
      <c r="AW228" s="1545">
        <v>0</v>
      </c>
      <c r="AX228" s="10">
        <f t="shared" si="232"/>
        <v>23</v>
      </c>
      <c r="AY228" s="42">
        <f>IF(AND($E228=MONTH(Summary!$E$24),$D228=YEAR(Summary!$E$24)),Summary!$E$25,1)*IF(G228="",0,INT((H228-MOD(H228,7)-G228)/7)+1-IF(BA228,IF(WEEKDAY(F228)=7,1,0),0))</f>
        <v>4</v>
      </c>
      <c r="AZ228" s="42">
        <f>IF(AND($E228=MONTH(Summary!$E$24),$D228=YEAR(Summary!$E$24)),Summary!$E$25,1)*IF(G228="",0,INT((H228-MOD(H228-1,7)-G228)/7)+1-IF(BA228,IF(WEEKDAY(F228)=1,1,0),0))</f>
        <v>4</v>
      </c>
      <c r="BA228" s="42">
        <v>0</v>
      </c>
      <c r="BB228" s="10">
        <f>IF(AND($E228=MONTH(Summary!$E$24),$D228=YEAR(Summary!$E$24)),Summary!$E$25,1)*IF(G228="",0,H228-G228+1)</f>
        <v>31</v>
      </c>
      <c r="BC228" s="914">
        <f>Summary!$E$19</f>
        <v>1.4999999999999999E-2</v>
      </c>
      <c r="BD228" s="113">
        <v>16311.6</v>
      </c>
      <c r="BE228" s="171">
        <v>2836.8</v>
      </c>
      <c r="BF228" s="171">
        <v>2836.8</v>
      </c>
      <c r="BG228" s="174"/>
      <c r="BH228" s="1198">
        <v>1</v>
      </c>
      <c r="BI228" s="1198">
        <v>1</v>
      </c>
      <c r="BJ228" s="1198">
        <v>1</v>
      </c>
      <c r="BK228" s="1198">
        <v>1</v>
      </c>
      <c r="BL228" s="95">
        <v>3262.32</v>
      </c>
      <c r="BM228" s="171">
        <v>567.36</v>
      </c>
      <c r="BN228" s="171">
        <v>567.36</v>
      </c>
      <c r="BO228" s="174"/>
      <c r="BP228" s="1198">
        <v>1</v>
      </c>
      <c r="BQ228" s="1199">
        <v>1</v>
      </c>
      <c r="BR228" s="1199">
        <v>1</v>
      </c>
      <c r="BS228" s="1200">
        <v>1</v>
      </c>
      <c r="BT228" s="94">
        <f t="shared" si="209"/>
        <v>21985.200000000001</v>
      </c>
      <c r="BU228" s="233">
        <f t="shared" si="210"/>
        <v>21985.200000000001</v>
      </c>
      <c r="BV228" s="92">
        <f t="shared" si="211"/>
        <v>4397.04</v>
      </c>
      <c r="BW228" s="233">
        <f t="shared" si="212"/>
        <v>4397.04</v>
      </c>
      <c r="BX228" s="88">
        <v>17.629021218343599</v>
      </c>
      <c r="BY228" s="90">
        <v>0</v>
      </c>
      <c r="BZ228" s="88">
        <v>0</v>
      </c>
      <c r="CA228" s="88">
        <v>0</v>
      </c>
      <c r="CB228" s="88">
        <v>0</v>
      </c>
      <c r="CC228" s="88">
        <v>0</v>
      </c>
      <c r="CD228" s="88">
        <v>0</v>
      </c>
      <c r="CE228" s="100">
        <v>0</v>
      </c>
      <c r="CF228" s="88">
        <v>0</v>
      </c>
      <c r="CG228" s="88">
        <v>0</v>
      </c>
      <c r="CH228" s="88">
        <v>0</v>
      </c>
      <c r="CI228" s="88">
        <v>0</v>
      </c>
      <c r="CJ228" s="228">
        <v>0</v>
      </c>
      <c r="CK228" s="88">
        <v>0</v>
      </c>
      <c r="CL228" s="88">
        <v>0</v>
      </c>
      <c r="CM228" s="88">
        <v>0</v>
      </c>
      <c r="CN228" s="88">
        <v>0</v>
      </c>
      <c r="CO228" s="88">
        <v>0</v>
      </c>
      <c r="CP228" s="88">
        <v>0</v>
      </c>
      <c r="CQ228" s="229">
        <v>0</v>
      </c>
      <c r="CR228" s="91">
        <v>0</v>
      </c>
      <c r="CS228" s="91">
        <v>0</v>
      </c>
      <c r="CT228" s="91">
        <v>0</v>
      </c>
      <c r="CU228" s="91">
        <v>0</v>
      </c>
      <c r="CV228" s="91">
        <v>0</v>
      </c>
      <c r="CW228" s="91">
        <v>0</v>
      </c>
      <c r="CX228" s="225">
        <v>0</v>
      </c>
      <c r="CY228" s="1265">
        <v>7704.619200000001</v>
      </c>
      <c r="CZ228" s="90">
        <v>0</v>
      </c>
      <c r="DA228" s="88">
        <v>0</v>
      </c>
      <c r="DB228" s="88">
        <v>0</v>
      </c>
      <c r="DC228" s="88">
        <v>0</v>
      </c>
      <c r="DD228" s="88">
        <v>0</v>
      </c>
      <c r="DE228" s="152">
        <v>0</v>
      </c>
      <c r="DF228" s="230">
        <v>0</v>
      </c>
      <c r="DG228" s="38">
        <v>0</v>
      </c>
      <c r="DH228" s="1237">
        <v>0</v>
      </c>
      <c r="DI228" s="956">
        <v>0</v>
      </c>
      <c r="DJ228" s="956">
        <v>0</v>
      </c>
      <c r="DK228" s="956">
        <v>0</v>
      </c>
      <c r="DL228" s="152">
        <v>0</v>
      </c>
      <c r="DM228" s="160">
        <v>0</v>
      </c>
      <c r="DN228" s="160">
        <v>0</v>
      </c>
      <c r="DO228" s="160">
        <v>0</v>
      </c>
      <c r="DP228" s="160">
        <v>0</v>
      </c>
      <c r="DQ228" s="160">
        <v>0</v>
      </c>
      <c r="DR228" s="230">
        <v>0</v>
      </c>
      <c r="DS228" s="88">
        <v>0</v>
      </c>
      <c r="DT228" s="88">
        <v>0</v>
      </c>
      <c r="DU228" s="88">
        <v>0</v>
      </c>
      <c r="DV228" s="88">
        <v>0</v>
      </c>
      <c r="DW228" s="88">
        <v>0</v>
      </c>
      <c r="DX228" s="88">
        <v>0</v>
      </c>
      <c r="DY228" s="88">
        <v>0</v>
      </c>
      <c r="DZ228" s="88">
        <v>0</v>
      </c>
      <c r="EA228" s="88">
        <v>0</v>
      </c>
      <c r="EB228" s="152">
        <v>0</v>
      </c>
      <c r="EC228" s="52">
        <f t="shared" si="213"/>
        <v>0</v>
      </c>
      <c r="ED228" s="52">
        <f t="shared" si="213"/>
        <v>0</v>
      </c>
      <c r="EE228" s="52">
        <f t="shared" si="213"/>
        <v>0</v>
      </c>
      <c r="EF228" s="52">
        <f t="shared" si="186"/>
        <v>0</v>
      </c>
      <c r="EG228" s="52">
        <f t="shared" si="214"/>
        <v>0</v>
      </c>
      <c r="EH228" s="238">
        <v>0</v>
      </c>
      <c r="EI228" s="211">
        <v>0</v>
      </c>
      <c r="EJ228" s="211">
        <v>0</v>
      </c>
      <c r="EK228" s="211">
        <v>0</v>
      </c>
      <c r="EL228" s="217">
        <f>IF(C228&gt;=Summary!$E$26,MAX(0,SUM(EH228:EK228)),0)</f>
        <v>0</v>
      </c>
      <c r="EM228" s="52">
        <f>IF(C228&gt;=Summary!$E$26,DX228*BL228,0)</f>
        <v>0</v>
      </c>
      <c r="EN228" s="52">
        <f>IF(C228&gt;=Summary!$E$26,DY228*BM228,0)</f>
        <v>0</v>
      </c>
      <c r="EO228" s="52">
        <f>IF(C228&gt;=Summary!$E$26,DZ228*BN228,0)</f>
        <v>0</v>
      </c>
      <c r="EP228" s="52">
        <f>IF(C228&gt;=Summary!$E$26,EA228*BO228,0)</f>
        <v>0</v>
      </c>
      <c r="EQ228" s="52">
        <f>IF(C228&gt;=Summary!$E$26,DX228*BL228+DY228*BM228+DZ228*BN228+EA228*BO228,0)</f>
        <v>0</v>
      </c>
      <c r="ER228" s="826">
        <v>0</v>
      </c>
      <c r="ES228" s="278">
        <v>0</v>
      </c>
      <c r="ET228" s="278">
        <v>0</v>
      </c>
      <c r="EU228" s="278">
        <v>0</v>
      </c>
      <c r="EV228" s="212">
        <f>IF(C228&gt;=Summary!$E$26,MAX(0,SUM(ER228:EU228)),0)</f>
        <v>0</v>
      </c>
      <c r="EW228" s="52"/>
      <c r="EX228" s="1049">
        <f t="shared" si="215"/>
        <v>0</v>
      </c>
      <c r="EY228" s="1045" t="str">
        <f t="shared" si="216"/>
        <v/>
      </c>
      <c r="EZ228" s="1684" t="s">
        <v>525</v>
      </c>
      <c r="FA228" s="1046">
        <f t="shared" si="229"/>
        <v>45</v>
      </c>
      <c r="FB228" s="256">
        <f t="shared" si="217"/>
        <v>12233.7</v>
      </c>
      <c r="FC228" s="194">
        <f t="shared" si="218"/>
        <v>0</v>
      </c>
      <c r="FD228" s="194">
        <f t="shared" si="219"/>
        <v>2127.6</v>
      </c>
      <c r="FE228" s="194">
        <f t="shared" si="220"/>
        <v>0</v>
      </c>
      <c r="FF228" s="194">
        <f t="shared" si="221"/>
        <v>2127.6</v>
      </c>
      <c r="FG228" s="194">
        <f t="shared" si="222"/>
        <v>0</v>
      </c>
      <c r="FH228" s="257">
        <f>IF(EZ228="No",IF((OR(MONTH(C228)=5,MONTH(C228)=6,MONTH(C228)=7,MONTH(C228)=8,MONTH(C228)=9)),Summary!$O$15*12*(AX228+AY228+AZ228+BA228)*(1-$BC228),Summary!$O$15*13*(AX228+AY228+AZ228+BA228)*(1-$BC228)+IF(Summary!$O$16="Yes",(CALC!FA228+Summary!$O$15)*6*(AX228+AY228+AZ228+BA228)*(1-$BC228),0)),0)</f>
        <v>0</v>
      </c>
      <c r="FI228" s="1412">
        <f>IF(MONTH(C228)=5,FI227*(IF(Summary!$E$70="no",(1+(Summary!$E$71*0.8)),1+HLOOKUP(YEAR(C228)-1,CCFMODEL!$I$127:$AF$128,2)*0.8)),+FI227)</f>
        <v>40.768327108615125</v>
      </c>
      <c r="FJ228" s="1411">
        <f>IF(MONTH(C228)=5,FJ227*(IF(Summary!$E$70="no",(1+(Summary!$E$71*0.8)),1+HLOOKUP(YEAR(CALC!C228)-1,CCFMODEL!$I$127:$AF$128,2)*0.8)),FJ227)</f>
        <v>35.632159913828964</v>
      </c>
      <c r="FK228" s="832">
        <f t="shared" si="187"/>
        <v>672224.86886124394</v>
      </c>
      <c r="FL228" s="1412">
        <f>IF(MONTH(C228)=5,FL227*(IF(Summary!$E$70="no",(1+(Summary!$E$71*0.8)),1+HLOOKUP(YEAR(CALC!C228)-1,CCFMODEL!$I$127:$AF$128,2)*0.8)),+FL227)</f>
        <v>85.740362486772455</v>
      </c>
      <c r="FM228" s="1411">
        <f>IF(MONTH(C228)=5,FM227*(IF(Summary!$E$70="no",(1+(Summary!$E$71*0.8)),1+HLOOKUP(YEAR(CALC!C228)-1,CCFMODEL!$I$127:$AF$128,2)*0.8)),+FM227)</f>
        <v>40.921189227507561</v>
      </c>
      <c r="FN228" s="832">
        <f t="shared" si="188"/>
        <v>1435293.6680285709</v>
      </c>
      <c r="FO228" s="194">
        <f t="shared" si="223"/>
        <v>2107518.5368898148</v>
      </c>
      <c r="FP228" s="263">
        <f t="shared" si="189"/>
        <v>12233.7</v>
      </c>
      <c r="FQ228" s="194">
        <f t="shared" si="190"/>
        <v>0</v>
      </c>
      <c r="FR228" s="194">
        <f t="shared" si="191"/>
        <v>2127.6</v>
      </c>
      <c r="FS228" s="194">
        <f t="shared" si="176"/>
        <v>0</v>
      </c>
      <c r="FT228" s="194">
        <f t="shared" si="176"/>
        <v>2127.6</v>
      </c>
      <c r="FU228" s="194">
        <f t="shared" si="176"/>
        <v>0</v>
      </c>
      <c r="FV228" s="257">
        <f t="shared" si="176"/>
        <v>0</v>
      </c>
      <c r="FW228" s="189">
        <f t="shared" si="192"/>
        <v>0</v>
      </c>
      <c r="FX228" s="189">
        <f t="shared" si="193"/>
        <v>0</v>
      </c>
      <c r="FY228" s="189">
        <f t="shared" si="194"/>
        <v>0</v>
      </c>
      <c r="FZ228" s="258">
        <f t="shared" si="195"/>
        <v>0</v>
      </c>
      <c r="GA228" s="1294">
        <f>(SUM(FP228:FV228)+SUM(GU228:HB228)/(1-Summary!$O$25))*CY228/1000</f>
        <v>203265.11284300804</v>
      </c>
      <c r="GB228" s="1369">
        <f>IF($C228&lt;Summary!$M$81,+Summary!$O$81,VLOOKUP(C228,GasTable,19))</f>
        <v>3.6960556958816793</v>
      </c>
      <c r="GC228" s="1370">
        <f>IF(H228&lt;=Summary!$N$84,MIN(GA228,Summary!$O$75*(H228-G228+1)),0)</f>
        <v>0</v>
      </c>
      <c r="GD228" s="1371">
        <f>IF(C228&lt;Summary!$N$84,IF(Summary!$O$75*(H228-G228+1)*0.8&gt;GC228,1,0),0)</f>
        <v>0</v>
      </c>
      <c r="GE228" s="1372">
        <v>0</v>
      </c>
      <c r="GF228" s="1370">
        <f t="shared" si="224"/>
        <v>203265.11284300804</v>
      </c>
      <c r="GG228" s="1371">
        <f>GF228*(IF(Summary!$O$74=1,VLOOKUP($C228,GasTable,16)+Summary!$O$92+Summary!$O$93,VLOOKUP($C228,GasTable,19)+Summary!$O$92+Summary!$O$93))</f>
        <v>761869.29047655279</v>
      </c>
      <c r="GH228" s="1373">
        <v>5728.8863286166024</v>
      </c>
      <c r="GI228" s="1466">
        <v>0</v>
      </c>
      <c r="GJ228" s="1374">
        <f t="shared" si="225"/>
        <v>767598.17680516944</v>
      </c>
      <c r="GK228" s="189">
        <f t="shared" si="196"/>
        <v>26035.973100000007</v>
      </c>
      <c r="GL228" s="266">
        <v>0.51620948640000008</v>
      </c>
      <c r="GM228" s="255">
        <f t="shared" si="197"/>
        <v>0</v>
      </c>
      <c r="GN228" s="189">
        <f>IF(SUM(GU228:HB228)=0,0,IF(Summary!$O$16="Yes",SUM(GX228:HB228),IF(Summary!$O$17="Yes",SUM(GY228:HB228),SUM(GU228:HB228))))</f>
        <v>9547.0730999999996</v>
      </c>
      <c r="GO228" s="203">
        <v>3.932993167025034</v>
      </c>
      <c r="GP228" s="258">
        <f t="shared" si="226"/>
        <v>37548.573267388507</v>
      </c>
      <c r="GQ228" s="189"/>
      <c r="GR228" s="189"/>
      <c r="GS228" s="189"/>
      <c r="GT228" s="189"/>
      <c r="GU228" s="268">
        <v>3935.1734999999994</v>
      </c>
      <c r="GV228" s="189">
        <v>684.37800000000027</v>
      </c>
      <c r="GW228" s="189">
        <v>684.37800000000027</v>
      </c>
      <c r="GX228" s="189"/>
      <c r="GY228" s="254">
        <v>3148.1388000000002</v>
      </c>
      <c r="GZ228" s="189">
        <v>547.50239999999997</v>
      </c>
      <c r="HA228" s="189">
        <v>547.50239999999997</v>
      </c>
      <c r="HB228" s="255"/>
      <c r="HC228" s="189">
        <v>9547.0730999999996</v>
      </c>
      <c r="HD228" s="189"/>
      <c r="HE228" s="189">
        <v>22276.5039</v>
      </c>
      <c r="HF228" s="189">
        <v>669337.85336126806</v>
      </c>
      <c r="HG228" s="189"/>
      <c r="HH228" s="203">
        <v>73.818241513759091</v>
      </c>
      <c r="HI228" s="189">
        <v>1644412.3449723963</v>
      </c>
      <c r="HJ228" s="268">
        <f t="shared" si="198"/>
        <v>0</v>
      </c>
      <c r="HK228" s="189">
        <f t="shared" si="199"/>
        <v>0</v>
      </c>
      <c r="HL228" s="189">
        <f t="shared" si="200"/>
        <v>0</v>
      </c>
      <c r="HM228" s="255">
        <f t="shared" si="201"/>
        <v>0</v>
      </c>
      <c r="HN228" s="189">
        <f t="shared" si="202"/>
        <v>0</v>
      </c>
      <c r="HO228" s="203">
        <f t="shared" si="227"/>
        <v>0</v>
      </c>
      <c r="HP228" s="258">
        <f t="shared" si="203"/>
        <v>0</v>
      </c>
      <c r="HQ228" s="203"/>
      <c r="HR228" s="268"/>
      <c r="HS228" s="1408"/>
      <c r="HT228" s="255"/>
      <c r="HU228" s="268"/>
      <c r="HV228" s="1408"/>
      <c r="HW228" s="255"/>
      <c r="HX228" s="1408"/>
      <c r="HY228" s="1408"/>
      <c r="HZ228"/>
      <c r="IA228" s="203"/>
      <c r="IB228" s="203"/>
      <c r="IC228" s="203"/>
      <c r="ID228" s="203"/>
      <c r="IE228" s="203"/>
      <c r="IF228" s="203"/>
      <c r="IG228" s="203"/>
      <c r="IH228" s="203"/>
      <c r="II228" s="203"/>
      <c r="IJ228" s="203"/>
      <c r="IK228" s="203"/>
      <c r="IL228" s="821"/>
      <c r="IM228" s="820"/>
      <c r="IN228" s="820"/>
      <c r="IR228" s="223"/>
    </row>
    <row r="229" spans="1:252" ht="13.8" thickBot="1">
      <c r="A229" t="str">
        <f t="shared" si="204"/>
        <v>2017Q3</v>
      </c>
      <c r="B229">
        <f t="shared" si="205"/>
        <v>2017</v>
      </c>
      <c r="C229" s="49">
        <f t="shared" si="206"/>
        <v>42979</v>
      </c>
      <c r="D229" s="115">
        <f t="shared" si="207"/>
        <v>2017</v>
      </c>
      <c r="E229" s="10">
        <f t="shared" si="230"/>
        <v>9</v>
      </c>
      <c r="F229" s="248">
        <f t="shared" si="231"/>
        <v>42982</v>
      </c>
      <c r="G229" s="245">
        <v>42979</v>
      </c>
      <c r="H229" s="251">
        <v>43008</v>
      </c>
      <c r="I229" s="959">
        <f t="shared" si="228"/>
        <v>7.1499999999999994E-2</v>
      </c>
      <c r="J229" s="37">
        <f t="shared" si="208"/>
        <v>0.28540270689914932</v>
      </c>
      <c r="K229" s="1036"/>
      <c r="L229" s="37"/>
      <c r="M229" s="1004">
        <v>0</v>
      </c>
      <c r="N229" s="38">
        <f t="shared" ref="N229:O248" si="235">M229</f>
        <v>0</v>
      </c>
      <c r="O229" s="40">
        <f t="shared" si="235"/>
        <v>0</v>
      </c>
      <c r="P229" s="159">
        <f t="shared" si="234"/>
        <v>0</v>
      </c>
      <c r="Q229" s="38">
        <f t="shared" ref="Q229:X238" si="236">P229</f>
        <v>0</v>
      </c>
      <c r="R229" s="40">
        <f t="shared" si="236"/>
        <v>0</v>
      </c>
      <c r="S229" s="38">
        <f t="shared" si="236"/>
        <v>0</v>
      </c>
      <c r="T229" s="38">
        <f t="shared" si="236"/>
        <v>0</v>
      </c>
      <c r="U229" s="38">
        <f t="shared" si="236"/>
        <v>0</v>
      </c>
      <c r="V229" s="159">
        <f t="shared" si="236"/>
        <v>0</v>
      </c>
      <c r="W229" s="38">
        <f t="shared" si="236"/>
        <v>0</v>
      </c>
      <c r="X229" s="39">
        <f t="shared" si="236"/>
        <v>0</v>
      </c>
      <c r="Y229" s="46">
        <v>0</v>
      </c>
      <c r="Z229" s="46">
        <v>0</v>
      </c>
      <c r="AA229" s="47">
        <v>0</v>
      </c>
      <c r="AB229" s="46">
        <v>0</v>
      </c>
      <c r="AC229" s="46">
        <v>0</v>
      </c>
      <c r="AD229" s="47">
        <v>0</v>
      </c>
      <c r="AE229" s="46">
        <v>0</v>
      </c>
      <c r="AF229" s="46">
        <v>0</v>
      </c>
      <c r="AG229" s="47">
        <v>0</v>
      </c>
      <c r="AH229" s="46">
        <v>0</v>
      </c>
      <c r="AI229" s="46">
        <v>0</v>
      </c>
      <c r="AJ229" s="47">
        <v>0</v>
      </c>
      <c r="AK229" s="46">
        <v>0</v>
      </c>
      <c r="AL229" s="46">
        <v>0</v>
      </c>
      <c r="AM229" s="47">
        <v>0</v>
      </c>
      <c r="AN229" s="46">
        <v>0</v>
      </c>
      <c r="AO229" s="46">
        <v>0</v>
      </c>
      <c r="AP229" s="47">
        <v>0</v>
      </c>
      <c r="AQ229" s="46">
        <v>0</v>
      </c>
      <c r="AR229" s="46">
        <v>0</v>
      </c>
      <c r="AS229" s="47">
        <v>0</v>
      </c>
      <c r="AT229" s="46">
        <v>0</v>
      </c>
      <c r="AU229" s="46">
        <v>0</v>
      </c>
      <c r="AV229" s="46">
        <v>0</v>
      </c>
      <c r="AW229" s="1545">
        <v>0</v>
      </c>
      <c r="AX229" s="10">
        <f t="shared" si="232"/>
        <v>20</v>
      </c>
      <c r="AY229" s="42">
        <f>IF(AND($E229=MONTH(Summary!$E$24),$D229=YEAR(Summary!$E$24)),Summary!$E$25,1)*IF(G229="",0,INT((H229-MOD(H229,7)-G229)/7)+1-IF(BA229,IF(WEEKDAY(F229)=7,1,0),0))</f>
        <v>5</v>
      </c>
      <c r="AZ229" s="42">
        <f>IF(AND($E229=MONTH(Summary!$E$24),$D229=YEAR(Summary!$E$24)),Summary!$E$25,1)*IF(G229="",0,INT((H229-MOD(H229-1,7)-G229)/7)+1-IF(BA229,IF(WEEKDAY(F229)=1,1,0),0))</f>
        <v>4</v>
      </c>
      <c r="BA229" s="42">
        <v>1</v>
      </c>
      <c r="BB229" s="10">
        <f>IF(AND($E229=MONTH(Summary!$E$24),$D229=YEAR(Summary!$E$24)),Summary!$E$25,1)*IF(G229="",0,H229-G229+1)</f>
        <v>30</v>
      </c>
      <c r="BC229" s="914">
        <f>Summary!$E$19</f>
        <v>1.4999999999999999E-2</v>
      </c>
      <c r="BD229" s="113">
        <v>14184</v>
      </c>
      <c r="BE229" s="171">
        <v>3546</v>
      </c>
      <c r="BF229" s="171">
        <v>3546</v>
      </c>
      <c r="BG229" s="174"/>
      <c r="BH229" s="1198">
        <v>1</v>
      </c>
      <c r="BI229" s="1198">
        <v>1</v>
      </c>
      <c r="BJ229" s="1198">
        <v>1</v>
      </c>
      <c r="BK229" s="1198">
        <v>1</v>
      </c>
      <c r="BL229" s="95">
        <v>2836.8</v>
      </c>
      <c r="BM229" s="171">
        <v>709.2</v>
      </c>
      <c r="BN229" s="171">
        <v>709.2</v>
      </c>
      <c r="BO229" s="174"/>
      <c r="BP229" s="1198">
        <v>1</v>
      </c>
      <c r="BQ229" s="1199">
        <v>1</v>
      </c>
      <c r="BR229" s="1199">
        <v>1</v>
      </c>
      <c r="BS229" s="1200">
        <v>1</v>
      </c>
      <c r="BT229" s="94">
        <f t="shared" si="209"/>
        <v>21276</v>
      </c>
      <c r="BU229" s="233">
        <f t="shared" si="210"/>
        <v>21276</v>
      </c>
      <c r="BV229" s="92">
        <f t="shared" si="211"/>
        <v>4255.2</v>
      </c>
      <c r="BW229" s="233">
        <f t="shared" si="212"/>
        <v>4255.2</v>
      </c>
      <c r="BX229" s="88">
        <v>17.713894592744694</v>
      </c>
      <c r="BY229" s="90">
        <v>0</v>
      </c>
      <c r="BZ229" s="88">
        <v>0</v>
      </c>
      <c r="CA229" s="88">
        <v>0</v>
      </c>
      <c r="CB229" s="88">
        <v>0</v>
      </c>
      <c r="CC229" s="88">
        <v>0</v>
      </c>
      <c r="CD229" s="88">
        <v>0</v>
      </c>
      <c r="CE229" s="100">
        <v>0</v>
      </c>
      <c r="CF229" s="88">
        <v>0</v>
      </c>
      <c r="CG229" s="88">
        <v>0</v>
      </c>
      <c r="CH229" s="88">
        <v>0</v>
      </c>
      <c r="CI229" s="88">
        <v>0</v>
      </c>
      <c r="CJ229" s="228">
        <v>0</v>
      </c>
      <c r="CK229" s="88">
        <v>0</v>
      </c>
      <c r="CL229" s="88">
        <v>0</v>
      </c>
      <c r="CM229" s="88">
        <v>0</v>
      </c>
      <c r="CN229" s="88">
        <v>0</v>
      </c>
      <c r="CO229" s="88">
        <v>0</v>
      </c>
      <c r="CP229" s="88">
        <v>0</v>
      </c>
      <c r="CQ229" s="229">
        <v>0</v>
      </c>
      <c r="CR229" s="91">
        <v>0</v>
      </c>
      <c r="CS229" s="91">
        <v>0</v>
      </c>
      <c r="CT229" s="91">
        <v>0</v>
      </c>
      <c r="CU229" s="91">
        <v>0</v>
      </c>
      <c r="CV229" s="91">
        <v>0</v>
      </c>
      <c r="CW229" s="91">
        <v>0</v>
      </c>
      <c r="CX229" s="225">
        <v>0</v>
      </c>
      <c r="CY229" s="1265">
        <v>7706.6501600000001</v>
      </c>
      <c r="CZ229" s="90">
        <v>0</v>
      </c>
      <c r="DA229" s="88">
        <v>0</v>
      </c>
      <c r="DB229" s="88">
        <v>0</v>
      </c>
      <c r="DC229" s="88">
        <v>0</v>
      </c>
      <c r="DD229" s="88">
        <v>0</v>
      </c>
      <c r="DE229" s="152">
        <v>0</v>
      </c>
      <c r="DF229" s="230">
        <v>0</v>
      </c>
      <c r="DG229" s="38">
        <v>0</v>
      </c>
      <c r="DH229" s="1237">
        <v>0</v>
      </c>
      <c r="DI229" s="956">
        <v>0</v>
      </c>
      <c r="DJ229" s="956">
        <v>0</v>
      </c>
      <c r="DK229" s="956">
        <v>0</v>
      </c>
      <c r="DL229" s="152">
        <v>0</v>
      </c>
      <c r="DM229" s="160">
        <v>0</v>
      </c>
      <c r="DN229" s="160">
        <v>0</v>
      </c>
      <c r="DO229" s="160">
        <v>0</v>
      </c>
      <c r="DP229" s="160">
        <v>0</v>
      </c>
      <c r="DQ229" s="160">
        <v>0</v>
      </c>
      <c r="DR229" s="230">
        <v>0</v>
      </c>
      <c r="DS229" s="88">
        <v>0</v>
      </c>
      <c r="DT229" s="88">
        <v>0</v>
      </c>
      <c r="DU229" s="88">
        <v>0</v>
      </c>
      <c r="DV229" s="88">
        <v>0</v>
      </c>
      <c r="DW229" s="88">
        <v>0</v>
      </c>
      <c r="DX229" s="88">
        <v>0</v>
      </c>
      <c r="DY229" s="88">
        <v>0</v>
      </c>
      <c r="DZ229" s="88">
        <v>0</v>
      </c>
      <c r="EA229" s="88">
        <v>0</v>
      </c>
      <c r="EB229" s="152">
        <v>0</v>
      </c>
      <c r="EC229" s="52">
        <f t="shared" si="213"/>
        <v>0</v>
      </c>
      <c r="ED229" s="52">
        <f t="shared" si="213"/>
        <v>0</v>
      </c>
      <c r="EE229" s="52">
        <f t="shared" si="213"/>
        <v>0</v>
      </c>
      <c r="EF229" s="52">
        <f t="shared" si="186"/>
        <v>0</v>
      </c>
      <c r="EG229" s="52">
        <f t="shared" si="214"/>
        <v>0</v>
      </c>
      <c r="EH229" s="238">
        <v>0</v>
      </c>
      <c r="EI229" s="211">
        <v>0</v>
      </c>
      <c r="EJ229" s="211">
        <v>0</v>
      </c>
      <c r="EK229" s="211">
        <v>0</v>
      </c>
      <c r="EL229" s="217">
        <f>IF(C229&gt;=Summary!$E$26,MAX(0,SUM(EH229:EK229)),0)</f>
        <v>0</v>
      </c>
      <c r="EM229" s="52">
        <f>IF(C229&gt;=Summary!$E$26,DX229*BL229,0)</f>
        <v>0</v>
      </c>
      <c r="EN229" s="52">
        <f>IF(C229&gt;=Summary!$E$26,DY229*BM229,0)</f>
        <v>0</v>
      </c>
      <c r="EO229" s="52">
        <f>IF(C229&gt;=Summary!$E$26,DZ229*BN229,0)</f>
        <v>0</v>
      </c>
      <c r="EP229" s="52">
        <f>IF(C229&gt;=Summary!$E$26,EA229*BO229,0)</f>
        <v>0</v>
      </c>
      <c r="EQ229" s="52">
        <f>IF(C229&gt;=Summary!$E$26,DX229*BL229+DY229*BM229+DZ229*BN229+EA229*BO229,0)</f>
        <v>0</v>
      </c>
      <c r="ER229" s="826">
        <v>0</v>
      </c>
      <c r="ES229" s="278">
        <v>0</v>
      </c>
      <c r="ET229" s="278">
        <v>0</v>
      </c>
      <c r="EU229" s="278">
        <v>0</v>
      </c>
      <c r="EV229" s="212">
        <f>IF(C229&gt;=Summary!$E$26,MAX(0,SUM(ER229:EU229)),0)</f>
        <v>0</v>
      </c>
      <c r="EW229" s="52"/>
      <c r="EX229" s="1049">
        <f t="shared" si="215"/>
        <v>0</v>
      </c>
      <c r="EY229" s="1045" t="str">
        <f t="shared" si="216"/>
        <v/>
      </c>
      <c r="EZ229" s="1684" t="s">
        <v>525</v>
      </c>
      <c r="FA229" s="1046">
        <f t="shared" si="229"/>
        <v>45</v>
      </c>
      <c r="FB229" s="256">
        <f t="shared" si="217"/>
        <v>10638</v>
      </c>
      <c r="FC229" s="194">
        <f t="shared" si="218"/>
        <v>0</v>
      </c>
      <c r="FD229" s="194">
        <f t="shared" si="219"/>
        <v>2659.5</v>
      </c>
      <c r="FE229" s="194">
        <f t="shared" si="220"/>
        <v>0</v>
      </c>
      <c r="FF229" s="194">
        <f t="shared" si="221"/>
        <v>2659.5</v>
      </c>
      <c r="FG229" s="194">
        <f t="shared" si="222"/>
        <v>0</v>
      </c>
      <c r="FH229" s="257">
        <f>IF(EZ229="No",IF((OR(MONTH(C229)=5,MONTH(C229)=6,MONTH(C229)=7,MONTH(C229)=8,MONTH(C229)=9)),Summary!$O$15*12*(AX229+AY229+AZ229+BA229)*(1-$BC229),Summary!$O$15*13*(AX229+AY229+AZ229+BA229)*(1-$BC229)+IF(Summary!$O$16="Yes",(CALC!FA229+Summary!$O$15)*6*(AX229+AY229+AZ229+BA229)*(1-$BC229),0)),0)</f>
        <v>0</v>
      </c>
      <c r="FI229" s="1412">
        <f>IF(MONTH(C229)=5,FI228*(IF(Summary!$E$70="no",(1+(Summary!$E$71*0.8)),1+HLOOKUP(YEAR(C229)-1,CCFMODEL!$I$127:$AF$128,2)*0.8)),+FI228)</f>
        <v>40.768327108615125</v>
      </c>
      <c r="FJ229" s="1411">
        <f>IF(MONTH(C229)=5,FJ228*(IF(Summary!$E$70="no",(1+(Summary!$E$71*0.8)),1+HLOOKUP(YEAR(CALC!C229)-1,CCFMODEL!$I$127:$AF$128,2)*0.8)),FJ228)</f>
        <v>35.632159913828964</v>
      </c>
      <c r="FK229" s="832">
        <f t="shared" si="187"/>
        <v>650540.19567217154</v>
      </c>
      <c r="FL229" s="1412">
        <f>IF(MONTH(C229)=5,FL228*(IF(Summary!$E$70="no",(1+(Summary!$E$71*0.8)),1+HLOOKUP(YEAR(CALC!C229)-1,CCFMODEL!$I$127:$AF$128,2)*0.8)),+FL228)</f>
        <v>85.740362486772455</v>
      </c>
      <c r="FM229" s="1411">
        <f>IF(MONTH(C229)=5,FM228*(IF(Summary!$E$70="no",(1+(Summary!$E$71*0.8)),1+HLOOKUP(YEAR(CALC!C229)-1,CCFMODEL!$I$127:$AF$128,2)*0.8)),+FM228)</f>
        <v>40.921189227507561</v>
      </c>
      <c r="FN229" s="832">
        <f t="shared" si="188"/>
        <v>1388993.8722857137</v>
      </c>
      <c r="FO229" s="194">
        <f t="shared" si="223"/>
        <v>2039534.0679578851</v>
      </c>
      <c r="FP229" s="263">
        <f t="shared" si="189"/>
        <v>10638</v>
      </c>
      <c r="FQ229" s="194">
        <f t="shared" si="190"/>
        <v>0</v>
      </c>
      <c r="FR229" s="194">
        <f t="shared" si="191"/>
        <v>2659.5</v>
      </c>
      <c r="FS229" s="194">
        <f t="shared" si="176"/>
        <v>0</v>
      </c>
      <c r="FT229" s="194">
        <f t="shared" si="176"/>
        <v>2659.5</v>
      </c>
      <c r="FU229" s="194">
        <f t="shared" si="176"/>
        <v>0</v>
      </c>
      <c r="FV229" s="257">
        <f t="shared" si="176"/>
        <v>0</v>
      </c>
      <c r="FW229" s="189">
        <f t="shared" si="192"/>
        <v>0</v>
      </c>
      <c r="FX229" s="189">
        <f t="shared" si="193"/>
        <v>0</v>
      </c>
      <c r="FY229" s="189">
        <f t="shared" si="194"/>
        <v>0</v>
      </c>
      <c r="FZ229" s="258">
        <f t="shared" si="195"/>
        <v>0</v>
      </c>
      <c r="GA229" s="1294">
        <f>(SUM(FP229:FV229)+SUM(GU229:HB229)/(1-Summary!$O$25))*CY229/1000</f>
        <v>196760.026564992</v>
      </c>
      <c r="GB229" s="1369">
        <f>IF($C229&lt;Summary!$M$81,+Summary!$O$81,VLOOKUP(C229,GasTable,19))</f>
        <v>3.856075394655591</v>
      </c>
      <c r="GC229" s="1370">
        <f>IF(H229&lt;=Summary!$N$84,MIN(GA229,Summary!$O$75*(H229-G229+1)),0)</f>
        <v>0</v>
      </c>
      <c r="GD229" s="1371">
        <f>IF(C229&lt;Summary!$N$84,IF(Summary!$O$75*(H229-G229+1)*0.8&gt;GC229,1,0),0)</f>
        <v>0</v>
      </c>
      <c r="GE229" s="1372">
        <v>0</v>
      </c>
      <c r="GF229" s="1370">
        <f t="shared" si="224"/>
        <v>196760.026564992</v>
      </c>
      <c r="GG229" s="1371">
        <f>GF229*(IF(Summary!$O$74=1,VLOOKUP($C229,GasTable,16)+Summary!$O$92+Summary!$O$93,VLOOKUP($C229,GasTable,19)+Summary!$O$92+Summary!$O$93))</f>
        <v>768972.6944730822</v>
      </c>
      <c r="GH229" s="1373">
        <v>5784.1130919833868</v>
      </c>
      <c r="GI229" s="1466">
        <v>0</v>
      </c>
      <c r="GJ229" s="1374">
        <f t="shared" si="225"/>
        <v>774756.80756506557</v>
      </c>
      <c r="GK229" s="189">
        <f t="shared" si="196"/>
        <v>25196.102999999999</v>
      </c>
      <c r="GL229" s="266">
        <v>0.51634556072000004</v>
      </c>
      <c r="GM229" s="255">
        <f t="shared" si="197"/>
        <v>0</v>
      </c>
      <c r="GN229" s="189">
        <f>IF(SUM(GU229:HB229)=0,0,IF(Summary!$O$16="Yes",SUM(GX229:HB229),IF(Summary!$O$17="Yes",SUM(GY229:HB229),SUM(GU229:HB229))))</f>
        <v>9239.103000000001</v>
      </c>
      <c r="GO229" s="203">
        <v>3.932993167025034</v>
      </c>
      <c r="GP229" s="258">
        <f t="shared" si="226"/>
        <v>36337.328968440495</v>
      </c>
      <c r="GQ229" s="189"/>
      <c r="GR229" s="189"/>
      <c r="GS229" s="189"/>
      <c r="GT229" s="189"/>
      <c r="GU229" s="268">
        <v>3421.89</v>
      </c>
      <c r="GV229" s="189">
        <v>855.47249999999997</v>
      </c>
      <c r="GW229" s="189">
        <v>855.47249999999997</v>
      </c>
      <c r="GX229" s="189"/>
      <c r="GY229" s="254">
        <v>2737.5120000000002</v>
      </c>
      <c r="GZ229" s="189">
        <v>684.37800000000004</v>
      </c>
      <c r="HA229" s="189">
        <v>684.37800000000004</v>
      </c>
      <c r="HB229" s="255"/>
      <c r="HC229" s="189">
        <v>9239.103000000001</v>
      </c>
      <c r="HD229" s="189"/>
      <c r="HE229" s="189">
        <v>21557.906999999999</v>
      </c>
      <c r="HF229" s="189">
        <v>568562.7033320975</v>
      </c>
      <c r="HG229" s="189"/>
      <c r="HH229" s="203">
        <v>63.873622468929426</v>
      </c>
      <c r="HI229" s="189">
        <v>1376981.6129382909</v>
      </c>
      <c r="HJ229" s="268">
        <f t="shared" si="198"/>
        <v>0</v>
      </c>
      <c r="HK229" s="189">
        <f t="shared" si="199"/>
        <v>0</v>
      </c>
      <c r="HL229" s="189">
        <f t="shared" si="200"/>
        <v>0</v>
      </c>
      <c r="HM229" s="255">
        <f t="shared" si="201"/>
        <v>0</v>
      </c>
      <c r="HN229" s="189">
        <f t="shared" si="202"/>
        <v>0</v>
      </c>
      <c r="HO229" s="203">
        <f t="shared" si="227"/>
        <v>0</v>
      </c>
      <c r="HP229" s="258">
        <f t="shared" si="203"/>
        <v>0</v>
      </c>
      <c r="HQ229" s="203"/>
      <c r="HR229" s="268"/>
      <c r="HS229" s="1408"/>
      <c r="HT229" s="255"/>
      <c r="HU229" s="268"/>
      <c r="HV229" s="1408"/>
      <c r="HW229" s="255"/>
      <c r="HX229" s="1408"/>
      <c r="HY229" s="1408"/>
      <c r="HZ229"/>
      <c r="IA229" s="203"/>
      <c r="IB229" s="203"/>
      <c r="IC229" s="203"/>
      <c r="ID229" s="203"/>
      <c r="IE229" s="203"/>
      <c r="IF229" s="203"/>
      <c r="IG229" s="203"/>
      <c r="IH229" s="203"/>
      <c r="II229" s="203"/>
      <c r="IJ229" s="203"/>
      <c r="IK229" s="203"/>
      <c r="IL229" s="821"/>
      <c r="IM229" s="820"/>
      <c r="IN229" s="820"/>
      <c r="IR229" s="223"/>
    </row>
    <row r="230" spans="1:252" ht="13.8" thickBot="1">
      <c r="A230" t="str">
        <f t="shared" si="204"/>
        <v>2017Q4</v>
      </c>
      <c r="B230">
        <f t="shared" si="205"/>
        <v>2017</v>
      </c>
      <c r="C230" s="49">
        <f t="shared" si="206"/>
        <v>43009</v>
      </c>
      <c r="D230" s="115">
        <f t="shared" si="207"/>
        <v>2017</v>
      </c>
      <c r="E230" s="10">
        <f t="shared" si="230"/>
        <v>10</v>
      </c>
      <c r="F230" s="248" t="str">
        <f t="shared" si="231"/>
        <v/>
      </c>
      <c r="G230" s="245">
        <v>43009</v>
      </c>
      <c r="H230" s="251">
        <v>43039</v>
      </c>
      <c r="I230" s="959">
        <f t="shared" si="228"/>
        <v>7.1499999999999994E-2</v>
      </c>
      <c r="J230" s="37">
        <f t="shared" si="208"/>
        <v>0.28370605906790725</v>
      </c>
      <c r="K230" s="1036"/>
      <c r="L230" s="37"/>
      <c r="M230" s="1004">
        <v>0</v>
      </c>
      <c r="N230" s="38">
        <f t="shared" si="235"/>
        <v>0</v>
      </c>
      <c r="O230" s="40">
        <f t="shared" si="235"/>
        <v>0</v>
      </c>
      <c r="P230" s="159">
        <f t="shared" si="234"/>
        <v>0</v>
      </c>
      <c r="Q230" s="38">
        <f t="shared" si="236"/>
        <v>0</v>
      </c>
      <c r="R230" s="40">
        <f t="shared" si="236"/>
        <v>0</v>
      </c>
      <c r="S230" s="38">
        <f t="shared" si="236"/>
        <v>0</v>
      </c>
      <c r="T230" s="38">
        <f t="shared" si="236"/>
        <v>0</v>
      </c>
      <c r="U230" s="38">
        <f t="shared" si="236"/>
        <v>0</v>
      </c>
      <c r="V230" s="159">
        <f t="shared" si="236"/>
        <v>0</v>
      </c>
      <c r="W230" s="38">
        <f t="shared" si="236"/>
        <v>0</v>
      </c>
      <c r="X230" s="39">
        <f t="shared" si="236"/>
        <v>0</v>
      </c>
      <c r="Y230" s="46">
        <v>0</v>
      </c>
      <c r="Z230" s="46">
        <v>0</v>
      </c>
      <c r="AA230" s="47">
        <v>0</v>
      </c>
      <c r="AB230" s="46">
        <v>0</v>
      </c>
      <c r="AC230" s="46">
        <v>0</v>
      </c>
      <c r="AD230" s="47">
        <v>0</v>
      </c>
      <c r="AE230" s="46">
        <v>0</v>
      </c>
      <c r="AF230" s="46">
        <v>0</v>
      </c>
      <c r="AG230" s="47">
        <v>0</v>
      </c>
      <c r="AH230" s="46">
        <v>0</v>
      </c>
      <c r="AI230" s="46">
        <v>0</v>
      </c>
      <c r="AJ230" s="47">
        <v>0</v>
      </c>
      <c r="AK230" s="46">
        <v>0</v>
      </c>
      <c r="AL230" s="46">
        <v>0</v>
      </c>
      <c r="AM230" s="47">
        <v>0</v>
      </c>
      <c r="AN230" s="46">
        <v>0</v>
      </c>
      <c r="AO230" s="46">
        <v>0</v>
      </c>
      <c r="AP230" s="47">
        <v>0</v>
      </c>
      <c r="AQ230" s="46">
        <v>0</v>
      </c>
      <c r="AR230" s="46">
        <v>0</v>
      </c>
      <c r="AS230" s="47">
        <v>0</v>
      </c>
      <c r="AT230" s="46">
        <v>0</v>
      </c>
      <c r="AU230" s="46">
        <v>0</v>
      </c>
      <c r="AV230" s="46">
        <v>0</v>
      </c>
      <c r="AW230" s="1545">
        <v>0</v>
      </c>
      <c r="AX230" s="10">
        <f t="shared" si="232"/>
        <v>22</v>
      </c>
      <c r="AY230" s="42">
        <f>IF(AND($E230=MONTH(Summary!$E$24),$D230=YEAR(Summary!$E$24)),Summary!$E$25,1)*IF(G230="",0,INT((H230-MOD(H230,7)-G230)/7)+1-IF(BA230,IF(WEEKDAY(F230)=7,1,0),0))</f>
        <v>4</v>
      </c>
      <c r="AZ230" s="42">
        <f>IF(AND($E230=MONTH(Summary!$E$24),$D230=YEAR(Summary!$E$24)),Summary!$E$25,1)*IF(G230="",0,INT((H230-MOD(H230-1,7)-G230)/7)+1-IF(BA230,IF(WEEKDAY(F230)=1,1,0),0))</f>
        <v>5</v>
      </c>
      <c r="BA230" s="42">
        <v>0</v>
      </c>
      <c r="BB230" s="10">
        <f>IF(AND($E230=MONTH(Summary!$E$24),$D230=YEAR(Summary!$E$24)),Summary!$E$25,1)*IF(G230="",0,H230-G230+1)</f>
        <v>31</v>
      </c>
      <c r="BC230" s="914">
        <f>Summary!$E$19</f>
        <v>1.4999999999999999E-2</v>
      </c>
      <c r="BD230" s="113">
        <v>15602.4</v>
      </c>
      <c r="BE230" s="171">
        <v>2836.8</v>
      </c>
      <c r="BF230" s="171">
        <v>3546</v>
      </c>
      <c r="BG230" s="174"/>
      <c r="BH230" s="1198">
        <v>1</v>
      </c>
      <c r="BI230" s="1198">
        <v>1</v>
      </c>
      <c r="BJ230" s="1198">
        <v>1</v>
      </c>
      <c r="BK230" s="1198">
        <v>1</v>
      </c>
      <c r="BL230" s="95">
        <v>3120.48</v>
      </c>
      <c r="BM230" s="171">
        <v>567.36</v>
      </c>
      <c r="BN230" s="171">
        <v>709.2</v>
      </c>
      <c r="BO230" s="174"/>
      <c r="BP230" s="1198">
        <v>1</v>
      </c>
      <c r="BQ230" s="1199">
        <v>1</v>
      </c>
      <c r="BR230" s="1199">
        <v>1</v>
      </c>
      <c r="BS230" s="1200">
        <v>1</v>
      </c>
      <c r="BT230" s="94">
        <f t="shared" si="209"/>
        <v>21985.200000000001</v>
      </c>
      <c r="BU230" s="233">
        <f t="shared" si="210"/>
        <v>21985.200000000001</v>
      </c>
      <c r="BV230" s="92">
        <f t="shared" si="211"/>
        <v>4397.04</v>
      </c>
      <c r="BW230" s="233">
        <f t="shared" si="212"/>
        <v>4397.04</v>
      </c>
      <c r="BX230" s="88">
        <v>17.796030116358658</v>
      </c>
      <c r="BY230" s="90">
        <v>0</v>
      </c>
      <c r="BZ230" s="88">
        <v>0</v>
      </c>
      <c r="CA230" s="88">
        <v>0</v>
      </c>
      <c r="CB230" s="88">
        <v>0</v>
      </c>
      <c r="CC230" s="88">
        <v>0</v>
      </c>
      <c r="CD230" s="88">
        <v>0</v>
      </c>
      <c r="CE230" s="100">
        <v>0</v>
      </c>
      <c r="CF230" s="88">
        <v>0</v>
      </c>
      <c r="CG230" s="88">
        <v>0</v>
      </c>
      <c r="CH230" s="88">
        <v>0</v>
      </c>
      <c r="CI230" s="88">
        <v>0</v>
      </c>
      <c r="CJ230" s="228">
        <v>0</v>
      </c>
      <c r="CK230" s="88">
        <v>0</v>
      </c>
      <c r="CL230" s="88">
        <v>0</v>
      </c>
      <c r="CM230" s="88">
        <v>0</v>
      </c>
      <c r="CN230" s="88">
        <v>0</v>
      </c>
      <c r="CO230" s="88">
        <v>0</v>
      </c>
      <c r="CP230" s="88">
        <v>0</v>
      </c>
      <c r="CQ230" s="229">
        <v>0</v>
      </c>
      <c r="CR230" s="91">
        <v>0</v>
      </c>
      <c r="CS230" s="91">
        <v>0</v>
      </c>
      <c r="CT230" s="91">
        <v>0</v>
      </c>
      <c r="CU230" s="91">
        <v>0</v>
      </c>
      <c r="CV230" s="91">
        <v>0</v>
      </c>
      <c r="CW230" s="91">
        <v>0</v>
      </c>
      <c r="CX230" s="225">
        <v>0</v>
      </c>
      <c r="CY230" s="1265">
        <v>7708.6811200000002</v>
      </c>
      <c r="CZ230" s="90">
        <v>0</v>
      </c>
      <c r="DA230" s="88">
        <v>0</v>
      </c>
      <c r="DB230" s="88">
        <v>0</v>
      </c>
      <c r="DC230" s="88">
        <v>0</v>
      </c>
      <c r="DD230" s="88">
        <v>0</v>
      </c>
      <c r="DE230" s="152">
        <v>0</v>
      </c>
      <c r="DF230" s="230">
        <v>0</v>
      </c>
      <c r="DG230" s="38">
        <v>0</v>
      </c>
      <c r="DH230" s="1237">
        <v>0</v>
      </c>
      <c r="DI230" s="956">
        <v>0</v>
      </c>
      <c r="DJ230" s="956">
        <v>0</v>
      </c>
      <c r="DK230" s="956">
        <v>0</v>
      </c>
      <c r="DL230" s="152">
        <v>0</v>
      </c>
      <c r="DM230" s="160">
        <v>0</v>
      </c>
      <c r="DN230" s="160">
        <v>0</v>
      </c>
      <c r="DO230" s="160">
        <v>0</v>
      </c>
      <c r="DP230" s="160">
        <v>0</v>
      </c>
      <c r="DQ230" s="160">
        <v>0</v>
      </c>
      <c r="DR230" s="230">
        <v>0</v>
      </c>
      <c r="DS230" s="88">
        <v>0</v>
      </c>
      <c r="DT230" s="88">
        <v>0</v>
      </c>
      <c r="DU230" s="88">
        <v>0</v>
      </c>
      <c r="DV230" s="88">
        <v>0</v>
      </c>
      <c r="DW230" s="88">
        <v>0</v>
      </c>
      <c r="DX230" s="88">
        <v>0</v>
      </c>
      <c r="DY230" s="88">
        <v>0</v>
      </c>
      <c r="DZ230" s="88">
        <v>0</v>
      </c>
      <c r="EA230" s="88">
        <v>0</v>
      </c>
      <c r="EB230" s="152">
        <v>0</v>
      </c>
      <c r="EC230" s="52">
        <f t="shared" si="213"/>
        <v>0</v>
      </c>
      <c r="ED230" s="52">
        <f t="shared" si="213"/>
        <v>0</v>
      </c>
      <c r="EE230" s="52">
        <f t="shared" si="213"/>
        <v>0</v>
      </c>
      <c r="EF230" s="52">
        <f t="shared" si="186"/>
        <v>0</v>
      </c>
      <c r="EG230" s="52">
        <f t="shared" si="214"/>
        <v>0</v>
      </c>
      <c r="EH230" s="238">
        <v>0</v>
      </c>
      <c r="EI230" s="211">
        <v>0</v>
      </c>
      <c r="EJ230" s="211">
        <v>0</v>
      </c>
      <c r="EK230" s="211">
        <v>0</v>
      </c>
      <c r="EL230" s="217">
        <f>IF(C230&gt;=Summary!$E$26,MAX(0,SUM(EH230:EK230)),0)</f>
        <v>0</v>
      </c>
      <c r="EM230" s="52">
        <f>IF(C230&gt;=Summary!$E$26,DX230*BL230,0)</f>
        <v>0</v>
      </c>
      <c r="EN230" s="52">
        <f>IF(C230&gt;=Summary!$E$26,DY230*BM230,0)</f>
        <v>0</v>
      </c>
      <c r="EO230" s="52">
        <f>IF(C230&gt;=Summary!$E$26,DZ230*BN230,0)</f>
        <v>0</v>
      </c>
      <c r="EP230" s="52">
        <f>IF(C230&gt;=Summary!$E$26,EA230*BO230,0)</f>
        <v>0</v>
      </c>
      <c r="EQ230" s="52">
        <f>IF(C230&gt;=Summary!$E$26,DX230*BL230+DY230*BM230+DZ230*BN230+EA230*BO230,0)</f>
        <v>0</v>
      </c>
      <c r="ER230" s="826">
        <v>0</v>
      </c>
      <c r="ES230" s="278">
        <v>0</v>
      </c>
      <c r="ET230" s="278">
        <v>0</v>
      </c>
      <c r="EU230" s="278">
        <v>0</v>
      </c>
      <c r="EV230" s="212">
        <f>IF(C230&gt;=Summary!$E$26,MAX(0,SUM(ER230:EU230)),0)</f>
        <v>0</v>
      </c>
      <c r="EW230" s="52"/>
      <c r="EX230" s="1049">
        <f t="shared" si="215"/>
        <v>0</v>
      </c>
      <c r="EY230" s="1045" t="str">
        <f t="shared" si="216"/>
        <v/>
      </c>
      <c r="EZ230" s="1684" t="s">
        <v>525</v>
      </c>
      <c r="FA230" s="1046">
        <f t="shared" si="229"/>
        <v>45</v>
      </c>
      <c r="FB230" s="256">
        <f t="shared" si="217"/>
        <v>9751.5</v>
      </c>
      <c r="FC230" s="194">
        <f t="shared" si="218"/>
        <v>2925.45</v>
      </c>
      <c r="FD230" s="194">
        <f t="shared" si="219"/>
        <v>1773</v>
      </c>
      <c r="FE230" s="194">
        <f t="shared" si="220"/>
        <v>531.9</v>
      </c>
      <c r="FF230" s="194">
        <f t="shared" si="221"/>
        <v>2216.25</v>
      </c>
      <c r="FG230" s="194">
        <f t="shared" si="222"/>
        <v>664.875</v>
      </c>
      <c r="FH230" s="257">
        <f>IF(EZ230="No",IF((OR(MONTH(C230)=5,MONTH(C230)=6,MONTH(C230)=7,MONTH(C230)=8,MONTH(C230)=9)),Summary!$O$15*12*(AX230+AY230+AZ230+BA230)*(1-$BC230),Summary!$O$15*13*(AX230+AY230+AZ230+BA230)*(1-$BC230)+IF(Summary!$O$16="Yes",(CALC!FA230+Summary!$O$15)*6*(AX230+AY230+AZ230+BA230)*(1-$BC230),0)),0)</f>
        <v>0</v>
      </c>
      <c r="FI230" s="1412">
        <f>IF(MONTH(C230)=5,FI229*(IF(Summary!$E$70="no",(1+(Summary!$E$71*0.8)),1+HLOOKUP(YEAR(C230)-1,CCFMODEL!$I$127:$AF$128,2)*0.8)),+FI229)</f>
        <v>40.768327108615125</v>
      </c>
      <c r="FJ230" s="1411">
        <f>IF(MONTH(C230)=5,FJ229*(IF(Summary!$E$70="no",(1+(Summary!$E$71*0.8)),1+HLOOKUP(YEAR(CALC!C230)-1,CCFMODEL!$I$127:$AF$128,2)*0.8)),FJ229)</f>
        <v>35.632159913828964</v>
      </c>
      <c r="FK230" s="832">
        <f t="shared" si="187"/>
        <v>728243.60793301417</v>
      </c>
      <c r="FL230" s="1412">
        <f>IF(MONTH(C230)=5,FL229*(IF(Summary!$E$70="no",(1+(Summary!$E$71*0.8)),1+HLOOKUP(YEAR(CALC!C230)-1,CCFMODEL!$I$127:$AF$128,2)*0.8)),+FL229)</f>
        <v>85.740362486772455</v>
      </c>
      <c r="FM230" s="1411">
        <f>IF(MONTH(C230)=5,FM229*(IF(Summary!$E$70="no",(1+(Summary!$E$71*0.8)),1+HLOOKUP(YEAR(CALC!C230)-1,CCFMODEL!$I$127:$AF$128,2)*0.8)),+FM229)</f>
        <v>40.921189227507561</v>
      </c>
      <c r="FN230" s="832">
        <f t="shared" si="188"/>
        <v>742105.76664084964</v>
      </c>
      <c r="FO230" s="194">
        <f t="shared" si="223"/>
        <v>1470349.3745738638</v>
      </c>
      <c r="FP230" s="263">
        <f t="shared" si="189"/>
        <v>9751.5</v>
      </c>
      <c r="FQ230" s="194">
        <f t="shared" si="190"/>
        <v>2925.45</v>
      </c>
      <c r="FR230" s="194">
        <f t="shared" si="191"/>
        <v>1773</v>
      </c>
      <c r="FS230" s="194">
        <f t="shared" si="176"/>
        <v>531.9</v>
      </c>
      <c r="FT230" s="194">
        <f t="shared" si="176"/>
        <v>2216.25</v>
      </c>
      <c r="FU230" s="194">
        <f t="shared" si="176"/>
        <v>664.875</v>
      </c>
      <c r="FV230" s="257">
        <f t="shared" si="176"/>
        <v>0</v>
      </c>
      <c r="FW230" s="189">
        <f t="shared" si="192"/>
        <v>0</v>
      </c>
      <c r="FX230" s="189">
        <f t="shared" si="193"/>
        <v>0</v>
      </c>
      <c r="FY230" s="189">
        <f t="shared" si="194"/>
        <v>0</v>
      </c>
      <c r="FZ230" s="258">
        <f t="shared" si="195"/>
        <v>0</v>
      </c>
      <c r="GA230" s="1294">
        <f>(SUM(FP230:FV230)+SUM(GU230:HB230)/(1-Summary!$O$25))*CY230/1000</f>
        <v>235149.19342120079</v>
      </c>
      <c r="GB230" s="1369">
        <f>IF($C230&lt;Summary!$M$81,+Summary!$O$81,VLOOKUP(C230,GasTable,19))</f>
        <v>4.0274371363404899</v>
      </c>
      <c r="GC230" s="1370">
        <f>IF(H230&lt;=Summary!$N$84,MIN(GA230,Summary!$O$75*(H230-G230+1)),0)</f>
        <v>0</v>
      </c>
      <c r="GD230" s="1371">
        <f>IF(C230&lt;Summary!$N$84,IF(Summary!$O$75*(H230-G230+1)*0.8&gt;GC230,1,0),0)</f>
        <v>0</v>
      </c>
      <c r="GE230" s="1372">
        <v>0</v>
      </c>
      <c r="GF230" s="1370">
        <f t="shared" si="224"/>
        <v>235149.19342120079</v>
      </c>
      <c r="GG230" s="1371">
        <f>GF230*(IF(Summary!$O$74=1,VLOOKUP($C230,GasTable,16)+Summary!$O$92+Summary!$O$93,VLOOKUP($C230,GasTable,19)+Summary!$O$92+Summary!$O$93))</f>
        <v>959299.86714230152</v>
      </c>
      <c r="GH230" s="1373">
        <v>6242.527561327759</v>
      </c>
      <c r="GI230" s="1466">
        <v>0</v>
      </c>
      <c r="GJ230" s="1374">
        <f t="shared" si="225"/>
        <v>965542.39470362931</v>
      </c>
      <c r="GK230" s="189">
        <f t="shared" si="196"/>
        <v>30062.012850000003</v>
      </c>
      <c r="GL230" s="266">
        <v>0.51648163504</v>
      </c>
      <c r="GM230" s="255">
        <f t="shared" si="197"/>
        <v>0</v>
      </c>
      <c r="GN230" s="189">
        <f>IF(SUM(GU230:HB230)=0,0,IF(Summary!$O$16="Yes",SUM(GX230:HB230),IF(Summary!$O$17="Yes",SUM(GY230:HB230),SUM(GU230:HB230))))</f>
        <v>12199.037849999999</v>
      </c>
      <c r="GO230" s="203">
        <v>3.932993167025034</v>
      </c>
      <c r="GP230" s="258">
        <f t="shared" si="226"/>
        <v>47978.732508329755</v>
      </c>
      <c r="GQ230" s="189"/>
      <c r="GR230" s="189"/>
      <c r="GS230" s="189"/>
      <c r="GT230" s="189"/>
      <c r="GU230" s="268">
        <v>5646.1184999999996</v>
      </c>
      <c r="GV230" s="189">
        <v>1026.5670000000002</v>
      </c>
      <c r="GW230" s="189">
        <v>1283.20875</v>
      </c>
      <c r="GX230" s="189"/>
      <c r="GY230" s="254">
        <v>3011.2631999999999</v>
      </c>
      <c r="GZ230" s="189">
        <v>547.50239999999997</v>
      </c>
      <c r="HA230" s="189">
        <v>684.37800000000004</v>
      </c>
      <c r="HB230" s="255"/>
      <c r="HC230" s="189">
        <v>12199.037849999999</v>
      </c>
      <c r="HD230" s="189"/>
      <c r="HE230" s="189">
        <v>20950.521524999996</v>
      </c>
      <c r="HF230" s="189">
        <v>691350.12230761198</v>
      </c>
      <c r="HG230" s="189"/>
      <c r="HH230" s="203">
        <v>55.776153996240737</v>
      </c>
      <c r="HI230" s="189">
        <v>1168539.5148799561</v>
      </c>
      <c r="HJ230" s="268">
        <f t="shared" si="198"/>
        <v>0</v>
      </c>
      <c r="HK230" s="189">
        <f t="shared" si="199"/>
        <v>0</v>
      </c>
      <c r="HL230" s="189">
        <f t="shared" si="200"/>
        <v>0</v>
      </c>
      <c r="HM230" s="255">
        <f t="shared" si="201"/>
        <v>0</v>
      </c>
      <c r="HN230" s="189">
        <f t="shared" si="202"/>
        <v>0</v>
      </c>
      <c r="HO230" s="203">
        <f t="shared" si="227"/>
        <v>0</v>
      </c>
      <c r="HP230" s="258">
        <f t="shared" si="203"/>
        <v>0</v>
      </c>
      <c r="HQ230" s="203"/>
      <c r="HR230" s="268"/>
      <c r="HS230" s="1408"/>
      <c r="HT230" s="255"/>
      <c r="HU230" s="268"/>
      <c r="HV230" s="1408"/>
      <c r="HW230" s="255"/>
      <c r="HX230" s="1408"/>
      <c r="HY230" s="1408"/>
      <c r="HZ230"/>
      <c r="IA230" s="203"/>
      <c r="IB230" s="203"/>
      <c r="IC230" s="203"/>
      <c r="ID230" s="203"/>
      <c r="IE230" s="203"/>
      <c r="IF230" s="203"/>
      <c r="IG230" s="203"/>
      <c r="IH230" s="203"/>
      <c r="II230" s="203"/>
      <c r="IJ230" s="203"/>
      <c r="IK230" s="203"/>
      <c r="IL230" s="821"/>
      <c r="IM230" s="820"/>
      <c r="IN230" s="820"/>
      <c r="IR230" s="223"/>
    </row>
    <row r="231" spans="1:252" ht="13.8" thickBot="1">
      <c r="A231" t="str">
        <f t="shared" si="204"/>
        <v>2017Q4</v>
      </c>
      <c r="B231">
        <f t="shared" si="205"/>
        <v>2017</v>
      </c>
      <c r="C231" s="49">
        <f t="shared" si="206"/>
        <v>43040</v>
      </c>
      <c r="D231" s="115">
        <f t="shared" si="207"/>
        <v>2017</v>
      </c>
      <c r="E231" s="10">
        <f t="shared" si="230"/>
        <v>11</v>
      </c>
      <c r="F231" s="248">
        <f t="shared" si="231"/>
        <v>43062</v>
      </c>
      <c r="G231" s="245">
        <v>43040</v>
      </c>
      <c r="H231" s="251">
        <v>43069</v>
      </c>
      <c r="I231" s="959">
        <f t="shared" si="228"/>
        <v>7.1499999999999994E-2</v>
      </c>
      <c r="J231" s="37">
        <f t="shared" si="208"/>
        <v>0.28207374578273231</v>
      </c>
      <c r="K231" s="1036"/>
      <c r="L231" s="37"/>
      <c r="M231" s="1004">
        <v>0</v>
      </c>
      <c r="N231" s="38">
        <f t="shared" si="235"/>
        <v>0</v>
      </c>
      <c r="O231" s="40">
        <f t="shared" si="235"/>
        <v>0</v>
      </c>
      <c r="P231" s="159">
        <f t="shared" si="234"/>
        <v>0</v>
      </c>
      <c r="Q231" s="38">
        <f t="shared" si="236"/>
        <v>0</v>
      </c>
      <c r="R231" s="40">
        <f t="shared" si="236"/>
        <v>0</v>
      </c>
      <c r="S231" s="38">
        <f t="shared" si="236"/>
        <v>0</v>
      </c>
      <c r="T231" s="38">
        <f t="shared" si="236"/>
        <v>0</v>
      </c>
      <c r="U231" s="38">
        <f t="shared" si="236"/>
        <v>0</v>
      </c>
      <c r="V231" s="159">
        <f t="shared" si="236"/>
        <v>0</v>
      </c>
      <c r="W231" s="38">
        <f t="shared" si="236"/>
        <v>0</v>
      </c>
      <c r="X231" s="39">
        <f t="shared" si="236"/>
        <v>0</v>
      </c>
      <c r="Y231" s="46">
        <v>0</v>
      </c>
      <c r="Z231" s="46">
        <v>0</v>
      </c>
      <c r="AA231" s="47">
        <v>0</v>
      </c>
      <c r="AB231" s="46">
        <v>0</v>
      </c>
      <c r="AC231" s="46">
        <v>0</v>
      </c>
      <c r="AD231" s="47">
        <v>0</v>
      </c>
      <c r="AE231" s="46">
        <v>0</v>
      </c>
      <c r="AF231" s="46">
        <v>0</v>
      </c>
      <c r="AG231" s="47">
        <v>0</v>
      </c>
      <c r="AH231" s="46">
        <v>0</v>
      </c>
      <c r="AI231" s="46">
        <v>0</v>
      </c>
      <c r="AJ231" s="47">
        <v>0</v>
      </c>
      <c r="AK231" s="46">
        <v>0</v>
      </c>
      <c r="AL231" s="46">
        <v>0</v>
      </c>
      <c r="AM231" s="47">
        <v>0</v>
      </c>
      <c r="AN231" s="46">
        <v>0</v>
      </c>
      <c r="AO231" s="46">
        <v>0</v>
      </c>
      <c r="AP231" s="47">
        <v>0</v>
      </c>
      <c r="AQ231" s="46">
        <v>0</v>
      </c>
      <c r="AR231" s="46">
        <v>0</v>
      </c>
      <c r="AS231" s="47">
        <v>0</v>
      </c>
      <c r="AT231" s="46">
        <v>0</v>
      </c>
      <c r="AU231" s="46">
        <v>0</v>
      </c>
      <c r="AV231" s="46">
        <v>0</v>
      </c>
      <c r="AW231" s="1545">
        <v>0</v>
      </c>
      <c r="AX231" s="10">
        <f t="shared" si="232"/>
        <v>21</v>
      </c>
      <c r="AY231" s="42">
        <f>IF(AND($E231=MONTH(Summary!$E$24),$D231=YEAR(Summary!$E$24)),Summary!$E$25,1)*IF(G231="",0,INT((H231-MOD(H231,7)-G231)/7)+1-IF(BA231,IF(WEEKDAY(F231)=7,1,0),0))</f>
        <v>4</v>
      </c>
      <c r="AZ231" s="42">
        <f>IF(AND($E231=MONTH(Summary!$E$24),$D231=YEAR(Summary!$E$24)),Summary!$E$25,1)*IF(G231="",0,INT((H231-MOD(H231-1,7)-G231)/7)+1-IF(BA231,IF(WEEKDAY(F231)=1,1,0),0))</f>
        <v>4</v>
      </c>
      <c r="BA231" s="42">
        <v>1</v>
      </c>
      <c r="BB231" s="10">
        <f>IF(AND($E231=MONTH(Summary!$E$24),$D231=YEAR(Summary!$E$24)),Summary!$E$25,1)*IF(G231="",0,H231-G231+1)</f>
        <v>30</v>
      </c>
      <c r="BC231" s="914">
        <f>Summary!$E$19</f>
        <v>1.4999999999999999E-2</v>
      </c>
      <c r="BD231" s="113">
        <v>14893.2</v>
      </c>
      <c r="BE231" s="171">
        <v>2836.8</v>
      </c>
      <c r="BF231" s="171">
        <v>3546</v>
      </c>
      <c r="BG231" s="174"/>
      <c r="BH231" s="1198">
        <v>1</v>
      </c>
      <c r="BI231" s="1198">
        <v>1</v>
      </c>
      <c r="BJ231" s="1198">
        <v>1</v>
      </c>
      <c r="BK231" s="1198">
        <v>1</v>
      </c>
      <c r="BL231" s="95">
        <v>2978.64</v>
      </c>
      <c r="BM231" s="171">
        <v>567.36</v>
      </c>
      <c r="BN231" s="171">
        <v>709.2</v>
      </c>
      <c r="BO231" s="174"/>
      <c r="BP231" s="1198">
        <v>1</v>
      </c>
      <c r="BQ231" s="1199">
        <v>1</v>
      </c>
      <c r="BR231" s="1199">
        <v>1</v>
      </c>
      <c r="BS231" s="1200">
        <v>1</v>
      </c>
      <c r="BT231" s="94">
        <f t="shared" si="209"/>
        <v>21276</v>
      </c>
      <c r="BU231" s="233">
        <f t="shared" si="210"/>
        <v>21276</v>
      </c>
      <c r="BV231" s="92">
        <f t="shared" si="211"/>
        <v>4255.2</v>
      </c>
      <c r="BW231" s="233">
        <f t="shared" si="212"/>
        <v>4255.2</v>
      </c>
      <c r="BX231" s="88">
        <v>17.880903490759753</v>
      </c>
      <c r="BY231" s="90">
        <v>0</v>
      </c>
      <c r="BZ231" s="88">
        <v>0</v>
      </c>
      <c r="CA231" s="88">
        <v>0</v>
      </c>
      <c r="CB231" s="88">
        <v>0</v>
      </c>
      <c r="CC231" s="88">
        <v>0</v>
      </c>
      <c r="CD231" s="88">
        <v>0</v>
      </c>
      <c r="CE231" s="100">
        <v>0</v>
      </c>
      <c r="CF231" s="88">
        <v>0</v>
      </c>
      <c r="CG231" s="88">
        <v>0</v>
      </c>
      <c r="CH231" s="88">
        <v>0</v>
      </c>
      <c r="CI231" s="88">
        <v>0</v>
      </c>
      <c r="CJ231" s="228">
        <v>0</v>
      </c>
      <c r="CK231" s="88">
        <v>0</v>
      </c>
      <c r="CL231" s="88">
        <v>0</v>
      </c>
      <c r="CM231" s="88">
        <v>0</v>
      </c>
      <c r="CN231" s="88">
        <v>0</v>
      </c>
      <c r="CO231" s="88">
        <v>0</v>
      </c>
      <c r="CP231" s="88">
        <v>0</v>
      </c>
      <c r="CQ231" s="229">
        <v>0</v>
      </c>
      <c r="CR231" s="91">
        <v>0</v>
      </c>
      <c r="CS231" s="91">
        <v>0</v>
      </c>
      <c r="CT231" s="91">
        <v>0</v>
      </c>
      <c r="CU231" s="91">
        <v>0</v>
      </c>
      <c r="CV231" s="91">
        <v>0</v>
      </c>
      <c r="CW231" s="91">
        <v>0</v>
      </c>
      <c r="CX231" s="225">
        <v>0</v>
      </c>
      <c r="CY231" s="1265">
        <v>7710.7120799999993</v>
      </c>
      <c r="CZ231" s="90">
        <v>0</v>
      </c>
      <c r="DA231" s="88">
        <v>0</v>
      </c>
      <c r="DB231" s="88">
        <v>0</v>
      </c>
      <c r="DC231" s="88">
        <v>0</v>
      </c>
      <c r="DD231" s="88">
        <v>0</v>
      </c>
      <c r="DE231" s="152">
        <v>0</v>
      </c>
      <c r="DF231" s="230">
        <v>0</v>
      </c>
      <c r="DG231" s="38">
        <v>0</v>
      </c>
      <c r="DH231" s="1237">
        <v>0</v>
      </c>
      <c r="DI231" s="956">
        <v>0</v>
      </c>
      <c r="DJ231" s="956">
        <v>0</v>
      </c>
      <c r="DK231" s="956">
        <v>0</v>
      </c>
      <c r="DL231" s="152">
        <v>0</v>
      </c>
      <c r="DM231" s="160">
        <v>0</v>
      </c>
      <c r="DN231" s="160">
        <v>0</v>
      </c>
      <c r="DO231" s="160">
        <v>0</v>
      </c>
      <c r="DP231" s="160">
        <v>0</v>
      </c>
      <c r="DQ231" s="160">
        <v>0</v>
      </c>
      <c r="DR231" s="230">
        <v>0</v>
      </c>
      <c r="DS231" s="88">
        <v>0</v>
      </c>
      <c r="DT231" s="88">
        <v>0</v>
      </c>
      <c r="DU231" s="88">
        <v>0</v>
      </c>
      <c r="DV231" s="88">
        <v>0</v>
      </c>
      <c r="DW231" s="88">
        <v>0</v>
      </c>
      <c r="DX231" s="88">
        <v>0</v>
      </c>
      <c r="DY231" s="88">
        <v>0</v>
      </c>
      <c r="DZ231" s="88">
        <v>0</v>
      </c>
      <c r="EA231" s="88">
        <v>0</v>
      </c>
      <c r="EB231" s="152">
        <v>0</v>
      </c>
      <c r="EC231" s="52">
        <f t="shared" si="213"/>
        <v>0</v>
      </c>
      <c r="ED231" s="52">
        <f t="shared" si="213"/>
        <v>0</v>
      </c>
      <c r="EE231" s="52">
        <f t="shared" si="213"/>
        <v>0</v>
      </c>
      <c r="EF231" s="52">
        <f t="shared" si="186"/>
        <v>0</v>
      </c>
      <c r="EG231" s="52">
        <f t="shared" si="214"/>
        <v>0</v>
      </c>
      <c r="EH231" s="238">
        <v>0</v>
      </c>
      <c r="EI231" s="211">
        <v>0</v>
      </c>
      <c r="EJ231" s="211">
        <v>0</v>
      </c>
      <c r="EK231" s="211">
        <v>0</v>
      </c>
      <c r="EL231" s="217">
        <f>IF(C231&gt;=Summary!$E$26,MAX(0,SUM(EH231:EK231)),0)</f>
        <v>0</v>
      </c>
      <c r="EM231" s="52">
        <f>IF(C231&gt;=Summary!$E$26,DX231*BL231,0)</f>
        <v>0</v>
      </c>
      <c r="EN231" s="52">
        <f>IF(C231&gt;=Summary!$E$26,DY231*BM231,0)</f>
        <v>0</v>
      </c>
      <c r="EO231" s="52">
        <f>IF(C231&gt;=Summary!$E$26,DZ231*BN231,0)</f>
        <v>0</v>
      </c>
      <c r="EP231" s="52">
        <f>IF(C231&gt;=Summary!$E$26,EA231*BO231,0)</f>
        <v>0</v>
      </c>
      <c r="EQ231" s="52">
        <f>IF(C231&gt;=Summary!$E$26,DX231*BL231+DY231*BM231+DZ231*BN231+EA231*BO231,0)</f>
        <v>0</v>
      </c>
      <c r="ER231" s="826">
        <v>0</v>
      </c>
      <c r="ES231" s="278">
        <v>0</v>
      </c>
      <c r="ET231" s="278">
        <v>0</v>
      </c>
      <c r="EU231" s="278">
        <v>0</v>
      </c>
      <c r="EV231" s="212">
        <f>IF(C231&gt;=Summary!$E$26,MAX(0,SUM(ER231:EU231)),0)</f>
        <v>0</v>
      </c>
      <c r="EW231" s="52"/>
      <c r="EX231" s="1049">
        <f t="shared" si="215"/>
        <v>0</v>
      </c>
      <c r="EY231" s="1045" t="str">
        <f t="shared" si="216"/>
        <v/>
      </c>
      <c r="EZ231" s="1684" t="s">
        <v>525</v>
      </c>
      <c r="FA231" s="1046">
        <f t="shared" si="229"/>
        <v>45</v>
      </c>
      <c r="FB231" s="256">
        <f t="shared" si="217"/>
        <v>9308.25</v>
      </c>
      <c r="FC231" s="194">
        <f t="shared" si="218"/>
        <v>2792.4749999999999</v>
      </c>
      <c r="FD231" s="194">
        <f t="shared" si="219"/>
        <v>1773</v>
      </c>
      <c r="FE231" s="194">
        <f t="shared" si="220"/>
        <v>531.9</v>
      </c>
      <c r="FF231" s="194">
        <f t="shared" si="221"/>
        <v>2216.25</v>
      </c>
      <c r="FG231" s="194">
        <f t="shared" si="222"/>
        <v>664.875</v>
      </c>
      <c r="FH231" s="257">
        <f>IF(EZ231="No",IF((OR(MONTH(C231)=5,MONTH(C231)=6,MONTH(C231)=7,MONTH(C231)=8,MONTH(C231)=9)),Summary!$O$15*12*(AX231+AY231+AZ231+BA231)*(1-$BC231),Summary!$O$15*13*(AX231+AY231+AZ231+BA231)*(1-$BC231)+IF(Summary!$O$16="Yes",(CALC!FA231+Summary!$O$15)*6*(AX231+AY231+AZ231+BA231)*(1-$BC231),0)),0)</f>
        <v>0</v>
      </c>
      <c r="FI231" s="1412">
        <f>IF(MONTH(C231)=5,FI230*(IF(Summary!$E$70="no",(1+(Summary!$E$71*0.8)),1+HLOOKUP(YEAR(C231)-1,CCFMODEL!$I$127:$AF$128,2)*0.8)),+FI230)</f>
        <v>40.768327108615125</v>
      </c>
      <c r="FJ231" s="1411">
        <f>IF(MONTH(C231)=5,FJ230*(IF(Summary!$E$70="no",(1+(Summary!$E$71*0.8)),1+HLOOKUP(YEAR(CALC!C231)-1,CCFMODEL!$I$127:$AF$128,2)*0.8)),FJ230)</f>
        <v>35.632159913828964</v>
      </c>
      <c r="FK231" s="832">
        <f t="shared" si="187"/>
        <v>704751.87864485255</v>
      </c>
      <c r="FL231" s="1412">
        <f>IF(MONTH(C231)=5,FL230*(IF(Summary!$E$70="no",(1+(Summary!$E$71*0.8)),1+HLOOKUP(YEAR(CALC!C231)-1,CCFMODEL!$I$127:$AF$128,2)*0.8)),+FL230)</f>
        <v>85.740362486772455</v>
      </c>
      <c r="FM231" s="1411">
        <f>IF(MONTH(C231)=5,FM230*(IF(Summary!$E$70="no",(1+(Summary!$E$71*0.8)),1+HLOOKUP(YEAR(CALC!C231)-1,CCFMODEL!$I$127:$AF$128,2)*0.8)),+FM230)</f>
        <v>40.921189227507561</v>
      </c>
      <c r="FN231" s="832">
        <f t="shared" si="188"/>
        <v>718166.8709427577</v>
      </c>
      <c r="FO231" s="194">
        <f t="shared" si="223"/>
        <v>1422918.7495876104</v>
      </c>
      <c r="FP231" s="263">
        <f t="shared" si="189"/>
        <v>9308.25</v>
      </c>
      <c r="FQ231" s="194">
        <f t="shared" si="190"/>
        <v>2792.4749999999999</v>
      </c>
      <c r="FR231" s="194">
        <f t="shared" si="191"/>
        <v>1773</v>
      </c>
      <c r="FS231" s="194">
        <f t="shared" si="176"/>
        <v>531.9</v>
      </c>
      <c r="FT231" s="194">
        <f t="shared" si="176"/>
        <v>2216.25</v>
      </c>
      <c r="FU231" s="194">
        <f t="shared" si="176"/>
        <v>664.875</v>
      </c>
      <c r="FV231" s="257">
        <f t="shared" si="176"/>
        <v>0</v>
      </c>
      <c r="FW231" s="189">
        <f t="shared" si="192"/>
        <v>0</v>
      </c>
      <c r="FX231" s="189">
        <f t="shared" si="193"/>
        <v>0</v>
      </c>
      <c r="FY231" s="189">
        <f t="shared" si="194"/>
        <v>0</v>
      </c>
      <c r="FZ231" s="258">
        <f t="shared" si="195"/>
        <v>0</v>
      </c>
      <c r="GA231" s="1294">
        <f>(SUM(FP231:FV231)+SUM(GU231:HB231)/(1-Summary!$O$25))*CY231/1000</f>
        <v>227623.69042203599</v>
      </c>
      <c r="GB231" s="1369">
        <f>IF($C231&lt;Summary!$M$81,+Summary!$O$81,VLOOKUP(C231,GasTable,19))</f>
        <v>4.1964169559651472</v>
      </c>
      <c r="GC231" s="1370">
        <f>IF(H231&lt;=Summary!$N$84,MIN(GA231,Summary!$O$75*(H231-G231+1)),0)</f>
        <v>0</v>
      </c>
      <c r="GD231" s="1371">
        <f>IF(C231&lt;Summary!$N$84,IF(Summary!$O$75*(H231-G231+1)*0.8&gt;GC231,1,0),0)</f>
        <v>0</v>
      </c>
      <c r="GE231" s="1372">
        <v>0</v>
      </c>
      <c r="GF231" s="1370">
        <f t="shared" si="224"/>
        <v>227623.69042203599</v>
      </c>
      <c r="GG231" s="1371">
        <f>GF231*(IF(Summary!$O$74=1,VLOOKUP($C231,GasTable,16)+Summary!$O$92+Summary!$O$93,VLOOKUP($C231,GasTable,19)+Summary!$O$92+Summary!$O$93))</f>
        <v>967063.10833738139</v>
      </c>
      <c r="GH231" s="1373">
        <v>6294.6254339477209</v>
      </c>
      <c r="GI231" s="1466">
        <v>0</v>
      </c>
      <c r="GJ231" s="1374">
        <f t="shared" si="225"/>
        <v>973357.73377132916</v>
      </c>
      <c r="GK231" s="189">
        <f t="shared" si="196"/>
        <v>29092.270500000002</v>
      </c>
      <c r="GL231" s="266">
        <v>0.51661770935999995</v>
      </c>
      <c r="GM231" s="255">
        <f t="shared" si="197"/>
        <v>0</v>
      </c>
      <c r="GN231" s="189">
        <f>IF(SUM(GU231:HB231)=0,0,IF(Summary!$O$16="Yes",SUM(GX231:HB231),IF(Summary!$O$17="Yes",SUM(GY231:HB231),SUM(GU231:HB231))))</f>
        <v>11805.520500000001</v>
      </c>
      <c r="GO231" s="203">
        <v>3.932993167025034</v>
      </c>
      <c r="GP231" s="258">
        <f t="shared" si="226"/>
        <v>46431.031459673963</v>
      </c>
      <c r="GQ231" s="189"/>
      <c r="GR231" s="189"/>
      <c r="GS231" s="189"/>
      <c r="GT231" s="189"/>
      <c r="GU231" s="268">
        <v>5389.4767500000007</v>
      </c>
      <c r="GV231" s="189">
        <v>1026.5670000000002</v>
      </c>
      <c r="GW231" s="189">
        <v>1283.20875</v>
      </c>
      <c r="GX231" s="189"/>
      <c r="GY231" s="254">
        <v>2874.3875999999996</v>
      </c>
      <c r="GZ231" s="189">
        <v>547.50239999999997</v>
      </c>
      <c r="HA231" s="189">
        <v>684.37800000000004</v>
      </c>
      <c r="HB231" s="255"/>
      <c r="HC231" s="189">
        <v>11805.520500000001</v>
      </c>
      <c r="HD231" s="189"/>
      <c r="HE231" s="189">
        <v>20274.698250000001</v>
      </c>
      <c r="HF231" s="189">
        <v>695190.69291191013</v>
      </c>
      <c r="HG231" s="189"/>
      <c r="HH231" s="203">
        <v>58.540263708227265</v>
      </c>
      <c r="HI231" s="189">
        <v>1186886.182159734</v>
      </c>
      <c r="HJ231" s="268">
        <f t="shared" si="198"/>
        <v>0</v>
      </c>
      <c r="HK231" s="189">
        <f t="shared" si="199"/>
        <v>0</v>
      </c>
      <c r="HL231" s="189">
        <f t="shared" si="200"/>
        <v>0</v>
      </c>
      <c r="HM231" s="255">
        <f t="shared" si="201"/>
        <v>0</v>
      </c>
      <c r="HN231" s="189">
        <f t="shared" si="202"/>
        <v>0</v>
      </c>
      <c r="HO231" s="203">
        <f t="shared" si="227"/>
        <v>0</v>
      </c>
      <c r="HP231" s="258">
        <f t="shared" si="203"/>
        <v>0</v>
      </c>
      <c r="HQ231" s="203"/>
      <c r="HR231" s="268"/>
      <c r="HS231" s="1408"/>
      <c r="HT231" s="255"/>
      <c r="HU231" s="268"/>
      <c r="HV231" s="1408"/>
      <c r="HW231" s="255"/>
      <c r="HX231" s="1408"/>
      <c r="HY231" s="1408"/>
      <c r="HZ231"/>
      <c r="IA231" s="203"/>
      <c r="IB231" s="203"/>
      <c r="IC231" s="203"/>
      <c r="ID231" s="203"/>
      <c r="IE231" s="203"/>
      <c r="IF231" s="203"/>
      <c r="IG231" s="203"/>
      <c r="IH231" s="203"/>
      <c r="II231" s="203"/>
      <c r="IJ231" s="203"/>
      <c r="IK231" s="203"/>
      <c r="IL231" s="821"/>
      <c r="IM231" s="820"/>
      <c r="IN231" s="820"/>
      <c r="IR231" s="223"/>
    </row>
    <row r="232" spans="1:252" ht="13.8" thickBot="1">
      <c r="A232" t="str">
        <f t="shared" si="204"/>
        <v>2017Q4</v>
      </c>
      <c r="B232">
        <f t="shared" si="205"/>
        <v>2017</v>
      </c>
      <c r="C232" s="49">
        <f t="shared" si="206"/>
        <v>43070</v>
      </c>
      <c r="D232" s="115">
        <f t="shared" si="207"/>
        <v>2017</v>
      </c>
      <c r="E232" s="10">
        <f t="shared" si="230"/>
        <v>12</v>
      </c>
      <c r="F232" s="248">
        <f t="shared" si="231"/>
        <v>43094</v>
      </c>
      <c r="G232" s="245">
        <v>43070</v>
      </c>
      <c r="H232" s="251">
        <v>43100</v>
      </c>
      <c r="I232" s="959">
        <f t="shared" si="228"/>
        <v>7.1499999999999994E-2</v>
      </c>
      <c r="J232" s="37">
        <f t="shared" si="208"/>
        <v>0.28039688779412991</v>
      </c>
      <c r="K232" s="1036"/>
      <c r="L232" s="37"/>
      <c r="M232" s="1004">
        <v>0</v>
      </c>
      <c r="N232" s="38">
        <f t="shared" si="235"/>
        <v>0</v>
      </c>
      <c r="O232" s="40">
        <f t="shared" si="235"/>
        <v>0</v>
      </c>
      <c r="P232" s="159">
        <f t="shared" si="234"/>
        <v>0</v>
      </c>
      <c r="Q232" s="38">
        <f t="shared" si="236"/>
        <v>0</v>
      </c>
      <c r="R232" s="40">
        <f t="shared" si="236"/>
        <v>0</v>
      </c>
      <c r="S232" s="38">
        <f t="shared" si="236"/>
        <v>0</v>
      </c>
      <c r="T232" s="38">
        <f t="shared" si="236"/>
        <v>0</v>
      </c>
      <c r="U232" s="38">
        <f t="shared" si="236"/>
        <v>0</v>
      </c>
      <c r="V232" s="159">
        <f t="shared" si="236"/>
        <v>0</v>
      </c>
      <c r="W232" s="38">
        <f t="shared" si="236"/>
        <v>0</v>
      </c>
      <c r="X232" s="39">
        <f t="shared" si="236"/>
        <v>0</v>
      </c>
      <c r="Y232" s="46">
        <v>0</v>
      </c>
      <c r="Z232" s="46">
        <v>0</v>
      </c>
      <c r="AA232" s="47">
        <v>0</v>
      </c>
      <c r="AB232" s="46">
        <v>0</v>
      </c>
      <c r="AC232" s="46">
        <v>0</v>
      </c>
      <c r="AD232" s="47">
        <v>0</v>
      </c>
      <c r="AE232" s="46">
        <v>0</v>
      </c>
      <c r="AF232" s="46">
        <v>0</v>
      </c>
      <c r="AG232" s="47">
        <v>0</v>
      </c>
      <c r="AH232" s="46">
        <v>0</v>
      </c>
      <c r="AI232" s="46">
        <v>0</v>
      </c>
      <c r="AJ232" s="47">
        <v>0</v>
      </c>
      <c r="AK232" s="46">
        <v>0</v>
      </c>
      <c r="AL232" s="46">
        <v>0</v>
      </c>
      <c r="AM232" s="47">
        <v>0</v>
      </c>
      <c r="AN232" s="46">
        <v>0</v>
      </c>
      <c r="AO232" s="46">
        <v>0</v>
      </c>
      <c r="AP232" s="47">
        <v>0</v>
      </c>
      <c r="AQ232" s="46">
        <v>0</v>
      </c>
      <c r="AR232" s="46">
        <v>0</v>
      </c>
      <c r="AS232" s="47">
        <v>0</v>
      </c>
      <c r="AT232" s="46">
        <v>0</v>
      </c>
      <c r="AU232" s="46">
        <v>0</v>
      </c>
      <c r="AV232" s="46">
        <v>0</v>
      </c>
      <c r="AW232" s="1545">
        <v>0</v>
      </c>
      <c r="AX232" s="10">
        <f t="shared" si="232"/>
        <v>20</v>
      </c>
      <c r="AY232" s="42">
        <f>IF(AND($E232=MONTH(Summary!$E$24),$D232=YEAR(Summary!$E$24)),Summary!$E$25,1)*IF(G232="",0,INT((H232-MOD(H232,7)-G232)/7)+1-IF(BA232,IF(WEEKDAY(F232)=7,1,0),0))</f>
        <v>5</v>
      </c>
      <c r="AZ232" s="42">
        <f>IF(AND($E232=MONTH(Summary!$E$24),$D232=YEAR(Summary!$E$24)),Summary!$E$25,1)*IF(G232="",0,INT((H232-MOD(H232-1,7)-G232)/7)+1-IF(BA232,IF(WEEKDAY(F232)=1,1,0),0))</f>
        <v>5</v>
      </c>
      <c r="BA232" s="42">
        <v>1</v>
      </c>
      <c r="BB232" s="10">
        <f>IF(AND($E232=MONTH(Summary!$E$24),$D232=YEAR(Summary!$E$24)),Summary!$E$25,1)*IF(G232="",0,H232-G232+1)</f>
        <v>31</v>
      </c>
      <c r="BC232" s="914">
        <f>Summary!$E$19</f>
        <v>1.4999999999999999E-2</v>
      </c>
      <c r="BD232" s="113">
        <v>14184</v>
      </c>
      <c r="BE232" s="171">
        <v>3546</v>
      </c>
      <c r="BF232" s="171">
        <v>4255.2</v>
      </c>
      <c r="BG232" s="174"/>
      <c r="BH232" s="1198">
        <v>1</v>
      </c>
      <c r="BI232" s="1198">
        <v>1</v>
      </c>
      <c r="BJ232" s="1198">
        <v>1</v>
      </c>
      <c r="BK232" s="1198">
        <v>1</v>
      </c>
      <c r="BL232" s="95">
        <v>2836.8</v>
      </c>
      <c r="BM232" s="171">
        <v>709.2</v>
      </c>
      <c r="BN232" s="171">
        <v>851.04</v>
      </c>
      <c r="BO232" s="174"/>
      <c r="BP232" s="1198">
        <v>1</v>
      </c>
      <c r="BQ232" s="1199">
        <v>1</v>
      </c>
      <c r="BR232" s="1199">
        <v>1</v>
      </c>
      <c r="BS232" s="1200">
        <v>1</v>
      </c>
      <c r="BT232" s="94">
        <f t="shared" si="209"/>
        <v>21985.200000000001</v>
      </c>
      <c r="BU232" s="233">
        <f t="shared" si="210"/>
        <v>21985.200000000001</v>
      </c>
      <c r="BV232" s="92">
        <f t="shared" si="211"/>
        <v>4397.04</v>
      </c>
      <c r="BW232" s="233">
        <f t="shared" si="212"/>
        <v>4397.04</v>
      </c>
      <c r="BX232" s="88">
        <v>17.963039014373717</v>
      </c>
      <c r="BY232" s="90">
        <v>0</v>
      </c>
      <c r="BZ232" s="88">
        <v>0</v>
      </c>
      <c r="CA232" s="88">
        <v>0</v>
      </c>
      <c r="CB232" s="88">
        <v>0</v>
      </c>
      <c r="CC232" s="88">
        <v>0</v>
      </c>
      <c r="CD232" s="88">
        <v>0</v>
      </c>
      <c r="CE232" s="100">
        <v>0</v>
      </c>
      <c r="CF232" s="88">
        <v>0</v>
      </c>
      <c r="CG232" s="88">
        <v>0</v>
      </c>
      <c r="CH232" s="88">
        <v>0</v>
      </c>
      <c r="CI232" s="88">
        <v>0</v>
      </c>
      <c r="CJ232" s="228">
        <v>0</v>
      </c>
      <c r="CK232" s="88">
        <v>0</v>
      </c>
      <c r="CL232" s="88">
        <v>0</v>
      </c>
      <c r="CM232" s="88">
        <v>0</v>
      </c>
      <c r="CN232" s="88">
        <v>0</v>
      </c>
      <c r="CO232" s="88">
        <v>0</v>
      </c>
      <c r="CP232" s="88">
        <v>0</v>
      </c>
      <c r="CQ232" s="229">
        <v>0</v>
      </c>
      <c r="CR232" s="91">
        <v>0</v>
      </c>
      <c r="CS232" s="91">
        <v>0</v>
      </c>
      <c r="CT232" s="91">
        <v>0</v>
      </c>
      <c r="CU232" s="91">
        <v>0</v>
      </c>
      <c r="CV232" s="91">
        <v>0</v>
      </c>
      <c r="CW232" s="91">
        <v>0</v>
      </c>
      <c r="CX232" s="225">
        <v>0</v>
      </c>
      <c r="CY232" s="1265">
        <v>7712.7430399999994</v>
      </c>
      <c r="CZ232" s="90">
        <v>0</v>
      </c>
      <c r="DA232" s="88">
        <v>0</v>
      </c>
      <c r="DB232" s="88">
        <v>0</v>
      </c>
      <c r="DC232" s="88">
        <v>0</v>
      </c>
      <c r="DD232" s="88">
        <v>0</v>
      </c>
      <c r="DE232" s="152">
        <v>0</v>
      </c>
      <c r="DF232" s="230">
        <v>0</v>
      </c>
      <c r="DG232" s="38">
        <v>0</v>
      </c>
      <c r="DH232" s="1237">
        <v>0</v>
      </c>
      <c r="DI232" s="956">
        <v>0</v>
      </c>
      <c r="DJ232" s="956">
        <v>0</v>
      </c>
      <c r="DK232" s="956">
        <v>0</v>
      </c>
      <c r="DL232" s="152">
        <v>0</v>
      </c>
      <c r="DM232" s="160">
        <v>0</v>
      </c>
      <c r="DN232" s="160">
        <v>0</v>
      </c>
      <c r="DO232" s="160">
        <v>0</v>
      </c>
      <c r="DP232" s="160">
        <v>0</v>
      </c>
      <c r="DQ232" s="160">
        <v>0</v>
      </c>
      <c r="DR232" s="230">
        <v>0</v>
      </c>
      <c r="DS232" s="88">
        <v>0</v>
      </c>
      <c r="DT232" s="88">
        <v>0</v>
      </c>
      <c r="DU232" s="88">
        <v>0</v>
      </c>
      <c r="DV232" s="88">
        <v>0</v>
      </c>
      <c r="DW232" s="88">
        <v>0</v>
      </c>
      <c r="DX232" s="88">
        <v>0</v>
      </c>
      <c r="DY232" s="88">
        <v>0</v>
      </c>
      <c r="DZ232" s="88">
        <v>0</v>
      </c>
      <c r="EA232" s="88">
        <v>0</v>
      </c>
      <c r="EB232" s="152">
        <v>0</v>
      </c>
      <c r="EC232" s="52">
        <f t="shared" si="213"/>
        <v>0</v>
      </c>
      <c r="ED232" s="52">
        <f t="shared" si="213"/>
        <v>0</v>
      </c>
      <c r="EE232" s="52">
        <f t="shared" si="213"/>
        <v>0</v>
      </c>
      <c r="EF232" s="52">
        <f t="shared" si="186"/>
        <v>0</v>
      </c>
      <c r="EG232" s="52">
        <f t="shared" si="214"/>
        <v>0</v>
      </c>
      <c r="EH232" s="238">
        <v>0</v>
      </c>
      <c r="EI232" s="211">
        <v>0</v>
      </c>
      <c r="EJ232" s="211">
        <v>0</v>
      </c>
      <c r="EK232" s="211">
        <v>0</v>
      </c>
      <c r="EL232" s="217">
        <f>IF(C232&gt;=Summary!$E$26,MAX(0,SUM(EH232:EK232)),0)</f>
        <v>0</v>
      </c>
      <c r="EM232" s="52">
        <f>IF(C232&gt;=Summary!$E$26,DX232*BL232,0)</f>
        <v>0</v>
      </c>
      <c r="EN232" s="52">
        <f>IF(C232&gt;=Summary!$E$26,DY232*BM232,0)</f>
        <v>0</v>
      </c>
      <c r="EO232" s="52">
        <f>IF(C232&gt;=Summary!$E$26,DZ232*BN232,0)</f>
        <v>0</v>
      </c>
      <c r="EP232" s="52">
        <f>IF(C232&gt;=Summary!$E$26,EA232*BO232,0)</f>
        <v>0</v>
      </c>
      <c r="EQ232" s="52">
        <f>IF(C232&gt;=Summary!$E$26,DX232*BL232+DY232*BM232+DZ232*BN232+EA232*BO232,0)</f>
        <v>0</v>
      </c>
      <c r="ER232" s="826">
        <v>0</v>
      </c>
      <c r="ES232" s="278">
        <v>0</v>
      </c>
      <c r="ET232" s="278">
        <v>0</v>
      </c>
      <c r="EU232" s="278">
        <v>0</v>
      </c>
      <c r="EV232" s="212">
        <f>IF(C232&gt;=Summary!$E$26,MAX(0,SUM(ER232:EU232)),0)</f>
        <v>0</v>
      </c>
      <c r="EW232" s="52"/>
      <c r="EX232" s="1049">
        <f t="shared" si="215"/>
        <v>0</v>
      </c>
      <c r="EY232" s="1045" t="str">
        <f t="shared" si="216"/>
        <v/>
      </c>
      <c r="EZ232" s="1684" t="s">
        <v>525</v>
      </c>
      <c r="FA232" s="1046">
        <f t="shared" si="229"/>
        <v>45</v>
      </c>
      <c r="FB232" s="256">
        <f t="shared" si="217"/>
        <v>8865</v>
      </c>
      <c r="FC232" s="194">
        <f t="shared" si="218"/>
        <v>2659.5</v>
      </c>
      <c r="FD232" s="194">
        <f t="shared" si="219"/>
        <v>2216.25</v>
      </c>
      <c r="FE232" s="194">
        <f t="shared" si="220"/>
        <v>664.875</v>
      </c>
      <c r="FF232" s="194">
        <f t="shared" si="221"/>
        <v>2659.5</v>
      </c>
      <c r="FG232" s="194">
        <f t="shared" si="222"/>
        <v>797.85</v>
      </c>
      <c r="FH232" s="257">
        <f>IF(EZ232="No",IF((OR(MONTH(C232)=5,MONTH(C232)=6,MONTH(C232)=7,MONTH(C232)=8,MONTH(C232)=9)),Summary!$O$15*12*(AX232+AY232+AZ232+BA232)*(1-$BC232),Summary!$O$15*13*(AX232+AY232+AZ232+BA232)*(1-$BC232)+IF(Summary!$O$16="Yes",(CALC!FA232+Summary!$O$15)*6*(AX232+AY232+AZ232+BA232)*(1-$BC232),0)),0)</f>
        <v>0</v>
      </c>
      <c r="FI232" s="1412">
        <f>IF(MONTH(C232)=5,FI231*(IF(Summary!$E$70="no",(1+(Summary!$E$71*0.8)),1+HLOOKUP(YEAR(C232)-1,CCFMODEL!$I$127:$AF$128,2)*0.8)),+FI231)</f>
        <v>40.768327108615125</v>
      </c>
      <c r="FJ232" s="1411">
        <f>IF(MONTH(C232)=5,FJ231*(IF(Summary!$E$70="no",(1+(Summary!$E$71*0.8)),1+HLOOKUP(YEAR(CALC!C232)-1,CCFMODEL!$I$127:$AF$128,2)*0.8)),FJ231)</f>
        <v>35.632159913828964</v>
      </c>
      <c r="FK232" s="832">
        <f t="shared" si="187"/>
        <v>728243.60793301417</v>
      </c>
      <c r="FL232" s="1412">
        <f>IF(MONTH(C232)=5,FL231*(IF(Summary!$E$70="no",(1+(Summary!$E$71*0.8)),1+HLOOKUP(YEAR(CALC!C232)-1,CCFMODEL!$I$127:$AF$128,2)*0.8)),+FL231)</f>
        <v>85.740362486772455</v>
      </c>
      <c r="FM232" s="1411">
        <f>IF(MONTH(C232)=5,FM231*(IF(Summary!$E$70="no",(1+(Summary!$E$71*0.8)),1+HLOOKUP(YEAR(CALC!C232)-1,CCFMODEL!$I$127:$AF$128,2)*0.8)),+FM231)</f>
        <v>40.921189227507561</v>
      </c>
      <c r="FN232" s="832">
        <f t="shared" si="188"/>
        <v>742105.76664084964</v>
      </c>
      <c r="FO232" s="194">
        <f t="shared" si="223"/>
        <v>1470349.3745738638</v>
      </c>
      <c r="FP232" s="263">
        <f t="shared" si="189"/>
        <v>8865</v>
      </c>
      <c r="FQ232" s="194">
        <f t="shared" si="190"/>
        <v>2659.5</v>
      </c>
      <c r="FR232" s="194">
        <f t="shared" si="191"/>
        <v>2216.25</v>
      </c>
      <c r="FS232" s="194">
        <f t="shared" si="176"/>
        <v>664.875</v>
      </c>
      <c r="FT232" s="194">
        <f t="shared" si="176"/>
        <v>2659.5</v>
      </c>
      <c r="FU232" s="194">
        <f t="shared" si="176"/>
        <v>797.85</v>
      </c>
      <c r="FV232" s="257">
        <f t="shared" si="176"/>
        <v>0</v>
      </c>
      <c r="FW232" s="189">
        <f t="shared" si="192"/>
        <v>0</v>
      </c>
      <c r="FX232" s="189">
        <f t="shared" si="193"/>
        <v>0</v>
      </c>
      <c r="FY232" s="189">
        <f t="shared" si="194"/>
        <v>0</v>
      </c>
      <c r="FZ232" s="258">
        <f t="shared" si="195"/>
        <v>0</v>
      </c>
      <c r="GA232" s="1294">
        <f>(SUM(FP232:FV232)+SUM(GU232:HB232)/(1-Summary!$O$25))*CY232/1000</f>
        <v>235273.10011767357</v>
      </c>
      <c r="GB232" s="1369">
        <f>IF($C232&lt;Summary!$M$81,+Summary!$O$81,VLOOKUP(C232,GasTable,19))</f>
        <v>4.3749119762254471</v>
      </c>
      <c r="GC232" s="1370">
        <f>IF(H232&lt;=Summary!$N$84,MIN(GA232,Summary!$O$75*(H232-G232+1)),0)</f>
        <v>0</v>
      </c>
      <c r="GD232" s="1371">
        <f>IF(C232&lt;Summary!$N$84,IF(Summary!$O$75*(H232-G232+1)*0.8&gt;GC232,1,0),0)</f>
        <v>0</v>
      </c>
      <c r="GE232" s="1372">
        <v>0</v>
      </c>
      <c r="GF232" s="1370">
        <f t="shared" si="224"/>
        <v>235273.10011767357</v>
      </c>
      <c r="GG232" s="1371">
        <f>GF232*(IF(Summary!$O$74=1,VLOOKUP($C232,GasTable,16)+Summary!$O$92+Summary!$O$93,VLOOKUP($C232,GasTable,19)+Summary!$O$92+Summary!$O$93))</f>
        <v>1041556.8319046296</v>
      </c>
      <c r="GH232" s="1373">
        <v>6781.1135631494435</v>
      </c>
      <c r="GI232" s="1466">
        <v>0</v>
      </c>
      <c r="GJ232" s="1374">
        <f t="shared" si="225"/>
        <v>1048337.9454677791</v>
      </c>
      <c r="GK232" s="189">
        <f t="shared" si="196"/>
        <v>30062.012849999999</v>
      </c>
      <c r="GL232" s="266">
        <v>0.51675378368000002</v>
      </c>
      <c r="GM232" s="255">
        <f t="shared" si="197"/>
        <v>0</v>
      </c>
      <c r="GN232" s="189">
        <f>IF(SUM(GU232:HB232)=0,0,IF(Summary!$O$16="Yes",SUM(GX232:HB232),IF(Summary!$O$17="Yes",SUM(GY232:HB232),SUM(GU232:HB232))))</f>
        <v>12199.037850000001</v>
      </c>
      <c r="GO232" s="203">
        <v>3.932993167025034</v>
      </c>
      <c r="GP232" s="258">
        <f t="shared" si="226"/>
        <v>47978.732508329762</v>
      </c>
      <c r="GQ232" s="189"/>
      <c r="GR232" s="189"/>
      <c r="GS232" s="189"/>
      <c r="GT232" s="189"/>
      <c r="GU232" s="268">
        <v>5132.835</v>
      </c>
      <c r="GV232" s="189">
        <v>1283.20875</v>
      </c>
      <c r="GW232" s="189">
        <v>1539.8504999999998</v>
      </c>
      <c r="GX232" s="189"/>
      <c r="GY232" s="254">
        <v>2737.5120000000002</v>
      </c>
      <c r="GZ232" s="189">
        <v>684.37800000000004</v>
      </c>
      <c r="HA232" s="189">
        <v>821.25359999999989</v>
      </c>
      <c r="HB232" s="255"/>
      <c r="HC232" s="189">
        <v>12199.037850000001</v>
      </c>
      <c r="HD232" s="189"/>
      <c r="HE232" s="189">
        <v>20950.521525</v>
      </c>
      <c r="HF232" s="189">
        <v>694348.59453436476</v>
      </c>
      <c r="HG232" s="189"/>
      <c r="HH232" s="203">
        <v>56.55102799697503</v>
      </c>
      <c r="HI232" s="189">
        <v>1184773.5293115031</v>
      </c>
      <c r="HJ232" s="268">
        <f t="shared" si="198"/>
        <v>0</v>
      </c>
      <c r="HK232" s="189">
        <f t="shared" si="199"/>
        <v>0</v>
      </c>
      <c r="HL232" s="189">
        <f t="shared" si="200"/>
        <v>0</v>
      </c>
      <c r="HM232" s="255">
        <f t="shared" si="201"/>
        <v>0</v>
      </c>
      <c r="HN232" s="189">
        <f t="shared" si="202"/>
        <v>0</v>
      </c>
      <c r="HO232" s="203">
        <f t="shared" si="227"/>
        <v>0</v>
      </c>
      <c r="HP232" s="258">
        <f t="shared" si="203"/>
        <v>0</v>
      </c>
      <c r="HQ232" s="203"/>
      <c r="HR232" s="268"/>
      <c r="HS232" s="1408"/>
      <c r="HT232" s="255"/>
      <c r="HU232" s="268"/>
      <c r="HV232" s="1408"/>
      <c r="HW232" s="255"/>
      <c r="HX232" s="1408"/>
      <c r="HY232" s="1408"/>
      <c r="HZ232"/>
      <c r="IA232" s="203"/>
      <c r="IB232" s="203"/>
      <c r="IC232" s="203"/>
      <c r="ID232" s="203"/>
      <c r="IE232" s="203"/>
      <c r="IF232" s="203"/>
      <c r="IG232" s="203"/>
      <c r="IH232" s="203"/>
      <c r="II232" s="203"/>
      <c r="IJ232" s="203"/>
      <c r="IK232" s="203"/>
      <c r="IL232" s="821"/>
      <c r="IM232" s="820"/>
      <c r="IN232" s="820"/>
      <c r="IR232" s="223"/>
    </row>
    <row r="233" spans="1:252" ht="13.8" thickBot="1">
      <c r="A233" t="str">
        <f t="shared" si="204"/>
        <v>2018Q1</v>
      </c>
      <c r="B233">
        <f t="shared" si="205"/>
        <v>2018</v>
      </c>
      <c r="C233" s="49">
        <f t="shared" si="206"/>
        <v>43101</v>
      </c>
      <c r="D233" s="115">
        <f t="shared" si="207"/>
        <v>2018</v>
      </c>
      <c r="E233" s="10">
        <f t="shared" si="230"/>
        <v>1</v>
      </c>
      <c r="F233" s="248">
        <f t="shared" si="231"/>
        <v>43101</v>
      </c>
      <c r="G233" s="245">
        <v>43101</v>
      </c>
      <c r="H233" s="251">
        <v>43131</v>
      </c>
      <c r="I233" s="959">
        <f t="shared" si="228"/>
        <v>7.1499999999999994E-2</v>
      </c>
      <c r="J233" s="37">
        <f t="shared" si="208"/>
        <v>0.2787299983075805</v>
      </c>
      <c r="K233" s="1036"/>
      <c r="L233" s="37"/>
      <c r="M233" s="1004">
        <v>0</v>
      </c>
      <c r="N233" s="38">
        <f t="shared" si="235"/>
        <v>0</v>
      </c>
      <c r="O233" s="40">
        <f t="shared" si="235"/>
        <v>0</v>
      </c>
      <c r="P233" s="159">
        <f t="shared" si="234"/>
        <v>0</v>
      </c>
      <c r="Q233" s="38">
        <f t="shared" si="236"/>
        <v>0</v>
      </c>
      <c r="R233" s="40">
        <f t="shared" si="236"/>
        <v>0</v>
      </c>
      <c r="S233" s="38">
        <f t="shared" si="236"/>
        <v>0</v>
      </c>
      <c r="T233" s="38">
        <f t="shared" si="236"/>
        <v>0</v>
      </c>
      <c r="U233" s="38">
        <f t="shared" si="236"/>
        <v>0</v>
      </c>
      <c r="V233" s="159">
        <f t="shared" si="236"/>
        <v>0</v>
      </c>
      <c r="W233" s="38">
        <f t="shared" si="236"/>
        <v>0</v>
      </c>
      <c r="X233" s="39">
        <f t="shared" si="236"/>
        <v>0</v>
      </c>
      <c r="Y233" s="46">
        <v>0</v>
      </c>
      <c r="Z233" s="46">
        <v>0</v>
      </c>
      <c r="AA233" s="47">
        <v>0</v>
      </c>
      <c r="AB233" s="46">
        <v>0</v>
      </c>
      <c r="AC233" s="46">
        <v>0</v>
      </c>
      <c r="AD233" s="47">
        <v>0</v>
      </c>
      <c r="AE233" s="46">
        <v>0</v>
      </c>
      <c r="AF233" s="46">
        <v>0</v>
      </c>
      <c r="AG233" s="47">
        <v>0</v>
      </c>
      <c r="AH233" s="46">
        <v>0</v>
      </c>
      <c r="AI233" s="46">
        <v>0</v>
      </c>
      <c r="AJ233" s="47">
        <v>0</v>
      </c>
      <c r="AK233" s="46">
        <v>0</v>
      </c>
      <c r="AL233" s="46">
        <v>0</v>
      </c>
      <c r="AM233" s="47">
        <v>0</v>
      </c>
      <c r="AN233" s="46">
        <v>0</v>
      </c>
      <c r="AO233" s="46">
        <v>0</v>
      </c>
      <c r="AP233" s="47">
        <v>0</v>
      </c>
      <c r="AQ233" s="46">
        <v>0</v>
      </c>
      <c r="AR233" s="46">
        <v>0</v>
      </c>
      <c r="AS233" s="47">
        <v>0</v>
      </c>
      <c r="AT233" s="46">
        <v>0</v>
      </c>
      <c r="AU233" s="46">
        <v>0</v>
      </c>
      <c r="AV233" s="46">
        <v>0</v>
      </c>
      <c r="AW233" s="1545">
        <v>0</v>
      </c>
      <c r="AX233" s="10">
        <f t="shared" si="232"/>
        <v>22</v>
      </c>
      <c r="AY233" s="42">
        <f>IF(AND($E233=MONTH(Summary!$E$24),$D233=YEAR(Summary!$E$24)),Summary!$E$25,1)*IF(G233="",0,INT((H233-MOD(H233,7)-G233)/7)+1-IF(BA233,IF(WEEKDAY(F233)=7,1,0),0))</f>
        <v>4</v>
      </c>
      <c r="AZ233" s="42">
        <f>IF(AND($E233=MONTH(Summary!$E$24),$D233=YEAR(Summary!$E$24)),Summary!$E$25,1)*IF(G233="",0,INT((H233-MOD(H233-1,7)-G233)/7)+1-IF(BA233,IF(WEEKDAY(F233)=1,1,0),0))</f>
        <v>4</v>
      </c>
      <c r="BA233" s="42">
        <v>1</v>
      </c>
      <c r="BB233" s="10">
        <f>IF(AND($E233=MONTH(Summary!$E$24),$D233=YEAR(Summary!$E$24)),Summary!$E$25,1)*IF(G233="",0,H233-G233+1)</f>
        <v>31</v>
      </c>
      <c r="BC233" s="914">
        <f>Summary!$E$19</f>
        <v>1.4999999999999999E-2</v>
      </c>
      <c r="BD233" s="113">
        <v>15602.4</v>
      </c>
      <c r="BE233" s="171">
        <v>2836.8</v>
      </c>
      <c r="BF233" s="171">
        <v>3546</v>
      </c>
      <c r="BG233" s="174"/>
      <c r="BH233" s="1198">
        <v>1</v>
      </c>
      <c r="BI233" s="1198">
        <v>1</v>
      </c>
      <c r="BJ233" s="1198">
        <v>1</v>
      </c>
      <c r="BK233" s="1198">
        <v>1</v>
      </c>
      <c r="BL233" s="95">
        <v>3120.48</v>
      </c>
      <c r="BM233" s="171">
        <v>567.36</v>
      </c>
      <c r="BN233" s="171">
        <v>709.2</v>
      </c>
      <c r="BO233" s="174"/>
      <c r="BP233" s="1198">
        <v>1</v>
      </c>
      <c r="BQ233" s="1199">
        <v>1</v>
      </c>
      <c r="BR233" s="1199">
        <v>1</v>
      </c>
      <c r="BS233" s="1200">
        <v>1</v>
      </c>
      <c r="BT233" s="94">
        <f t="shared" si="209"/>
        <v>21985.200000000001</v>
      </c>
      <c r="BU233" s="233">
        <f t="shared" si="210"/>
        <v>21985.200000000001</v>
      </c>
      <c r="BV233" s="92">
        <f t="shared" si="211"/>
        <v>4397.04</v>
      </c>
      <c r="BW233" s="233">
        <f t="shared" si="212"/>
        <v>4397.04</v>
      </c>
      <c r="BX233" s="88">
        <v>18.047912388774812</v>
      </c>
      <c r="BY233" s="90">
        <v>0</v>
      </c>
      <c r="BZ233" s="88">
        <v>0</v>
      </c>
      <c r="CA233" s="88">
        <v>0</v>
      </c>
      <c r="CB233" s="88">
        <v>0</v>
      </c>
      <c r="CC233" s="88">
        <v>0</v>
      </c>
      <c r="CD233" s="88">
        <v>0</v>
      </c>
      <c r="CE233" s="100">
        <v>0</v>
      </c>
      <c r="CF233" s="88">
        <v>0</v>
      </c>
      <c r="CG233" s="88">
        <v>0</v>
      </c>
      <c r="CH233" s="88">
        <v>0</v>
      </c>
      <c r="CI233" s="88">
        <v>0</v>
      </c>
      <c r="CJ233" s="228">
        <v>0</v>
      </c>
      <c r="CK233" s="88">
        <v>0</v>
      </c>
      <c r="CL233" s="88">
        <v>0</v>
      </c>
      <c r="CM233" s="88">
        <v>0</v>
      </c>
      <c r="CN233" s="88">
        <v>0</v>
      </c>
      <c r="CO233" s="88">
        <v>0</v>
      </c>
      <c r="CP233" s="88">
        <v>0</v>
      </c>
      <c r="CQ233" s="229">
        <v>0</v>
      </c>
      <c r="CR233" s="91">
        <v>0</v>
      </c>
      <c r="CS233" s="91">
        <v>0</v>
      </c>
      <c r="CT233" s="91">
        <v>0</v>
      </c>
      <c r="CU233" s="91">
        <v>0</v>
      </c>
      <c r="CV233" s="91">
        <v>0</v>
      </c>
      <c r="CW233" s="91">
        <v>0</v>
      </c>
      <c r="CX233" s="225">
        <v>0</v>
      </c>
      <c r="CY233" s="1265">
        <v>7714.7740000000003</v>
      </c>
      <c r="CZ233" s="90">
        <v>0</v>
      </c>
      <c r="DA233" s="88">
        <v>0</v>
      </c>
      <c r="DB233" s="88">
        <v>0</v>
      </c>
      <c r="DC233" s="88">
        <v>0</v>
      </c>
      <c r="DD233" s="88">
        <v>0</v>
      </c>
      <c r="DE233" s="152">
        <v>0</v>
      </c>
      <c r="DF233" s="230">
        <v>0</v>
      </c>
      <c r="DG233" s="38">
        <v>0</v>
      </c>
      <c r="DH233" s="1237">
        <v>0</v>
      </c>
      <c r="DI233" s="956">
        <v>0</v>
      </c>
      <c r="DJ233" s="956">
        <v>0</v>
      </c>
      <c r="DK233" s="956">
        <v>0</v>
      </c>
      <c r="DL233" s="152">
        <v>0</v>
      </c>
      <c r="DM233" s="160">
        <v>0</v>
      </c>
      <c r="DN233" s="160">
        <v>0</v>
      </c>
      <c r="DO233" s="160">
        <v>0</v>
      </c>
      <c r="DP233" s="160">
        <v>0</v>
      </c>
      <c r="DQ233" s="160">
        <v>0</v>
      </c>
      <c r="DR233" s="230">
        <v>0</v>
      </c>
      <c r="DS233" s="88">
        <v>0</v>
      </c>
      <c r="DT233" s="88">
        <v>0</v>
      </c>
      <c r="DU233" s="88">
        <v>0</v>
      </c>
      <c r="DV233" s="88">
        <v>0</v>
      </c>
      <c r="DW233" s="88">
        <v>0</v>
      </c>
      <c r="DX233" s="88">
        <v>0</v>
      </c>
      <c r="DY233" s="88">
        <v>0</v>
      </c>
      <c r="DZ233" s="88">
        <v>0</v>
      </c>
      <c r="EA233" s="88">
        <v>0</v>
      </c>
      <c r="EB233" s="152">
        <v>0</v>
      </c>
      <c r="EC233" s="52">
        <f t="shared" si="213"/>
        <v>0</v>
      </c>
      <c r="ED233" s="52">
        <f t="shared" si="213"/>
        <v>0</v>
      </c>
      <c r="EE233" s="52">
        <f t="shared" si="213"/>
        <v>0</v>
      </c>
      <c r="EF233" s="52">
        <f t="shared" si="186"/>
        <v>0</v>
      </c>
      <c r="EG233" s="52">
        <f t="shared" si="214"/>
        <v>0</v>
      </c>
      <c r="EH233" s="238">
        <v>0</v>
      </c>
      <c r="EI233" s="211">
        <v>0</v>
      </c>
      <c r="EJ233" s="211">
        <v>0</v>
      </c>
      <c r="EK233" s="211">
        <v>0</v>
      </c>
      <c r="EL233" s="217">
        <f>IF(C233&gt;=Summary!$E$26,MAX(0,SUM(EH233:EK233)),0)</f>
        <v>0</v>
      </c>
      <c r="EM233" s="52">
        <f>IF(C233&gt;=Summary!$E$26,DX233*BL233,0)</f>
        <v>0</v>
      </c>
      <c r="EN233" s="52">
        <f>IF(C233&gt;=Summary!$E$26,DY233*BM233,0)</f>
        <v>0</v>
      </c>
      <c r="EO233" s="52">
        <f>IF(C233&gt;=Summary!$E$26,DZ233*BN233,0)</f>
        <v>0</v>
      </c>
      <c r="EP233" s="52">
        <f>IF(C233&gt;=Summary!$E$26,EA233*BO233,0)</f>
        <v>0</v>
      </c>
      <c r="EQ233" s="52">
        <f>IF(C233&gt;=Summary!$E$26,DX233*BL233+DY233*BM233+DZ233*BN233+EA233*BO233,0)</f>
        <v>0</v>
      </c>
      <c r="ER233" s="826">
        <v>0</v>
      </c>
      <c r="ES233" s="278">
        <v>0</v>
      </c>
      <c r="ET233" s="278">
        <v>0</v>
      </c>
      <c r="EU233" s="278">
        <v>0</v>
      </c>
      <c r="EV233" s="212">
        <f>IF(C233&gt;=Summary!$E$26,MAX(0,SUM(ER233:EU233)),0)</f>
        <v>0</v>
      </c>
      <c r="EW233" s="52"/>
      <c r="EX233" s="1049">
        <f t="shared" si="215"/>
        <v>0</v>
      </c>
      <c r="EY233" s="1045" t="str">
        <f t="shared" si="216"/>
        <v/>
      </c>
      <c r="EZ233" s="1684" t="s">
        <v>525</v>
      </c>
      <c r="FA233" s="1046">
        <f t="shared" si="229"/>
        <v>45</v>
      </c>
      <c r="FB233" s="256">
        <f t="shared" si="217"/>
        <v>9751.5</v>
      </c>
      <c r="FC233" s="194">
        <f t="shared" si="218"/>
        <v>2925.45</v>
      </c>
      <c r="FD233" s="194">
        <f t="shared" si="219"/>
        <v>1773</v>
      </c>
      <c r="FE233" s="194">
        <f t="shared" si="220"/>
        <v>531.9</v>
      </c>
      <c r="FF233" s="194">
        <f t="shared" si="221"/>
        <v>2216.25</v>
      </c>
      <c r="FG233" s="194">
        <f t="shared" si="222"/>
        <v>664.875</v>
      </c>
      <c r="FH233" s="257">
        <f>IF(EZ233="No",IF((OR(MONTH(C233)=5,MONTH(C233)=6,MONTH(C233)=7,MONTH(C233)=8,MONTH(C233)=9)),Summary!$O$15*12*(AX233+AY233+AZ233+BA233)*(1-$BC233),Summary!$O$15*13*(AX233+AY233+AZ233+BA233)*(1-$BC233)+IF(Summary!$O$16="Yes",(CALC!FA233+Summary!$O$15)*6*(AX233+AY233+AZ233+BA233)*(1-$BC233),0)),0)</f>
        <v>0</v>
      </c>
      <c r="FI233" s="1412">
        <f>IF(MONTH(C233)=5,FI232*(IF(Summary!$E$70="no",(1+(Summary!$E$71*0.8)),1+HLOOKUP(YEAR(C233)-1,CCFMODEL!$I$127:$AF$128,2)*0.8)),+FI232)</f>
        <v>40.768327108615125</v>
      </c>
      <c r="FJ233" s="1411">
        <f>IF(MONTH(C233)=5,FJ232*(IF(Summary!$E$70="no",(1+(Summary!$E$71*0.8)),1+HLOOKUP(YEAR(CALC!C233)-1,CCFMODEL!$I$127:$AF$128,2)*0.8)),FJ232)</f>
        <v>35.632159913828964</v>
      </c>
      <c r="FK233" s="832">
        <f t="shared" si="187"/>
        <v>728243.60793301417</v>
      </c>
      <c r="FL233" s="1412">
        <f>IF(MONTH(C233)=5,FL232*(IF(Summary!$E$70="no",(1+(Summary!$E$71*0.8)),1+HLOOKUP(YEAR(CALC!C233)-1,CCFMODEL!$I$127:$AF$128,2)*0.8)),+FL232)</f>
        <v>85.740362486772455</v>
      </c>
      <c r="FM233" s="1411">
        <f>IF(MONTH(C233)=5,FM232*(IF(Summary!$E$70="no",(1+(Summary!$E$71*0.8)),1+HLOOKUP(YEAR(CALC!C233)-1,CCFMODEL!$I$127:$AF$128,2)*0.8)),+FM232)</f>
        <v>40.921189227507561</v>
      </c>
      <c r="FN233" s="832">
        <f t="shared" si="188"/>
        <v>742105.76664084964</v>
      </c>
      <c r="FO233" s="194">
        <f t="shared" si="223"/>
        <v>1470349.3745738638</v>
      </c>
      <c r="FP233" s="263">
        <f t="shared" si="189"/>
        <v>9751.5</v>
      </c>
      <c r="FQ233" s="194">
        <f t="shared" si="190"/>
        <v>2925.45</v>
      </c>
      <c r="FR233" s="194">
        <f t="shared" si="191"/>
        <v>1773</v>
      </c>
      <c r="FS233" s="194">
        <f t="shared" si="176"/>
        <v>531.9</v>
      </c>
      <c r="FT233" s="194">
        <f t="shared" si="176"/>
        <v>2216.25</v>
      </c>
      <c r="FU233" s="194">
        <f t="shared" si="176"/>
        <v>664.875</v>
      </c>
      <c r="FV233" s="257">
        <f t="shared" si="176"/>
        <v>0</v>
      </c>
      <c r="FW233" s="189">
        <f t="shared" si="192"/>
        <v>0</v>
      </c>
      <c r="FX233" s="189">
        <f t="shared" si="193"/>
        <v>0</v>
      </c>
      <c r="FY233" s="189">
        <f t="shared" si="194"/>
        <v>0</v>
      </c>
      <c r="FZ233" s="258">
        <f t="shared" si="195"/>
        <v>0</v>
      </c>
      <c r="GA233" s="1294">
        <f>(SUM(FP233:FV233)+SUM(GU233:HB233)/(1-Summary!$O$25))*CY233/1000</f>
        <v>235335.05346590999</v>
      </c>
      <c r="GB233" s="1369">
        <f>IF($C233&lt;Summary!$M$81,+Summary!$O$81,VLOOKUP(C233,GasTable,19))</f>
        <v>4.1545292111481888</v>
      </c>
      <c r="GC233" s="1370">
        <f>IF(H233&lt;=Summary!$N$84,MIN(GA233,Summary!$O$75*(H233-G233+1)),0)</f>
        <v>0</v>
      </c>
      <c r="GD233" s="1371">
        <f>IF(C233&lt;Summary!$N$84,IF(Summary!$O$75*(H233-G233+1)*0.8&gt;GC233,1,0),0)</f>
        <v>0</v>
      </c>
      <c r="GE233" s="1372">
        <v>0</v>
      </c>
      <c r="GF233" s="1370">
        <f t="shared" si="224"/>
        <v>235335.05346590999</v>
      </c>
      <c r="GG233" s="1371">
        <f>GF233*(IF(Summary!$O$74=1,VLOOKUP($C233,GasTable,16)+Summary!$O$92+Summary!$O$93,VLOOKUP($C233,GasTable,19)+Summary!$O$92+Summary!$O$93))</f>
        <v>989967.31031681783</v>
      </c>
      <c r="GH233" s="1373">
        <v>6439.5202772796929</v>
      </c>
      <c r="GI233" s="1466">
        <v>0</v>
      </c>
      <c r="GJ233" s="1374">
        <f t="shared" si="225"/>
        <v>996406.8305940975</v>
      </c>
      <c r="GK233" s="189">
        <f t="shared" si="196"/>
        <v>30062.012850000003</v>
      </c>
      <c r="GL233" s="266">
        <v>0.51688985799999998</v>
      </c>
      <c r="GM233" s="255">
        <f t="shared" si="197"/>
        <v>0</v>
      </c>
      <c r="GN233" s="189">
        <f>IF(SUM(GU233:HB233)=0,0,IF(Summary!$O$16="Yes",SUM(GX233:HB233),IF(Summary!$O$17="Yes",SUM(GY233:HB233),SUM(GU233:HB233))))</f>
        <v>12199.037849999999</v>
      </c>
      <c r="GO233" s="203">
        <v>4.0509829620357856</v>
      </c>
      <c r="GP233" s="258">
        <f t="shared" si="226"/>
        <v>49418.094483579654</v>
      </c>
      <c r="GQ233" s="189"/>
      <c r="GR233" s="189"/>
      <c r="GS233" s="189"/>
      <c r="GT233" s="189"/>
      <c r="GU233" s="268">
        <v>5646.1184999999996</v>
      </c>
      <c r="GV233" s="189">
        <v>1026.5670000000002</v>
      </c>
      <c r="GW233" s="189">
        <v>1283.20875</v>
      </c>
      <c r="GX233" s="189"/>
      <c r="GY233" s="254">
        <v>3011.2631999999999</v>
      </c>
      <c r="GZ233" s="189">
        <v>547.50239999999997</v>
      </c>
      <c r="HA233" s="189">
        <v>684.37800000000004</v>
      </c>
      <c r="HB233" s="255"/>
      <c r="HC233" s="189">
        <v>12199.037849999999</v>
      </c>
      <c r="HD233" s="189"/>
      <c r="HE233" s="189">
        <v>20950.521524999996</v>
      </c>
      <c r="HF233" s="189">
        <v>662496.78330847516</v>
      </c>
      <c r="HG233" s="189"/>
      <c r="HH233" s="203">
        <v>53.891432857558925</v>
      </c>
      <c r="HI233" s="189">
        <v>1129053.6240953803</v>
      </c>
      <c r="HJ233" s="268">
        <f t="shared" si="198"/>
        <v>0</v>
      </c>
      <c r="HK233" s="189">
        <f t="shared" si="199"/>
        <v>0</v>
      </c>
      <c r="HL233" s="189">
        <f t="shared" si="200"/>
        <v>0</v>
      </c>
      <c r="HM233" s="255">
        <f t="shared" si="201"/>
        <v>0</v>
      </c>
      <c r="HN233" s="189">
        <f t="shared" si="202"/>
        <v>0</v>
      </c>
      <c r="HO233" s="203">
        <f t="shared" si="227"/>
        <v>0</v>
      </c>
      <c r="HP233" s="258">
        <f t="shared" si="203"/>
        <v>0</v>
      </c>
      <c r="HQ233" s="203"/>
      <c r="HR233" s="268"/>
      <c r="HS233" s="1408"/>
      <c r="HT233" s="255"/>
      <c r="HU233" s="268"/>
      <c r="HV233" s="1408"/>
      <c r="HW233" s="255"/>
      <c r="HX233" s="1408"/>
      <c r="HY233" s="1408"/>
      <c r="HZ233"/>
      <c r="IA233" s="203"/>
      <c r="IB233" s="203"/>
      <c r="IC233" s="203"/>
      <c r="ID233" s="203"/>
      <c r="IE233" s="203"/>
      <c r="IF233" s="203"/>
      <c r="IG233" s="203"/>
      <c r="IH233" s="203"/>
      <c r="II233" s="203"/>
      <c r="IJ233" s="203"/>
      <c r="IK233" s="203"/>
      <c r="IL233" s="821"/>
      <c r="IM233" s="820"/>
      <c r="IN233" s="820"/>
      <c r="IR233" s="223"/>
    </row>
    <row r="234" spans="1:252" ht="13.8" thickBot="1">
      <c r="A234" t="str">
        <f t="shared" si="204"/>
        <v>2018Q1</v>
      </c>
      <c r="B234">
        <f t="shared" si="205"/>
        <v>2018</v>
      </c>
      <c r="C234" s="49">
        <f t="shared" si="206"/>
        <v>43132</v>
      </c>
      <c r="D234" s="115">
        <f t="shared" si="207"/>
        <v>2018</v>
      </c>
      <c r="E234" s="10">
        <f t="shared" si="230"/>
        <v>2</v>
      </c>
      <c r="F234" s="248" t="str">
        <f t="shared" si="231"/>
        <v/>
      </c>
      <c r="G234" s="245">
        <v>43132</v>
      </c>
      <c r="H234" s="251">
        <v>43159</v>
      </c>
      <c r="I234" s="959">
        <f t="shared" si="228"/>
        <v>7.1499999999999994E-2</v>
      </c>
      <c r="J234" s="37">
        <f t="shared" si="208"/>
        <v>0.27723293954751482</v>
      </c>
      <c r="K234" s="1036"/>
      <c r="L234" s="37"/>
      <c r="M234" s="1004">
        <v>0</v>
      </c>
      <c r="N234" s="38">
        <f t="shared" si="235"/>
        <v>0</v>
      </c>
      <c r="O234" s="40">
        <f t="shared" si="235"/>
        <v>0</v>
      </c>
      <c r="P234" s="159">
        <f t="shared" si="234"/>
        <v>0</v>
      </c>
      <c r="Q234" s="38">
        <f t="shared" si="236"/>
        <v>0</v>
      </c>
      <c r="R234" s="40">
        <f t="shared" si="236"/>
        <v>0</v>
      </c>
      <c r="S234" s="38">
        <f t="shared" si="236"/>
        <v>0</v>
      </c>
      <c r="T234" s="38">
        <f t="shared" si="236"/>
        <v>0</v>
      </c>
      <c r="U234" s="38">
        <f t="shared" si="236"/>
        <v>0</v>
      </c>
      <c r="V234" s="159">
        <f t="shared" si="236"/>
        <v>0</v>
      </c>
      <c r="W234" s="38">
        <f t="shared" si="236"/>
        <v>0</v>
      </c>
      <c r="X234" s="39">
        <f t="shared" si="236"/>
        <v>0</v>
      </c>
      <c r="Y234" s="46">
        <v>0</v>
      </c>
      <c r="Z234" s="46">
        <v>0</v>
      </c>
      <c r="AA234" s="47">
        <v>0</v>
      </c>
      <c r="AB234" s="46">
        <v>0</v>
      </c>
      <c r="AC234" s="46">
        <v>0</v>
      </c>
      <c r="AD234" s="47">
        <v>0</v>
      </c>
      <c r="AE234" s="46">
        <v>0</v>
      </c>
      <c r="AF234" s="46">
        <v>0</v>
      </c>
      <c r="AG234" s="47">
        <v>0</v>
      </c>
      <c r="AH234" s="46">
        <v>0</v>
      </c>
      <c r="AI234" s="46">
        <v>0</v>
      </c>
      <c r="AJ234" s="47">
        <v>0</v>
      </c>
      <c r="AK234" s="46">
        <v>0</v>
      </c>
      <c r="AL234" s="46">
        <v>0</v>
      </c>
      <c r="AM234" s="47">
        <v>0</v>
      </c>
      <c r="AN234" s="46">
        <v>0</v>
      </c>
      <c r="AO234" s="46">
        <v>0</v>
      </c>
      <c r="AP234" s="47">
        <v>0</v>
      </c>
      <c r="AQ234" s="46">
        <v>0</v>
      </c>
      <c r="AR234" s="46">
        <v>0</v>
      </c>
      <c r="AS234" s="47">
        <v>0</v>
      </c>
      <c r="AT234" s="46">
        <v>0</v>
      </c>
      <c r="AU234" s="46">
        <v>0</v>
      </c>
      <c r="AV234" s="46">
        <v>0</v>
      </c>
      <c r="AW234" s="1545">
        <v>0</v>
      </c>
      <c r="AX234" s="10">
        <f t="shared" si="232"/>
        <v>20</v>
      </c>
      <c r="AY234" s="42">
        <f>IF(AND($E234=MONTH(Summary!$E$24),$D234=YEAR(Summary!$E$24)),Summary!$E$25,1)*IF(G234="",0,INT((H234-MOD(H234,7)-G234)/7)+1-IF(BA234,IF(WEEKDAY(F234)=7,1,0),0))</f>
        <v>4</v>
      </c>
      <c r="AZ234" s="42">
        <f>IF(AND($E234=MONTH(Summary!$E$24),$D234=YEAR(Summary!$E$24)),Summary!$E$25,1)*IF(G234="",0,INT((H234-MOD(H234-1,7)-G234)/7)+1-IF(BA234,IF(WEEKDAY(F234)=1,1,0),0))</f>
        <v>4</v>
      </c>
      <c r="BA234" s="42">
        <v>0</v>
      </c>
      <c r="BB234" s="10">
        <f>IF(AND($E234=MONTH(Summary!$E$24),$D234=YEAR(Summary!$E$24)),Summary!$E$25,1)*IF(G234="",0,H234-G234+1)</f>
        <v>28</v>
      </c>
      <c r="BC234" s="914">
        <f>Summary!$E$19</f>
        <v>1.4999999999999999E-2</v>
      </c>
      <c r="BD234" s="113">
        <v>14184</v>
      </c>
      <c r="BE234" s="171">
        <v>2836.8</v>
      </c>
      <c r="BF234" s="171">
        <v>2836.8</v>
      </c>
      <c r="BG234" s="174"/>
      <c r="BH234" s="1198">
        <v>1</v>
      </c>
      <c r="BI234" s="1198">
        <v>1</v>
      </c>
      <c r="BJ234" s="1198">
        <v>1</v>
      </c>
      <c r="BK234" s="1198">
        <v>1</v>
      </c>
      <c r="BL234" s="95">
        <v>2836.8</v>
      </c>
      <c r="BM234" s="171">
        <v>567.36</v>
      </c>
      <c r="BN234" s="171">
        <v>567.36</v>
      </c>
      <c r="BO234" s="174"/>
      <c r="BP234" s="1198">
        <v>1</v>
      </c>
      <c r="BQ234" s="1199">
        <v>1</v>
      </c>
      <c r="BR234" s="1199">
        <v>1</v>
      </c>
      <c r="BS234" s="1200">
        <v>1</v>
      </c>
      <c r="BT234" s="94">
        <f t="shared" si="209"/>
        <v>19857.599999999999</v>
      </c>
      <c r="BU234" s="233">
        <f t="shared" si="210"/>
        <v>19857.599999999999</v>
      </c>
      <c r="BV234" s="92">
        <f t="shared" si="211"/>
        <v>3971.5200000000004</v>
      </c>
      <c r="BW234" s="233">
        <f t="shared" si="212"/>
        <v>3971.5200000000004</v>
      </c>
      <c r="BX234" s="88">
        <v>18.132785763175907</v>
      </c>
      <c r="BY234" s="90">
        <v>0</v>
      </c>
      <c r="BZ234" s="88">
        <v>0</v>
      </c>
      <c r="CA234" s="88">
        <v>0</v>
      </c>
      <c r="CB234" s="88">
        <v>0</v>
      </c>
      <c r="CC234" s="88">
        <v>0</v>
      </c>
      <c r="CD234" s="88">
        <v>0</v>
      </c>
      <c r="CE234" s="100">
        <v>0</v>
      </c>
      <c r="CF234" s="88">
        <v>0</v>
      </c>
      <c r="CG234" s="88">
        <v>0</v>
      </c>
      <c r="CH234" s="88">
        <v>0</v>
      </c>
      <c r="CI234" s="88">
        <v>0</v>
      </c>
      <c r="CJ234" s="228">
        <v>0</v>
      </c>
      <c r="CK234" s="88">
        <v>0</v>
      </c>
      <c r="CL234" s="88">
        <v>0</v>
      </c>
      <c r="CM234" s="88">
        <v>0</v>
      </c>
      <c r="CN234" s="88">
        <v>0</v>
      </c>
      <c r="CO234" s="88">
        <v>0</v>
      </c>
      <c r="CP234" s="88">
        <v>0</v>
      </c>
      <c r="CQ234" s="229">
        <v>0</v>
      </c>
      <c r="CR234" s="91">
        <v>0</v>
      </c>
      <c r="CS234" s="91">
        <v>0</v>
      </c>
      <c r="CT234" s="91">
        <v>0</v>
      </c>
      <c r="CU234" s="91">
        <v>0</v>
      </c>
      <c r="CV234" s="91">
        <v>0</v>
      </c>
      <c r="CW234" s="91">
        <v>0</v>
      </c>
      <c r="CX234" s="225">
        <v>0</v>
      </c>
      <c r="CY234" s="1265">
        <v>7716.8049600000004</v>
      </c>
      <c r="CZ234" s="90">
        <v>0</v>
      </c>
      <c r="DA234" s="88">
        <v>0</v>
      </c>
      <c r="DB234" s="88">
        <v>0</v>
      </c>
      <c r="DC234" s="88">
        <v>0</v>
      </c>
      <c r="DD234" s="88">
        <v>0</v>
      </c>
      <c r="DE234" s="152">
        <v>0</v>
      </c>
      <c r="DF234" s="230">
        <v>0</v>
      </c>
      <c r="DG234" s="38">
        <v>0</v>
      </c>
      <c r="DH234" s="1237">
        <v>0</v>
      </c>
      <c r="DI234" s="956">
        <v>0</v>
      </c>
      <c r="DJ234" s="956">
        <v>0</v>
      </c>
      <c r="DK234" s="956">
        <v>0</v>
      </c>
      <c r="DL234" s="152">
        <v>0</v>
      </c>
      <c r="DM234" s="160">
        <v>0</v>
      </c>
      <c r="DN234" s="160">
        <v>0</v>
      </c>
      <c r="DO234" s="160">
        <v>0</v>
      </c>
      <c r="DP234" s="160">
        <v>0</v>
      </c>
      <c r="DQ234" s="160">
        <v>0</v>
      </c>
      <c r="DR234" s="230">
        <v>0</v>
      </c>
      <c r="DS234" s="88">
        <v>0</v>
      </c>
      <c r="DT234" s="88">
        <v>0</v>
      </c>
      <c r="DU234" s="88">
        <v>0</v>
      </c>
      <c r="DV234" s="88">
        <v>0</v>
      </c>
      <c r="DW234" s="88">
        <v>0</v>
      </c>
      <c r="DX234" s="88">
        <v>0</v>
      </c>
      <c r="DY234" s="88">
        <v>0</v>
      </c>
      <c r="DZ234" s="88">
        <v>0</v>
      </c>
      <c r="EA234" s="88">
        <v>0</v>
      </c>
      <c r="EB234" s="152">
        <v>0</v>
      </c>
      <c r="EC234" s="52">
        <f t="shared" si="213"/>
        <v>0</v>
      </c>
      <c r="ED234" s="52">
        <f t="shared" si="213"/>
        <v>0</v>
      </c>
      <c r="EE234" s="52">
        <f t="shared" si="213"/>
        <v>0</v>
      </c>
      <c r="EF234" s="52">
        <f t="shared" si="186"/>
        <v>0</v>
      </c>
      <c r="EG234" s="52">
        <f t="shared" si="214"/>
        <v>0</v>
      </c>
      <c r="EH234" s="238">
        <v>0</v>
      </c>
      <c r="EI234" s="211">
        <v>0</v>
      </c>
      <c r="EJ234" s="211">
        <v>0</v>
      </c>
      <c r="EK234" s="211">
        <v>0</v>
      </c>
      <c r="EL234" s="217">
        <f>IF(C234&gt;=Summary!$E$26,MAX(0,SUM(EH234:EK234)),0)</f>
        <v>0</v>
      </c>
      <c r="EM234" s="52">
        <f>IF(C234&gt;=Summary!$E$26,DX234*BL234,0)</f>
        <v>0</v>
      </c>
      <c r="EN234" s="52">
        <f>IF(C234&gt;=Summary!$E$26,DY234*BM234,0)</f>
        <v>0</v>
      </c>
      <c r="EO234" s="52">
        <f>IF(C234&gt;=Summary!$E$26,DZ234*BN234,0)</f>
        <v>0</v>
      </c>
      <c r="EP234" s="52">
        <f>IF(C234&gt;=Summary!$E$26,EA234*BO234,0)</f>
        <v>0</v>
      </c>
      <c r="EQ234" s="52">
        <f>IF(C234&gt;=Summary!$E$26,DX234*BL234+DY234*BM234+DZ234*BN234+EA234*BO234,0)</f>
        <v>0</v>
      </c>
      <c r="ER234" s="826">
        <v>0</v>
      </c>
      <c r="ES234" s="278">
        <v>0</v>
      </c>
      <c r="ET234" s="278">
        <v>0</v>
      </c>
      <c r="EU234" s="278">
        <v>0</v>
      </c>
      <c r="EV234" s="212">
        <f>IF(C234&gt;=Summary!$E$26,MAX(0,SUM(ER234:EU234)),0)</f>
        <v>0</v>
      </c>
      <c r="EW234" s="52"/>
      <c r="EX234" s="1049">
        <f t="shared" si="215"/>
        <v>0</v>
      </c>
      <c r="EY234" s="1045" t="str">
        <f t="shared" si="216"/>
        <v/>
      </c>
      <c r="EZ234" s="1684" t="s">
        <v>525</v>
      </c>
      <c r="FA234" s="1046">
        <f t="shared" si="229"/>
        <v>45</v>
      </c>
      <c r="FB234" s="256">
        <f t="shared" si="217"/>
        <v>8865</v>
      </c>
      <c r="FC234" s="194">
        <f t="shared" si="218"/>
        <v>2659.5</v>
      </c>
      <c r="FD234" s="194">
        <f t="shared" si="219"/>
        <v>1773</v>
      </c>
      <c r="FE234" s="194">
        <f t="shared" si="220"/>
        <v>531.9</v>
      </c>
      <c r="FF234" s="194">
        <f t="shared" si="221"/>
        <v>1773</v>
      </c>
      <c r="FG234" s="194">
        <f t="shared" si="222"/>
        <v>531.9</v>
      </c>
      <c r="FH234" s="257">
        <f>IF(EZ234="No",IF((OR(MONTH(C234)=5,MONTH(C234)=6,MONTH(C234)=7,MONTH(C234)=8,MONTH(C234)=9)),Summary!$O$15*12*(AX234+AY234+AZ234+BA234)*(1-$BC234),Summary!$O$15*13*(AX234+AY234+AZ234+BA234)*(1-$BC234)+IF(Summary!$O$16="Yes",(CALC!FA234+Summary!$O$15)*6*(AX234+AY234+AZ234+BA234)*(1-$BC234),0)),0)</f>
        <v>0</v>
      </c>
      <c r="FI234" s="1412">
        <f>IF(MONTH(C234)=5,FI233*(IF(Summary!$E$70="no",(1+(Summary!$E$71*0.8)),1+HLOOKUP(YEAR(C234)-1,CCFMODEL!$I$127:$AF$128,2)*0.8)),+FI233)</f>
        <v>40.768327108615125</v>
      </c>
      <c r="FJ234" s="1411">
        <f>IF(MONTH(C234)=5,FJ233*(IF(Summary!$E$70="no",(1+(Summary!$E$71*0.8)),1+HLOOKUP(YEAR(CALC!C234)-1,CCFMODEL!$I$127:$AF$128,2)*0.8)),FJ233)</f>
        <v>35.632159913828964</v>
      </c>
      <c r="FK234" s="832">
        <f t="shared" si="187"/>
        <v>657768.42006852897</v>
      </c>
      <c r="FL234" s="1412">
        <f>IF(MONTH(C234)=5,FL233*(IF(Summary!$E$70="no",(1+(Summary!$E$71*0.8)),1+HLOOKUP(YEAR(CALC!C234)-1,CCFMODEL!$I$127:$AF$128,2)*0.8)),+FL233)</f>
        <v>85.740362486772455</v>
      </c>
      <c r="FM234" s="1411">
        <f>IF(MONTH(C234)=5,FM233*(IF(Summary!$E$70="no",(1+(Summary!$E$71*0.8)),1+HLOOKUP(YEAR(CALC!C234)-1,CCFMODEL!$I$127:$AF$128,2)*0.8)),+FM233)</f>
        <v>40.921189227507561</v>
      </c>
      <c r="FN234" s="832">
        <f t="shared" si="188"/>
        <v>670289.0795465738</v>
      </c>
      <c r="FO234" s="194">
        <f t="shared" si="223"/>
        <v>1328057.4996151028</v>
      </c>
      <c r="FP234" s="263">
        <f t="shared" si="189"/>
        <v>8865</v>
      </c>
      <c r="FQ234" s="194">
        <f t="shared" si="190"/>
        <v>2659.5</v>
      </c>
      <c r="FR234" s="194">
        <f t="shared" si="191"/>
        <v>1773</v>
      </c>
      <c r="FS234" s="194">
        <f t="shared" si="176"/>
        <v>531.9</v>
      </c>
      <c r="FT234" s="194">
        <f t="shared" si="176"/>
        <v>1773</v>
      </c>
      <c r="FU234" s="194">
        <f t="shared" si="176"/>
        <v>531.9</v>
      </c>
      <c r="FV234" s="257">
        <f t="shared" si="176"/>
        <v>0</v>
      </c>
      <c r="FW234" s="189">
        <f t="shared" si="192"/>
        <v>0</v>
      </c>
      <c r="FX234" s="189">
        <f t="shared" si="193"/>
        <v>0</v>
      </c>
      <c r="FY234" s="189">
        <f t="shared" si="194"/>
        <v>0</v>
      </c>
      <c r="FZ234" s="258">
        <f t="shared" si="195"/>
        <v>0</v>
      </c>
      <c r="GA234" s="1294">
        <f>(SUM(FP234:FV234)+SUM(GU234:HB234)/(1-Summary!$O$25))*CY234/1000</f>
        <v>212616.6513160032</v>
      </c>
      <c r="GB234" s="1369">
        <f>IF($C234&lt;Summary!$M$81,+Summary!$O$81,VLOOKUP(C234,GasTable,19))</f>
        <v>3.8371947763981322</v>
      </c>
      <c r="GC234" s="1370">
        <f>IF(H234&lt;=Summary!$N$84,MIN(GA234,Summary!$O$75*(H234-G234+1)),0)</f>
        <v>0</v>
      </c>
      <c r="GD234" s="1371">
        <f>IF(C234&lt;Summary!$N$84,IF(Summary!$O$75*(H234-G234+1)*0.8&gt;GC234,1,0),0)</f>
        <v>0</v>
      </c>
      <c r="GE234" s="1372">
        <v>0</v>
      </c>
      <c r="GF234" s="1370">
        <f t="shared" si="224"/>
        <v>212616.6513160032</v>
      </c>
      <c r="GG234" s="1371">
        <f>GF234*(IF(Summary!$O$74=1,VLOOKUP($C234,GasTable,16)+Summary!$O$92+Summary!$O$93,VLOOKUP($C234,GasTable,19)+Summary!$O$92+Summary!$O$93))</f>
        <v>826928.83133859432</v>
      </c>
      <c r="GH234" s="1373">
        <v>5372.0726869573855</v>
      </c>
      <c r="GI234" s="1466">
        <v>0</v>
      </c>
      <c r="GJ234" s="1374">
        <f t="shared" si="225"/>
        <v>832300.90402555175</v>
      </c>
      <c r="GK234" s="189">
        <f t="shared" si="196"/>
        <v>27152.785799999998</v>
      </c>
      <c r="GL234" s="266">
        <v>0.51702593232000005</v>
      </c>
      <c r="GM234" s="255">
        <f t="shared" si="197"/>
        <v>0</v>
      </c>
      <c r="GN234" s="189">
        <f>IF(SUM(GU234:HB234)=0,0,IF(Summary!$O$16="Yes",SUM(GX234:HB234),IF(Summary!$O$17="Yes",SUM(GY234:HB234),SUM(GU234:HB234))))</f>
        <v>11018.485799999999</v>
      </c>
      <c r="GO234" s="203">
        <v>4.0509829620357856</v>
      </c>
      <c r="GP234" s="258">
        <f t="shared" si="226"/>
        <v>44635.698243233237</v>
      </c>
      <c r="GQ234" s="189"/>
      <c r="GR234" s="189"/>
      <c r="GS234" s="189"/>
      <c r="GT234" s="189"/>
      <c r="GU234" s="268">
        <v>5132.835</v>
      </c>
      <c r="GV234" s="189">
        <v>1026.5670000000002</v>
      </c>
      <c r="GW234" s="189">
        <v>1026.5670000000002</v>
      </c>
      <c r="GX234" s="189"/>
      <c r="GY234" s="254">
        <v>2737.5120000000002</v>
      </c>
      <c r="GZ234" s="189">
        <v>547.50239999999997</v>
      </c>
      <c r="HA234" s="189">
        <v>547.50239999999997</v>
      </c>
      <c r="HB234" s="255"/>
      <c r="HC234" s="189">
        <v>11018.485799999999</v>
      </c>
      <c r="HD234" s="189"/>
      <c r="HE234" s="189">
        <v>18923.051699999996</v>
      </c>
      <c r="HF234" s="189">
        <v>468730.82081014727</v>
      </c>
      <c r="HG234" s="189"/>
      <c r="HH234" s="203">
        <v>42.222799694250256</v>
      </c>
      <c r="HI234" s="189">
        <v>798984.22153304168</v>
      </c>
      <c r="HJ234" s="268">
        <f t="shared" si="198"/>
        <v>0</v>
      </c>
      <c r="HK234" s="189">
        <f t="shared" si="199"/>
        <v>0</v>
      </c>
      <c r="HL234" s="189">
        <f t="shared" si="200"/>
        <v>0</v>
      </c>
      <c r="HM234" s="255">
        <f t="shared" si="201"/>
        <v>0</v>
      </c>
      <c r="HN234" s="189">
        <f t="shared" si="202"/>
        <v>0</v>
      </c>
      <c r="HO234" s="203">
        <f t="shared" si="227"/>
        <v>0</v>
      </c>
      <c r="HP234" s="258">
        <f t="shared" si="203"/>
        <v>0</v>
      </c>
      <c r="HQ234" s="203"/>
      <c r="HR234" s="268"/>
      <c r="HS234" s="1408"/>
      <c r="HT234" s="255"/>
      <c r="HU234" s="268"/>
      <c r="HV234" s="1408"/>
      <c r="HW234" s="255"/>
      <c r="HX234" s="1408"/>
      <c r="HY234" s="1408"/>
      <c r="HZ234"/>
      <c r="IA234" s="203"/>
      <c r="IB234" s="203"/>
      <c r="IC234" s="203"/>
      <c r="ID234" s="203"/>
      <c r="IE234" s="203"/>
      <c r="IF234" s="203"/>
      <c r="IG234" s="203"/>
      <c r="IH234" s="203"/>
      <c r="II234" s="203"/>
      <c r="IJ234" s="203"/>
      <c r="IK234" s="203"/>
      <c r="IL234" s="821"/>
      <c r="IM234" s="820"/>
      <c r="IN234" s="820"/>
      <c r="IR234" s="223"/>
    </row>
    <row r="235" spans="1:252" ht="13.8" thickBot="1">
      <c r="A235" t="str">
        <f t="shared" si="204"/>
        <v>2018Q1</v>
      </c>
      <c r="B235">
        <f t="shared" si="205"/>
        <v>2018</v>
      </c>
      <c r="C235" s="49">
        <f t="shared" si="206"/>
        <v>43160</v>
      </c>
      <c r="D235" s="115">
        <f t="shared" si="207"/>
        <v>2018</v>
      </c>
      <c r="E235" s="10">
        <f t="shared" si="230"/>
        <v>3</v>
      </c>
      <c r="F235" s="248" t="str">
        <f t="shared" si="231"/>
        <v/>
      </c>
      <c r="G235" s="245">
        <v>43160</v>
      </c>
      <c r="H235" s="251">
        <v>43190</v>
      </c>
      <c r="I235" s="959">
        <f t="shared" si="228"/>
        <v>7.1499999999999994E-2</v>
      </c>
      <c r="J235" s="37">
        <f t="shared" si="208"/>
        <v>0.27558485894329554</v>
      </c>
      <c r="K235" s="1036"/>
      <c r="L235" s="37"/>
      <c r="M235" s="1004">
        <v>0</v>
      </c>
      <c r="N235" s="38">
        <f t="shared" si="235"/>
        <v>0</v>
      </c>
      <c r="O235" s="40">
        <f t="shared" si="235"/>
        <v>0</v>
      </c>
      <c r="P235" s="159">
        <f t="shared" si="234"/>
        <v>0</v>
      </c>
      <c r="Q235" s="38">
        <f t="shared" si="236"/>
        <v>0</v>
      </c>
      <c r="R235" s="40">
        <f t="shared" si="236"/>
        <v>0</v>
      </c>
      <c r="S235" s="38">
        <f t="shared" si="236"/>
        <v>0</v>
      </c>
      <c r="T235" s="38">
        <f t="shared" si="236"/>
        <v>0</v>
      </c>
      <c r="U235" s="38">
        <f t="shared" si="236"/>
        <v>0</v>
      </c>
      <c r="V235" s="159">
        <f t="shared" si="236"/>
        <v>0</v>
      </c>
      <c r="W235" s="38">
        <f t="shared" si="236"/>
        <v>0</v>
      </c>
      <c r="X235" s="39">
        <f t="shared" si="236"/>
        <v>0</v>
      </c>
      <c r="Y235" s="46">
        <v>0</v>
      </c>
      <c r="Z235" s="46">
        <v>0</v>
      </c>
      <c r="AA235" s="47">
        <v>0</v>
      </c>
      <c r="AB235" s="46">
        <v>0</v>
      </c>
      <c r="AC235" s="46">
        <v>0</v>
      </c>
      <c r="AD235" s="47">
        <v>0</v>
      </c>
      <c r="AE235" s="46">
        <v>0</v>
      </c>
      <c r="AF235" s="46">
        <v>0</v>
      </c>
      <c r="AG235" s="47">
        <v>0</v>
      </c>
      <c r="AH235" s="46">
        <v>0</v>
      </c>
      <c r="AI235" s="46">
        <v>0</v>
      </c>
      <c r="AJ235" s="47">
        <v>0</v>
      </c>
      <c r="AK235" s="46">
        <v>0</v>
      </c>
      <c r="AL235" s="46">
        <v>0</v>
      </c>
      <c r="AM235" s="47">
        <v>0</v>
      </c>
      <c r="AN235" s="46">
        <v>0</v>
      </c>
      <c r="AO235" s="46">
        <v>0</v>
      </c>
      <c r="AP235" s="47">
        <v>0</v>
      </c>
      <c r="AQ235" s="46">
        <v>0</v>
      </c>
      <c r="AR235" s="46">
        <v>0</v>
      </c>
      <c r="AS235" s="47">
        <v>0</v>
      </c>
      <c r="AT235" s="46">
        <v>0</v>
      </c>
      <c r="AU235" s="46">
        <v>0</v>
      </c>
      <c r="AV235" s="46">
        <v>0</v>
      </c>
      <c r="AW235" s="1545">
        <v>0</v>
      </c>
      <c r="AX235" s="10">
        <f t="shared" si="232"/>
        <v>22</v>
      </c>
      <c r="AY235" s="42">
        <f>IF(AND($E235=MONTH(Summary!$E$24),$D235=YEAR(Summary!$E$24)),Summary!$E$25,1)*IF(G235="",0,INT((H235-MOD(H235,7)-G235)/7)+1-IF(BA235,IF(WEEKDAY(F235)=7,1,0),0))</f>
        <v>5</v>
      </c>
      <c r="AZ235" s="42">
        <f>IF(AND($E235=MONTH(Summary!$E$24),$D235=YEAR(Summary!$E$24)),Summary!$E$25,1)*IF(G235="",0,INT((H235-MOD(H235-1,7)-G235)/7)+1-IF(BA235,IF(WEEKDAY(F235)=1,1,0),0))</f>
        <v>4</v>
      </c>
      <c r="BA235" s="42">
        <v>0</v>
      </c>
      <c r="BB235" s="10">
        <f>IF(AND($E235=MONTH(Summary!$E$24),$D235=YEAR(Summary!$E$24)),Summary!$E$25,1)*IF(G235="",0,H235-G235+1)</f>
        <v>31</v>
      </c>
      <c r="BC235" s="914">
        <f>Summary!$E$19</f>
        <v>1.4999999999999999E-2</v>
      </c>
      <c r="BD235" s="113">
        <v>15602.4</v>
      </c>
      <c r="BE235" s="171">
        <v>3546</v>
      </c>
      <c r="BF235" s="171">
        <v>2836.8</v>
      </c>
      <c r="BG235" s="174"/>
      <c r="BH235" s="1198">
        <v>1</v>
      </c>
      <c r="BI235" s="1198">
        <v>1</v>
      </c>
      <c r="BJ235" s="1198">
        <v>1</v>
      </c>
      <c r="BK235" s="1198">
        <v>1</v>
      </c>
      <c r="BL235" s="95">
        <v>3120.48</v>
      </c>
      <c r="BM235" s="171">
        <v>709.2</v>
      </c>
      <c r="BN235" s="171">
        <v>567.36</v>
      </c>
      <c r="BO235" s="174"/>
      <c r="BP235" s="1198">
        <v>1</v>
      </c>
      <c r="BQ235" s="1199">
        <v>1</v>
      </c>
      <c r="BR235" s="1199">
        <v>1</v>
      </c>
      <c r="BS235" s="1200">
        <v>1</v>
      </c>
      <c r="BT235" s="94">
        <f t="shared" si="209"/>
        <v>21985.200000000001</v>
      </c>
      <c r="BU235" s="233">
        <f t="shared" si="210"/>
        <v>21985.200000000001</v>
      </c>
      <c r="BV235" s="92">
        <f t="shared" si="211"/>
        <v>4397.04</v>
      </c>
      <c r="BW235" s="233">
        <f t="shared" si="212"/>
        <v>4397.04</v>
      </c>
      <c r="BX235" s="88">
        <v>18.209445585215605</v>
      </c>
      <c r="BY235" s="90">
        <v>0</v>
      </c>
      <c r="BZ235" s="88">
        <v>0</v>
      </c>
      <c r="CA235" s="88">
        <v>0</v>
      </c>
      <c r="CB235" s="88">
        <v>0</v>
      </c>
      <c r="CC235" s="88">
        <v>0</v>
      </c>
      <c r="CD235" s="88">
        <v>0</v>
      </c>
      <c r="CE235" s="100">
        <v>0</v>
      </c>
      <c r="CF235" s="88">
        <v>0</v>
      </c>
      <c r="CG235" s="88">
        <v>0</v>
      </c>
      <c r="CH235" s="88">
        <v>0</v>
      </c>
      <c r="CI235" s="88">
        <v>0</v>
      </c>
      <c r="CJ235" s="228">
        <v>0</v>
      </c>
      <c r="CK235" s="88">
        <v>0</v>
      </c>
      <c r="CL235" s="88">
        <v>0</v>
      </c>
      <c r="CM235" s="88">
        <v>0</v>
      </c>
      <c r="CN235" s="88">
        <v>0</v>
      </c>
      <c r="CO235" s="88">
        <v>0</v>
      </c>
      <c r="CP235" s="88">
        <v>0</v>
      </c>
      <c r="CQ235" s="229">
        <v>0</v>
      </c>
      <c r="CR235" s="91">
        <v>0</v>
      </c>
      <c r="CS235" s="91">
        <v>0</v>
      </c>
      <c r="CT235" s="91">
        <v>0</v>
      </c>
      <c r="CU235" s="91">
        <v>0</v>
      </c>
      <c r="CV235" s="91">
        <v>0</v>
      </c>
      <c r="CW235" s="91">
        <v>0</v>
      </c>
      <c r="CX235" s="225">
        <v>0</v>
      </c>
      <c r="CY235" s="1265">
        <v>7718.8359200000004</v>
      </c>
      <c r="CZ235" s="90">
        <v>0</v>
      </c>
      <c r="DA235" s="88">
        <v>0</v>
      </c>
      <c r="DB235" s="88">
        <v>0</v>
      </c>
      <c r="DC235" s="88">
        <v>0</v>
      </c>
      <c r="DD235" s="88">
        <v>0</v>
      </c>
      <c r="DE235" s="152">
        <v>0</v>
      </c>
      <c r="DF235" s="230">
        <v>0</v>
      </c>
      <c r="DG235" s="38">
        <v>0</v>
      </c>
      <c r="DH235" s="1237">
        <v>0</v>
      </c>
      <c r="DI235" s="956">
        <v>0</v>
      </c>
      <c r="DJ235" s="956">
        <v>0</v>
      </c>
      <c r="DK235" s="956">
        <v>0</v>
      </c>
      <c r="DL235" s="152">
        <v>0</v>
      </c>
      <c r="DM235" s="160">
        <v>0</v>
      </c>
      <c r="DN235" s="160">
        <v>0</v>
      </c>
      <c r="DO235" s="160">
        <v>0</v>
      </c>
      <c r="DP235" s="160">
        <v>0</v>
      </c>
      <c r="DQ235" s="160">
        <v>0</v>
      </c>
      <c r="DR235" s="230">
        <v>0</v>
      </c>
      <c r="DS235" s="88">
        <v>0</v>
      </c>
      <c r="DT235" s="88">
        <v>0</v>
      </c>
      <c r="DU235" s="88">
        <v>0</v>
      </c>
      <c r="DV235" s="88">
        <v>0</v>
      </c>
      <c r="DW235" s="88">
        <v>0</v>
      </c>
      <c r="DX235" s="88">
        <v>0</v>
      </c>
      <c r="DY235" s="88">
        <v>0</v>
      </c>
      <c r="DZ235" s="88">
        <v>0</v>
      </c>
      <c r="EA235" s="88">
        <v>0</v>
      </c>
      <c r="EB235" s="152">
        <v>0</v>
      </c>
      <c r="EC235" s="52">
        <f t="shared" si="213"/>
        <v>0</v>
      </c>
      <c r="ED235" s="52">
        <f t="shared" si="213"/>
        <v>0</v>
      </c>
      <c r="EE235" s="52">
        <f t="shared" si="213"/>
        <v>0</v>
      </c>
      <c r="EF235" s="52">
        <f t="shared" si="186"/>
        <v>0</v>
      </c>
      <c r="EG235" s="52">
        <f t="shared" si="214"/>
        <v>0</v>
      </c>
      <c r="EH235" s="238">
        <v>0</v>
      </c>
      <c r="EI235" s="211">
        <v>0</v>
      </c>
      <c r="EJ235" s="211">
        <v>0</v>
      </c>
      <c r="EK235" s="211">
        <v>0</v>
      </c>
      <c r="EL235" s="217">
        <f>IF(C235&gt;=Summary!$E$26,MAX(0,SUM(EH235:EK235)),0)</f>
        <v>0</v>
      </c>
      <c r="EM235" s="52">
        <f>IF(C235&gt;=Summary!$E$26,DX235*BL235,0)</f>
        <v>0</v>
      </c>
      <c r="EN235" s="52">
        <f>IF(C235&gt;=Summary!$E$26,DY235*BM235,0)</f>
        <v>0</v>
      </c>
      <c r="EO235" s="52">
        <f>IF(C235&gt;=Summary!$E$26,DZ235*BN235,0)</f>
        <v>0</v>
      </c>
      <c r="EP235" s="52">
        <f>IF(C235&gt;=Summary!$E$26,EA235*BO235,0)</f>
        <v>0</v>
      </c>
      <c r="EQ235" s="52">
        <f>IF(C235&gt;=Summary!$E$26,DX235*BL235+DY235*BM235+DZ235*BN235+EA235*BO235,0)</f>
        <v>0</v>
      </c>
      <c r="ER235" s="826">
        <v>0</v>
      </c>
      <c r="ES235" s="278">
        <v>0</v>
      </c>
      <c r="ET235" s="278">
        <v>0</v>
      </c>
      <c r="EU235" s="278">
        <v>0</v>
      </c>
      <c r="EV235" s="212">
        <f>IF(C235&gt;=Summary!$E$26,MAX(0,SUM(ER235:EU235)),0)</f>
        <v>0</v>
      </c>
      <c r="EW235" s="52"/>
      <c r="EX235" s="1049">
        <f t="shared" si="215"/>
        <v>0</v>
      </c>
      <c r="EY235" s="1045" t="str">
        <f t="shared" si="216"/>
        <v/>
      </c>
      <c r="EZ235" s="1684" t="s">
        <v>525</v>
      </c>
      <c r="FA235" s="1046">
        <f t="shared" si="229"/>
        <v>45</v>
      </c>
      <c r="FB235" s="256">
        <f t="shared" si="217"/>
        <v>9751.5</v>
      </c>
      <c r="FC235" s="194">
        <f t="shared" si="218"/>
        <v>2925.45</v>
      </c>
      <c r="FD235" s="194">
        <f t="shared" si="219"/>
        <v>2216.25</v>
      </c>
      <c r="FE235" s="194">
        <f t="shared" si="220"/>
        <v>664.875</v>
      </c>
      <c r="FF235" s="194">
        <f t="shared" si="221"/>
        <v>1773</v>
      </c>
      <c r="FG235" s="194">
        <f t="shared" si="222"/>
        <v>531.9</v>
      </c>
      <c r="FH235" s="257">
        <f>IF(EZ235="No",IF((OR(MONTH(C235)=5,MONTH(C235)=6,MONTH(C235)=7,MONTH(C235)=8,MONTH(C235)=9)),Summary!$O$15*12*(AX235+AY235+AZ235+BA235)*(1-$BC235),Summary!$O$15*13*(AX235+AY235+AZ235+BA235)*(1-$BC235)+IF(Summary!$O$16="Yes",(CALC!FA235+Summary!$O$15)*6*(AX235+AY235+AZ235+BA235)*(1-$BC235),0)),0)</f>
        <v>0</v>
      </c>
      <c r="FI235" s="1412">
        <f>IF(MONTH(C235)=5,FI234*(IF(Summary!$E$70="no",(1+(Summary!$E$71*0.8)),1+HLOOKUP(YEAR(C235)-1,CCFMODEL!$I$127:$AF$128,2)*0.8)),+FI234)</f>
        <v>40.768327108615125</v>
      </c>
      <c r="FJ235" s="1411">
        <f>IF(MONTH(C235)=5,FJ234*(IF(Summary!$E$70="no",(1+(Summary!$E$71*0.8)),1+HLOOKUP(YEAR(CALC!C235)-1,CCFMODEL!$I$127:$AF$128,2)*0.8)),FJ234)</f>
        <v>35.632159913828964</v>
      </c>
      <c r="FK235" s="832">
        <f t="shared" si="187"/>
        <v>728243.6079330144</v>
      </c>
      <c r="FL235" s="1412">
        <f>IF(MONTH(C235)=5,FL234*(IF(Summary!$E$70="no",(1+(Summary!$E$71*0.8)),1+HLOOKUP(YEAR(CALC!C235)-1,CCFMODEL!$I$127:$AF$128,2)*0.8)),+FL234)</f>
        <v>85.740362486772455</v>
      </c>
      <c r="FM235" s="1411">
        <f>IF(MONTH(C235)=5,FM234*(IF(Summary!$E$70="no",(1+(Summary!$E$71*0.8)),1+HLOOKUP(YEAR(CALC!C235)-1,CCFMODEL!$I$127:$AF$128,2)*0.8)),+FM234)</f>
        <v>40.921189227507561</v>
      </c>
      <c r="FN235" s="832">
        <f t="shared" si="188"/>
        <v>742105.76664084976</v>
      </c>
      <c r="FO235" s="194">
        <f t="shared" si="223"/>
        <v>1470349.374573864</v>
      </c>
      <c r="FP235" s="263">
        <f t="shared" si="189"/>
        <v>9751.5</v>
      </c>
      <c r="FQ235" s="194">
        <f t="shared" si="190"/>
        <v>2925.45</v>
      </c>
      <c r="FR235" s="194">
        <f t="shared" si="191"/>
        <v>2216.25</v>
      </c>
      <c r="FS235" s="194">
        <f t="shared" si="176"/>
        <v>664.875</v>
      </c>
      <c r="FT235" s="194">
        <f t="shared" si="176"/>
        <v>1773</v>
      </c>
      <c r="FU235" s="194">
        <f t="shared" si="176"/>
        <v>531.9</v>
      </c>
      <c r="FV235" s="257">
        <f t="shared" si="176"/>
        <v>0</v>
      </c>
      <c r="FW235" s="189">
        <f t="shared" si="192"/>
        <v>0</v>
      </c>
      <c r="FX235" s="189">
        <f t="shared" si="193"/>
        <v>0</v>
      </c>
      <c r="FY235" s="189">
        <f t="shared" si="194"/>
        <v>0</v>
      </c>
      <c r="FZ235" s="258">
        <f t="shared" si="195"/>
        <v>0</v>
      </c>
      <c r="GA235" s="1294">
        <f>(SUM(FP235:FV235)+SUM(GU235:HB235)/(1-Summary!$O$25))*CY235/1000</f>
        <v>235458.96016238283</v>
      </c>
      <c r="GB235" s="1369">
        <f>IF($C235&lt;Summary!$M$81,+Summary!$O$81,VLOOKUP(C235,GasTable,19))</f>
        <v>3.6312009474917879</v>
      </c>
      <c r="GC235" s="1370">
        <f>IF(H235&lt;=Summary!$N$84,MIN(GA235,Summary!$O$75*(H235-G235+1)),0)</f>
        <v>0</v>
      </c>
      <c r="GD235" s="1371">
        <f>IF(C235&lt;Summary!$N$84,IF(Summary!$O$75*(H235-G235+1)*0.8&gt;GC235,1,0),0)</f>
        <v>0</v>
      </c>
      <c r="GE235" s="1372">
        <v>0</v>
      </c>
      <c r="GF235" s="1370">
        <f t="shared" si="224"/>
        <v>235458.96016238283</v>
      </c>
      <c r="GG235" s="1371">
        <f>GF235*(IF(Summary!$O$74=1,VLOOKUP($C235,GasTable,16)+Summary!$O$92+Summary!$O$93,VLOOKUP($C235,GasTable,19)+Summary!$O$92+Summary!$O$93))</f>
        <v>867266.21106153587</v>
      </c>
      <c r="GH235" s="1373">
        <v>5628.361468612271</v>
      </c>
      <c r="GI235" s="1466">
        <v>0</v>
      </c>
      <c r="GJ235" s="1374">
        <f t="shared" si="225"/>
        <v>872894.57253014809</v>
      </c>
      <c r="GK235" s="189">
        <f t="shared" si="196"/>
        <v>30062.012850000006</v>
      </c>
      <c r="GL235" s="266">
        <v>0.51716200664000012</v>
      </c>
      <c r="GM235" s="255">
        <f t="shared" si="197"/>
        <v>0</v>
      </c>
      <c r="GN235" s="189">
        <f>IF(SUM(GU235:HB235)=0,0,IF(Summary!$O$16="Yes",SUM(GX235:HB235),IF(Summary!$O$17="Yes",SUM(GY235:HB235),SUM(GU235:HB235))))</f>
        <v>12199.037849999999</v>
      </c>
      <c r="GO235" s="203">
        <v>4.0509829620357856</v>
      </c>
      <c r="GP235" s="258">
        <f t="shared" si="226"/>
        <v>49418.094483579654</v>
      </c>
      <c r="GQ235" s="189"/>
      <c r="GR235" s="189"/>
      <c r="GS235" s="189"/>
      <c r="GT235" s="189"/>
      <c r="GU235" s="268">
        <v>5646.1184999999996</v>
      </c>
      <c r="GV235" s="189">
        <v>1283.20875</v>
      </c>
      <c r="GW235" s="189">
        <v>1026.5670000000002</v>
      </c>
      <c r="GX235" s="189"/>
      <c r="GY235" s="254">
        <v>3011.2631999999999</v>
      </c>
      <c r="GZ235" s="189">
        <v>684.37800000000004</v>
      </c>
      <c r="HA235" s="189">
        <v>547.50239999999997</v>
      </c>
      <c r="HB235" s="255"/>
      <c r="HC235" s="189">
        <v>12199.037849999999</v>
      </c>
      <c r="HD235" s="189"/>
      <c r="HE235" s="189">
        <v>20950.521524999996</v>
      </c>
      <c r="HF235" s="189">
        <v>521416.83713016822</v>
      </c>
      <c r="HG235" s="189"/>
      <c r="HH235" s="203">
        <v>42.041034666217094</v>
      </c>
      <c r="HI235" s="189">
        <v>880781.60170785221</v>
      </c>
      <c r="HJ235" s="268">
        <f t="shared" si="198"/>
        <v>0</v>
      </c>
      <c r="HK235" s="189">
        <f t="shared" si="199"/>
        <v>0</v>
      </c>
      <c r="HL235" s="189">
        <f t="shared" si="200"/>
        <v>0</v>
      </c>
      <c r="HM235" s="255">
        <f t="shared" si="201"/>
        <v>0</v>
      </c>
      <c r="HN235" s="189">
        <f t="shared" si="202"/>
        <v>0</v>
      </c>
      <c r="HO235" s="203">
        <f t="shared" si="227"/>
        <v>0</v>
      </c>
      <c r="HP235" s="258">
        <f t="shared" si="203"/>
        <v>0</v>
      </c>
      <c r="HQ235" s="203"/>
      <c r="HR235" s="268"/>
      <c r="HS235" s="1408"/>
      <c r="HT235" s="255"/>
      <c r="HU235" s="268"/>
      <c r="HV235" s="1408"/>
      <c r="HW235" s="255"/>
      <c r="HX235" s="1408"/>
      <c r="HY235" s="1408"/>
      <c r="HZ235"/>
      <c r="IA235" s="203"/>
      <c r="IB235" s="203"/>
      <c r="IC235" s="203"/>
      <c r="ID235" s="203"/>
      <c r="IE235" s="203"/>
      <c r="IF235" s="203"/>
      <c r="IG235" s="203"/>
      <c r="IH235" s="203"/>
      <c r="II235" s="203"/>
      <c r="IJ235" s="203"/>
      <c r="IK235" s="203"/>
      <c r="IL235" s="821"/>
      <c r="IM235" s="820"/>
      <c r="IN235" s="820"/>
      <c r="IR235" s="223"/>
    </row>
    <row r="236" spans="1:252" ht="13.8" thickBot="1">
      <c r="A236" t="str">
        <f t="shared" si="204"/>
        <v>2018Q2</v>
      </c>
      <c r="B236">
        <f t="shared" si="205"/>
        <v>2018</v>
      </c>
      <c r="C236" s="49">
        <f t="shared" si="206"/>
        <v>43191</v>
      </c>
      <c r="D236" s="115">
        <f t="shared" si="207"/>
        <v>2018</v>
      </c>
      <c r="E236" s="10">
        <f t="shared" si="230"/>
        <v>4</v>
      </c>
      <c r="F236" s="248" t="str">
        <f t="shared" si="231"/>
        <v/>
      </c>
      <c r="G236" s="245">
        <v>43191</v>
      </c>
      <c r="H236" s="251">
        <v>43220</v>
      </c>
      <c r="I236" s="959">
        <f t="shared" si="228"/>
        <v>7.1499999999999994E-2</v>
      </c>
      <c r="J236" s="37">
        <f t="shared" si="208"/>
        <v>0.27399927128286955</v>
      </c>
      <c r="K236" s="1036"/>
      <c r="L236" s="37"/>
      <c r="M236" s="1004">
        <v>0</v>
      </c>
      <c r="N236" s="38">
        <f t="shared" si="235"/>
        <v>0</v>
      </c>
      <c r="O236" s="40">
        <f t="shared" si="235"/>
        <v>0</v>
      </c>
      <c r="P236" s="159">
        <f t="shared" si="234"/>
        <v>0</v>
      </c>
      <c r="Q236" s="38">
        <f t="shared" si="236"/>
        <v>0</v>
      </c>
      <c r="R236" s="40">
        <f t="shared" si="236"/>
        <v>0</v>
      </c>
      <c r="S236" s="38">
        <f t="shared" si="236"/>
        <v>0</v>
      </c>
      <c r="T236" s="38">
        <f t="shared" si="236"/>
        <v>0</v>
      </c>
      <c r="U236" s="38">
        <f t="shared" si="236"/>
        <v>0</v>
      </c>
      <c r="V236" s="159">
        <f t="shared" si="236"/>
        <v>0</v>
      </c>
      <c r="W236" s="38">
        <f t="shared" si="236"/>
        <v>0</v>
      </c>
      <c r="X236" s="39">
        <f t="shared" si="236"/>
        <v>0</v>
      </c>
      <c r="Y236" s="46">
        <v>0</v>
      </c>
      <c r="Z236" s="46">
        <v>0</v>
      </c>
      <c r="AA236" s="47">
        <v>0</v>
      </c>
      <c r="AB236" s="46">
        <v>0</v>
      </c>
      <c r="AC236" s="46">
        <v>0</v>
      </c>
      <c r="AD236" s="47">
        <v>0</v>
      </c>
      <c r="AE236" s="46">
        <v>0</v>
      </c>
      <c r="AF236" s="46">
        <v>0</v>
      </c>
      <c r="AG236" s="47">
        <v>0</v>
      </c>
      <c r="AH236" s="46">
        <v>0</v>
      </c>
      <c r="AI236" s="46">
        <v>0</v>
      </c>
      <c r="AJ236" s="47">
        <v>0</v>
      </c>
      <c r="AK236" s="46">
        <v>0</v>
      </c>
      <c r="AL236" s="46">
        <v>0</v>
      </c>
      <c r="AM236" s="47">
        <v>0</v>
      </c>
      <c r="AN236" s="46">
        <v>0</v>
      </c>
      <c r="AO236" s="46">
        <v>0</v>
      </c>
      <c r="AP236" s="47">
        <v>0</v>
      </c>
      <c r="AQ236" s="46">
        <v>0</v>
      </c>
      <c r="AR236" s="46">
        <v>0</v>
      </c>
      <c r="AS236" s="47">
        <v>0</v>
      </c>
      <c r="AT236" s="46">
        <v>0</v>
      </c>
      <c r="AU236" s="46">
        <v>0</v>
      </c>
      <c r="AV236" s="46">
        <v>0</v>
      </c>
      <c r="AW236" s="1545">
        <v>0</v>
      </c>
      <c r="AX236" s="10">
        <f t="shared" si="232"/>
        <v>21</v>
      </c>
      <c r="AY236" s="42">
        <f>IF(AND($E236=MONTH(Summary!$E$24),$D236=YEAR(Summary!$E$24)),Summary!$E$25,1)*IF(G236="",0,INT((H236-MOD(H236,7)-G236)/7)+1-IF(BA236,IF(WEEKDAY(F236)=7,1,0),0))</f>
        <v>4</v>
      </c>
      <c r="AZ236" s="42">
        <f>IF(AND($E236=MONTH(Summary!$E$24),$D236=YEAR(Summary!$E$24)),Summary!$E$25,1)*IF(G236="",0,INT((H236-MOD(H236-1,7)-G236)/7)+1-IF(BA236,IF(WEEKDAY(F236)=1,1,0),0))</f>
        <v>5</v>
      </c>
      <c r="BA236" s="42">
        <v>0</v>
      </c>
      <c r="BB236" s="10">
        <f>IF(AND($E236=MONTH(Summary!$E$24),$D236=YEAR(Summary!$E$24)),Summary!$E$25,1)*IF(G236="",0,H236-G236+1)</f>
        <v>30</v>
      </c>
      <c r="BC236" s="914">
        <f>Summary!$E$19</f>
        <v>1.4999999999999999E-2</v>
      </c>
      <c r="BD236" s="113">
        <v>14893.2</v>
      </c>
      <c r="BE236" s="171">
        <v>2836.8</v>
      </c>
      <c r="BF236" s="171">
        <v>3546</v>
      </c>
      <c r="BG236" s="174"/>
      <c r="BH236" s="1198">
        <v>1</v>
      </c>
      <c r="BI236" s="1198">
        <v>1</v>
      </c>
      <c r="BJ236" s="1198">
        <v>1</v>
      </c>
      <c r="BK236" s="1198">
        <v>1</v>
      </c>
      <c r="BL236" s="95">
        <v>2978.64</v>
      </c>
      <c r="BM236" s="171">
        <v>567.36</v>
      </c>
      <c r="BN236" s="171">
        <v>709.2</v>
      </c>
      <c r="BO236" s="174"/>
      <c r="BP236" s="1198">
        <v>1</v>
      </c>
      <c r="BQ236" s="1199">
        <v>1</v>
      </c>
      <c r="BR236" s="1199">
        <v>1</v>
      </c>
      <c r="BS236" s="1200">
        <v>1</v>
      </c>
      <c r="BT236" s="94">
        <f t="shared" si="209"/>
        <v>21276</v>
      </c>
      <c r="BU236" s="233">
        <f t="shared" si="210"/>
        <v>21276</v>
      </c>
      <c r="BV236" s="92">
        <f t="shared" si="211"/>
        <v>4255.2</v>
      </c>
      <c r="BW236" s="233">
        <f t="shared" si="212"/>
        <v>4255.2</v>
      </c>
      <c r="BX236" s="88">
        <v>18.2943189596167</v>
      </c>
      <c r="BY236" s="90">
        <v>0</v>
      </c>
      <c r="BZ236" s="88">
        <v>0</v>
      </c>
      <c r="CA236" s="88">
        <v>0</v>
      </c>
      <c r="CB236" s="88">
        <v>0</v>
      </c>
      <c r="CC236" s="88">
        <v>0</v>
      </c>
      <c r="CD236" s="88">
        <v>0</v>
      </c>
      <c r="CE236" s="100">
        <v>0</v>
      </c>
      <c r="CF236" s="88">
        <v>0</v>
      </c>
      <c r="CG236" s="88">
        <v>0</v>
      </c>
      <c r="CH236" s="88">
        <v>0</v>
      </c>
      <c r="CI236" s="88">
        <v>0</v>
      </c>
      <c r="CJ236" s="228">
        <v>0</v>
      </c>
      <c r="CK236" s="88">
        <v>0</v>
      </c>
      <c r="CL236" s="88">
        <v>0</v>
      </c>
      <c r="CM236" s="88">
        <v>0</v>
      </c>
      <c r="CN236" s="88">
        <v>0</v>
      </c>
      <c r="CO236" s="88">
        <v>0</v>
      </c>
      <c r="CP236" s="88">
        <v>0</v>
      </c>
      <c r="CQ236" s="229">
        <v>0</v>
      </c>
      <c r="CR236" s="91">
        <v>0</v>
      </c>
      <c r="CS236" s="91">
        <v>0</v>
      </c>
      <c r="CT236" s="91">
        <v>0</v>
      </c>
      <c r="CU236" s="91">
        <v>0</v>
      </c>
      <c r="CV236" s="91">
        <v>0</v>
      </c>
      <c r="CW236" s="91">
        <v>0</v>
      </c>
      <c r="CX236" s="225">
        <v>0</v>
      </c>
      <c r="CY236" s="1265">
        <v>7720.8668799999996</v>
      </c>
      <c r="CZ236" s="90">
        <v>0</v>
      </c>
      <c r="DA236" s="88">
        <v>0</v>
      </c>
      <c r="DB236" s="88">
        <v>0</v>
      </c>
      <c r="DC236" s="88">
        <v>0</v>
      </c>
      <c r="DD236" s="88">
        <v>0</v>
      </c>
      <c r="DE236" s="152">
        <v>0</v>
      </c>
      <c r="DF236" s="230">
        <v>0</v>
      </c>
      <c r="DG236" s="38">
        <v>0</v>
      </c>
      <c r="DH236" s="1237">
        <v>0</v>
      </c>
      <c r="DI236" s="956">
        <v>0</v>
      </c>
      <c r="DJ236" s="956">
        <v>0</v>
      </c>
      <c r="DK236" s="956">
        <v>0</v>
      </c>
      <c r="DL236" s="152">
        <v>0</v>
      </c>
      <c r="DM236" s="160">
        <v>0</v>
      </c>
      <c r="DN236" s="160">
        <v>0</v>
      </c>
      <c r="DO236" s="160">
        <v>0</v>
      </c>
      <c r="DP236" s="160">
        <v>0</v>
      </c>
      <c r="DQ236" s="160">
        <v>0</v>
      </c>
      <c r="DR236" s="230">
        <v>0</v>
      </c>
      <c r="DS236" s="88">
        <v>0</v>
      </c>
      <c r="DT236" s="88">
        <v>0</v>
      </c>
      <c r="DU236" s="88">
        <v>0</v>
      </c>
      <c r="DV236" s="88">
        <v>0</v>
      </c>
      <c r="DW236" s="88">
        <v>0</v>
      </c>
      <c r="DX236" s="88">
        <v>0</v>
      </c>
      <c r="DY236" s="88">
        <v>0</v>
      </c>
      <c r="DZ236" s="88">
        <v>0</v>
      </c>
      <c r="EA236" s="88">
        <v>0</v>
      </c>
      <c r="EB236" s="152">
        <v>0</v>
      </c>
      <c r="EC236" s="52">
        <f t="shared" si="213"/>
        <v>0</v>
      </c>
      <c r="ED236" s="52">
        <f t="shared" si="213"/>
        <v>0</v>
      </c>
      <c r="EE236" s="52">
        <f t="shared" si="213"/>
        <v>0</v>
      </c>
      <c r="EF236" s="52">
        <f t="shared" si="186"/>
        <v>0</v>
      </c>
      <c r="EG236" s="52">
        <f t="shared" si="214"/>
        <v>0</v>
      </c>
      <c r="EH236" s="238">
        <v>0</v>
      </c>
      <c r="EI236" s="211">
        <v>0</v>
      </c>
      <c r="EJ236" s="211">
        <v>0</v>
      </c>
      <c r="EK236" s="211">
        <v>0</v>
      </c>
      <c r="EL236" s="217">
        <f>IF(C236&gt;=Summary!$E$26,MAX(0,SUM(EH236:EK236)),0)</f>
        <v>0</v>
      </c>
      <c r="EM236" s="52">
        <f>IF(C236&gt;=Summary!$E$26,DX236*BL236,0)</f>
        <v>0</v>
      </c>
      <c r="EN236" s="52">
        <f>IF(C236&gt;=Summary!$E$26,DY236*BM236,0)</f>
        <v>0</v>
      </c>
      <c r="EO236" s="52">
        <f>IF(C236&gt;=Summary!$E$26,DZ236*BN236,0)</f>
        <v>0</v>
      </c>
      <c r="EP236" s="52">
        <f>IF(C236&gt;=Summary!$E$26,EA236*BO236,0)</f>
        <v>0</v>
      </c>
      <c r="EQ236" s="52">
        <f>IF(C236&gt;=Summary!$E$26,DX236*BL236+DY236*BM236+DZ236*BN236+EA236*BO236,0)</f>
        <v>0</v>
      </c>
      <c r="ER236" s="826">
        <v>0</v>
      </c>
      <c r="ES236" s="278">
        <v>0</v>
      </c>
      <c r="ET236" s="278">
        <v>0</v>
      </c>
      <c r="EU236" s="278">
        <v>0</v>
      </c>
      <c r="EV236" s="212">
        <f>IF(C236&gt;=Summary!$E$26,MAX(0,SUM(ER236:EU236)),0)</f>
        <v>0</v>
      </c>
      <c r="EW236" s="52"/>
      <c r="EX236" s="1049">
        <f t="shared" si="215"/>
        <v>0</v>
      </c>
      <c r="EY236" s="1045" t="str">
        <f t="shared" si="216"/>
        <v/>
      </c>
      <c r="EZ236" s="1684" t="s">
        <v>525</v>
      </c>
      <c r="FA236" s="1046">
        <f t="shared" si="229"/>
        <v>45</v>
      </c>
      <c r="FB236" s="256">
        <f t="shared" si="217"/>
        <v>9308.25</v>
      </c>
      <c r="FC236" s="194">
        <f t="shared" si="218"/>
        <v>2792.4749999999999</v>
      </c>
      <c r="FD236" s="194">
        <f t="shared" si="219"/>
        <v>1773</v>
      </c>
      <c r="FE236" s="194">
        <f t="shared" si="220"/>
        <v>531.9</v>
      </c>
      <c r="FF236" s="194">
        <f t="shared" si="221"/>
        <v>2216.25</v>
      </c>
      <c r="FG236" s="194">
        <f t="shared" si="222"/>
        <v>664.875</v>
      </c>
      <c r="FH236" s="257">
        <f>IF(EZ236="No",IF((OR(MONTH(C236)=5,MONTH(C236)=6,MONTH(C236)=7,MONTH(C236)=8,MONTH(C236)=9)),Summary!$O$15*12*(AX236+AY236+AZ236+BA236)*(1-$BC236),Summary!$O$15*13*(AX236+AY236+AZ236+BA236)*(1-$BC236)+IF(Summary!$O$16="Yes",(CALC!FA236+Summary!$O$15)*6*(AX236+AY236+AZ236+BA236)*(1-$BC236),0)),0)</f>
        <v>0</v>
      </c>
      <c r="FI236" s="1412">
        <f>IF(MONTH(C236)=5,FI235*(IF(Summary!$E$70="no",(1+(Summary!$E$71*0.8)),1+HLOOKUP(YEAR(C236)-1,CCFMODEL!$I$127:$AF$128,2)*0.8)),+FI235)</f>
        <v>40.768327108615125</v>
      </c>
      <c r="FJ236" s="1411">
        <f>IF(MONTH(C236)=5,FJ235*(IF(Summary!$E$70="no",(1+(Summary!$E$71*0.8)),1+HLOOKUP(YEAR(CALC!C236)-1,CCFMODEL!$I$127:$AF$128,2)*0.8)),FJ235)</f>
        <v>35.632159913828964</v>
      </c>
      <c r="FK236" s="832">
        <f t="shared" si="187"/>
        <v>704751.87864485255</v>
      </c>
      <c r="FL236" s="1412">
        <f>IF(MONTH(C236)=5,FL235*(IF(Summary!$E$70="no",(1+(Summary!$E$71*0.8)),1+HLOOKUP(YEAR(CALC!C236)-1,CCFMODEL!$I$127:$AF$128,2)*0.8)),+FL235)</f>
        <v>85.740362486772455</v>
      </c>
      <c r="FM236" s="1411">
        <f>IF(MONTH(C236)=5,FM235*(IF(Summary!$E$70="no",(1+(Summary!$E$71*0.8)),1+HLOOKUP(YEAR(CALC!C236)-1,CCFMODEL!$I$127:$AF$128,2)*0.8)),+FM235)</f>
        <v>40.921189227507561</v>
      </c>
      <c r="FN236" s="832">
        <f t="shared" si="188"/>
        <v>718166.8709427577</v>
      </c>
      <c r="FO236" s="194">
        <f t="shared" si="223"/>
        <v>1422918.7495876104</v>
      </c>
      <c r="FP236" s="263">
        <f t="shared" si="189"/>
        <v>9308.25</v>
      </c>
      <c r="FQ236" s="194">
        <f t="shared" si="190"/>
        <v>2792.4749999999999</v>
      </c>
      <c r="FR236" s="194">
        <f t="shared" si="191"/>
        <v>1773</v>
      </c>
      <c r="FS236" s="194">
        <f t="shared" si="176"/>
        <v>531.9</v>
      </c>
      <c r="FT236" s="194">
        <f t="shared" si="176"/>
        <v>2216.25</v>
      </c>
      <c r="FU236" s="194">
        <f t="shared" si="176"/>
        <v>664.875</v>
      </c>
      <c r="FV236" s="257">
        <f t="shared" si="176"/>
        <v>0</v>
      </c>
      <c r="FW236" s="189">
        <f t="shared" si="192"/>
        <v>0</v>
      </c>
      <c r="FX236" s="189">
        <f t="shared" si="193"/>
        <v>0</v>
      </c>
      <c r="FY236" s="189">
        <f t="shared" si="194"/>
        <v>0</v>
      </c>
      <c r="FZ236" s="258">
        <f t="shared" si="195"/>
        <v>0</v>
      </c>
      <c r="GA236" s="1294">
        <f>(SUM(FP236:FV236)+SUM(GU236:HB236)/(1-Summary!$O$25))*CY236/1000</f>
        <v>227923.46468769599</v>
      </c>
      <c r="GB236" s="1369">
        <f>IF($C236&lt;Summary!$M$81,+Summary!$O$81,VLOOKUP(C236,GasTable,19))</f>
        <v>3.5222623268530282</v>
      </c>
      <c r="GC236" s="1370">
        <f>IF(H236&lt;=Summary!$N$84,MIN(GA236,Summary!$O$75*(H236-G236+1)),0)</f>
        <v>0</v>
      </c>
      <c r="GD236" s="1371">
        <f>IF(C236&lt;Summary!$N$84,IF(Summary!$O$75*(H236-G236+1)*0.8&gt;GC236,1,0),0)</f>
        <v>0</v>
      </c>
      <c r="GE236" s="1372">
        <v>0</v>
      </c>
      <c r="GF236" s="1370">
        <f t="shared" si="224"/>
        <v>227923.46468769599</v>
      </c>
      <c r="GG236" s="1371">
        <f>GF236*(IF(Summary!$O$74=1,VLOOKUP($C236,GasTable,16)+Summary!$O$92+Summary!$O$93,VLOOKUP($C236,GasTable,19)+Summary!$O$92+Summary!$O$93))</f>
        <v>814681.04558551696</v>
      </c>
      <c r="GH236" s="1373">
        <v>5283.3934902795427</v>
      </c>
      <c r="GI236" s="1466">
        <v>0</v>
      </c>
      <c r="GJ236" s="1374">
        <f t="shared" si="225"/>
        <v>819964.43907579652</v>
      </c>
      <c r="GK236" s="189">
        <f t="shared" si="196"/>
        <v>29092.270500000002</v>
      </c>
      <c r="GL236" s="266">
        <v>0.51729808095999996</v>
      </c>
      <c r="GM236" s="255">
        <f t="shared" si="197"/>
        <v>0</v>
      </c>
      <c r="GN236" s="189">
        <f>IF(SUM(GU236:HB236)=0,0,IF(Summary!$O$16="Yes",SUM(GX236:HB236),IF(Summary!$O$17="Yes",SUM(GY236:HB236),SUM(GU236:HB236))))</f>
        <v>11805.520500000001</v>
      </c>
      <c r="GO236" s="203">
        <v>4.0509829620357856</v>
      </c>
      <c r="GP236" s="258">
        <f t="shared" si="226"/>
        <v>47823.962403464189</v>
      </c>
      <c r="GQ236" s="189"/>
      <c r="GR236" s="189"/>
      <c r="GS236" s="189"/>
      <c r="GT236" s="189"/>
      <c r="GU236" s="268">
        <v>5389.4767500000007</v>
      </c>
      <c r="GV236" s="189">
        <v>1026.5670000000002</v>
      </c>
      <c r="GW236" s="189">
        <v>1283.20875</v>
      </c>
      <c r="GX236" s="189"/>
      <c r="GY236" s="254">
        <v>2874.3875999999996</v>
      </c>
      <c r="GZ236" s="189">
        <v>547.50239999999997</v>
      </c>
      <c r="HA236" s="189">
        <v>684.37800000000004</v>
      </c>
      <c r="HB236" s="255"/>
      <c r="HC236" s="189">
        <v>11805.520500000001</v>
      </c>
      <c r="HD236" s="189"/>
      <c r="HE236" s="189">
        <v>20274.698250000001</v>
      </c>
      <c r="HF236" s="189">
        <v>499596.61847935012</v>
      </c>
      <c r="HG236" s="189"/>
      <c r="HH236" s="203">
        <v>41.554211633757539</v>
      </c>
      <c r="HI236" s="189">
        <v>842499.10189107363</v>
      </c>
      <c r="HJ236" s="268">
        <f t="shared" si="198"/>
        <v>0</v>
      </c>
      <c r="HK236" s="189">
        <f t="shared" si="199"/>
        <v>0</v>
      </c>
      <c r="HL236" s="189">
        <f t="shared" si="200"/>
        <v>0</v>
      </c>
      <c r="HM236" s="255">
        <f t="shared" si="201"/>
        <v>0</v>
      </c>
      <c r="HN236" s="189">
        <f t="shared" si="202"/>
        <v>0</v>
      </c>
      <c r="HO236" s="203">
        <f t="shared" si="227"/>
        <v>0</v>
      </c>
      <c r="HP236" s="258">
        <f t="shared" si="203"/>
        <v>0</v>
      </c>
      <c r="HQ236" s="203"/>
      <c r="HR236" s="268"/>
      <c r="HS236" s="1408"/>
      <c r="HT236" s="255"/>
      <c r="HU236" s="268"/>
      <c r="HV236" s="1408"/>
      <c r="HW236" s="255"/>
      <c r="HX236" s="1408"/>
      <c r="HY236" s="1408"/>
      <c r="HZ236"/>
      <c r="IA236" s="203"/>
      <c r="IB236" s="203"/>
      <c r="IC236" s="203"/>
      <c r="ID236" s="203"/>
      <c r="IE236" s="203"/>
      <c r="IF236" s="203"/>
      <c r="IG236" s="203"/>
      <c r="IH236" s="203"/>
      <c r="II236" s="203"/>
      <c r="IJ236" s="203"/>
      <c r="IK236" s="203"/>
      <c r="IL236" s="821"/>
      <c r="IM236" s="820"/>
      <c r="IN236" s="820"/>
      <c r="IR236" s="223"/>
    </row>
    <row r="237" spans="1:252" ht="13.8" thickBot="1">
      <c r="A237" t="str">
        <f t="shared" si="204"/>
        <v>2018Q2</v>
      </c>
      <c r="B237">
        <f t="shared" si="205"/>
        <v>2018</v>
      </c>
      <c r="C237" s="49">
        <f t="shared" si="206"/>
        <v>43221</v>
      </c>
      <c r="D237" s="115">
        <f t="shared" si="207"/>
        <v>2018</v>
      </c>
      <c r="E237" s="10">
        <f t="shared" si="230"/>
        <v>5</v>
      </c>
      <c r="F237" s="248">
        <f t="shared" si="231"/>
        <v>43248</v>
      </c>
      <c r="G237" s="245">
        <v>43221</v>
      </c>
      <c r="H237" s="251">
        <v>43251</v>
      </c>
      <c r="I237" s="959">
        <f t="shared" si="228"/>
        <v>7.1499999999999994E-2</v>
      </c>
      <c r="J237" s="37">
        <f t="shared" si="208"/>
        <v>0.27237041402907947</v>
      </c>
      <c r="K237" s="1036"/>
      <c r="L237" s="37"/>
      <c r="M237" s="1004">
        <v>0</v>
      </c>
      <c r="N237" s="38">
        <f t="shared" si="235"/>
        <v>0</v>
      </c>
      <c r="O237" s="40">
        <f t="shared" si="235"/>
        <v>0</v>
      </c>
      <c r="P237" s="159">
        <f t="shared" si="234"/>
        <v>0</v>
      </c>
      <c r="Q237" s="38">
        <f t="shared" si="236"/>
        <v>0</v>
      </c>
      <c r="R237" s="40">
        <f t="shared" si="236"/>
        <v>0</v>
      </c>
      <c r="S237" s="38">
        <f t="shared" si="236"/>
        <v>0</v>
      </c>
      <c r="T237" s="38">
        <f t="shared" si="236"/>
        <v>0</v>
      </c>
      <c r="U237" s="38">
        <f t="shared" si="236"/>
        <v>0</v>
      </c>
      <c r="V237" s="159">
        <f t="shared" si="236"/>
        <v>0</v>
      </c>
      <c r="W237" s="38">
        <f t="shared" si="236"/>
        <v>0</v>
      </c>
      <c r="X237" s="39">
        <f t="shared" si="236"/>
        <v>0</v>
      </c>
      <c r="Y237" s="46">
        <v>0</v>
      </c>
      <c r="Z237" s="46">
        <v>0</v>
      </c>
      <c r="AA237" s="47">
        <v>0</v>
      </c>
      <c r="AB237" s="46">
        <v>0</v>
      </c>
      <c r="AC237" s="46">
        <v>0</v>
      </c>
      <c r="AD237" s="47">
        <v>0</v>
      </c>
      <c r="AE237" s="46">
        <v>0</v>
      </c>
      <c r="AF237" s="46">
        <v>0</v>
      </c>
      <c r="AG237" s="47">
        <v>0</v>
      </c>
      <c r="AH237" s="46">
        <v>0</v>
      </c>
      <c r="AI237" s="46">
        <v>0</v>
      </c>
      <c r="AJ237" s="47">
        <v>0</v>
      </c>
      <c r="AK237" s="46">
        <v>0</v>
      </c>
      <c r="AL237" s="46">
        <v>0</v>
      </c>
      <c r="AM237" s="47">
        <v>0</v>
      </c>
      <c r="AN237" s="46">
        <v>0</v>
      </c>
      <c r="AO237" s="46">
        <v>0</v>
      </c>
      <c r="AP237" s="47">
        <v>0</v>
      </c>
      <c r="AQ237" s="46">
        <v>0</v>
      </c>
      <c r="AR237" s="46">
        <v>0</v>
      </c>
      <c r="AS237" s="47">
        <v>0</v>
      </c>
      <c r="AT237" s="46">
        <v>0</v>
      </c>
      <c r="AU237" s="46">
        <v>0</v>
      </c>
      <c r="AV237" s="46">
        <v>0</v>
      </c>
      <c r="AW237" s="1545">
        <v>0</v>
      </c>
      <c r="AX237" s="10">
        <f t="shared" si="232"/>
        <v>22</v>
      </c>
      <c r="AY237" s="42">
        <f>IF(AND($E237=MONTH(Summary!$E$24),$D237=YEAR(Summary!$E$24)),Summary!$E$25,1)*IF(G237="",0,INT((H237-MOD(H237,7)-G237)/7)+1-IF(BA237,IF(WEEKDAY(F237)=7,1,0),0))</f>
        <v>4</v>
      </c>
      <c r="AZ237" s="42">
        <f>IF(AND($E237=MONTH(Summary!$E$24),$D237=YEAR(Summary!$E$24)),Summary!$E$25,1)*IF(G237="",0,INT((H237-MOD(H237-1,7)-G237)/7)+1-IF(BA237,IF(WEEKDAY(F237)=1,1,0),0))</f>
        <v>4</v>
      </c>
      <c r="BA237" s="42">
        <v>1</v>
      </c>
      <c r="BB237" s="10">
        <f>IF(AND($E237=MONTH(Summary!$E$24),$D237=YEAR(Summary!$E$24)),Summary!$E$25,1)*IF(G237="",0,H237-G237+1)</f>
        <v>31</v>
      </c>
      <c r="BC237" s="914">
        <f>Summary!$E$19</f>
        <v>1.4999999999999999E-2</v>
      </c>
      <c r="BD237" s="113">
        <v>15602.4</v>
      </c>
      <c r="BE237" s="171">
        <v>2836.8</v>
      </c>
      <c r="BF237" s="171">
        <v>3546</v>
      </c>
      <c r="BG237" s="174"/>
      <c r="BH237" s="1198">
        <v>1</v>
      </c>
      <c r="BI237" s="1198">
        <v>1</v>
      </c>
      <c r="BJ237" s="1198">
        <v>1</v>
      </c>
      <c r="BK237" s="1198">
        <v>1</v>
      </c>
      <c r="BL237" s="95">
        <v>3120.48</v>
      </c>
      <c r="BM237" s="171">
        <v>567.36</v>
      </c>
      <c r="BN237" s="171">
        <v>709.2</v>
      </c>
      <c r="BO237" s="174"/>
      <c r="BP237" s="1198">
        <v>1</v>
      </c>
      <c r="BQ237" s="1199">
        <v>1</v>
      </c>
      <c r="BR237" s="1199">
        <v>1</v>
      </c>
      <c r="BS237" s="1200">
        <v>1</v>
      </c>
      <c r="BT237" s="94">
        <f t="shared" si="209"/>
        <v>21985.200000000001</v>
      </c>
      <c r="BU237" s="233">
        <f t="shared" si="210"/>
        <v>21985.200000000001</v>
      </c>
      <c r="BV237" s="92">
        <f t="shared" si="211"/>
        <v>4397.04</v>
      </c>
      <c r="BW237" s="233">
        <f t="shared" si="212"/>
        <v>4397.04</v>
      </c>
      <c r="BX237" s="88">
        <v>18.376454483230663</v>
      </c>
      <c r="BY237" s="90">
        <v>0</v>
      </c>
      <c r="BZ237" s="88">
        <v>0</v>
      </c>
      <c r="CA237" s="88">
        <v>0</v>
      </c>
      <c r="CB237" s="88">
        <v>0</v>
      </c>
      <c r="CC237" s="88">
        <v>0</v>
      </c>
      <c r="CD237" s="88">
        <v>0</v>
      </c>
      <c r="CE237" s="100">
        <v>0</v>
      </c>
      <c r="CF237" s="88">
        <v>0</v>
      </c>
      <c r="CG237" s="88">
        <v>0</v>
      </c>
      <c r="CH237" s="88">
        <v>0</v>
      </c>
      <c r="CI237" s="88">
        <v>0</v>
      </c>
      <c r="CJ237" s="228">
        <v>0</v>
      </c>
      <c r="CK237" s="88">
        <v>0</v>
      </c>
      <c r="CL237" s="88">
        <v>0</v>
      </c>
      <c r="CM237" s="88">
        <v>0</v>
      </c>
      <c r="CN237" s="88">
        <v>0</v>
      </c>
      <c r="CO237" s="88">
        <v>0</v>
      </c>
      <c r="CP237" s="88">
        <v>0</v>
      </c>
      <c r="CQ237" s="229">
        <v>0</v>
      </c>
      <c r="CR237" s="91">
        <v>0</v>
      </c>
      <c r="CS237" s="91">
        <v>0</v>
      </c>
      <c r="CT237" s="91">
        <v>0</v>
      </c>
      <c r="CU237" s="91">
        <v>0</v>
      </c>
      <c r="CV237" s="91">
        <v>0</v>
      </c>
      <c r="CW237" s="91">
        <v>0</v>
      </c>
      <c r="CX237" s="225">
        <v>0</v>
      </c>
      <c r="CY237" s="1265">
        <v>7722.8978399999996</v>
      </c>
      <c r="CZ237" s="90">
        <v>0</v>
      </c>
      <c r="DA237" s="88">
        <v>0</v>
      </c>
      <c r="DB237" s="88">
        <v>0</v>
      </c>
      <c r="DC237" s="88">
        <v>0</v>
      </c>
      <c r="DD237" s="88">
        <v>0</v>
      </c>
      <c r="DE237" s="152">
        <v>0</v>
      </c>
      <c r="DF237" s="230">
        <v>0</v>
      </c>
      <c r="DG237" s="38">
        <v>0</v>
      </c>
      <c r="DH237" s="1237">
        <v>0</v>
      </c>
      <c r="DI237" s="956">
        <v>0</v>
      </c>
      <c r="DJ237" s="956">
        <v>0</v>
      </c>
      <c r="DK237" s="956">
        <v>0</v>
      </c>
      <c r="DL237" s="152">
        <v>0</v>
      </c>
      <c r="DM237" s="160">
        <v>0</v>
      </c>
      <c r="DN237" s="160">
        <v>0</v>
      </c>
      <c r="DO237" s="160">
        <v>0</v>
      </c>
      <c r="DP237" s="160">
        <v>0</v>
      </c>
      <c r="DQ237" s="160">
        <v>0</v>
      </c>
      <c r="DR237" s="230">
        <v>0</v>
      </c>
      <c r="DS237" s="88">
        <v>0</v>
      </c>
      <c r="DT237" s="88">
        <v>0</v>
      </c>
      <c r="DU237" s="88">
        <v>0</v>
      </c>
      <c r="DV237" s="88">
        <v>0</v>
      </c>
      <c r="DW237" s="88">
        <v>0</v>
      </c>
      <c r="DX237" s="88">
        <v>0</v>
      </c>
      <c r="DY237" s="88">
        <v>0</v>
      </c>
      <c r="DZ237" s="88">
        <v>0</v>
      </c>
      <c r="EA237" s="88">
        <v>0</v>
      </c>
      <c r="EB237" s="152">
        <v>0</v>
      </c>
      <c r="EC237" s="52">
        <f t="shared" si="213"/>
        <v>0</v>
      </c>
      <c r="ED237" s="52">
        <f t="shared" si="213"/>
        <v>0</v>
      </c>
      <c r="EE237" s="52">
        <f t="shared" si="213"/>
        <v>0</v>
      </c>
      <c r="EF237" s="52">
        <f t="shared" si="186"/>
        <v>0</v>
      </c>
      <c r="EG237" s="52">
        <f t="shared" si="214"/>
        <v>0</v>
      </c>
      <c r="EH237" s="238">
        <v>0</v>
      </c>
      <c r="EI237" s="211">
        <v>0</v>
      </c>
      <c r="EJ237" s="211">
        <v>0</v>
      </c>
      <c r="EK237" s="211">
        <v>0</v>
      </c>
      <c r="EL237" s="217">
        <f>IF(C237&gt;=Summary!$E$26,MAX(0,SUM(EH237:EK237)),0)</f>
        <v>0</v>
      </c>
      <c r="EM237" s="52">
        <f>IF(C237&gt;=Summary!$E$26,DX237*BL237,0)</f>
        <v>0</v>
      </c>
      <c r="EN237" s="52">
        <f>IF(C237&gt;=Summary!$E$26,DY237*BM237,0)</f>
        <v>0</v>
      </c>
      <c r="EO237" s="52">
        <f>IF(C237&gt;=Summary!$E$26,DZ237*BN237,0)</f>
        <v>0</v>
      </c>
      <c r="EP237" s="52">
        <f>IF(C237&gt;=Summary!$E$26,EA237*BO237,0)</f>
        <v>0</v>
      </c>
      <c r="EQ237" s="52">
        <f>IF(C237&gt;=Summary!$E$26,DX237*BL237+DY237*BM237+DZ237*BN237+EA237*BO237,0)</f>
        <v>0</v>
      </c>
      <c r="ER237" s="826">
        <v>0</v>
      </c>
      <c r="ES237" s="278">
        <v>0</v>
      </c>
      <c r="ET237" s="278">
        <v>0</v>
      </c>
      <c r="EU237" s="278">
        <v>0</v>
      </c>
      <c r="EV237" s="212">
        <f>IF(C237&gt;=Summary!$E$26,MAX(0,SUM(ER237:EU237)),0)</f>
        <v>0</v>
      </c>
      <c r="EW237" s="52"/>
      <c r="EX237" s="1049">
        <f t="shared" si="215"/>
        <v>0</v>
      </c>
      <c r="EY237" s="1045" t="str">
        <f t="shared" si="216"/>
        <v/>
      </c>
      <c r="EZ237" s="1684" t="s">
        <v>525</v>
      </c>
      <c r="FA237" s="1046">
        <f t="shared" si="229"/>
        <v>45</v>
      </c>
      <c r="FB237" s="256">
        <f t="shared" si="217"/>
        <v>11701.8</v>
      </c>
      <c r="FC237" s="194">
        <f t="shared" si="218"/>
        <v>0</v>
      </c>
      <c r="FD237" s="194">
        <f t="shared" si="219"/>
        <v>2127.6</v>
      </c>
      <c r="FE237" s="194">
        <f t="shared" si="220"/>
        <v>0</v>
      </c>
      <c r="FF237" s="194">
        <f t="shared" si="221"/>
        <v>2659.5</v>
      </c>
      <c r="FG237" s="194">
        <f t="shared" si="222"/>
        <v>0</v>
      </c>
      <c r="FH237" s="257">
        <f>IF(EZ237="No",IF((OR(MONTH(C237)=5,MONTH(C237)=6,MONTH(C237)=7,MONTH(C237)=8,MONTH(C237)=9)),Summary!$O$15*12*(AX237+AY237+AZ237+BA237)*(1-$BC237),Summary!$O$15*13*(AX237+AY237+AZ237+BA237)*(1-$BC237)+IF(Summary!$O$16="Yes",(CALC!FA237+Summary!$O$15)*6*(AX237+AY237+AZ237+BA237)*(1-$BC237),0)),0)</f>
        <v>0</v>
      </c>
      <c r="FI237" s="1412">
        <f>IF(MONTH(C237)=5,FI236*(IF(Summary!$E$70="no",(1+(Summary!$E$71*0.8)),1+HLOOKUP(YEAR(C237)-1,CCFMODEL!$I$127:$AF$128,2)*0.8)),+FI236)</f>
        <v>41.746766959221887</v>
      </c>
      <c r="FJ237" s="1411">
        <f>IF(MONTH(C237)=5,FJ236*(IF(Summary!$E$70="no",(1+(Summary!$E$71*0.8)),1+HLOOKUP(YEAR(CALC!C237)-1,CCFMODEL!$I$127:$AF$128,2)*0.8)),FJ236)</f>
        <v>36.487331751760863</v>
      </c>
      <c r="FK237" s="832">
        <f t="shared" si="187"/>
        <v>688358.26571391383</v>
      </c>
      <c r="FL237" s="1412">
        <f>IF(MONTH(C237)=5,FL236*(IF(Summary!$E$70="no",(1+(Summary!$E$71*0.8)),1+HLOOKUP(YEAR(CALC!C237)-1,CCFMODEL!$I$127:$AF$128,2)*0.8)),+FL236)</f>
        <v>87.798131186454995</v>
      </c>
      <c r="FM237" s="1411">
        <f>IF(MONTH(C237)=5,FM236*(IF(Summary!$E$70="no",(1+(Summary!$E$71*0.8)),1+HLOOKUP(YEAR(CALC!C237)-1,CCFMODEL!$I$127:$AF$128,2)*0.8)),+FM236)</f>
        <v>41.903297768967747</v>
      </c>
      <c r="FN237" s="832">
        <f t="shared" si="188"/>
        <v>1469740.7160612566</v>
      </c>
      <c r="FO237" s="194">
        <f t="shared" si="223"/>
        <v>2158098.9817751702</v>
      </c>
      <c r="FP237" s="263">
        <f t="shared" si="189"/>
        <v>11701.8</v>
      </c>
      <c r="FQ237" s="194">
        <f t="shared" si="190"/>
        <v>0</v>
      </c>
      <c r="FR237" s="194">
        <f t="shared" si="191"/>
        <v>2127.6</v>
      </c>
      <c r="FS237" s="194">
        <f t="shared" si="176"/>
        <v>0</v>
      </c>
      <c r="FT237" s="194">
        <f t="shared" si="176"/>
        <v>2659.5</v>
      </c>
      <c r="FU237" s="194">
        <f t="shared" si="176"/>
        <v>0</v>
      </c>
      <c r="FV237" s="257">
        <f t="shared" si="176"/>
        <v>0</v>
      </c>
      <c r="FW237" s="189">
        <f t="shared" si="192"/>
        <v>0</v>
      </c>
      <c r="FX237" s="189">
        <f t="shared" si="193"/>
        <v>0</v>
      </c>
      <c r="FY237" s="189">
        <f t="shared" si="194"/>
        <v>0</v>
      </c>
      <c r="FZ237" s="258">
        <f t="shared" si="195"/>
        <v>0</v>
      </c>
      <c r="GA237" s="1294">
        <f>(SUM(FP237:FV237)+SUM(GU237:HB237)/(1-Summary!$O$25))*CY237/1000</f>
        <v>203747.3443103616</v>
      </c>
      <c r="GB237" s="1369">
        <f>IF($C237&lt;Summary!$M$81,+Summary!$O$81,VLOOKUP(C237,GasTable,19))</f>
        <v>3.4956985139402561</v>
      </c>
      <c r="GC237" s="1370">
        <f>IF(H237&lt;=Summary!$N$84,MIN(GA237,Summary!$O$75*(H237-G237+1)),0)</f>
        <v>0</v>
      </c>
      <c r="GD237" s="1371">
        <f>IF(C237&lt;Summary!$N$84,IF(Summary!$O$75*(H237-G237+1)*0.8&gt;GC237,1,0),0)</f>
        <v>0</v>
      </c>
      <c r="GE237" s="1372">
        <v>0</v>
      </c>
      <c r="GF237" s="1370">
        <f t="shared" si="224"/>
        <v>203747.3443103616</v>
      </c>
      <c r="GG237" s="1371">
        <f>GF237*(IF(Summary!$O$74=1,VLOOKUP($C237,GasTable,16)+Summary!$O$92+Summary!$O$93,VLOOKUP($C237,GasTable,19)+Summary!$O$92+Summary!$O$93))</f>
        <v>722854.5253635745</v>
      </c>
      <c r="GH237" s="1373">
        <v>5418.3326966073973</v>
      </c>
      <c r="GI237" s="1466">
        <v>0</v>
      </c>
      <c r="GJ237" s="1374">
        <f t="shared" si="225"/>
        <v>728272.85806018196</v>
      </c>
      <c r="GK237" s="189">
        <f t="shared" si="196"/>
        <v>26035.973100000007</v>
      </c>
      <c r="GL237" s="266">
        <v>0.51743415528000003</v>
      </c>
      <c r="GM237" s="255">
        <f t="shared" si="197"/>
        <v>0</v>
      </c>
      <c r="GN237" s="189">
        <f>IF(SUM(GU237:HB237)=0,0,IF(Summary!$O$16="Yes",SUM(GX237:HB237),IF(Summary!$O$17="Yes",SUM(GY237:HB237),SUM(GU237:HB237))))</f>
        <v>9547.0730999999996</v>
      </c>
      <c r="GO237" s="203">
        <v>4.0509829620357856</v>
      </c>
      <c r="GP237" s="258">
        <f t="shared" si="226"/>
        <v>38675.030465410171</v>
      </c>
      <c r="GQ237" s="189"/>
      <c r="GR237" s="189"/>
      <c r="GS237" s="189"/>
      <c r="GT237" s="189"/>
      <c r="GU237" s="268">
        <v>3764.0790000000002</v>
      </c>
      <c r="GV237" s="189">
        <v>684.37800000000027</v>
      </c>
      <c r="GW237" s="189">
        <v>855.47249999999997</v>
      </c>
      <c r="GX237" s="189"/>
      <c r="GY237" s="254">
        <v>3011.2631999999999</v>
      </c>
      <c r="GZ237" s="189">
        <v>547.50239999999997</v>
      </c>
      <c r="HA237" s="189">
        <v>684.37800000000004</v>
      </c>
      <c r="HB237" s="255"/>
      <c r="HC237" s="189">
        <v>9547.0730999999996</v>
      </c>
      <c r="HD237" s="189"/>
      <c r="HE237" s="189">
        <v>22276.5039</v>
      </c>
      <c r="HF237" s="189">
        <v>419488.29558829329</v>
      </c>
      <c r="HG237" s="189"/>
      <c r="HH237" s="203">
        <v>44.518700136238522</v>
      </c>
      <c r="HI237" s="189">
        <v>991720.99720784789</v>
      </c>
      <c r="HJ237" s="268">
        <f t="shared" si="198"/>
        <v>0</v>
      </c>
      <c r="HK237" s="189">
        <f t="shared" si="199"/>
        <v>0</v>
      </c>
      <c r="HL237" s="189">
        <f t="shared" si="200"/>
        <v>0</v>
      </c>
      <c r="HM237" s="255">
        <f t="shared" si="201"/>
        <v>0</v>
      </c>
      <c r="HN237" s="189">
        <f t="shared" si="202"/>
        <v>0</v>
      </c>
      <c r="HO237" s="203">
        <f t="shared" si="227"/>
        <v>0</v>
      </c>
      <c r="HP237" s="258">
        <f t="shared" si="203"/>
        <v>0</v>
      </c>
      <c r="HQ237" s="203"/>
      <c r="HR237" s="268"/>
      <c r="HS237" s="1408"/>
      <c r="HT237" s="255"/>
      <c r="HU237" s="268"/>
      <c r="HV237" s="1408"/>
      <c r="HW237" s="255"/>
      <c r="HX237" s="1408"/>
      <c r="HY237" s="1408"/>
      <c r="HZ237"/>
      <c r="IA237" s="203"/>
      <c r="IB237" s="203"/>
      <c r="IC237" s="203"/>
      <c r="ID237" s="203"/>
      <c r="IE237" s="203"/>
      <c r="IF237" s="203"/>
      <c r="IG237" s="203"/>
      <c r="IH237" s="203"/>
      <c r="II237" s="203"/>
      <c r="IJ237" s="203"/>
      <c r="IK237" s="203"/>
      <c r="IL237" s="821"/>
      <c r="IM237" s="820"/>
      <c r="IN237" s="820"/>
      <c r="IR237" s="223"/>
    </row>
    <row r="238" spans="1:252" ht="13.8" thickBot="1">
      <c r="A238" t="str">
        <f t="shared" si="204"/>
        <v>2018Q2</v>
      </c>
      <c r="B238">
        <f t="shared" si="205"/>
        <v>2018</v>
      </c>
      <c r="C238" s="49">
        <f t="shared" si="206"/>
        <v>43252</v>
      </c>
      <c r="D238" s="115">
        <f t="shared" si="207"/>
        <v>2018</v>
      </c>
      <c r="E238" s="10">
        <f t="shared" si="230"/>
        <v>6</v>
      </c>
      <c r="F238" s="248" t="str">
        <f t="shared" si="231"/>
        <v/>
      </c>
      <c r="G238" s="245">
        <v>43252</v>
      </c>
      <c r="H238" s="251">
        <v>43281</v>
      </c>
      <c r="I238" s="959">
        <f t="shared" si="228"/>
        <v>7.1499999999999994E-2</v>
      </c>
      <c r="J238" s="37">
        <f t="shared" si="208"/>
        <v>0.2708033207961435</v>
      </c>
      <c r="K238" s="1036"/>
      <c r="L238" s="37"/>
      <c r="M238" s="1004">
        <v>0</v>
      </c>
      <c r="N238" s="38">
        <f t="shared" si="235"/>
        <v>0</v>
      </c>
      <c r="O238" s="40">
        <f t="shared" si="235"/>
        <v>0</v>
      </c>
      <c r="P238" s="159">
        <f t="shared" si="234"/>
        <v>0</v>
      </c>
      <c r="Q238" s="38">
        <f t="shared" si="236"/>
        <v>0</v>
      </c>
      <c r="R238" s="40">
        <f t="shared" si="236"/>
        <v>0</v>
      </c>
      <c r="S238" s="38">
        <f t="shared" si="236"/>
        <v>0</v>
      </c>
      <c r="T238" s="38">
        <f t="shared" si="236"/>
        <v>0</v>
      </c>
      <c r="U238" s="38">
        <f t="shared" si="236"/>
        <v>0</v>
      </c>
      <c r="V238" s="159">
        <f t="shared" si="236"/>
        <v>0</v>
      </c>
      <c r="W238" s="38">
        <f t="shared" si="236"/>
        <v>0</v>
      </c>
      <c r="X238" s="39">
        <f t="shared" si="236"/>
        <v>0</v>
      </c>
      <c r="Y238" s="46">
        <v>0</v>
      </c>
      <c r="Z238" s="46">
        <v>0</v>
      </c>
      <c r="AA238" s="47">
        <v>0</v>
      </c>
      <c r="AB238" s="46">
        <v>0</v>
      </c>
      <c r="AC238" s="46">
        <v>0</v>
      </c>
      <c r="AD238" s="47">
        <v>0</v>
      </c>
      <c r="AE238" s="46">
        <v>0</v>
      </c>
      <c r="AF238" s="46">
        <v>0</v>
      </c>
      <c r="AG238" s="47">
        <v>0</v>
      </c>
      <c r="AH238" s="46">
        <v>0</v>
      </c>
      <c r="AI238" s="46">
        <v>0</v>
      </c>
      <c r="AJ238" s="47">
        <v>0</v>
      </c>
      <c r="AK238" s="46">
        <v>0</v>
      </c>
      <c r="AL238" s="46">
        <v>0</v>
      </c>
      <c r="AM238" s="47">
        <v>0</v>
      </c>
      <c r="AN238" s="46">
        <v>0</v>
      </c>
      <c r="AO238" s="46">
        <v>0</v>
      </c>
      <c r="AP238" s="47">
        <v>0</v>
      </c>
      <c r="AQ238" s="46">
        <v>0</v>
      </c>
      <c r="AR238" s="46">
        <v>0</v>
      </c>
      <c r="AS238" s="47">
        <v>0</v>
      </c>
      <c r="AT238" s="46">
        <v>0</v>
      </c>
      <c r="AU238" s="46">
        <v>0</v>
      </c>
      <c r="AV238" s="46">
        <v>0</v>
      </c>
      <c r="AW238" s="1545">
        <v>0</v>
      </c>
      <c r="AX238" s="10">
        <f t="shared" si="232"/>
        <v>21</v>
      </c>
      <c r="AY238" s="42">
        <f>IF(AND($E238=MONTH(Summary!$E$24),$D238=YEAR(Summary!$E$24)),Summary!$E$25,1)*IF(G238="",0,INT((H238-MOD(H238,7)-G238)/7)+1-IF(BA238,IF(WEEKDAY(F238)=7,1,0),0))</f>
        <v>5</v>
      </c>
      <c r="AZ238" s="42">
        <f>IF(AND($E238=MONTH(Summary!$E$24),$D238=YEAR(Summary!$E$24)),Summary!$E$25,1)*IF(G238="",0,INT((H238-MOD(H238-1,7)-G238)/7)+1-IF(BA238,IF(WEEKDAY(F238)=1,1,0),0))</f>
        <v>4</v>
      </c>
      <c r="BA238" s="42">
        <v>0</v>
      </c>
      <c r="BB238" s="10">
        <f>IF(AND($E238=MONTH(Summary!$E$24),$D238=YEAR(Summary!$E$24)),Summary!$E$25,1)*IF(G238="",0,H238-G238+1)</f>
        <v>30</v>
      </c>
      <c r="BC238" s="914">
        <f>Summary!$E$19</f>
        <v>1.4999999999999999E-2</v>
      </c>
      <c r="BD238" s="113">
        <v>14893.2</v>
      </c>
      <c r="BE238" s="171">
        <v>3546</v>
      </c>
      <c r="BF238" s="171">
        <v>2836.8</v>
      </c>
      <c r="BG238" s="174"/>
      <c r="BH238" s="1198">
        <v>1</v>
      </c>
      <c r="BI238" s="1198">
        <v>1</v>
      </c>
      <c r="BJ238" s="1198">
        <v>1</v>
      </c>
      <c r="BK238" s="1198">
        <v>1</v>
      </c>
      <c r="BL238" s="95">
        <v>2978.64</v>
      </c>
      <c r="BM238" s="171">
        <v>709.2</v>
      </c>
      <c r="BN238" s="171">
        <v>567.36</v>
      </c>
      <c r="BO238" s="174"/>
      <c r="BP238" s="1198">
        <v>1</v>
      </c>
      <c r="BQ238" s="1199">
        <v>1</v>
      </c>
      <c r="BR238" s="1199">
        <v>1</v>
      </c>
      <c r="BS238" s="1200">
        <v>1</v>
      </c>
      <c r="BT238" s="94">
        <f t="shared" si="209"/>
        <v>21276</v>
      </c>
      <c r="BU238" s="233">
        <f t="shared" si="210"/>
        <v>21276</v>
      </c>
      <c r="BV238" s="92">
        <f t="shared" si="211"/>
        <v>4255.2</v>
      </c>
      <c r="BW238" s="233">
        <f t="shared" si="212"/>
        <v>4255.2</v>
      </c>
      <c r="BX238" s="88">
        <v>18.461327857631758</v>
      </c>
      <c r="BY238" s="90">
        <v>0</v>
      </c>
      <c r="BZ238" s="88">
        <v>0</v>
      </c>
      <c r="CA238" s="88">
        <v>0</v>
      </c>
      <c r="CB238" s="88">
        <v>0</v>
      </c>
      <c r="CC238" s="88">
        <v>0</v>
      </c>
      <c r="CD238" s="88">
        <v>0</v>
      </c>
      <c r="CE238" s="100">
        <v>0</v>
      </c>
      <c r="CF238" s="88">
        <v>0</v>
      </c>
      <c r="CG238" s="88">
        <v>0</v>
      </c>
      <c r="CH238" s="88">
        <v>0</v>
      </c>
      <c r="CI238" s="88">
        <v>0</v>
      </c>
      <c r="CJ238" s="228">
        <v>0</v>
      </c>
      <c r="CK238" s="88">
        <v>0</v>
      </c>
      <c r="CL238" s="88">
        <v>0</v>
      </c>
      <c r="CM238" s="88">
        <v>0</v>
      </c>
      <c r="CN238" s="88">
        <v>0</v>
      </c>
      <c r="CO238" s="88">
        <v>0</v>
      </c>
      <c r="CP238" s="88">
        <v>0</v>
      </c>
      <c r="CQ238" s="229">
        <v>0</v>
      </c>
      <c r="CR238" s="91">
        <v>0</v>
      </c>
      <c r="CS238" s="91">
        <v>0</v>
      </c>
      <c r="CT238" s="91">
        <v>0</v>
      </c>
      <c r="CU238" s="91">
        <v>0</v>
      </c>
      <c r="CV238" s="91">
        <v>0</v>
      </c>
      <c r="CW238" s="91">
        <v>0</v>
      </c>
      <c r="CX238" s="225">
        <v>0</v>
      </c>
      <c r="CY238" s="1265">
        <v>7724.9287999999997</v>
      </c>
      <c r="CZ238" s="90">
        <v>0</v>
      </c>
      <c r="DA238" s="88">
        <v>0</v>
      </c>
      <c r="DB238" s="88">
        <v>0</v>
      </c>
      <c r="DC238" s="88">
        <v>0</v>
      </c>
      <c r="DD238" s="88">
        <v>0</v>
      </c>
      <c r="DE238" s="152">
        <v>0</v>
      </c>
      <c r="DF238" s="230">
        <v>0</v>
      </c>
      <c r="DG238" s="38">
        <v>0</v>
      </c>
      <c r="DH238" s="1237">
        <v>0</v>
      </c>
      <c r="DI238" s="956">
        <v>0</v>
      </c>
      <c r="DJ238" s="956">
        <v>0</v>
      </c>
      <c r="DK238" s="956">
        <v>0</v>
      </c>
      <c r="DL238" s="152">
        <v>0</v>
      </c>
      <c r="DM238" s="160">
        <v>0</v>
      </c>
      <c r="DN238" s="160">
        <v>0</v>
      </c>
      <c r="DO238" s="160">
        <v>0</v>
      </c>
      <c r="DP238" s="160">
        <v>0</v>
      </c>
      <c r="DQ238" s="160">
        <v>0</v>
      </c>
      <c r="DR238" s="230">
        <v>0</v>
      </c>
      <c r="DS238" s="88">
        <v>0</v>
      </c>
      <c r="DT238" s="88">
        <v>0</v>
      </c>
      <c r="DU238" s="88">
        <v>0</v>
      </c>
      <c r="DV238" s="88">
        <v>0</v>
      </c>
      <c r="DW238" s="88">
        <v>0</v>
      </c>
      <c r="DX238" s="88">
        <v>0</v>
      </c>
      <c r="DY238" s="88">
        <v>0</v>
      </c>
      <c r="DZ238" s="88">
        <v>0</v>
      </c>
      <c r="EA238" s="88">
        <v>0</v>
      </c>
      <c r="EB238" s="152">
        <v>0</v>
      </c>
      <c r="EC238" s="52">
        <f t="shared" si="213"/>
        <v>0</v>
      </c>
      <c r="ED238" s="52">
        <f t="shared" si="213"/>
        <v>0</v>
      </c>
      <c r="EE238" s="52">
        <f t="shared" si="213"/>
        <v>0</v>
      </c>
      <c r="EF238" s="52">
        <f t="shared" si="186"/>
        <v>0</v>
      </c>
      <c r="EG238" s="52">
        <f t="shared" si="214"/>
        <v>0</v>
      </c>
      <c r="EH238" s="238">
        <v>0</v>
      </c>
      <c r="EI238" s="211">
        <v>0</v>
      </c>
      <c r="EJ238" s="211">
        <v>0</v>
      </c>
      <c r="EK238" s="211">
        <v>0</v>
      </c>
      <c r="EL238" s="217">
        <f>IF(C238&gt;=Summary!$E$26,MAX(0,SUM(EH238:EK238)),0)</f>
        <v>0</v>
      </c>
      <c r="EM238" s="52">
        <f>IF(C238&gt;=Summary!$E$26,DX238*BL238,0)</f>
        <v>0</v>
      </c>
      <c r="EN238" s="52">
        <f>IF(C238&gt;=Summary!$E$26,DY238*BM238,0)</f>
        <v>0</v>
      </c>
      <c r="EO238" s="52">
        <f>IF(C238&gt;=Summary!$E$26,DZ238*BN238,0)</f>
        <v>0</v>
      </c>
      <c r="EP238" s="52">
        <f>IF(C238&gt;=Summary!$E$26,EA238*BO238,0)</f>
        <v>0</v>
      </c>
      <c r="EQ238" s="52">
        <f>IF(C238&gt;=Summary!$E$26,DX238*BL238+DY238*BM238+DZ238*BN238+EA238*BO238,0)</f>
        <v>0</v>
      </c>
      <c r="ER238" s="826">
        <v>0</v>
      </c>
      <c r="ES238" s="278">
        <v>0</v>
      </c>
      <c r="ET238" s="278">
        <v>0</v>
      </c>
      <c r="EU238" s="278">
        <v>0</v>
      </c>
      <c r="EV238" s="212">
        <f>IF(C238&gt;=Summary!$E$26,MAX(0,SUM(ER238:EU238)),0)</f>
        <v>0</v>
      </c>
      <c r="EW238" s="52"/>
      <c r="EX238" s="1049">
        <f t="shared" si="215"/>
        <v>0</v>
      </c>
      <c r="EY238" s="1045" t="str">
        <f t="shared" si="216"/>
        <v/>
      </c>
      <c r="EZ238" s="1684" t="s">
        <v>525</v>
      </c>
      <c r="FA238" s="1046">
        <f t="shared" si="229"/>
        <v>45</v>
      </c>
      <c r="FB238" s="256">
        <f t="shared" si="217"/>
        <v>11169.9</v>
      </c>
      <c r="FC238" s="194">
        <f t="shared" si="218"/>
        <v>0</v>
      </c>
      <c r="FD238" s="194">
        <f t="shared" si="219"/>
        <v>2659.5</v>
      </c>
      <c r="FE238" s="194">
        <f t="shared" si="220"/>
        <v>0</v>
      </c>
      <c r="FF238" s="194">
        <f t="shared" si="221"/>
        <v>2127.6</v>
      </c>
      <c r="FG238" s="194">
        <f t="shared" si="222"/>
        <v>0</v>
      </c>
      <c r="FH238" s="257">
        <f>IF(EZ238="No",IF((OR(MONTH(C238)=5,MONTH(C238)=6,MONTH(C238)=7,MONTH(C238)=8,MONTH(C238)=9)),Summary!$O$15*12*(AX238+AY238+AZ238+BA238)*(1-$BC238),Summary!$O$15*13*(AX238+AY238+AZ238+BA238)*(1-$BC238)+IF(Summary!$O$16="Yes",(CALC!FA238+Summary!$O$15)*6*(AX238+AY238+AZ238+BA238)*(1-$BC238),0)),0)</f>
        <v>0</v>
      </c>
      <c r="FI238" s="1412">
        <f>IF(MONTH(C238)=5,FI237*(IF(Summary!$E$70="no",(1+(Summary!$E$71*0.8)),1+HLOOKUP(YEAR(C238)-1,CCFMODEL!$I$127:$AF$128,2)*0.8)),+FI237)</f>
        <v>41.746766959221887</v>
      </c>
      <c r="FJ238" s="1411">
        <f>IF(MONTH(C238)=5,FJ237*(IF(Summary!$E$70="no",(1+(Summary!$E$71*0.8)),1+HLOOKUP(YEAR(CALC!C238)-1,CCFMODEL!$I$127:$AF$128,2)*0.8)),FJ237)</f>
        <v>36.487331751760863</v>
      </c>
      <c r="FK238" s="832">
        <f t="shared" si="187"/>
        <v>666153.16036830365</v>
      </c>
      <c r="FL238" s="1412">
        <f>IF(MONTH(C238)=5,FL237*(IF(Summary!$E$70="no",(1+(Summary!$E$71*0.8)),1+HLOOKUP(YEAR(CALC!C238)-1,CCFMODEL!$I$127:$AF$128,2)*0.8)),+FL237)</f>
        <v>87.798131186454995</v>
      </c>
      <c r="FM238" s="1411">
        <f>IF(MONTH(C238)=5,FM237*(IF(Summary!$E$70="no",(1+(Summary!$E$71*0.8)),1+HLOOKUP(YEAR(CALC!C238)-1,CCFMODEL!$I$127:$AF$128,2)*0.8)),+FM237)</f>
        <v>41.903297768967747</v>
      </c>
      <c r="FN238" s="832">
        <f t="shared" si="188"/>
        <v>1422329.7252205708</v>
      </c>
      <c r="FO238" s="194">
        <f t="shared" si="223"/>
        <v>2088482.8855888746</v>
      </c>
      <c r="FP238" s="263">
        <f t="shared" si="189"/>
        <v>11169.9</v>
      </c>
      <c r="FQ238" s="194">
        <f t="shared" si="190"/>
        <v>0</v>
      </c>
      <c r="FR238" s="194">
        <f t="shared" si="191"/>
        <v>2659.5</v>
      </c>
      <c r="FS238" s="194">
        <f t="shared" si="176"/>
        <v>0</v>
      </c>
      <c r="FT238" s="194">
        <f t="shared" si="176"/>
        <v>2127.6</v>
      </c>
      <c r="FU238" s="194">
        <f t="shared" si="176"/>
        <v>0</v>
      </c>
      <c r="FV238" s="257">
        <f t="shared" si="176"/>
        <v>0</v>
      </c>
      <c r="FW238" s="189">
        <f t="shared" si="192"/>
        <v>0</v>
      </c>
      <c r="FX238" s="189">
        <f t="shared" si="193"/>
        <v>0</v>
      </c>
      <c r="FY238" s="189">
        <f t="shared" si="194"/>
        <v>0</v>
      </c>
      <c r="FZ238" s="258">
        <f t="shared" si="195"/>
        <v>0</v>
      </c>
      <c r="GA238" s="1294">
        <f>(SUM(FP238:FV238)+SUM(GU238:HB238)/(1-Summary!$O$25))*CY238/1000</f>
        <v>197226.70217855999</v>
      </c>
      <c r="GB238" s="1369">
        <f>IF($C238&lt;Summary!$M$81,+Summary!$O$81,VLOOKUP(C238,GasTable,19))</f>
        <v>3.5379245338530239</v>
      </c>
      <c r="GC238" s="1370">
        <f>IF(H238&lt;=Summary!$N$84,MIN(GA238,Summary!$O$75*(H238-G238+1)),0)</f>
        <v>0</v>
      </c>
      <c r="GD238" s="1371">
        <f>IF(C238&lt;Summary!$N$84,IF(Summary!$O$75*(H238-G238+1)*0.8&gt;GC238,1,0),0)</f>
        <v>0</v>
      </c>
      <c r="GE238" s="1372">
        <v>0</v>
      </c>
      <c r="GF238" s="1370">
        <f t="shared" si="224"/>
        <v>197226.70217855999</v>
      </c>
      <c r="GG238" s="1371">
        <f>GF238*(IF(Summary!$O$74=1,VLOOKUP($C238,GasTable,16)+Summary!$O$92+Summary!$O$93,VLOOKUP($C238,GasTable,19)+Summary!$O$92+Summary!$O$93))</f>
        <v>708048.69955195393</v>
      </c>
      <c r="GH238" s="1373">
        <v>5306.8868007795354</v>
      </c>
      <c r="GI238" s="1466">
        <v>0</v>
      </c>
      <c r="GJ238" s="1374">
        <f t="shared" si="225"/>
        <v>713355.58635273343</v>
      </c>
      <c r="GK238" s="189">
        <f t="shared" si="196"/>
        <v>25196.103000000003</v>
      </c>
      <c r="GL238" s="266">
        <v>0.5175702296000001</v>
      </c>
      <c r="GM238" s="255">
        <f t="shared" si="197"/>
        <v>0</v>
      </c>
      <c r="GN238" s="189">
        <f>IF(SUM(GU238:HB238)=0,0,IF(Summary!$O$16="Yes",SUM(GX238:HB238),IF(Summary!$O$17="Yes",SUM(GY238:HB238),SUM(GU238:HB238))))</f>
        <v>9239.103000000001</v>
      </c>
      <c r="GO238" s="203">
        <v>4.0509829620357856</v>
      </c>
      <c r="GP238" s="258">
        <f t="shared" si="226"/>
        <v>37427.448837493714</v>
      </c>
      <c r="GQ238" s="189"/>
      <c r="GR238" s="189"/>
      <c r="GS238" s="189"/>
      <c r="GT238" s="189"/>
      <c r="GU238" s="268">
        <v>3592.9845000000009</v>
      </c>
      <c r="GV238" s="189">
        <v>855.47249999999997</v>
      </c>
      <c r="GW238" s="189">
        <v>684.37800000000027</v>
      </c>
      <c r="GX238" s="189"/>
      <c r="GY238" s="254">
        <v>2874.3875999999996</v>
      </c>
      <c r="GZ238" s="189">
        <v>684.37800000000004</v>
      </c>
      <c r="HA238" s="189">
        <v>547.50239999999997</v>
      </c>
      <c r="HB238" s="255"/>
      <c r="HC238" s="189">
        <v>9239.103000000001</v>
      </c>
      <c r="HD238" s="189"/>
      <c r="HE238" s="189">
        <v>21557.906999999999</v>
      </c>
      <c r="HF238" s="189">
        <v>413454.08122877259</v>
      </c>
      <c r="HG238" s="189"/>
      <c r="HH238" s="203">
        <v>46.294949515407033</v>
      </c>
      <c r="HI238" s="189">
        <v>998022.2162228399</v>
      </c>
      <c r="HJ238" s="268">
        <f t="shared" si="198"/>
        <v>0</v>
      </c>
      <c r="HK238" s="189">
        <f t="shared" si="199"/>
        <v>0</v>
      </c>
      <c r="HL238" s="189">
        <f t="shared" si="200"/>
        <v>0</v>
      </c>
      <c r="HM238" s="255">
        <f t="shared" si="201"/>
        <v>0</v>
      </c>
      <c r="HN238" s="189">
        <f t="shared" si="202"/>
        <v>0</v>
      </c>
      <c r="HO238" s="203">
        <f t="shared" si="227"/>
        <v>0</v>
      </c>
      <c r="HP238" s="258">
        <f t="shared" si="203"/>
        <v>0</v>
      </c>
      <c r="HQ238" s="203"/>
      <c r="HR238" s="268"/>
      <c r="HS238" s="1408"/>
      <c r="HT238" s="255"/>
      <c r="HU238" s="268"/>
      <c r="HV238" s="1408"/>
      <c r="HW238" s="255"/>
      <c r="HX238" s="1408"/>
      <c r="HY238" s="1408"/>
      <c r="HZ238"/>
      <c r="IA238" s="203"/>
      <c r="IB238" s="203"/>
      <c r="IC238" s="203"/>
      <c r="ID238" s="203"/>
      <c r="IE238" s="203"/>
      <c r="IF238" s="203"/>
      <c r="IG238" s="203"/>
      <c r="IH238" s="203"/>
      <c r="II238" s="203"/>
      <c r="IJ238" s="203"/>
      <c r="IK238" s="203"/>
      <c r="IL238" s="821"/>
      <c r="IM238" s="820"/>
      <c r="IN238" s="820"/>
      <c r="IR238" s="223"/>
    </row>
    <row r="239" spans="1:252" ht="13.8" thickBot="1">
      <c r="A239" t="str">
        <f t="shared" si="204"/>
        <v>2018Q3</v>
      </c>
      <c r="B239">
        <f t="shared" si="205"/>
        <v>2018</v>
      </c>
      <c r="C239" s="49">
        <f t="shared" si="206"/>
        <v>43282</v>
      </c>
      <c r="D239" s="115">
        <f t="shared" si="207"/>
        <v>2018</v>
      </c>
      <c r="E239" s="10">
        <f t="shared" si="230"/>
        <v>7</v>
      </c>
      <c r="F239" s="248">
        <f t="shared" si="231"/>
        <v>43285</v>
      </c>
      <c r="G239" s="245">
        <v>43282</v>
      </c>
      <c r="H239" s="251">
        <v>43312</v>
      </c>
      <c r="I239" s="959">
        <f t="shared" si="228"/>
        <v>7.1499999999999994E-2</v>
      </c>
      <c r="J239" s="37">
        <f t="shared" si="208"/>
        <v>0.2691934626700106</v>
      </c>
      <c r="K239" s="1036"/>
      <c r="L239" s="37"/>
      <c r="M239" s="1004">
        <v>0</v>
      </c>
      <c r="N239" s="38">
        <f t="shared" si="235"/>
        <v>0</v>
      </c>
      <c r="O239" s="40">
        <f t="shared" si="235"/>
        <v>0</v>
      </c>
      <c r="P239" s="159">
        <f t="shared" si="234"/>
        <v>0</v>
      </c>
      <c r="Q239" s="38">
        <f t="shared" ref="Q239:X248" si="237">P239</f>
        <v>0</v>
      </c>
      <c r="R239" s="40">
        <f t="shared" si="237"/>
        <v>0</v>
      </c>
      <c r="S239" s="38">
        <f t="shared" si="237"/>
        <v>0</v>
      </c>
      <c r="T239" s="38">
        <f t="shared" si="237"/>
        <v>0</v>
      </c>
      <c r="U239" s="38">
        <f t="shared" si="237"/>
        <v>0</v>
      </c>
      <c r="V239" s="159">
        <f t="shared" si="237"/>
        <v>0</v>
      </c>
      <c r="W239" s="38">
        <f t="shared" si="237"/>
        <v>0</v>
      </c>
      <c r="X239" s="39">
        <f t="shared" si="237"/>
        <v>0</v>
      </c>
      <c r="Y239" s="46">
        <v>0</v>
      </c>
      <c r="Z239" s="46">
        <v>0</v>
      </c>
      <c r="AA239" s="47">
        <v>0</v>
      </c>
      <c r="AB239" s="46">
        <v>0</v>
      </c>
      <c r="AC239" s="46">
        <v>0</v>
      </c>
      <c r="AD239" s="47">
        <v>0</v>
      </c>
      <c r="AE239" s="46">
        <v>0</v>
      </c>
      <c r="AF239" s="46">
        <v>0</v>
      </c>
      <c r="AG239" s="47">
        <v>0</v>
      </c>
      <c r="AH239" s="46">
        <v>0</v>
      </c>
      <c r="AI239" s="46">
        <v>0</v>
      </c>
      <c r="AJ239" s="47">
        <v>0</v>
      </c>
      <c r="AK239" s="46">
        <v>0</v>
      </c>
      <c r="AL239" s="46">
        <v>0</v>
      </c>
      <c r="AM239" s="47">
        <v>0</v>
      </c>
      <c r="AN239" s="46">
        <v>0</v>
      </c>
      <c r="AO239" s="46">
        <v>0</v>
      </c>
      <c r="AP239" s="47">
        <v>0</v>
      </c>
      <c r="AQ239" s="46">
        <v>0</v>
      </c>
      <c r="AR239" s="46">
        <v>0</v>
      </c>
      <c r="AS239" s="47">
        <v>0</v>
      </c>
      <c r="AT239" s="46">
        <v>0</v>
      </c>
      <c r="AU239" s="46">
        <v>0</v>
      </c>
      <c r="AV239" s="46">
        <v>0</v>
      </c>
      <c r="AW239" s="1545">
        <v>0</v>
      </c>
      <c r="AX239" s="10">
        <f t="shared" si="232"/>
        <v>21</v>
      </c>
      <c r="AY239" s="42">
        <f>IF(AND($E239=MONTH(Summary!$E$24),$D239=YEAR(Summary!$E$24)),Summary!$E$25,1)*IF(G239="",0,INT((H239-MOD(H239,7)-G239)/7)+1-IF(BA239,IF(WEEKDAY(F239)=7,1,0),0))</f>
        <v>4</v>
      </c>
      <c r="AZ239" s="42">
        <f>IF(AND($E239=MONTH(Summary!$E$24),$D239=YEAR(Summary!$E$24)),Summary!$E$25,1)*IF(G239="",0,INT((H239-MOD(H239-1,7)-G239)/7)+1-IF(BA239,IF(WEEKDAY(F239)=1,1,0),0))</f>
        <v>5</v>
      </c>
      <c r="BA239" s="42">
        <v>1</v>
      </c>
      <c r="BB239" s="10">
        <f>IF(AND($E239=MONTH(Summary!$E$24),$D239=YEAR(Summary!$E$24)),Summary!$E$25,1)*IF(G239="",0,H239-G239+1)</f>
        <v>31</v>
      </c>
      <c r="BC239" s="914">
        <f>Summary!$E$19</f>
        <v>1.4999999999999999E-2</v>
      </c>
      <c r="BD239" s="113">
        <v>14893.2</v>
      </c>
      <c r="BE239" s="171">
        <v>2836.8</v>
      </c>
      <c r="BF239" s="171">
        <v>4255.2</v>
      </c>
      <c r="BG239" s="174"/>
      <c r="BH239" s="1198">
        <v>1</v>
      </c>
      <c r="BI239" s="1198">
        <v>1</v>
      </c>
      <c r="BJ239" s="1198">
        <v>1</v>
      </c>
      <c r="BK239" s="1198">
        <v>1</v>
      </c>
      <c r="BL239" s="95">
        <v>2978.64</v>
      </c>
      <c r="BM239" s="171">
        <v>567.36</v>
      </c>
      <c r="BN239" s="171">
        <v>851.04</v>
      </c>
      <c r="BO239" s="174"/>
      <c r="BP239" s="1198">
        <v>1</v>
      </c>
      <c r="BQ239" s="1199">
        <v>1</v>
      </c>
      <c r="BR239" s="1199">
        <v>1</v>
      </c>
      <c r="BS239" s="1200">
        <v>1</v>
      </c>
      <c r="BT239" s="94">
        <f t="shared" si="209"/>
        <v>21985.200000000001</v>
      </c>
      <c r="BU239" s="233">
        <f t="shared" si="210"/>
        <v>21985.200000000001</v>
      </c>
      <c r="BV239" s="92">
        <f t="shared" si="211"/>
        <v>4397.04</v>
      </c>
      <c r="BW239" s="233">
        <f t="shared" si="212"/>
        <v>4397.04</v>
      </c>
      <c r="BX239" s="88">
        <v>18.543463381245722</v>
      </c>
      <c r="BY239" s="90">
        <v>0</v>
      </c>
      <c r="BZ239" s="88">
        <v>0</v>
      </c>
      <c r="CA239" s="88">
        <v>0</v>
      </c>
      <c r="CB239" s="88">
        <v>0</v>
      </c>
      <c r="CC239" s="88">
        <v>0</v>
      </c>
      <c r="CD239" s="88">
        <v>0</v>
      </c>
      <c r="CE239" s="100">
        <v>0</v>
      </c>
      <c r="CF239" s="88">
        <v>0</v>
      </c>
      <c r="CG239" s="88">
        <v>0</v>
      </c>
      <c r="CH239" s="88">
        <v>0</v>
      </c>
      <c r="CI239" s="88">
        <v>0</v>
      </c>
      <c r="CJ239" s="228">
        <v>0</v>
      </c>
      <c r="CK239" s="88">
        <v>0</v>
      </c>
      <c r="CL239" s="88">
        <v>0</v>
      </c>
      <c r="CM239" s="88">
        <v>0</v>
      </c>
      <c r="CN239" s="88">
        <v>0</v>
      </c>
      <c r="CO239" s="88">
        <v>0</v>
      </c>
      <c r="CP239" s="88">
        <v>0</v>
      </c>
      <c r="CQ239" s="229">
        <v>0</v>
      </c>
      <c r="CR239" s="91">
        <v>0</v>
      </c>
      <c r="CS239" s="91">
        <v>0</v>
      </c>
      <c r="CT239" s="91">
        <v>0</v>
      </c>
      <c r="CU239" s="91">
        <v>0</v>
      </c>
      <c r="CV239" s="91">
        <v>0</v>
      </c>
      <c r="CW239" s="91">
        <v>0</v>
      </c>
      <c r="CX239" s="225">
        <v>0</v>
      </c>
      <c r="CY239" s="1265">
        <v>7726.9597600000006</v>
      </c>
      <c r="CZ239" s="90">
        <v>0</v>
      </c>
      <c r="DA239" s="88">
        <v>0</v>
      </c>
      <c r="DB239" s="88">
        <v>0</v>
      </c>
      <c r="DC239" s="88">
        <v>0</v>
      </c>
      <c r="DD239" s="88">
        <v>0</v>
      </c>
      <c r="DE239" s="152">
        <v>0</v>
      </c>
      <c r="DF239" s="230">
        <v>0</v>
      </c>
      <c r="DG239" s="38">
        <v>0</v>
      </c>
      <c r="DH239" s="1237">
        <v>0</v>
      </c>
      <c r="DI239" s="956">
        <v>0</v>
      </c>
      <c r="DJ239" s="956">
        <v>0</v>
      </c>
      <c r="DK239" s="956">
        <v>0</v>
      </c>
      <c r="DL239" s="152">
        <v>0</v>
      </c>
      <c r="DM239" s="160">
        <v>0</v>
      </c>
      <c r="DN239" s="160">
        <v>0</v>
      </c>
      <c r="DO239" s="160">
        <v>0</v>
      </c>
      <c r="DP239" s="160">
        <v>0</v>
      </c>
      <c r="DQ239" s="160">
        <v>0</v>
      </c>
      <c r="DR239" s="230">
        <v>0</v>
      </c>
      <c r="DS239" s="88">
        <v>0</v>
      </c>
      <c r="DT239" s="88">
        <v>0</v>
      </c>
      <c r="DU239" s="88">
        <v>0</v>
      </c>
      <c r="DV239" s="88">
        <v>0</v>
      </c>
      <c r="DW239" s="88">
        <v>0</v>
      </c>
      <c r="DX239" s="88">
        <v>0</v>
      </c>
      <c r="DY239" s="88">
        <v>0</v>
      </c>
      <c r="DZ239" s="88">
        <v>0</v>
      </c>
      <c r="EA239" s="88">
        <v>0</v>
      </c>
      <c r="EB239" s="152">
        <v>0</v>
      </c>
      <c r="EC239" s="52">
        <f t="shared" si="213"/>
        <v>0</v>
      </c>
      <c r="ED239" s="52">
        <f t="shared" si="213"/>
        <v>0</v>
      </c>
      <c r="EE239" s="52">
        <f t="shared" si="213"/>
        <v>0</v>
      </c>
      <c r="EF239" s="52">
        <f t="shared" si="186"/>
        <v>0</v>
      </c>
      <c r="EG239" s="52">
        <f t="shared" si="214"/>
        <v>0</v>
      </c>
      <c r="EH239" s="238">
        <v>0</v>
      </c>
      <c r="EI239" s="211">
        <v>0</v>
      </c>
      <c r="EJ239" s="211">
        <v>0</v>
      </c>
      <c r="EK239" s="211">
        <v>0</v>
      </c>
      <c r="EL239" s="217">
        <f>IF(C239&gt;=Summary!$E$26,MAX(0,SUM(EH239:EK239)),0)</f>
        <v>0</v>
      </c>
      <c r="EM239" s="52">
        <f>IF(C239&gt;=Summary!$E$26,DX239*BL239,0)</f>
        <v>0</v>
      </c>
      <c r="EN239" s="52">
        <f>IF(C239&gt;=Summary!$E$26,DY239*BM239,0)</f>
        <v>0</v>
      </c>
      <c r="EO239" s="52">
        <f>IF(C239&gt;=Summary!$E$26,DZ239*BN239,0)</f>
        <v>0</v>
      </c>
      <c r="EP239" s="52">
        <f>IF(C239&gt;=Summary!$E$26,EA239*BO239,0)</f>
        <v>0</v>
      </c>
      <c r="EQ239" s="52">
        <f>IF(C239&gt;=Summary!$E$26,DX239*BL239+DY239*BM239+DZ239*BN239+EA239*BO239,0)</f>
        <v>0</v>
      </c>
      <c r="ER239" s="826">
        <v>0</v>
      </c>
      <c r="ES239" s="278">
        <v>0</v>
      </c>
      <c r="ET239" s="278">
        <v>0</v>
      </c>
      <c r="EU239" s="278">
        <v>0</v>
      </c>
      <c r="EV239" s="212">
        <f>IF(C239&gt;=Summary!$E$26,MAX(0,SUM(ER239:EU239)),0)</f>
        <v>0</v>
      </c>
      <c r="EW239" s="52"/>
      <c r="EX239" s="1049">
        <f t="shared" si="215"/>
        <v>0</v>
      </c>
      <c r="EY239" s="1045" t="str">
        <f t="shared" si="216"/>
        <v/>
      </c>
      <c r="EZ239" s="1684" t="s">
        <v>525</v>
      </c>
      <c r="FA239" s="1046">
        <f t="shared" si="229"/>
        <v>45</v>
      </c>
      <c r="FB239" s="256">
        <f t="shared" si="217"/>
        <v>11169.9</v>
      </c>
      <c r="FC239" s="194">
        <f t="shared" si="218"/>
        <v>0</v>
      </c>
      <c r="FD239" s="194">
        <f t="shared" si="219"/>
        <v>2127.6</v>
      </c>
      <c r="FE239" s="194">
        <f t="shared" si="220"/>
        <v>0</v>
      </c>
      <c r="FF239" s="194">
        <f t="shared" si="221"/>
        <v>3191.4</v>
      </c>
      <c r="FG239" s="194">
        <f t="shared" si="222"/>
        <v>0</v>
      </c>
      <c r="FH239" s="257">
        <f>IF(EZ239="No",IF((OR(MONTH(C239)=5,MONTH(C239)=6,MONTH(C239)=7,MONTH(C239)=8,MONTH(C239)=9)),Summary!$O$15*12*(AX239+AY239+AZ239+BA239)*(1-$BC239),Summary!$O$15*13*(AX239+AY239+AZ239+BA239)*(1-$BC239)+IF(Summary!$O$16="Yes",(CALC!FA239+Summary!$O$15)*6*(AX239+AY239+AZ239+BA239)*(1-$BC239),0)),0)</f>
        <v>0</v>
      </c>
      <c r="FI239" s="1412">
        <f>IF(MONTH(C239)=5,FI238*(IF(Summary!$E$70="no",(1+(Summary!$E$71*0.8)),1+HLOOKUP(YEAR(C239)-1,CCFMODEL!$I$127:$AF$128,2)*0.8)),+FI238)</f>
        <v>41.746766959221887</v>
      </c>
      <c r="FJ239" s="1411">
        <f>IF(MONTH(C239)=5,FJ238*(IF(Summary!$E$70="no",(1+(Summary!$E$71*0.8)),1+HLOOKUP(YEAR(CALC!C239)-1,CCFMODEL!$I$127:$AF$128,2)*0.8)),FJ238)</f>
        <v>36.487331751760863</v>
      </c>
      <c r="FK239" s="832">
        <f t="shared" si="187"/>
        <v>688358.26571391383</v>
      </c>
      <c r="FL239" s="1412">
        <f>IF(MONTH(C239)=5,FL238*(IF(Summary!$E$70="no",(1+(Summary!$E$71*0.8)),1+HLOOKUP(YEAR(CALC!C239)-1,CCFMODEL!$I$127:$AF$128,2)*0.8)),+FL238)</f>
        <v>87.798131186454995</v>
      </c>
      <c r="FM239" s="1411">
        <f>IF(MONTH(C239)=5,FM238*(IF(Summary!$E$70="no",(1+(Summary!$E$71*0.8)),1+HLOOKUP(YEAR(CALC!C239)-1,CCFMODEL!$I$127:$AF$128,2)*0.8)),+FM238)</f>
        <v>41.903297768967747</v>
      </c>
      <c r="FN239" s="832">
        <f t="shared" si="188"/>
        <v>1469740.7160612566</v>
      </c>
      <c r="FO239" s="194">
        <f t="shared" si="223"/>
        <v>2158098.9817751702</v>
      </c>
      <c r="FP239" s="263">
        <f t="shared" si="189"/>
        <v>11169.9</v>
      </c>
      <c r="FQ239" s="194">
        <f t="shared" si="190"/>
        <v>0</v>
      </c>
      <c r="FR239" s="194">
        <f t="shared" si="191"/>
        <v>2127.6</v>
      </c>
      <c r="FS239" s="194">
        <f t="shared" si="176"/>
        <v>0</v>
      </c>
      <c r="FT239" s="194">
        <f t="shared" si="176"/>
        <v>3191.4</v>
      </c>
      <c r="FU239" s="194">
        <f t="shared" si="176"/>
        <v>0</v>
      </c>
      <c r="FV239" s="257">
        <f t="shared" si="176"/>
        <v>0</v>
      </c>
      <c r="FW239" s="189">
        <f t="shared" si="192"/>
        <v>0</v>
      </c>
      <c r="FX239" s="189">
        <f t="shared" si="193"/>
        <v>0</v>
      </c>
      <c r="FY239" s="189">
        <f t="shared" si="194"/>
        <v>0</v>
      </c>
      <c r="FZ239" s="258">
        <f t="shared" si="195"/>
        <v>0</v>
      </c>
      <c r="GA239" s="1294">
        <f>(SUM(FP239:FV239)+SUM(GU239:HB239)/(1-Summary!$O$25))*CY239/1000</f>
        <v>203854.50685866244</v>
      </c>
      <c r="GB239" s="1369">
        <f>IF($C239&lt;Summary!$M$81,+Summary!$O$81,VLOOKUP(C239,GasTable,19))</f>
        <v>3.6344960416864582</v>
      </c>
      <c r="GC239" s="1370">
        <f>IF(H239&lt;=Summary!$N$84,MIN(GA239,Summary!$O$75*(H239-G239+1)),0)</f>
        <v>0</v>
      </c>
      <c r="GD239" s="1371">
        <f>IF(C239&lt;Summary!$N$84,IF(Summary!$O$75*(H239-G239+1)*0.8&gt;GC239,1,0),0)</f>
        <v>0</v>
      </c>
      <c r="GE239" s="1372">
        <v>0</v>
      </c>
      <c r="GF239" s="1370">
        <f t="shared" si="224"/>
        <v>203854.50685866244</v>
      </c>
      <c r="GG239" s="1371">
        <f>GF239*(IF(Summary!$O$74=1,VLOOKUP($C239,GasTable,16)+Summary!$O$92+Summary!$O$93,VLOOKUP($C239,GasTable,19)+Summary!$O$92+Summary!$O$93))</f>
        <v>751529.21806509001</v>
      </c>
      <c r="GH239" s="1373">
        <v>5633.4688646140103</v>
      </c>
      <c r="GI239" s="1466">
        <v>0</v>
      </c>
      <c r="GJ239" s="1374">
        <f t="shared" si="225"/>
        <v>757162.68692970404</v>
      </c>
      <c r="GK239" s="189">
        <f t="shared" si="196"/>
        <v>26035.973100000003</v>
      </c>
      <c r="GL239" s="266">
        <v>0.51770630392000005</v>
      </c>
      <c r="GM239" s="255">
        <f t="shared" si="197"/>
        <v>0</v>
      </c>
      <c r="GN239" s="189">
        <f>IF(SUM(GU239:HB239)=0,0,IF(Summary!$O$16="Yes",SUM(GX239:HB239),IF(Summary!$O$17="Yes",SUM(GY239:HB239),SUM(GU239:HB239))))</f>
        <v>9547.0730999999996</v>
      </c>
      <c r="GO239" s="203">
        <v>4.0509829620357856</v>
      </c>
      <c r="GP239" s="258">
        <f t="shared" si="226"/>
        <v>38675.030465410171</v>
      </c>
      <c r="GQ239" s="189"/>
      <c r="GR239" s="189"/>
      <c r="GS239" s="189"/>
      <c r="GT239" s="189"/>
      <c r="GU239" s="268">
        <v>3592.9845000000009</v>
      </c>
      <c r="GV239" s="189">
        <v>684.37800000000027</v>
      </c>
      <c r="GW239" s="189">
        <v>1026.5669999999998</v>
      </c>
      <c r="GX239" s="189"/>
      <c r="GY239" s="254">
        <v>2874.3875999999996</v>
      </c>
      <c r="GZ239" s="189">
        <v>547.50239999999997</v>
      </c>
      <c r="HA239" s="189">
        <v>821.25359999999989</v>
      </c>
      <c r="HB239" s="255"/>
      <c r="HC239" s="189">
        <v>9547.0730999999996</v>
      </c>
      <c r="HD239" s="189"/>
      <c r="HE239" s="189">
        <v>22276.5039</v>
      </c>
      <c r="HF239" s="189">
        <v>553592.22257116251</v>
      </c>
      <c r="HG239" s="189"/>
      <c r="HH239" s="203">
        <v>61.405237933057975</v>
      </c>
      <c r="HI239" s="189">
        <v>1367894.022296194</v>
      </c>
      <c r="HJ239" s="268">
        <f t="shared" si="198"/>
        <v>0</v>
      </c>
      <c r="HK239" s="189">
        <f t="shared" si="199"/>
        <v>0</v>
      </c>
      <c r="HL239" s="189">
        <f t="shared" si="200"/>
        <v>0</v>
      </c>
      <c r="HM239" s="255">
        <f t="shared" si="201"/>
        <v>0</v>
      </c>
      <c r="HN239" s="189">
        <f t="shared" si="202"/>
        <v>0</v>
      </c>
      <c r="HO239" s="203">
        <f t="shared" si="227"/>
        <v>0</v>
      </c>
      <c r="HP239" s="258">
        <f t="shared" si="203"/>
        <v>0</v>
      </c>
      <c r="HQ239" s="203"/>
      <c r="HR239" s="268"/>
      <c r="HS239" s="1408"/>
      <c r="HT239" s="255"/>
      <c r="HU239" s="268"/>
      <c r="HV239" s="1408"/>
      <c r="HW239" s="255"/>
      <c r="HX239" s="1408"/>
      <c r="HY239" s="1408"/>
      <c r="HZ239"/>
      <c r="IA239" s="203"/>
      <c r="IB239" s="203"/>
      <c r="IC239" s="203"/>
      <c r="ID239" s="203"/>
      <c r="IE239" s="203"/>
      <c r="IF239" s="203"/>
      <c r="IG239" s="203"/>
      <c r="IH239" s="203"/>
      <c r="II239" s="203"/>
      <c r="IJ239" s="203"/>
      <c r="IK239" s="203"/>
      <c r="IL239" s="821"/>
      <c r="IM239" s="820"/>
      <c r="IN239" s="820"/>
      <c r="IR239" s="223"/>
    </row>
    <row r="240" spans="1:252" ht="13.8" thickBot="1">
      <c r="A240" t="str">
        <f t="shared" si="204"/>
        <v>2018Q3</v>
      </c>
      <c r="B240">
        <f t="shared" si="205"/>
        <v>2018</v>
      </c>
      <c r="C240" s="49">
        <f t="shared" si="206"/>
        <v>43313</v>
      </c>
      <c r="D240" s="115">
        <f t="shared" si="207"/>
        <v>2018</v>
      </c>
      <c r="E240" s="10">
        <f t="shared" si="230"/>
        <v>8</v>
      </c>
      <c r="F240" s="248" t="str">
        <f t="shared" si="231"/>
        <v/>
      </c>
      <c r="G240" s="245">
        <v>43313</v>
      </c>
      <c r="H240" s="251">
        <v>43343</v>
      </c>
      <c r="I240" s="959">
        <f t="shared" si="228"/>
        <v>7.1499999999999994E-2</v>
      </c>
      <c r="J240" s="37">
        <f t="shared" si="208"/>
        <v>0.26759317474847727</v>
      </c>
      <c r="K240" s="1036"/>
      <c r="L240" s="37"/>
      <c r="M240" s="1004">
        <v>0</v>
      </c>
      <c r="N240" s="38">
        <f t="shared" si="235"/>
        <v>0</v>
      </c>
      <c r="O240" s="40">
        <f t="shared" si="235"/>
        <v>0</v>
      </c>
      <c r="P240" s="159">
        <f t="shared" si="234"/>
        <v>0</v>
      </c>
      <c r="Q240" s="38">
        <f t="shared" si="237"/>
        <v>0</v>
      </c>
      <c r="R240" s="40">
        <f t="shared" si="237"/>
        <v>0</v>
      </c>
      <c r="S240" s="38">
        <f t="shared" si="237"/>
        <v>0</v>
      </c>
      <c r="T240" s="38">
        <f t="shared" si="237"/>
        <v>0</v>
      </c>
      <c r="U240" s="38">
        <f t="shared" si="237"/>
        <v>0</v>
      </c>
      <c r="V240" s="159">
        <f t="shared" si="237"/>
        <v>0</v>
      </c>
      <c r="W240" s="38">
        <f t="shared" si="237"/>
        <v>0</v>
      </c>
      <c r="X240" s="39">
        <f t="shared" si="237"/>
        <v>0</v>
      </c>
      <c r="Y240" s="46">
        <v>0</v>
      </c>
      <c r="Z240" s="46">
        <v>0</v>
      </c>
      <c r="AA240" s="47">
        <v>0</v>
      </c>
      <c r="AB240" s="46">
        <v>0</v>
      </c>
      <c r="AC240" s="46">
        <v>0</v>
      </c>
      <c r="AD240" s="47">
        <v>0</v>
      </c>
      <c r="AE240" s="46">
        <v>0</v>
      </c>
      <c r="AF240" s="46">
        <v>0</v>
      </c>
      <c r="AG240" s="47">
        <v>0</v>
      </c>
      <c r="AH240" s="46">
        <v>0</v>
      </c>
      <c r="AI240" s="46">
        <v>0</v>
      </c>
      <c r="AJ240" s="47">
        <v>0</v>
      </c>
      <c r="AK240" s="46">
        <v>0</v>
      </c>
      <c r="AL240" s="46">
        <v>0</v>
      </c>
      <c r="AM240" s="47">
        <v>0</v>
      </c>
      <c r="AN240" s="46">
        <v>0</v>
      </c>
      <c r="AO240" s="46">
        <v>0</v>
      </c>
      <c r="AP240" s="47">
        <v>0</v>
      </c>
      <c r="AQ240" s="46">
        <v>0</v>
      </c>
      <c r="AR240" s="46">
        <v>0</v>
      </c>
      <c r="AS240" s="47">
        <v>0</v>
      </c>
      <c r="AT240" s="46">
        <v>0</v>
      </c>
      <c r="AU240" s="46">
        <v>0</v>
      </c>
      <c r="AV240" s="46">
        <v>0</v>
      </c>
      <c r="AW240" s="1545">
        <v>0</v>
      </c>
      <c r="AX240" s="10">
        <f t="shared" si="232"/>
        <v>23</v>
      </c>
      <c r="AY240" s="42">
        <f>IF(AND($E240=MONTH(Summary!$E$24),$D240=YEAR(Summary!$E$24)),Summary!$E$25,1)*IF(G240="",0,INT((H240-MOD(H240,7)-G240)/7)+1-IF(BA240,IF(WEEKDAY(F240)=7,1,0),0))</f>
        <v>4</v>
      </c>
      <c r="AZ240" s="42">
        <f>IF(AND($E240=MONTH(Summary!$E$24),$D240=YEAR(Summary!$E$24)),Summary!$E$25,1)*IF(G240="",0,INT((H240-MOD(H240-1,7)-G240)/7)+1-IF(BA240,IF(WEEKDAY(F240)=1,1,0),0))</f>
        <v>4</v>
      </c>
      <c r="BA240" s="42">
        <v>0</v>
      </c>
      <c r="BB240" s="10">
        <f>IF(AND($E240=MONTH(Summary!$E$24),$D240=YEAR(Summary!$E$24)),Summary!$E$25,1)*IF(G240="",0,H240-G240+1)</f>
        <v>31</v>
      </c>
      <c r="BC240" s="914">
        <f>Summary!$E$19</f>
        <v>1.4999999999999999E-2</v>
      </c>
      <c r="BD240" s="113">
        <v>16311.6</v>
      </c>
      <c r="BE240" s="171">
        <v>2836.8</v>
      </c>
      <c r="BF240" s="171">
        <v>2836.8</v>
      </c>
      <c r="BG240" s="174"/>
      <c r="BH240" s="1198">
        <v>1</v>
      </c>
      <c r="BI240" s="1198">
        <v>1</v>
      </c>
      <c r="BJ240" s="1198">
        <v>1</v>
      </c>
      <c r="BK240" s="1198">
        <v>1</v>
      </c>
      <c r="BL240" s="95">
        <v>3262.32</v>
      </c>
      <c r="BM240" s="171">
        <v>567.36</v>
      </c>
      <c r="BN240" s="171">
        <v>567.36</v>
      </c>
      <c r="BO240" s="174"/>
      <c r="BP240" s="1198">
        <v>1</v>
      </c>
      <c r="BQ240" s="1199">
        <v>1</v>
      </c>
      <c r="BR240" s="1199">
        <v>1</v>
      </c>
      <c r="BS240" s="1200">
        <v>1</v>
      </c>
      <c r="BT240" s="94">
        <f t="shared" si="209"/>
        <v>21985.200000000001</v>
      </c>
      <c r="BU240" s="233">
        <f t="shared" si="210"/>
        <v>21985.200000000001</v>
      </c>
      <c r="BV240" s="92">
        <f t="shared" si="211"/>
        <v>4397.04</v>
      </c>
      <c r="BW240" s="233">
        <f t="shared" si="212"/>
        <v>4397.04</v>
      </c>
      <c r="BX240" s="88">
        <v>18.628336755646817</v>
      </c>
      <c r="BY240" s="90">
        <v>0</v>
      </c>
      <c r="BZ240" s="88">
        <v>0</v>
      </c>
      <c r="CA240" s="88">
        <v>0</v>
      </c>
      <c r="CB240" s="88">
        <v>0</v>
      </c>
      <c r="CC240" s="88">
        <v>0</v>
      </c>
      <c r="CD240" s="88">
        <v>0</v>
      </c>
      <c r="CE240" s="100">
        <v>0</v>
      </c>
      <c r="CF240" s="88">
        <v>0</v>
      </c>
      <c r="CG240" s="88">
        <v>0</v>
      </c>
      <c r="CH240" s="88">
        <v>0</v>
      </c>
      <c r="CI240" s="88">
        <v>0</v>
      </c>
      <c r="CJ240" s="228">
        <v>0</v>
      </c>
      <c r="CK240" s="88">
        <v>0</v>
      </c>
      <c r="CL240" s="88">
        <v>0</v>
      </c>
      <c r="CM240" s="88">
        <v>0</v>
      </c>
      <c r="CN240" s="88">
        <v>0</v>
      </c>
      <c r="CO240" s="88">
        <v>0</v>
      </c>
      <c r="CP240" s="88">
        <v>0</v>
      </c>
      <c r="CQ240" s="229">
        <v>0</v>
      </c>
      <c r="CR240" s="91">
        <v>0</v>
      </c>
      <c r="CS240" s="91">
        <v>0</v>
      </c>
      <c r="CT240" s="91">
        <v>0</v>
      </c>
      <c r="CU240" s="91">
        <v>0</v>
      </c>
      <c r="CV240" s="91">
        <v>0</v>
      </c>
      <c r="CW240" s="91">
        <v>0</v>
      </c>
      <c r="CX240" s="225">
        <v>0</v>
      </c>
      <c r="CY240" s="1265">
        <v>7728.9907200000007</v>
      </c>
      <c r="CZ240" s="90">
        <v>0</v>
      </c>
      <c r="DA240" s="88">
        <v>0</v>
      </c>
      <c r="DB240" s="88">
        <v>0</v>
      </c>
      <c r="DC240" s="88">
        <v>0</v>
      </c>
      <c r="DD240" s="88">
        <v>0</v>
      </c>
      <c r="DE240" s="152">
        <v>0</v>
      </c>
      <c r="DF240" s="230">
        <v>0</v>
      </c>
      <c r="DG240" s="38">
        <v>0</v>
      </c>
      <c r="DH240" s="1237">
        <v>0</v>
      </c>
      <c r="DI240" s="956">
        <v>0</v>
      </c>
      <c r="DJ240" s="956">
        <v>0</v>
      </c>
      <c r="DK240" s="956">
        <v>0</v>
      </c>
      <c r="DL240" s="152">
        <v>0</v>
      </c>
      <c r="DM240" s="160">
        <v>0</v>
      </c>
      <c r="DN240" s="160">
        <v>0</v>
      </c>
      <c r="DO240" s="160">
        <v>0</v>
      </c>
      <c r="DP240" s="160">
        <v>0</v>
      </c>
      <c r="DQ240" s="160">
        <v>0</v>
      </c>
      <c r="DR240" s="230">
        <v>0</v>
      </c>
      <c r="DS240" s="88">
        <v>0</v>
      </c>
      <c r="DT240" s="88">
        <v>0</v>
      </c>
      <c r="DU240" s="88">
        <v>0</v>
      </c>
      <c r="DV240" s="88">
        <v>0</v>
      </c>
      <c r="DW240" s="88">
        <v>0</v>
      </c>
      <c r="DX240" s="88">
        <v>0</v>
      </c>
      <c r="DY240" s="88">
        <v>0</v>
      </c>
      <c r="DZ240" s="88">
        <v>0</v>
      </c>
      <c r="EA240" s="88">
        <v>0</v>
      </c>
      <c r="EB240" s="152">
        <v>0</v>
      </c>
      <c r="EC240" s="52">
        <f t="shared" si="213"/>
        <v>0</v>
      </c>
      <c r="ED240" s="52">
        <f t="shared" si="213"/>
        <v>0</v>
      </c>
      <c r="EE240" s="52">
        <f t="shared" si="213"/>
        <v>0</v>
      </c>
      <c r="EF240" s="52">
        <f t="shared" si="186"/>
        <v>0</v>
      </c>
      <c r="EG240" s="52">
        <f t="shared" si="214"/>
        <v>0</v>
      </c>
      <c r="EH240" s="238">
        <v>0</v>
      </c>
      <c r="EI240" s="211">
        <v>0</v>
      </c>
      <c r="EJ240" s="211">
        <v>0</v>
      </c>
      <c r="EK240" s="211">
        <v>0</v>
      </c>
      <c r="EL240" s="217">
        <f>IF(C240&gt;=Summary!$E$26,MAX(0,SUM(EH240:EK240)),0)</f>
        <v>0</v>
      </c>
      <c r="EM240" s="52">
        <f>IF(C240&gt;=Summary!$E$26,DX240*BL240,0)</f>
        <v>0</v>
      </c>
      <c r="EN240" s="52">
        <f>IF(C240&gt;=Summary!$E$26,DY240*BM240,0)</f>
        <v>0</v>
      </c>
      <c r="EO240" s="52">
        <f>IF(C240&gt;=Summary!$E$26,DZ240*BN240,0)</f>
        <v>0</v>
      </c>
      <c r="EP240" s="52">
        <f>IF(C240&gt;=Summary!$E$26,EA240*BO240,0)</f>
        <v>0</v>
      </c>
      <c r="EQ240" s="52">
        <f>IF(C240&gt;=Summary!$E$26,DX240*BL240+DY240*BM240+DZ240*BN240+EA240*BO240,0)</f>
        <v>0</v>
      </c>
      <c r="ER240" s="826">
        <v>0</v>
      </c>
      <c r="ES240" s="278">
        <v>0</v>
      </c>
      <c r="ET240" s="278">
        <v>0</v>
      </c>
      <c r="EU240" s="278">
        <v>0</v>
      </c>
      <c r="EV240" s="212">
        <f>IF(C240&gt;=Summary!$E$26,MAX(0,SUM(ER240:EU240)),0)</f>
        <v>0</v>
      </c>
      <c r="EW240" s="52"/>
      <c r="EX240" s="1049">
        <f t="shared" si="215"/>
        <v>0</v>
      </c>
      <c r="EY240" s="1045" t="str">
        <f t="shared" si="216"/>
        <v/>
      </c>
      <c r="EZ240" s="1684" t="s">
        <v>525</v>
      </c>
      <c r="FA240" s="1046">
        <f t="shared" si="229"/>
        <v>45</v>
      </c>
      <c r="FB240" s="256">
        <f t="shared" si="217"/>
        <v>12233.7</v>
      </c>
      <c r="FC240" s="194">
        <f t="shared" si="218"/>
        <v>0</v>
      </c>
      <c r="FD240" s="194">
        <f t="shared" si="219"/>
        <v>2127.6</v>
      </c>
      <c r="FE240" s="194">
        <f t="shared" si="220"/>
        <v>0</v>
      </c>
      <c r="FF240" s="194">
        <f t="shared" si="221"/>
        <v>2127.6</v>
      </c>
      <c r="FG240" s="194">
        <f t="shared" si="222"/>
        <v>0</v>
      </c>
      <c r="FH240" s="257">
        <f>IF(EZ240="No",IF((OR(MONTH(C240)=5,MONTH(C240)=6,MONTH(C240)=7,MONTH(C240)=8,MONTH(C240)=9)),Summary!$O$15*12*(AX240+AY240+AZ240+BA240)*(1-$BC240),Summary!$O$15*13*(AX240+AY240+AZ240+BA240)*(1-$BC240)+IF(Summary!$O$16="Yes",(CALC!FA240+Summary!$O$15)*6*(AX240+AY240+AZ240+BA240)*(1-$BC240),0)),0)</f>
        <v>0</v>
      </c>
      <c r="FI240" s="1412">
        <f>IF(MONTH(C240)=5,FI239*(IF(Summary!$E$70="no",(1+(Summary!$E$71*0.8)),1+HLOOKUP(YEAR(C240)-1,CCFMODEL!$I$127:$AF$128,2)*0.8)),+FI239)</f>
        <v>41.746766959221887</v>
      </c>
      <c r="FJ240" s="1411">
        <f>IF(MONTH(C240)=5,FJ239*(IF(Summary!$E$70="no",(1+(Summary!$E$71*0.8)),1+HLOOKUP(YEAR(CALC!C240)-1,CCFMODEL!$I$127:$AF$128,2)*0.8)),FJ239)</f>
        <v>36.487331751760863</v>
      </c>
      <c r="FK240" s="832">
        <f t="shared" si="187"/>
        <v>688358.26571391383</v>
      </c>
      <c r="FL240" s="1412">
        <f>IF(MONTH(C240)=5,FL239*(IF(Summary!$E$70="no",(1+(Summary!$E$71*0.8)),1+HLOOKUP(YEAR(CALC!C240)-1,CCFMODEL!$I$127:$AF$128,2)*0.8)),+FL239)</f>
        <v>87.798131186454995</v>
      </c>
      <c r="FM240" s="1411">
        <f>IF(MONTH(C240)=5,FM239*(IF(Summary!$E$70="no",(1+(Summary!$E$71*0.8)),1+HLOOKUP(YEAR(CALC!C240)-1,CCFMODEL!$I$127:$AF$128,2)*0.8)),+FM239)</f>
        <v>41.903297768967747</v>
      </c>
      <c r="FN240" s="832">
        <f t="shared" si="188"/>
        <v>1469740.7160612566</v>
      </c>
      <c r="FO240" s="194">
        <f t="shared" si="223"/>
        <v>2158098.9817751702</v>
      </c>
      <c r="FP240" s="263">
        <f t="shared" si="189"/>
        <v>12233.7</v>
      </c>
      <c r="FQ240" s="194">
        <f t="shared" si="190"/>
        <v>0</v>
      </c>
      <c r="FR240" s="194">
        <f t="shared" si="191"/>
        <v>2127.6</v>
      </c>
      <c r="FS240" s="194">
        <f>FE240</f>
        <v>0</v>
      </c>
      <c r="FT240" s="194">
        <f>FF240</f>
        <v>2127.6</v>
      </c>
      <c r="FU240" s="194">
        <f>FG240</f>
        <v>0</v>
      </c>
      <c r="FV240" s="257">
        <f>FH240</f>
        <v>0</v>
      </c>
      <c r="FW240" s="189">
        <f t="shared" si="192"/>
        <v>0</v>
      </c>
      <c r="FX240" s="189">
        <f t="shared" si="193"/>
        <v>0</v>
      </c>
      <c r="FY240" s="189">
        <f t="shared" si="194"/>
        <v>0</v>
      </c>
      <c r="FZ240" s="258">
        <f t="shared" si="195"/>
        <v>0</v>
      </c>
      <c r="GA240" s="1294">
        <f>(SUM(FP240:FV240)+SUM(GU240:HB240)/(1-Summary!$O$25))*CY240/1000</f>
        <v>203908.08813281282</v>
      </c>
      <c r="GB240" s="1369">
        <f>IF($C240&lt;Summary!$M$81,+Summary!$O$81,VLOOKUP(C240,GasTable,19))</f>
        <v>3.7716476395909444</v>
      </c>
      <c r="GC240" s="1370">
        <f>IF(H240&lt;=Summary!$N$84,MIN(GA240,Summary!$O$75*(H240-G240+1)),0)</f>
        <v>0</v>
      </c>
      <c r="GD240" s="1371">
        <f>IF(C240&lt;Summary!$N$84,IF(Summary!$O$75*(H240-G240+1)*0.8&gt;GC240,1,0),0)</f>
        <v>0</v>
      </c>
      <c r="GE240" s="1372">
        <v>0</v>
      </c>
      <c r="GF240" s="1370">
        <f t="shared" si="224"/>
        <v>203908.08813281282</v>
      </c>
      <c r="GG240" s="1371">
        <f>GF240*(IF(Summary!$O$74=1,VLOOKUP($C240,GasTable,16)+Summary!$O$92+Summary!$O$93,VLOOKUP($C240,GasTable,19)+Summary!$O$92+Summary!$O$93))</f>
        <v>779693.07069134538</v>
      </c>
      <c r="GH240" s="1373">
        <v>5846.0538413659642</v>
      </c>
      <c r="GI240" s="1466">
        <v>0</v>
      </c>
      <c r="GJ240" s="1374">
        <f t="shared" si="225"/>
        <v>785539.12453271134</v>
      </c>
      <c r="GK240" s="189">
        <f t="shared" si="196"/>
        <v>26035.973100000007</v>
      </c>
      <c r="GL240" s="266">
        <v>0.51784237824000012</v>
      </c>
      <c r="GM240" s="255">
        <f t="shared" si="197"/>
        <v>0</v>
      </c>
      <c r="GN240" s="189">
        <f>IF(SUM(GU240:HB240)=0,0,IF(Summary!$O$16="Yes",SUM(GX240:HB240),IF(Summary!$O$17="Yes",SUM(GY240:HB240),SUM(GU240:HB240))))</f>
        <v>9547.0730999999996</v>
      </c>
      <c r="GO240" s="203">
        <v>4.0509829620357856</v>
      </c>
      <c r="GP240" s="258">
        <f t="shared" si="226"/>
        <v>38675.030465410171</v>
      </c>
      <c r="GQ240" s="189"/>
      <c r="GR240" s="189"/>
      <c r="GS240" s="189"/>
      <c r="GT240" s="189"/>
      <c r="GU240" s="268">
        <v>3935.1734999999994</v>
      </c>
      <c r="GV240" s="189">
        <v>684.37800000000027</v>
      </c>
      <c r="GW240" s="189">
        <v>684.37800000000027</v>
      </c>
      <c r="GX240" s="189"/>
      <c r="GY240" s="254">
        <v>3148.1388000000002</v>
      </c>
      <c r="GZ240" s="189">
        <v>547.50239999999997</v>
      </c>
      <c r="HA240" s="189">
        <v>547.50239999999997</v>
      </c>
      <c r="HB240" s="255"/>
      <c r="HC240" s="189">
        <v>9547.0730999999996</v>
      </c>
      <c r="HD240" s="189"/>
      <c r="HE240" s="189">
        <v>22276.5039</v>
      </c>
      <c r="HF240" s="189">
        <v>657867.54875574133</v>
      </c>
      <c r="HG240" s="189"/>
      <c r="HH240" s="203">
        <v>72.553233549014351</v>
      </c>
      <c r="HI240" s="189">
        <v>1616232.3901122292</v>
      </c>
      <c r="HJ240" s="268">
        <f t="shared" si="198"/>
        <v>0</v>
      </c>
      <c r="HK240" s="189">
        <f t="shared" si="199"/>
        <v>0</v>
      </c>
      <c r="HL240" s="189">
        <f t="shared" si="200"/>
        <v>0</v>
      </c>
      <c r="HM240" s="255">
        <f t="shared" si="201"/>
        <v>0</v>
      </c>
      <c r="HN240" s="189">
        <f t="shared" si="202"/>
        <v>0</v>
      </c>
      <c r="HO240" s="203">
        <f t="shared" si="227"/>
        <v>0</v>
      </c>
      <c r="HP240" s="258">
        <f t="shared" si="203"/>
        <v>0</v>
      </c>
      <c r="HQ240" s="203"/>
      <c r="HR240" s="268"/>
      <c r="HS240" s="1408"/>
      <c r="HT240" s="255"/>
      <c r="HU240" s="268"/>
      <c r="HV240" s="1408"/>
      <c r="HW240" s="255"/>
      <c r="HX240" s="1408"/>
      <c r="HY240" s="1408"/>
      <c r="HZ240"/>
      <c r="IA240" s="203"/>
      <c r="IB240" s="203"/>
      <c r="IC240" s="203"/>
      <c r="ID240" s="203"/>
      <c r="IE240" s="203"/>
      <c r="IF240" s="203"/>
      <c r="IG240" s="203"/>
      <c r="IH240" s="203"/>
      <c r="II240" s="203"/>
      <c r="IJ240" s="203"/>
      <c r="IK240" s="203"/>
      <c r="IL240" s="821"/>
      <c r="IM240" s="820"/>
      <c r="IN240" s="820"/>
      <c r="IR240" s="223"/>
    </row>
    <row r="241" spans="1:252" ht="13.8" thickBot="1">
      <c r="A241" t="str">
        <f t="shared" si="204"/>
        <v>2018Q3</v>
      </c>
      <c r="B241">
        <f t="shared" si="205"/>
        <v>2018</v>
      </c>
      <c r="C241" s="49">
        <f t="shared" si="206"/>
        <v>43344</v>
      </c>
      <c r="D241" s="115">
        <f t="shared" si="207"/>
        <v>2018</v>
      </c>
      <c r="E241" s="10">
        <f t="shared" si="230"/>
        <v>9</v>
      </c>
      <c r="F241" s="248">
        <f t="shared" si="231"/>
        <v>43346</v>
      </c>
      <c r="G241" s="245">
        <v>43344</v>
      </c>
      <c r="H241" s="251">
        <v>43373</v>
      </c>
      <c r="I241" s="959">
        <f t="shared" si="228"/>
        <v>7.1499999999999994E-2</v>
      </c>
      <c r="J241" s="37">
        <f t="shared" si="208"/>
        <v>0.26605356753811626</v>
      </c>
      <c r="K241" s="1036"/>
      <c r="L241" s="37"/>
      <c r="M241" s="1004">
        <v>0</v>
      </c>
      <c r="N241" s="38">
        <f t="shared" si="235"/>
        <v>0</v>
      </c>
      <c r="O241" s="40">
        <f t="shared" si="235"/>
        <v>0</v>
      </c>
      <c r="P241" s="159">
        <f t="shared" si="234"/>
        <v>0</v>
      </c>
      <c r="Q241" s="38">
        <f t="shared" si="237"/>
        <v>0</v>
      </c>
      <c r="R241" s="40">
        <f t="shared" si="237"/>
        <v>0</v>
      </c>
      <c r="S241" s="38">
        <f t="shared" si="237"/>
        <v>0</v>
      </c>
      <c r="T241" s="38">
        <f t="shared" si="237"/>
        <v>0</v>
      </c>
      <c r="U241" s="38">
        <f t="shared" si="237"/>
        <v>0</v>
      </c>
      <c r="V241" s="159">
        <f t="shared" si="237"/>
        <v>0</v>
      </c>
      <c r="W241" s="38">
        <f t="shared" si="237"/>
        <v>0</v>
      </c>
      <c r="X241" s="39">
        <f t="shared" si="237"/>
        <v>0</v>
      </c>
      <c r="Y241" s="46">
        <v>0</v>
      </c>
      <c r="Z241" s="46">
        <v>0</v>
      </c>
      <c r="AA241" s="47">
        <v>0</v>
      </c>
      <c r="AB241" s="46">
        <v>0</v>
      </c>
      <c r="AC241" s="46">
        <v>0</v>
      </c>
      <c r="AD241" s="47">
        <v>0</v>
      </c>
      <c r="AE241" s="46">
        <v>0</v>
      </c>
      <c r="AF241" s="46">
        <v>0</v>
      </c>
      <c r="AG241" s="47">
        <v>0</v>
      </c>
      <c r="AH241" s="46">
        <v>0</v>
      </c>
      <c r="AI241" s="46">
        <v>0</v>
      </c>
      <c r="AJ241" s="47">
        <v>0</v>
      </c>
      <c r="AK241" s="46">
        <v>0</v>
      </c>
      <c r="AL241" s="46">
        <v>0</v>
      </c>
      <c r="AM241" s="47">
        <v>0</v>
      </c>
      <c r="AN241" s="46">
        <v>0</v>
      </c>
      <c r="AO241" s="46">
        <v>0</v>
      </c>
      <c r="AP241" s="47">
        <v>0</v>
      </c>
      <c r="AQ241" s="46">
        <v>0</v>
      </c>
      <c r="AR241" s="46">
        <v>0</v>
      </c>
      <c r="AS241" s="47">
        <v>0</v>
      </c>
      <c r="AT241" s="46">
        <v>0</v>
      </c>
      <c r="AU241" s="46">
        <v>0</v>
      </c>
      <c r="AV241" s="46">
        <v>0</v>
      </c>
      <c r="AW241" s="1545">
        <v>0</v>
      </c>
      <c r="AX241" s="10">
        <f t="shared" si="232"/>
        <v>19</v>
      </c>
      <c r="AY241" s="42">
        <f>IF(AND($E241=MONTH(Summary!$E$24),$D241=YEAR(Summary!$E$24)),Summary!$E$25,1)*IF(G241="",0,INT((H241-MOD(H241,7)-G241)/7)+1-IF(BA241,IF(WEEKDAY(F241)=7,1,0),0))</f>
        <v>5</v>
      </c>
      <c r="AZ241" s="42">
        <f>IF(AND($E241=MONTH(Summary!$E$24),$D241=YEAR(Summary!$E$24)),Summary!$E$25,1)*IF(G241="",0,INT((H241-MOD(H241-1,7)-G241)/7)+1-IF(BA241,IF(WEEKDAY(F241)=1,1,0),0))</f>
        <v>5</v>
      </c>
      <c r="BA241" s="42">
        <v>1</v>
      </c>
      <c r="BB241" s="10">
        <f>IF(AND($E241=MONTH(Summary!$E$24),$D241=YEAR(Summary!$E$24)),Summary!$E$25,1)*IF(G241="",0,H241-G241+1)</f>
        <v>30</v>
      </c>
      <c r="BC241" s="914">
        <f>Summary!$E$19</f>
        <v>1.4999999999999999E-2</v>
      </c>
      <c r="BD241" s="113">
        <v>13474.8</v>
      </c>
      <c r="BE241" s="171">
        <v>3546</v>
      </c>
      <c r="BF241" s="171">
        <v>4255.2</v>
      </c>
      <c r="BG241" s="174"/>
      <c r="BH241" s="1198">
        <v>1</v>
      </c>
      <c r="BI241" s="1198">
        <v>1</v>
      </c>
      <c r="BJ241" s="1198">
        <v>1</v>
      </c>
      <c r="BK241" s="1198">
        <v>1</v>
      </c>
      <c r="BL241" s="95">
        <v>2694.96</v>
      </c>
      <c r="BM241" s="171">
        <v>709.2</v>
      </c>
      <c r="BN241" s="171">
        <v>851.04</v>
      </c>
      <c r="BO241" s="174"/>
      <c r="BP241" s="1198">
        <v>1</v>
      </c>
      <c r="BQ241" s="1199">
        <v>1</v>
      </c>
      <c r="BR241" s="1199">
        <v>1</v>
      </c>
      <c r="BS241" s="1200">
        <v>1</v>
      </c>
      <c r="BT241" s="94">
        <f t="shared" si="209"/>
        <v>21276</v>
      </c>
      <c r="BU241" s="233">
        <f t="shared" si="210"/>
        <v>21276</v>
      </c>
      <c r="BV241" s="92">
        <f t="shared" si="211"/>
        <v>4255.2</v>
      </c>
      <c r="BW241" s="233">
        <f t="shared" si="212"/>
        <v>4255.2</v>
      </c>
      <c r="BX241" s="88">
        <v>18.713210130047912</v>
      </c>
      <c r="BY241" s="90">
        <v>0</v>
      </c>
      <c r="BZ241" s="88">
        <v>0</v>
      </c>
      <c r="CA241" s="88">
        <v>0</v>
      </c>
      <c r="CB241" s="88">
        <v>0</v>
      </c>
      <c r="CC241" s="88">
        <v>0</v>
      </c>
      <c r="CD241" s="88">
        <v>0</v>
      </c>
      <c r="CE241" s="100">
        <v>0</v>
      </c>
      <c r="CF241" s="88">
        <v>0</v>
      </c>
      <c r="CG241" s="88">
        <v>0</v>
      </c>
      <c r="CH241" s="88">
        <v>0</v>
      </c>
      <c r="CI241" s="88">
        <v>0</v>
      </c>
      <c r="CJ241" s="228">
        <v>0</v>
      </c>
      <c r="CK241" s="88">
        <v>0</v>
      </c>
      <c r="CL241" s="88">
        <v>0</v>
      </c>
      <c r="CM241" s="88">
        <v>0</v>
      </c>
      <c r="CN241" s="88">
        <v>0</v>
      </c>
      <c r="CO241" s="88">
        <v>0</v>
      </c>
      <c r="CP241" s="88">
        <v>0</v>
      </c>
      <c r="CQ241" s="229">
        <v>0</v>
      </c>
      <c r="CR241" s="91">
        <v>0</v>
      </c>
      <c r="CS241" s="91">
        <v>0</v>
      </c>
      <c r="CT241" s="91">
        <v>0</v>
      </c>
      <c r="CU241" s="91">
        <v>0</v>
      </c>
      <c r="CV241" s="91">
        <v>0</v>
      </c>
      <c r="CW241" s="91">
        <v>0</v>
      </c>
      <c r="CX241" s="225">
        <v>0</v>
      </c>
      <c r="CY241" s="1265">
        <v>7731.0216799999998</v>
      </c>
      <c r="CZ241" s="90">
        <v>0</v>
      </c>
      <c r="DA241" s="88">
        <v>0</v>
      </c>
      <c r="DB241" s="88">
        <v>0</v>
      </c>
      <c r="DC241" s="88">
        <v>0</v>
      </c>
      <c r="DD241" s="88">
        <v>0</v>
      </c>
      <c r="DE241" s="152">
        <v>0</v>
      </c>
      <c r="DF241" s="230">
        <v>0</v>
      </c>
      <c r="DG241" s="38">
        <v>0</v>
      </c>
      <c r="DH241" s="1237">
        <v>0</v>
      </c>
      <c r="DI241" s="956">
        <v>0</v>
      </c>
      <c r="DJ241" s="956">
        <v>0</v>
      </c>
      <c r="DK241" s="956">
        <v>0</v>
      </c>
      <c r="DL241" s="152">
        <v>0</v>
      </c>
      <c r="DM241" s="160">
        <v>0</v>
      </c>
      <c r="DN241" s="160">
        <v>0</v>
      </c>
      <c r="DO241" s="160">
        <v>0</v>
      </c>
      <c r="DP241" s="160">
        <v>0</v>
      </c>
      <c r="DQ241" s="160">
        <v>0</v>
      </c>
      <c r="DR241" s="230">
        <v>0</v>
      </c>
      <c r="DS241" s="88">
        <v>0</v>
      </c>
      <c r="DT241" s="88">
        <v>0</v>
      </c>
      <c r="DU241" s="88">
        <v>0</v>
      </c>
      <c r="DV241" s="88">
        <v>0</v>
      </c>
      <c r="DW241" s="88">
        <v>0</v>
      </c>
      <c r="DX241" s="88">
        <v>0</v>
      </c>
      <c r="DY241" s="88">
        <v>0</v>
      </c>
      <c r="DZ241" s="88">
        <v>0</v>
      </c>
      <c r="EA241" s="88">
        <v>0</v>
      </c>
      <c r="EB241" s="152">
        <v>0</v>
      </c>
      <c r="EC241" s="52">
        <f t="shared" si="213"/>
        <v>0</v>
      </c>
      <c r="ED241" s="52">
        <f t="shared" si="213"/>
        <v>0</v>
      </c>
      <c r="EE241" s="52">
        <f t="shared" si="213"/>
        <v>0</v>
      </c>
      <c r="EF241" s="52">
        <f t="shared" si="186"/>
        <v>0</v>
      </c>
      <c r="EG241" s="52">
        <f t="shared" si="214"/>
        <v>0</v>
      </c>
      <c r="EH241" s="238">
        <v>0</v>
      </c>
      <c r="EI241" s="211">
        <v>0</v>
      </c>
      <c r="EJ241" s="211">
        <v>0</v>
      </c>
      <c r="EK241" s="211">
        <v>0</v>
      </c>
      <c r="EL241" s="217">
        <f>IF(C241&gt;=Summary!$E$26,MAX(0,SUM(EH241:EK241)),0)</f>
        <v>0</v>
      </c>
      <c r="EM241" s="52">
        <f>IF(C241&gt;=Summary!$E$26,DX241*BL241,0)</f>
        <v>0</v>
      </c>
      <c r="EN241" s="52">
        <f>IF(C241&gt;=Summary!$E$26,DY241*BM241,0)</f>
        <v>0</v>
      </c>
      <c r="EO241" s="52">
        <f>IF(C241&gt;=Summary!$E$26,DZ241*BN241,0)</f>
        <v>0</v>
      </c>
      <c r="EP241" s="52">
        <f>IF(C241&gt;=Summary!$E$26,EA241*BO241,0)</f>
        <v>0</v>
      </c>
      <c r="EQ241" s="52">
        <f>IF(C241&gt;=Summary!$E$26,DX241*BL241+DY241*BM241+DZ241*BN241+EA241*BO241,0)</f>
        <v>0</v>
      </c>
      <c r="ER241" s="826">
        <v>0</v>
      </c>
      <c r="ES241" s="278">
        <v>0</v>
      </c>
      <c r="ET241" s="278">
        <v>0</v>
      </c>
      <c r="EU241" s="278">
        <v>0</v>
      </c>
      <c r="EV241" s="212">
        <f>IF(C241&gt;=Summary!$E$26,MAX(0,SUM(ER241:EU241)),0)</f>
        <v>0</v>
      </c>
      <c r="EW241" s="52"/>
      <c r="EX241" s="1049">
        <f t="shared" si="215"/>
        <v>0</v>
      </c>
      <c r="EY241" s="1045" t="str">
        <f t="shared" si="216"/>
        <v/>
      </c>
      <c r="EZ241" s="1684" t="s">
        <v>525</v>
      </c>
      <c r="FA241" s="1046">
        <f t="shared" si="229"/>
        <v>45</v>
      </c>
      <c r="FB241" s="256">
        <f t="shared" si="217"/>
        <v>10106.1</v>
      </c>
      <c r="FC241" s="194">
        <f t="shared" si="218"/>
        <v>0</v>
      </c>
      <c r="FD241" s="194">
        <f t="shared" si="219"/>
        <v>2659.5</v>
      </c>
      <c r="FE241" s="194">
        <f t="shared" si="220"/>
        <v>0</v>
      </c>
      <c r="FF241" s="194">
        <f t="shared" si="221"/>
        <v>3191.4</v>
      </c>
      <c r="FG241" s="194">
        <f t="shared" si="222"/>
        <v>0</v>
      </c>
      <c r="FH241" s="257">
        <f>IF(EZ241="No",IF((OR(MONTH(C241)=5,MONTH(C241)=6,MONTH(C241)=7,MONTH(C241)=8,MONTH(C241)=9)),Summary!$O$15*12*(AX241+AY241+AZ241+BA241)*(1-$BC241),Summary!$O$15*13*(AX241+AY241+AZ241+BA241)*(1-$BC241)+IF(Summary!$O$16="Yes",(CALC!FA241+Summary!$O$15)*6*(AX241+AY241+AZ241+BA241)*(1-$BC241),0)),0)</f>
        <v>0</v>
      </c>
      <c r="FI241" s="1412">
        <f>IF(MONTH(C241)=5,FI240*(IF(Summary!$E$70="no",(1+(Summary!$E$71*0.8)),1+HLOOKUP(YEAR(C241)-1,CCFMODEL!$I$127:$AF$128,2)*0.8)),+FI240)</f>
        <v>41.746766959221887</v>
      </c>
      <c r="FJ241" s="1411">
        <f>IF(MONTH(C241)=5,FJ240*(IF(Summary!$E$70="no",(1+(Summary!$E$71*0.8)),1+HLOOKUP(YEAR(CALC!C241)-1,CCFMODEL!$I$127:$AF$128,2)*0.8)),FJ240)</f>
        <v>36.487331751760863</v>
      </c>
      <c r="FK241" s="832">
        <f t="shared" si="187"/>
        <v>666153.16036830365</v>
      </c>
      <c r="FL241" s="1412">
        <f>IF(MONTH(C241)=5,FL240*(IF(Summary!$E$70="no",(1+(Summary!$E$71*0.8)),1+HLOOKUP(YEAR(CALC!C241)-1,CCFMODEL!$I$127:$AF$128,2)*0.8)),+FL240)</f>
        <v>87.798131186454995</v>
      </c>
      <c r="FM241" s="1411">
        <f>IF(MONTH(C241)=5,FM240*(IF(Summary!$E$70="no",(1+(Summary!$E$71*0.8)),1+HLOOKUP(YEAR(CALC!C241)-1,CCFMODEL!$I$127:$AF$128,2)*0.8)),+FM240)</f>
        <v>41.903297768967747</v>
      </c>
      <c r="FN241" s="832">
        <f t="shared" si="188"/>
        <v>1422329.7252205708</v>
      </c>
      <c r="FO241" s="194">
        <f t="shared" si="223"/>
        <v>2088482.8855888746</v>
      </c>
      <c r="FP241" s="263">
        <f t="shared" ref="FP241:FV277" si="238">FB241</f>
        <v>10106.1</v>
      </c>
      <c r="FQ241" s="194">
        <f t="shared" si="238"/>
        <v>0</v>
      </c>
      <c r="FR241" s="194">
        <f t="shared" si="238"/>
        <v>2659.5</v>
      </c>
      <c r="FS241" s="194">
        <f t="shared" si="238"/>
        <v>0</v>
      </c>
      <c r="FT241" s="194">
        <f t="shared" si="238"/>
        <v>3191.4</v>
      </c>
      <c r="FU241" s="194">
        <f t="shared" si="238"/>
        <v>0</v>
      </c>
      <c r="FV241" s="257">
        <f t="shared" si="238"/>
        <v>0</v>
      </c>
      <c r="FW241" s="189">
        <f t="shared" si="192"/>
        <v>0</v>
      </c>
      <c r="FX241" s="189">
        <f t="shared" si="193"/>
        <v>0</v>
      </c>
      <c r="FY241" s="189">
        <f t="shared" si="194"/>
        <v>0</v>
      </c>
      <c r="FZ241" s="258">
        <f t="shared" si="195"/>
        <v>0</v>
      </c>
      <c r="GA241" s="1294">
        <f>(SUM(FP241:FV241)+SUM(GU241:HB241)/(1-Summary!$O$25))*CY241/1000</f>
        <v>197382.26071641597</v>
      </c>
      <c r="GB241" s="1369">
        <f>IF($C241&lt;Summary!$M$81,+Summary!$O$81,VLOOKUP(C241,GasTable,19))</f>
        <v>3.934940070449378</v>
      </c>
      <c r="GC241" s="1370">
        <f>IF(H241&lt;=Summary!$N$84,MIN(GA241,Summary!$O$75*(H241-G241+1)),0)</f>
        <v>0</v>
      </c>
      <c r="GD241" s="1371">
        <f>IF(C241&lt;Summary!$N$84,IF(Summary!$O$75*(H241-G241+1)*0.8&gt;GC241,1,0),0)</f>
        <v>0</v>
      </c>
      <c r="GE241" s="1372">
        <v>0</v>
      </c>
      <c r="GF241" s="1370">
        <f t="shared" si="224"/>
        <v>197382.26071641597</v>
      </c>
      <c r="GG241" s="1371">
        <f>GF241*(IF(Summary!$O$74=1,VLOOKUP($C241,GasTable,16)+Summary!$O$92+Summary!$O$93,VLOOKUP($C241,GasTable,19)+Summary!$O$92+Summary!$O$93))</f>
        <v>786970.98267223663</v>
      </c>
      <c r="GH241" s="1373">
        <v>5902.4101056740674</v>
      </c>
      <c r="GI241" s="1466">
        <v>0</v>
      </c>
      <c r="GJ241" s="1374">
        <f t="shared" si="225"/>
        <v>792873.39277791069</v>
      </c>
      <c r="GK241" s="189">
        <f t="shared" si="196"/>
        <v>25196.102999999999</v>
      </c>
      <c r="GL241" s="266">
        <v>0.51797845256000008</v>
      </c>
      <c r="GM241" s="255">
        <f t="shared" si="197"/>
        <v>0</v>
      </c>
      <c r="GN241" s="189">
        <f>IF(SUM(GU241:HB241)=0,0,IF(Summary!$O$16="Yes",SUM(GX241:HB241),IF(Summary!$O$17="Yes",SUM(GY241:HB241),SUM(GU241:HB241))))</f>
        <v>9239.1029999999992</v>
      </c>
      <c r="GO241" s="203">
        <v>4.0509829620357856</v>
      </c>
      <c r="GP241" s="258">
        <f t="shared" si="226"/>
        <v>37427.448837493706</v>
      </c>
      <c r="GQ241" s="189"/>
      <c r="GR241" s="189"/>
      <c r="GS241" s="189"/>
      <c r="GT241" s="189"/>
      <c r="GU241" s="268">
        <v>3250.7954999999988</v>
      </c>
      <c r="GV241" s="189">
        <v>855.47249999999997</v>
      </c>
      <c r="GW241" s="189">
        <v>1026.5669999999998</v>
      </c>
      <c r="GX241" s="189"/>
      <c r="GY241" s="254">
        <v>2600.6363999999999</v>
      </c>
      <c r="GZ241" s="189">
        <v>684.37800000000004</v>
      </c>
      <c r="HA241" s="189">
        <v>821.25359999999989</v>
      </c>
      <c r="HB241" s="255"/>
      <c r="HC241" s="189">
        <v>9239.1029999999992</v>
      </c>
      <c r="HD241" s="189"/>
      <c r="HE241" s="189">
        <v>21557.906999999999</v>
      </c>
      <c r="HF241" s="189">
        <v>585516.45184537896</v>
      </c>
      <c r="HG241" s="189"/>
      <c r="HH241" s="203">
        <v>65.778244994508626</v>
      </c>
      <c r="HI241" s="189">
        <v>1418041.2882148325</v>
      </c>
      <c r="HJ241" s="268">
        <f t="shared" si="198"/>
        <v>0</v>
      </c>
      <c r="HK241" s="189">
        <f t="shared" si="199"/>
        <v>0</v>
      </c>
      <c r="HL241" s="189">
        <f t="shared" si="200"/>
        <v>0</v>
      </c>
      <c r="HM241" s="255">
        <f t="shared" si="201"/>
        <v>0</v>
      </c>
      <c r="HN241" s="189">
        <f t="shared" si="202"/>
        <v>0</v>
      </c>
      <c r="HO241" s="203">
        <f t="shared" si="227"/>
        <v>0</v>
      </c>
      <c r="HP241" s="258">
        <f t="shared" si="203"/>
        <v>0</v>
      </c>
      <c r="HQ241" s="203"/>
      <c r="HR241" s="268"/>
      <c r="HS241" s="1408"/>
      <c r="HT241" s="255"/>
      <c r="HU241" s="268"/>
      <c r="HV241" s="1408"/>
      <c r="HW241" s="255"/>
      <c r="HX241" s="1408"/>
      <c r="HY241" s="1408"/>
      <c r="HZ241"/>
      <c r="IA241" s="203"/>
      <c r="IB241" s="203"/>
      <c r="IC241" s="203"/>
      <c r="ID241" s="203"/>
      <c r="IE241" s="203"/>
      <c r="IF241" s="203"/>
      <c r="IG241" s="203"/>
      <c r="IH241" s="203"/>
      <c r="II241" s="203"/>
      <c r="IJ241" s="203"/>
      <c r="IK241" s="203"/>
      <c r="IL241" s="821"/>
      <c r="IM241" s="820"/>
      <c r="IN241" s="820"/>
      <c r="IR241" s="223"/>
    </row>
    <row r="242" spans="1:252" ht="13.8" thickBot="1">
      <c r="A242" t="str">
        <f t="shared" si="204"/>
        <v>2018Q4</v>
      </c>
      <c r="B242">
        <f t="shared" si="205"/>
        <v>2018</v>
      </c>
      <c r="C242" s="49">
        <f t="shared" si="206"/>
        <v>43374</v>
      </c>
      <c r="D242" s="115">
        <f t="shared" si="207"/>
        <v>2018</v>
      </c>
      <c r="E242" s="10">
        <f t="shared" si="230"/>
        <v>10</v>
      </c>
      <c r="F242" s="248" t="str">
        <f t="shared" si="231"/>
        <v/>
      </c>
      <c r="G242" s="245">
        <v>43374</v>
      </c>
      <c r="H242" s="251">
        <v>43404</v>
      </c>
      <c r="I242" s="959">
        <f t="shared" si="228"/>
        <v>7.1499999999999994E-2</v>
      </c>
      <c r="J242" s="37">
        <f t="shared" si="208"/>
        <v>0.26447194550915187</v>
      </c>
      <c r="K242" s="1036"/>
      <c r="L242" s="37"/>
      <c r="M242" s="1004">
        <v>0</v>
      </c>
      <c r="N242" s="38">
        <f t="shared" si="235"/>
        <v>0</v>
      </c>
      <c r="O242" s="40">
        <f t="shared" si="235"/>
        <v>0</v>
      </c>
      <c r="P242" s="159">
        <f t="shared" si="234"/>
        <v>0</v>
      </c>
      <c r="Q242" s="38">
        <f t="shared" si="237"/>
        <v>0</v>
      </c>
      <c r="R242" s="40">
        <f t="shared" si="237"/>
        <v>0</v>
      </c>
      <c r="S242" s="38">
        <f t="shared" si="237"/>
        <v>0</v>
      </c>
      <c r="T242" s="38">
        <f t="shared" si="237"/>
        <v>0</v>
      </c>
      <c r="U242" s="38">
        <f t="shared" si="237"/>
        <v>0</v>
      </c>
      <c r="V242" s="159">
        <f t="shared" si="237"/>
        <v>0</v>
      </c>
      <c r="W242" s="38">
        <f t="shared" si="237"/>
        <v>0</v>
      </c>
      <c r="X242" s="39">
        <f t="shared" si="237"/>
        <v>0</v>
      </c>
      <c r="Y242" s="46">
        <v>0</v>
      </c>
      <c r="Z242" s="46">
        <v>0</v>
      </c>
      <c r="AA242" s="47">
        <v>0</v>
      </c>
      <c r="AB242" s="46">
        <v>0</v>
      </c>
      <c r="AC242" s="46">
        <v>0</v>
      </c>
      <c r="AD242" s="47">
        <v>0</v>
      </c>
      <c r="AE242" s="46">
        <v>0</v>
      </c>
      <c r="AF242" s="46">
        <v>0</v>
      </c>
      <c r="AG242" s="47">
        <v>0</v>
      </c>
      <c r="AH242" s="46">
        <v>0</v>
      </c>
      <c r="AI242" s="46">
        <v>0</v>
      </c>
      <c r="AJ242" s="47">
        <v>0</v>
      </c>
      <c r="AK242" s="46">
        <v>0</v>
      </c>
      <c r="AL242" s="46">
        <v>0</v>
      </c>
      <c r="AM242" s="47">
        <v>0</v>
      </c>
      <c r="AN242" s="46">
        <v>0</v>
      </c>
      <c r="AO242" s="46">
        <v>0</v>
      </c>
      <c r="AP242" s="47">
        <v>0</v>
      </c>
      <c r="AQ242" s="46">
        <v>0</v>
      </c>
      <c r="AR242" s="46">
        <v>0</v>
      </c>
      <c r="AS242" s="47">
        <v>0</v>
      </c>
      <c r="AT242" s="46">
        <v>0</v>
      </c>
      <c r="AU242" s="46">
        <v>0</v>
      </c>
      <c r="AV242" s="46">
        <v>0</v>
      </c>
      <c r="AW242" s="1545">
        <v>0</v>
      </c>
      <c r="AX242" s="10">
        <f t="shared" si="232"/>
        <v>23</v>
      </c>
      <c r="AY242" s="42">
        <f>IF(AND($E242=MONTH(Summary!$E$24),$D242=YEAR(Summary!$E$24)),Summary!$E$25,1)*IF(G242="",0,INT((H242-MOD(H242,7)-G242)/7)+1-IF(BA242,IF(WEEKDAY(F242)=7,1,0),0))</f>
        <v>4</v>
      </c>
      <c r="AZ242" s="42">
        <f>IF(AND($E242=MONTH(Summary!$E$24),$D242=YEAR(Summary!$E$24)),Summary!$E$25,1)*IF(G242="",0,INT((H242-MOD(H242-1,7)-G242)/7)+1-IF(BA242,IF(WEEKDAY(F242)=1,1,0),0))</f>
        <v>4</v>
      </c>
      <c r="BA242" s="42">
        <v>0</v>
      </c>
      <c r="BB242" s="10">
        <f>IF(AND($E242=MONTH(Summary!$E$24),$D242=YEAR(Summary!$E$24)),Summary!$E$25,1)*IF(G242="",0,H242-G242+1)</f>
        <v>31</v>
      </c>
      <c r="BC242" s="914">
        <f>Summary!$E$19</f>
        <v>1.4999999999999999E-2</v>
      </c>
      <c r="BD242" s="113">
        <v>16311.6</v>
      </c>
      <c r="BE242" s="171">
        <v>2836.8</v>
      </c>
      <c r="BF242" s="171">
        <v>2836.8</v>
      </c>
      <c r="BG242" s="174"/>
      <c r="BH242" s="1198">
        <v>1</v>
      </c>
      <c r="BI242" s="1198">
        <v>1</v>
      </c>
      <c r="BJ242" s="1198">
        <v>1</v>
      </c>
      <c r="BK242" s="1198">
        <v>1</v>
      </c>
      <c r="BL242" s="95">
        <v>3262.32</v>
      </c>
      <c r="BM242" s="171">
        <v>567.36</v>
      </c>
      <c r="BN242" s="171">
        <v>567.36</v>
      </c>
      <c r="BO242" s="174"/>
      <c r="BP242" s="1198">
        <v>1</v>
      </c>
      <c r="BQ242" s="1199">
        <v>1</v>
      </c>
      <c r="BR242" s="1199">
        <v>1</v>
      </c>
      <c r="BS242" s="1200">
        <v>1</v>
      </c>
      <c r="BT242" s="94">
        <f t="shared" si="209"/>
        <v>21985.200000000001</v>
      </c>
      <c r="BU242" s="233">
        <f t="shared" si="210"/>
        <v>21985.200000000001</v>
      </c>
      <c r="BV242" s="92">
        <f t="shared" si="211"/>
        <v>4397.04</v>
      </c>
      <c r="BW242" s="233">
        <f t="shared" si="212"/>
        <v>4397.04</v>
      </c>
      <c r="BX242" s="88">
        <v>18.795345653661876</v>
      </c>
      <c r="BY242" s="90">
        <v>0</v>
      </c>
      <c r="BZ242" s="88">
        <v>0</v>
      </c>
      <c r="CA242" s="88">
        <v>0</v>
      </c>
      <c r="CB242" s="88">
        <v>0</v>
      </c>
      <c r="CC242" s="88">
        <v>0</v>
      </c>
      <c r="CD242" s="88">
        <v>0</v>
      </c>
      <c r="CE242" s="100">
        <v>0</v>
      </c>
      <c r="CF242" s="88">
        <v>0</v>
      </c>
      <c r="CG242" s="88">
        <v>0</v>
      </c>
      <c r="CH242" s="88">
        <v>0</v>
      </c>
      <c r="CI242" s="88">
        <v>0</v>
      </c>
      <c r="CJ242" s="228">
        <v>0</v>
      </c>
      <c r="CK242" s="88">
        <v>0</v>
      </c>
      <c r="CL242" s="88">
        <v>0</v>
      </c>
      <c r="CM242" s="88">
        <v>0</v>
      </c>
      <c r="CN242" s="88">
        <v>0</v>
      </c>
      <c r="CO242" s="88">
        <v>0</v>
      </c>
      <c r="CP242" s="88">
        <v>0</v>
      </c>
      <c r="CQ242" s="229">
        <v>0</v>
      </c>
      <c r="CR242" s="91">
        <v>0</v>
      </c>
      <c r="CS242" s="91">
        <v>0</v>
      </c>
      <c r="CT242" s="91">
        <v>0</v>
      </c>
      <c r="CU242" s="91">
        <v>0</v>
      </c>
      <c r="CV242" s="91">
        <v>0</v>
      </c>
      <c r="CW242" s="91">
        <v>0</v>
      </c>
      <c r="CX242" s="225">
        <v>0</v>
      </c>
      <c r="CY242" s="1265">
        <v>7733.0526399999999</v>
      </c>
      <c r="CZ242" s="90">
        <v>0</v>
      </c>
      <c r="DA242" s="88">
        <v>0</v>
      </c>
      <c r="DB242" s="88">
        <v>0</v>
      </c>
      <c r="DC242" s="88">
        <v>0</v>
      </c>
      <c r="DD242" s="88">
        <v>0</v>
      </c>
      <c r="DE242" s="152">
        <v>0</v>
      </c>
      <c r="DF242" s="230">
        <v>0</v>
      </c>
      <c r="DG242" s="38">
        <v>0</v>
      </c>
      <c r="DH242" s="1237">
        <v>0</v>
      </c>
      <c r="DI242" s="956">
        <v>0</v>
      </c>
      <c r="DJ242" s="956">
        <v>0</v>
      </c>
      <c r="DK242" s="956">
        <v>0</v>
      </c>
      <c r="DL242" s="152">
        <v>0</v>
      </c>
      <c r="DM242" s="160">
        <v>0</v>
      </c>
      <c r="DN242" s="160">
        <v>0</v>
      </c>
      <c r="DO242" s="160">
        <v>0</v>
      </c>
      <c r="DP242" s="160">
        <v>0</v>
      </c>
      <c r="DQ242" s="160">
        <v>0</v>
      </c>
      <c r="DR242" s="230">
        <v>0</v>
      </c>
      <c r="DS242" s="88">
        <v>0</v>
      </c>
      <c r="DT242" s="88">
        <v>0</v>
      </c>
      <c r="DU242" s="88">
        <v>0</v>
      </c>
      <c r="DV242" s="88">
        <v>0</v>
      </c>
      <c r="DW242" s="88">
        <v>0</v>
      </c>
      <c r="DX242" s="88">
        <v>0</v>
      </c>
      <c r="DY242" s="88">
        <v>0</v>
      </c>
      <c r="DZ242" s="88">
        <v>0</v>
      </c>
      <c r="EA242" s="88">
        <v>0</v>
      </c>
      <c r="EB242" s="152">
        <v>0</v>
      </c>
      <c r="EC242" s="52">
        <f t="shared" si="213"/>
        <v>0</v>
      </c>
      <c r="ED242" s="52">
        <f t="shared" si="213"/>
        <v>0</v>
      </c>
      <c r="EE242" s="52">
        <f t="shared" si="213"/>
        <v>0</v>
      </c>
      <c r="EF242" s="52">
        <f t="shared" si="186"/>
        <v>0</v>
      </c>
      <c r="EG242" s="52">
        <f t="shared" si="214"/>
        <v>0</v>
      </c>
      <c r="EH242" s="238">
        <v>0</v>
      </c>
      <c r="EI242" s="211">
        <v>0</v>
      </c>
      <c r="EJ242" s="211">
        <v>0</v>
      </c>
      <c r="EK242" s="211">
        <v>0</v>
      </c>
      <c r="EL242" s="217">
        <f>IF(C242&gt;=Summary!$E$26,MAX(0,SUM(EH242:EK242)),0)</f>
        <v>0</v>
      </c>
      <c r="EM242" s="52">
        <f>IF(C242&gt;=Summary!$E$26,DX242*BL242,0)</f>
        <v>0</v>
      </c>
      <c r="EN242" s="52">
        <f>IF(C242&gt;=Summary!$E$26,DY242*BM242,0)</f>
        <v>0</v>
      </c>
      <c r="EO242" s="52">
        <f>IF(C242&gt;=Summary!$E$26,DZ242*BN242,0)</f>
        <v>0</v>
      </c>
      <c r="EP242" s="52">
        <f>IF(C242&gt;=Summary!$E$26,EA242*BO242,0)</f>
        <v>0</v>
      </c>
      <c r="EQ242" s="52">
        <f>IF(C242&gt;=Summary!$E$26,DX242*BL242+DY242*BM242+DZ242*BN242+EA242*BO242,0)</f>
        <v>0</v>
      </c>
      <c r="ER242" s="826">
        <v>0</v>
      </c>
      <c r="ES242" s="278">
        <v>0</v>
      </c>
      <c r="ET242" s="278">
        <v>0</v>
      </c>
      <c r="EU242" s="278">
        <v>0</v>
      </c>
      <c r="EV242" s="212">
        <f>IF(C242&gt;=Summary!$E$26,MAX(0,SUM(ER242:EU242)),0)</f>
        <v>0</v>
      </c>
      <c r="EW242" s="52"/>
      <c r="EX242" s="1049">
        <f t="shared" si="215"/>
        <v>0</v>
      </c>
      <c r="EY242" s="1045" t="str">
        <f t="shared" si="216"/>
        <v/>
      </c>
      <c r="EZ242" s="1684" t="s">
        <v>525</v>
      </c>
      <c r="FA242" s="1046">
        <f t="shared" si="229"/>
        <v>45</v>
      </c>
      <c r="FB242" s="256">
        <f t="shared" si="217"/>
        <v>10194.75</v>
      </c>
      <c r="FC242" s="194">
        <f t="shared" si="218"/>
        <v>3058.4250000000002</v>
      </c>
      <c r="FD242" s="194">
        <f t="shared" si="219"/>
        <v>1773</v>
      </c>
      <c r="FE242" s="194">
        <f t="shared" si="220"/>
        <v>531.9</v>
      </c>
      <c r="FF242" s="194">
        <f t="shared" si="221"/>
        <v>1773</v>
      </c>
      <c r="FG242" s="194">
        <f t="shared" si="222"/>
        <v>531.9</v>
      </c>
      <c r="FH242" s="257">
        <f>IF(EZ242="No",IF((OR(MONTH(C242)=5,MONTH(C242)=6,MONTH(C242)=7,MONTH(C242)=8,MONTH(C242)=9)),Summary!$O$15*12*(AX242+AY242+AZ242+BA242)*(1-$BC242),Summary!$O$15*13*(AX242+AY242+AZ242+BA242)*(1-$BC242)+IF(Summary!$O$16="Yes",(CALC!FA242+Summary!$O$15)*6*(AX242+AY242+AZ242+BA242)*(1-$BC242),0)),0)</f>
        <v>0</v>
      </c>
      <c r="FI242" s="1412">
        <f>IF(MONTH(C242)=5,FI241*(IF(Summary!$E$70="no",(1+(Summary!$E$71*0.8)),1+HLOOKUP(YEAR(C242)-1,CCFMODEL!$I$127:$AF$128,2)*0.8)),+FI241)</f>
        <v>41.746766959221887</v>
      </c>
      <c r="FJ242" s="1411">
        <f>IF(MONTH(C242)=5,FJ241*(IF(Summary!$E$70="no",(1+(Summary!$E$71*0.8)),1+HLOOKUP(YEAR(CALC!C242)-1,CCFMODEL!$I$127:$AF$128,2)*0.8)),FJ241)</f>
        <v>36.487331751760863</v>
      </c>
      <c r="FK242" s="832">
        <f t="shared" si="187"/>
        <v>745721.45452340657</v>
      </c>
      <c r="FL242" s="1412">
        <f>IF(MONTH(C242)=5,FL241*(IF(Summary!$E$70="no",(1+(Summary!$E$71*0.8)),1+HLOOKUP(YEAR(CALC!C242)-1,CCFMODEL!$I$127:$AF$128,2)*0.8)),+FL241)</f>
        <v>87.798131186454995</v>
      </c>
      <c r="FM242" s="1411">
        <f>IF(MONTH(C242)=5,FM241*(IF(Summary!$E$70="no",(1+(Summary!$E$71*0.8)),1+HLOOKUP(YEAR(CALC!C242)-1,CCFMODEL!$I$127:$AF$128,2)*0.8)),+FM241)</f>
        <v>41.903297768967747</v>
      </c>
      <c r="FN242" s="832">
        <f t="shared" si="188"/>
        <v>759916.30504023004</v>
      </c>
      <c r="FO242" s="194">
        <f t="shared" si="223"/>
        <v>1505637.7595636365</v>
      </c>
      <c r="FP242" s="263">
        <f t="shared" si="238"/>
        <v>10194.75</v>
      </c>
      <c r="FQ242" s="194">
        <f t="shared" si="238"/>
        <v>3058.4250000000002</v>
      </c>
      <c r="FR242" s="194">
        <f t="shared" si="238"/>
        <v>1773</v>
      </c>
      <c r="FS242" s="194">
        <f t="shared" si="238"/>
        <v>531.9</v>
      </c>
      <c r="FT242" s="194">
        <f t="shared" si="238"/>
        <v>1773</v>
      </c>
      <c r="FU242" s="194">
        <f t="shared" si="238"/>
        <v>531.9</v>
      </c>
      <c r="FV242" s="257">
        <f t="shared" si="238"/>
        <v>0</v>
      </c>
      <c r="FW242" s="189">
        <f t="shared" si="192"/>
        <v>0</v>
      </c>
      <c r="FX242" s="189">
        <f t="shared" si="193"/>
        <v>0</v>
      </c>
      <c r="FY242" s="189">
        <f t="shared" si="194"/>
        <v>0</v>
      </c>
      <c r="FZ242" s="258">
        <f t="shared" si="195"/>
        <v>0</v>
      </c>
      <c r="GA242" s="1294">
        <f>(SUM(FP242:FV242)+SUM(GU242:HB242)/(1-Summary!$O$25))*CY242/1000</f>
        <v>235892.63360003757</v>
      </c>
      <c r="GB242" s="1369">
        <f>IF($C242&lt;Summary!$M$81,+Summary!$O$81,VLOOKUP(C242,GasTable,19))</f>
        <v>4.1098065123328711</v>
      </c>
      <c r="GC242" s="1370">
        <f>IF(H242&lt;=Summary!$N$84,MIN(GA242,Summary!$O$75*(H242-G242+1)),0)</f>
        <v>0</v>
      </c>
      <c r="GD242" s="1371">
        <f>IF(C242&lt;Summary!$N$84,IF(Summary!$O$75*(H242-G242+1)*0.8&gt;GC242,1,0),0)</f>
        <v>0</v>
      </c>
      <c r="GE242" s="1372">
        <v>0</v>
      </c>
      <c r="GF242" s="1370">
        <f t="shared" si="224"/>
        <v>235892.63360003757</v>
      </c>
      <c r="GG242" s="1371">
        <f>GF242*(IF(Summary!$O$74=1,VLOOKUP($C242,GasTable,16)+Summary!$O$92+Summary!$O$93,VLOOKUP($C242,GasTable,19)+Summary!$O$92+Summary!$O$93))</f>
        <v>981763.08799134823</v>
      </c>
      <c r="GH242" s="1373">
        <v>6370.2000941159504</v>
      </c>
      <c r="GI242" s="1466">
        <v>0</v>
      </c>
      <c r="GJ242" s="1374">
        <f t="shared" si="225"/>
        <v>988133.28808546416</v>
      </c>
      <c r="GK242" s="189">
        <f t="shared" si="196"/>
        <v>30062.012849999999</v>
      </c>
      <c r="GL242" s="266">
        <v>0.51811452687999993</v>
      </c>
      <c r="GM242" s="255">
        <f t="shared" si="197"/>
        <v>0</v>
      </c>
      <c r="GN242" s="189">
        <f>IF(SUM(GU242:HB242)=0,0,IF(Summary!$O$16="Yes",SUM(GX242:HB242),IF(Summary!$O$17="Yes",SUM(GY242:HB242),SUM(GU242:HB242))))</f>
        <v>12199.037849999999</v>
      </c>
      <c r="GO242" s="203">
        <v>4.0509829620357856</v>
      </c>
      <c r="GP242" s="258">
        <f t="shared" si="226"/>
        <v>49418.094483579654</v>
      </c>
      <c r="GQ242" s="189"/>
      <c r="GR242" s="189"/>
      <c r="GS242" s="189"/>
      <c r="GT242" s="189"/>
      <c r="GU242" s="268">
        <v>5902.7602500000003</v>
      </c>
      <c r="GV242" s="189">
        <v>1026.5670000000002</v>
      </c>
      <c r="GW242" s="189">
        <v>1026.5670000000002</v>
      </c>
      <c r="GX242" s="189"/>
      <c r="GY242" s="254">
        <v>3148.1388000000002</v>
      </c>
      <c r="GZ242" s="189">
        <v>547.50239999999997</v>
      </c>
      <c r="HA242" s="189">
        <v>547.50239999999997</v>
      </c>
      <c r="HB242" s="255"/>
      <c r="HC242" s="189">
        <v>12199.037849999999</v>
      </c>
      <c r="HD242" s="189"/>
      <c r="HE242" s="189">
        <v>20950.521524999996</v>
      </c>
      <c r="HF242" s="189">
        <v>679319.37572848331</v>
      </c>
      <c r="HG242" s="189"/>
      <c r="HH242" s="203">
        <v>54.80554771118296</v>
      </c>
      <c r="HI242" s="189">
        <v>1148204.8070125529</v>
      </c>
      <c r="HJ242" s="268">
        <f t="shared" si="198"/>
        <v>0</v>
      </c>
      <c r="HK242" s="189">
        <f t="shared" si="199"/>
        <v>0</v>
      </c>
      <c r="HL242" s="189">
        <f t="shared" si="200"/>
        <v>0</v>
      </c>
      <c r="HM242" s="255">
        <f t="shared" si="201"/>
        <v>0</v>
      </c>
      <c r="HN242" s="189">
        <f t="shared" si="202"/>
        <v>0</v>
      </c>
      <c r="HO242" s="203">
        <f t="shared" si="227"/>
        <v>0</v>
      </c>
      <c r="HP242" s="258">
        <f t="shared" si="203"/>
        <v>0</v>
      </c>
      <c r="HQ242" s="203"/>
      <c r="HR242" s="268"/>
      <c r="HS242" s="1408"/>
      <c r="HT242" s="255"/>
      <c r="HU242" s="268"/>
      <c r="HV242" s="1408"/>
      <c r="HW242" s="255"/>
      <c r="HX242" s="1408"/>
      <c r="HY242" s="1408"/>
      <c r="HZ242"/>
      <c r="IA242" s="203"/>
      <c r="IB242" s="203"/>
      <c r="IC242" s="203"/>
      <c r="ID242" s="203"/>
      <c r="IE242" s="203"/>
      <c r="IF242" s="203"/>
      <c r="IG242" s="203"/>
      <c r="IH242" s="203"/>
      <c r="II242" s="203"/>
      <c r="IJ242" s="203"/>
      <c r="IK242" s="203"/>
      <c r="IL242" s="821"/>
      <c r="IM242" s="820"/>
      <c r="IN242" s="820"/>
      <c r="IR242" s="223"/>
    </row>
    <row r="243" spans="1:252" ht="13.8" thickBot="1">
      <c r="A243" t="str">
        <f t="shared" si="204"/>
        <v>2018Q4</v>
      </c>
      <c r="B243">
        <f t="shared" si="205"/>
        <v>2018</v>
      </c>
      <c r="C243" s="49">
        <f t="shared" si="206"/>
        <v>43405</v>
      </c>
      <c r="D243" s="115">
        <f t="shared" si="207"/>
        <v>2018</v>
      </c>
      <c r="E243" s="10">
        <f t="shared" si="230"/>
        <v>11</v>
      </c>
      <c r="F243" s="248">
        <f t="shared" si="231"/>
        <v>43426</v>
      </c>
      <c r="G243" s="245">
        <v>43405</v>
      </c>
      <c r="H243" s="251">
        <v>43434</v>
      </c>
      <c r="I243" s="959">
        <f t="shared" si="228"/>
        <v>7.1499999999999994E-2</v>
      </c>
      <c r="J243" s="37">
        <f t="shared" si="208"/>
        <v>0.26295029640645401</v>
      </c>
      <c r="K243" s="1036"/>
      <c r="L243" s="37"/>
      <c r="M243" s="1004">
        <v>0</v>
      </c>
      <c r="N243" s="38">
        <f t="shared" si="235"/>
        <v>0</v>
      </c>
      <c r="O243" s="40">
        <f t="shared" si="235"/>
        <v>0</v>
      </c>
      <c r="P243" s="159">
        <f t="shared" si="234"/>
        <v>0</v>
      </c>
      <c r="Q243" s="38">
        <f t="shared" si="237"/>
        <v>0</v>
      </c>
      <c r="R243" s="40">
        <f t="shared" si="237"/>
        <v>0</v>
      </c>
      <c r="S243" s="38">
        <f t="shared" si="237"/>
        <v>0</v>
      </c>
      <c r="T243" s="38">
        <f t="shared" si="237"/>
        <v>0</v>
      </c>
      <c r="U243" s="38">
        <f t="shared" si="237"/>
        <v>0</v>
      </c>
      <c r="V243" s="159">
        <f t="shared" si="237"/>
        <v>0</v>
      </c>
      <c r="W243" s="38">
        <f t="shared" si="237"/>
        <v>0</v>
      </c>
      <c r="X243" s="39">
        <f t="shared" si="237"/>
        <v>0</v>
      </c>
      <c r="Y243" s="46">
        <v>0</v>
      </c>
      <c r="Z243" s="46">
        <v>0</v>
      </c>
      <c r="AA243" s="47">
        <v>0</v>
      </c>
      <c r="AB243" s="46">
        <v>0</v>
      </c>
      <c r="AC243" s="46">
        <v>0</v>
      </c>
      <c r="AD243" s="47">
        <v>0</v>
      </c>
      <c r="AE243" s="46">
        <v>0</v>
      </c>
      <c r="AF243" s="46">
        <v>0</v>
      </c>
      <c r="AG243" s="47">
        <v>0</v>
      </c>
      <c r="AH243" s="46">
        <v>0</v>
      </c>
      <c r="AI243" s="46">
        <v>0</v>
      </c>
      <c r="AJ243" s="47">
        <v>0</v>
      </c>
      <c r="AK243" s="46">
        <v>0</v>
      </c>
      <c r="AL243" s="46">
        <v>0</v>
      </c>
      <c r="AM243" s="47">
        <v>0</v>
      </c>
      <c r="AN243" s="46">
        <v>0</v>
      </c>
      <c r="AO243" s="46">
        <v>0</v>
      </c>
      <c r="AP243" s="47">
        <v>0</v>
      </c>
      <c r="AQ243" s="46">
        <v>0</v>
      </c>
      <c r="AR243" s="46">
        <v>0</v>
      </c>
      <c r="AS243" s="47">
        <v>0</v>
      </c>
      <c r="AT243" s="46">
        <v>0</v>
      </c>
      <c r="AU243" s="46">
        <v>0</v>
      </c>
      <c r="AV243" s="46">
        <v>0</v>
      </c>
      <c r="AW243" s="1545">
        <v>0</v>
      </c>
      <c r="AX243" s="10">
        <f t="shared" si="232"/>
        <v>21</v>
      </c>
      <c r="AY243" s="42">
        <f>IF(AND($E243=MONTH(Summary!$E$24),$D243=YEAR(Summary!$E$24)),Summary!$E$25,1)*IF(G243="",0,INT((H243-MOD(H243,7)-G243)/7)+1-IF(BA243,IF(WEEKDAY(F243)=7,1,0),0))</f>
        <v>4</v>
      </c>
      <c r="AZ243" s="42">
        <f>IF(AND($E243=MONTH(Summary!$E$24),$D243=YEAR(Summary!$E$24)),Summary!$E$25,1)*IF(G243="",0,INT((H243-MOD(H243-1,7)-G243)/7)+1-IF(BA243,IF(WEEKDAY(F243)=1,1,0),0))</f>
        <v>4</v>
      </c>
      <c r="BA243" s="42">
        <v>1</v>
      </c>
      <c r="BB243" s="10">
        <f>IF(AND($E243=MONTH(Summary!$E$24),$D243=YEAR(Summary!$E$24)),Summary!$E$25,1)*IF(G243="",0,H243-G243+1)</f>
        <v>30</v>
      </c>
      <c r="BC243" s="914">
        <f>Summary!$E$19</f>
        <v>1.4999999999999999E-2</v>
      </c>
      <c r="BD243" s="113">
        <v>14893.2</v>
      </c>
      <c r="BE243" s="171">
        <v>2836.8</v>
      </c>
      <c r="BF243" s="171">
        <v>3546</v>
      </c>
      <c r="BG243" s="174"/>
      <c r="BH243" s="1198">
        <v>1</v>
      </c>
      <c r="BI243" s="1198">
        <v>1</v>
      </c>
      <c r="BJ243" s="1198">
        <v>1</v>
      </c>
      <c r="BK243" s="1198">
        <v>1</v>
      </c>
      <c r="BL243" s="95">
        <v>2978.64</v>
      </c>
      <c r="BM243" s="171">
        <v>567.36</v>
      </c>
      <c r="BN243" s="171">
        <v>709.2</v>
      </c>
      <c r="BO243" s="174"/>
      <c r="BP243" s="1198">
        <v>1</v>
      </c>
      <c r="BQ243" s="1199">
        <v>1</v>
      </c>
      <c r="BR243" s="1199">
        <v>1</v>
      </c>
      <c r="BS243" s="1200">
        <v>1</v>
      </c>
      <c r="BT243" s="94">
        <f t="shared" si="209"/>
        <v>21276</v>
      </c>
      <c r="BU243" s="233">
        <f t="shared" si="210"/>
        <v>21276</v>
      </c>
      <c r="BV243" s="92">
        <f t="shared" si="211"/>
        <v>4255.2</v>
      </c>
      <c r="BW243" s="233">
        <f t="shared" si="212"/>
        <v>4255.2</v>
      </c>
      <c r="BX243" s="88">
        <v>18.880219028062971</v>
      </c>
      <c r="BY243" s="90">
        <v>0</v>
      </c>
      <c r="BZ243" s="88">
        <v>0</v>
      </c>
      <c r="CA243" s="88">
        <v>0</v>
      </c>
      <c r="CB243" s="88">
        <v>0</v>
      </c>
      <c r="CC243" s="88">
        <v>0</v>
      </c>
      <c r="CD243" s="88">
        <v>0</v>
      </c>
      <c r="CE243" s="100">
        <v>0</v>
      </c>
      <c r="CF243" s="88">
        <v>0</v>
      </c>
      <c r="CG243" s="88">
        <v>0</v>
      </c>
      <c r="CH243" s="88">
        <v>0</v>
      </c>
      <c r="CI243" s="88">
        <v>0</v>
      </c>
      <c r="CJ243" s="228">
        <v>0</v>
      </c>
      <c r="CK243" s="88">
        <v>0</v>
      </c>
      <c r="CL243" s="88">
        <v>0</v>
      </c>
      <c r="CM243" s="88">
        <v>0</v>
      </c>
      <c r="CN243" s="88">
        <v>0</v>
      </c>
      <c r="CO243" s="88">
        <v>0</v>
      </c>
      <c r="CP243" s="88">
        <v>0</v>
      </c>
      <c r="CQ243" s="229">
        <v>0</v>
      </c>
      <c r="CR243" s="91">
        <v>0</v>
      </c>
      <c r="CS243" s="91">
        <v>0</v>
      </c>
      <c r="CT243" s="91">
        <v>0</v>
      </c>
      <c r="CU243" s="91">
        <v>0</v>
      </c>
      <c r="CV243" s="91">
        <v>0</v>
      </c>
      <c r="CW243" s="91">
        <v>0</v>
      </c>
      <c r="CX243" s="225">
        <v>0</v>
      </c>
      <c r="CY243" s="1265">
        <v>7735.083599999999</v>
      </c>
      <c r="CZ243" s="90">
        <v>0</v>
      </c>
      <c r="DA243" s="88">
        <v>0</v>
      </c>
      <c r="DB243" s="88">
        <v>0</v>
      </c>
      <c r="DC243" s="88">
        <v>0</v>
      </c>
      <c r="DD243" s="88">
        <v>0</v>
      </c>
      <c r="DE243" s="152">
        <v>0</v>
      </c>
      <c r="DF243" s="230">
        <v>0</v>
      </c>
      <c r="DG243" s="38">
        <v>0</v>
      </c>
      <c r="DH243" s="1237">
        <v>0</v>
      </c>
      <c r="DI243" s="956">
        <v>0</v>
      </c>
      <c r="DJ243" s="956">
        <v>0</v>
      </c>
      <c r="DK243" s="956">
        <v>0</v>
      </c>
      <c r="DL243" s="152">
        <v>0</v>
      </c>
      <c r="DM243" s="160">
        <v>0</v>
      </c>
      <c r="DN243" s="160">
        <v>0</v>
      </c>
      <c r="DO243" s="160">
        <v>0</v>
      </c>
      <c r="DP243" s="160">
        <v>0</v>
      </c>
      <c r="DQ243" s="160">
        <v>0</v>
      </c>
      <c r="DR243" s="230">
        <v>0</v>
      </c>
      <c r="DS243" s="88">
        <v>0</v>
      </c>
      <c r="DT243" s="88">
        <v>0</v>
      </c>
      <c r="DU243" s="88">
        <v>0</v>
      </c>
      <c r="DV243" s="88">
        <v>0</v>
      </c>
      <c r="DW243" s="88">
        <v>0</v>
      </c>
      <c r="DX243" s="88">
        <v>0</v>
      </c>
      <c r="DY243" s="88">
        <v>0</v>
      </c>
      <c r="DZ243" s="88">
        <v>0</v>
      </c>
      <c r="EA243" s="88">
        <v>0</v>
      </c>
      <c r="EB243" s="152">
        <v>0</v>
      </c>
      <c r="EC243" s="52">
        <f t="shared" si="213"/>
        <v>0</v>
      </c>
      <c r="ED243" s="52">
        <f t="shared" si="213"/>
        <v>0</v>
      </c>
      <c r="EE243" s="52">
        <f t="shared" si="213"/>
        <v>0</v>
      </c>
      <c r="EF243" s="52">
        <f t="shared" si="186"/>
        <v>0</v>
      </c>
      <c r="EG243" s="52">
        <f t="shared" si="214"/>
        <v>0</v>
      </c>
      <c r="EH243" s="238">
        <v>0</v>
      </c>
      <c r="EI243" s="211">
        <v>0</v>
      </c>
      <c r="EJ243" s="211">
        <v>0</v>
      </c>
      <c r="EK243" s="211">
        <v>0</v>
      </c>
      <c r="EL243" s="217">
        <f>IF(C243&gt;=Summary!$E$26,MAX(0,SUM(EH243:EK243)),0)</f>
        <v>0</v>
      </c>
      <c r="EM243" s="52">
        <f>IF(C243&gt;=Summary!$E$26,DX243*BL243,0)</f>
        <v>0</v>
      </c>
      <c r="EN243" s="52">
        <f>IF(C243&gt;=Summary!$E$26,DY243*BM243,0)</f>
        <v>0</v>
      </c>
      <c r="EO243" s="52">
        <f>IF(C243&gt;=Summary!$E$26,DZ243*BN243,0)</f>
        <v>0</v>
      </c>
      <c r="EP243" s="52">
        <f>IF(C243&gt;=Summary!$E$26,EA243*BO243,0)</f>
        <v>0</v>
      </c>
      <c r="EQ243" s="52">
        <f>IF(C243&gt;=Summary!$E$26,DX243*BL243+DY243*BM243+DZ243*BN243+EA243*BO243,0)</f>
        <v>0</v>
      </c>
      <c r="ER243" s="826">
        <v>0</v>
      </c>
      <c r="ES243" s="278">
        <v>0</v>
      </c>
      <c r="ET243" s="278">
        <v>0</v>
      </c>
      <c r="EU243" s="278">
        <v>0</v>
      </c>
      <c r="EV243" s="212">
        <f>IF(C243&gt;=Summary!$E$26,MAX(0,SUM(ER243:EU243)),0)</f>
        <v>0</v>
      </c>
      <c r="EW243" s="52"/>
      <c r="EX243" s="1049">
        <f t="shared" si="215"/>
        <v>0</v>
      </c>
      <c r="EY243" s="1045" t="str">
        <f t="shared" si="216"/>
        <v/>
      </c>
      <c r="EZ243" s="1684" t="s">
        <v>525</v>
      </c>
      <c r="FA243" s="1046">
        <f t="shared" si="229"/>
        <v>45</v>
      </c>
      <c r="FB243" s="256">
        <f t="shared" si="217"/>
        <v>9308.25</v>
      </c>
      <c r="FC243" s="194">
        <f t="shared" si="218"/>
        <v>2792.4749999999999</v>
      </c>
      <c r="FD243" s="194">
        <f t="shared" si="219"/>
        <v>1773</v>
      </c>
      <c r="FE243" s="194">
        <f t="shared" si="220"/>
        <v>531.9</v>
      </c>
      <c r="FF243" s="194">
        <f t="shared" si="221"/>
        <v>2216.25</v>
      </c>
      <c r="FG243" s="194">
        <f t="shared" si="222"/>
        <v>664.875</v>
      </c>
      <c r="FH243" s="257">
        <f>IF(EZ243="No",IF((OR(MONTH(C243)=5,MONTH(C243)=6,MONTH(C243)=7,MONTH(C243)=8,MONTH(C243)=9)),Summary!$O$15*12*(AX243+AY243+AZ243+BA243)*(1-$BC243),Summary!$O$15*13*(AX243+AY243+AZ243+BA243)*(1-$BC243)+IF(Summary!$O$16="Yes",(CALC!FA243+Summary!$O$15)*6*(AX243+AY243+AZ243+BA243)*(1-$BC243),0)),0)</f>
        <v>0</v>
      </c>
      <c r="FI243" s="1412">
        <f>IF(MONTH(C243)=5,FI242*(IF(Summary!$E$70="no",(1+(Summary!$E$71*0.8)),1+HLOOKUP(YEAR(C243)-1,CCFMODEL!$I$127:$AF$128,2)*0.8)),+FI242)</f>
        <v>41.746766959221887</v>
      </c>
      <c r="FJ243" s="1411">
        <f>IF(MONTH(C243)=5,FJ242*(IF(Summary!$E$70="no",(1+(Summary!$E$71*0.8)),1+HLOOKUP(YEAR(CALC!C243)-1,CCFMODEL!$I$127:$AF$128,2)*0.8)),FJ242)</f>
        <v>36.487331751760863</v>
      </c>
      <c r="FK243" s="832">
        <f t="shared" si="187"/>
        <v>721665.92373232893</v>
      </c>
      <c r="FL243" s="1412">
        <f>IF(MONTH(C243)=5,FL242*(IF(Summary!$E$70="no",(1+(Summary!$E$71*0.8)),1+HLOOKUP(YEAR(CALC!C243)-1,CCFMODEL!$I$127:$AF$128,2)*0.8)),+FL242)</f>
        <v>87.798131186454995</v>
      </c>
      <c r="FM243" s="1411">
        <f>IF(MONTH(C243)=5,FM242*(IF(Summary!$E$70="no",(1+(Summary!$E$71*0.8)),1+HLOOKUP(YEAR(CALC!C243)-1,CCFMODEL!$I$127:$AF$128,2)*0.8)),+FM242)</f>
        <v>41.903297768967747</v>
      </c>
      <c r="FN243" s="832">
        <f t="shared" si="188"/>
        <v>735402.87584538397</v>
      </c>
      <c r="FO243" s="194">
        <f t="shared" si="223"/>
        <v>1457068.799577713</v>
      </c>
      <c r="FP243" s="263">
        <f t="shared" si="238"/>
        <v>9308.25</v>
      </c>
      <c r="FQ243" s="194">
        <f t="shared" si="238"/>
        <v>2792.4749999999999</v>
      </c>
      <c r="FR243" s="194">
        <f t="shared" si="238"/>
        <v>1773</v>
      </c>
      <c r="FS243" s="194">
        <f t="shared" si="238"/>
        <v>531.9</v>
      </c>
      <c r="FT243" s="194">
        <f t="shared" si="238"/>
        <v>2216.25</v>
      </c>
      <c r="FU243" s="194">
        <f t="shared" si="238"/>
        <v>664.875</v>
      </c>
      <c r="FV243" s="257">
        <f t="shared" si="238"/>
        <v>0</v>
      </c>
      <c r="FW243" s="189">
        <f t="shared" si="192"/>
        <v>0</v>
      </c>
      <c r="FX243" s="189">
        <f t="shared" si="193"/>
        <v>0</v>
      </c>
      <c r="FY243" s="189">
        <f t="shared" si="194"/>
        <v>0</v>
      </c>
      <c r="FZ243" s="258">
        <f t="shared" si="195"/>
        <v>0</v>
      </c>
      <c r="GA243" s="1294">
        <f>(SUM(FP243:FV243)+SUM(GU243:HB243)/(1-Summary!$O$25))*CY243/1000</f>
        <v>228343.14865962</v>
      </c>
      <c r="GB243" s="1369">
        <f>IF($C243&lt;Summary!$M$81,+Summary!$O$81,VLOOKUP(C243,GasTable,19))</f>
        <v>4.2822423169491231</v>
      </c>
      <c r="GC243" s="1370">
        <f>IF(H243&lt;=Summary!$N$84,MIN(GA243,Summary!$O$75*(H243-G243+1)),0)</f>
        <v>0</v>
      </c>
      <c r="GD243" s="1371">
        <f>IF(C243&lt;Summary!$N$84,IF(Summary!$O$75*(H243-G243+1)*0.8&gt;GC243,1,0),0)</f>
        <v>0</v>
      </c>
      <c r="GE243" s="1372">
        <v>0</v>
      </c>
      <c r="GF243" s="1370">
        <f t="shared" si="224"/>
        <v>228343.14865962</v>
      </c>
      <c r="GG243" s="1371">
        <f>GF243*(IF(Summary!$O$74=1,VLOOKUP($C243,GasTable,16)+Summary!$O$92+Summary!$O$93,VLOOKUP($C243,GasTable,19)+Summary!$O$92+Summary!$O$93))</f>
        <v>989717.37202079548</v>
      </c>
      <c r="GH243" s="1373">
        <v>6423.3634754236846</v>
      </c>
      <c r="GI243" s="1466">
        <v>0</v>
      </c>
      <c r="GJ243" s="1374">
        <f t="shared" si="225"/>
        <v>996140.73549621913</v>
      </c>
      <c r="GK243" s="189">
        <f t="shared" si="196"/>
        <v>29092.270500000002</v>
      </c>
      <c r="GL243" s="266">
        <v>0.51825060119999999</v>
      </c>
      <c r="GM243" s="255">
        <f t="shared" si="197"/>
        <v>0</v>
      </c>
      <c r="GN243" s="189">
        <f>IF(SUM(GU243:HB243)=0,0,IF(Summary!$O$16="Yes",SUM(GX243:HB243),IF(Summary!$O$17="Yes",SUM(GY243:HB243),SUM(GU243:HB243))))</f>
        <v>11805.520500000001</v>
      </c>
      <c r="GO243" s="203">
        <v>4.0509829620357856</v>
      </c>
      <c r="GP243" s="258">
        <f t="shared" si="226"/>
        <v>47823.962403464189</v>
      </c>
      <c r="GQ243" s="189"/>
      <c r="GR243" s="189"/>
      <c r="GS243" s="189"/>
      <c r="GT243" s="189"/>
      <c r="GU243" s="268">
        <v>5389.4767500000007</v>
      </c>
      <c r="GV243" s="189">
        <v>1026.5670000000002</v>
      </c>
      <c r="GW243" s="189">
        <v>1283.20875</v>
      </c>
      <c r="GX243" s="189"/>
      <c r="GY243" s="254">
        <v>2874.3875999999996</v>
      </c>
      <c r="GZ243" s="189">
        <v>547.50239999999997</v>
      </c>
      <c r="HA243" s="189">
        <v>684.37800000000004</v>
      </c>
      <c r="HB243" s="255"/>
      <c r="HC243" s="189">
        <v>11805.520500000001</v>
      </c>
      <c r="HD243" s="189"/>
      <c r="HE243" s="189">
        <v>20274.698250000001</v>
      </c>
      <c r="HF243" s="189">
        <v>676096.53033816919</v>
      </c>
      <c r="HG243" s="189"/>
      <c r="HH243" s="203">
        <v>56.932392193617964</v>
      </c>
      <c r="HI243" s="189">
        <v>1154287.0723762598</v>
      </c>
      <c r="HJ243" s="268">
        <f t="shared" si="198"/>
        <v>0</v>
      </c>
      <c r="HK243" s="189">
        <f t="shared" si="199"/>
        <v>0</v>
      </c>
      <c r="HL243" s="189">
        <f t="shared" si="200"/>
        <v>0</v>
      </c>
      <c r="HM243" s="255">
        <f t="shared" si="201"/>
        <v>0</v>
      </c>
      <c r="HN243" s="189">
        <f t="shared" si="202"/>
        <v>0</v>
      </c>
      <c r="HO243" s="203">
        <f t="shared" si="227"/>
        <v>0</v>
      </c>
      <c r="HP243" s="258">
        <f t="shared" si="203"/>
        <v>0</v>
      </c>
      <c r="HQ243" s="203"/>
      <c r="HR243" s="268"/>
      <c r="HS243" s="1408"/>
      <c r="HT243" s="255"/>
      <c r="HU243" s="268"/>
      <c r="HV243" s="1408"/>
      <c r="HW243" s="255"/>
      <c r="HX243" s="1408"/>
      <c r="HY243" s="1408"/>
      <c r="HZ243"/>
      <c r="IA243" s="203"/>
      <c r="IB243" s="203"/>
      <c r="IC243" s="203"/>
      <c r="ID243" s="203"/>
      <c r="IE243" s="203"/>
      <c r="IF243" s="203"/>
      <c r="IG243" s="203"/>
      <c r="IH243" s="203"/>
      <c r="II243" s="203"/>
      <c r="IJ243" s="203"/>
      <c r="IK243" s="203"/>
      <c r="IL243" s="821"/>
      <c r="IM243" s="820"/>
      <c r="IN243" s="820"/>
      <c r="IR243" s="223"/>
    </row>
    <row r="244" spans="1:252" ht="13.8" thickBot="1">
      <c r="A244" t="str">
        <f t="shared" si="204"/>
        <v>2018Q4</v>
      </c>
      <c r="B244">
        <f t="shared" si="205"/>
        <v>2018</v>
      </c>
      <c r="C244" s="49">
        <f t="shared" si="206"/>
        <v>43435</v>
      </c>
      <c r="D244" s="115">
        <f t="shared" si="207"/>
        <v>2018</v>
      </c>
      <c r="E244" s="10">
        <f t="shared" si="230"/>
        <v>12</v>
      </c>
      <c r="F244" s="248">
        <f t="shared" si="231"/>
        <v>43459</v>
      </c>
      <c r="G244" s="245">
        <v>43435</v>
      </c>
      <c r="H244" s="251">
        <v>43465</v>
      </c>
      <c r="I244" s="959">
        <f t="shared" si="228"/>
        <v>7.1499999999999994E-2</v>
      </c>
      <c r="J244" s="37">
        <f t="shared" si="208"/>
        <v>0.26138712254952162</v>
      </c>
      <c r="K244" s="1036"/>
      <c r="L244" s="37"/>
      <c r="M244" s="1004">
        <v>0</v>
      </c>
      <c r="N244" s="38">
        <f t="shared" si="235"/>
        <v>0</v>
      </c>
      <c r="O244" s="40">
        <f t="shared" si="235"/>
        <v>0</v>
      </c>
      <c r="P244" s="159">
        <f t="shared" si="234"/>
        <v>0</v>
      </c>
      <c r="Q244" s="38">
        <f t="shared" si="237"/>
        <v>0</v>
      </c>
      <c r="R244" s="40">
        <f t="shared" si="237"/>
        <v>0</v>
      </c>
      <c r="S244" s="38">
        <f t="shared" si="237"/>
        <v>0</v>
      </c>
      <c r="T244" s="38">
        <f t="shared" si="237"/>
        <v>0</v>
      </c>
      <c r="U244" s="38">
        <f t="shared" si="237"/>
        <v>0</v>
      </c>
      <c r="V244" s="159">
        <f t="shared" si="237"/>
        <v>0</v>
      </c>
      <c r="W244" s="38">
        <f t="shared" si="237"/>
        <v>0</v>
      </c>
      <c r="X244" s="39">
        <f t="shared" si="237"/>
        <v>0</v>
      </c>
      <c r="Y244" s="46">
        <v>0</v>
      </c>
      <c r="Z244" s="46">
        <v>0</v>
      </c>
      <c r="AA244" s="47">
        <v>0</v>
      </c>
      <c r="AB244" s="46">
        <v>0</v>
      </c>
      <c r="AC244" s="46">
        <v>0</v>
      </c>
      <c r="AD244" s="47">
        <v>0</v>
      </c>
      <c r="AE244" s="46">
        <v>0</v>
      </c>
      <c r="AF244" s="46">
        <v>0</v>
      </c>
      <c r="AG244" s="47">
        <v>0</v>
      </c>
      <c r="AH244" s="46">
        <v>0</v>
      </c>
      <c r="AI244" s="46">
        <v>0</v>
      </c>
      <c r="AJ244" s="47">
        <v>0</v>
      </c>
      <c r="AK244" s="46">
        <v>0</v>
      </c>
      <c r="AL244" s="46">
        <v>0</v>
      </c>
      <c r="AM244" s="47">
        <v>0</v>
      </c>
      <c r="AN244" s="46">
        <v>0</v>
      </c>
      <c r="AO244" s="46">
        <v>0</v>
      </c>
      <c r="AP244" s="47">
        <v>0</v>
      </c>
      <c r="AQ244" s="46">
        <v>0</v>
      </c>
      <c r="AR244" s="46">
        <v>0</v>
      </c>
      <c r="AS244" s="47">
        <v>0</v>
      </c>
      <c r="AT244" s="46">
        <v>0</v>
      </c>
      <c r="AU244" s="46">
        <v>0</v>
      </c>
      <c r="AV244" s="46">
        <v>0</v>
      </c>
      <c r="AW244" s="1545">
        <v>0</v>
      </c>
      <c r="AX244" s="10">
        <f t="shared" si="232"/>
        <v>20</v>
      </c>
      <c r="AY244" s="42">
        <f>IF(AND($E244=MONTH(Summary!$E$24),$D244=YEAR(Summary!$E$24)),Summary!$E$25,1)*IF(G244="",0,INT((H244-MOD(H244,7)-G244)/7)+1-IF(BA244,IF(WEEKDAY(F244)=7,1,0),0))</f>
        <v>5</v>
      </c>
      <c r="AZ244" s="42">
        <f>IF(AND($E244=MONTH(Summary!$E$24),$D244=YEAR(Summary!$E$24)),Summary!$E$25,1)*IF(G244="",0,INT((H244-MOD(H244-1,7)-G244)/7)+1-IF(BA244,IF(WEEKDAY(F244)=1,1,0),0))</f>
        <v>5</v>
      </c>
      <c r="BA244" s="42">
        <v>1</v>
      </c>
      <c r="BB244" s="10">
        <f>IF(AND($E244=MONTH(Summary!$E$24),$D244=YEAR(Summary!$E$24)),Summary!$E$25,1)*IF(G244="",0,H244-G244+1)</f>
        <v>31</v>
      </c>
      <c r="BC244" s="914">
        <f>Summary!$E$19</f>
        <v>1.4999999999999999E-2</v>
      </c>
      <c r="BD244" s="113">
        <v>14184</v>
      </c>
      <c r="BE244" s="171">
        <v>3546</v>
      </c>
      <c r="BF244" s="171">
        <v>4255.2</v>
      </c>
      <c r="BG244" s="174"/>
      <c r="BH244" s="1198">
        <v>1</v>
      </c>
      <c r="BI244" s="1198">
        <v>1</v>
      </c>
      <c r="BJ244" s="1198">
        <v>1</v>
      </c>
      <c r="BK244" s="1198">
        <v>1</v>
      </c>
      <c r="BL244" s="95">
        <v>2836.8</v>
      </c>
      <c r="BM244" s="171">
        <v>709.2</v>
      </c>
      <c r="BN244" s="171">
        <v>851.04</v>
      </c>
      <c r="BO244" s="174"/>
      <c r="BP244" s="1198">
        <v>1</v>
      </c>
      <c r="BQ244" s="1199">
        <v>1</v>
      </c>
      <c r="BR244" s="1199">
        <v>1</v>
      </c>
      <c r="BS244" s="1200">
        <v>1</v>
      </c>
      <c r="BT244" s="94">
        <f t="shared" si="209"/>
        <v>21985.200000000001</v>
      </c>
      <c r="BU244" s="233">
        <f t="shared" si="210"/>
        <v>21985.200000000001</v>
      </c>
      <c r="BV244" s="92">
        <f t="shared" si="211"/>
        <v>4397.04</v>
      </c>
      <c r="BW244" s="233">
        <f t="shared" si="212"/>
        <v>4397.04</v>
      </c>
      <c r="BX244" s="88">
        <v>18.962354551676935</v>
      </c>
      <c r="BY244" s="90">
        <v>0</v>
      </c>
      <c r="BZ244" s="88">
        <v>0</v>
      </c>
      <c r="CA244" s="88">
        <v>0</v>
      </c>
      <c r="CB244" s="88">
        <v>0</v>
      </c>
      <c r="CC244" s="88">
        <v>0</v>
      </c>
      <c r="CD244" s="88">
        <v>0</v>
      </c>
      <c r="CE244" s="100">
        <v>0</v>
      </c>
      <c r="CF244" s="88">
        <v>0</v>
      </c>
      <c r="CG244" s="88">
        <v>0</v>
      </c>
      <c r="CH244" s="88">
        <v>0</v>
      </c>
      <c r="CI244" s="88">
        <v>0</v>
      </c>
      <c r="CJ244" s="228">
        <v>0</v>
      </c>
      <c r="CK244" s="88">
        <v>0</v>
      </c>
      <c r="CL244" s="88">
        <v>0</v>
      </c>
      <c r="CM244" s="88">
        <v>0</v>
      </c>
      <c r="CN244" s="88">
        <v>0</v>
      </c>
      <c r="CO244" s="88">
        <v>0</v>
      </c>
      <c r="CP244" s="88">
        <v>0</v>
      </c>
      <c r="CQ244" s="229">
        <v>0</v>
      </c>
      <c r="CR244" s="91">
        <v>0</v>
      </c>
      <c r="CS244" s="91">
        <v>0</v>
      </c>
      <c r="CT244" s="91">
        <v>0</v>
      </c>
      <c r="CU244" s="91">
        <v>0</v>
      </c>
      <c r="CV244" s="91">
        <v>0</v>
      </c>
      <c r="CW244" s="91">
        <v>0</v>
      </c>
      <c r="CX244" s="225">
        <v>0</v>
      </c>
      <c r="CY244" s="1265">
        <v>7737.1145599999991</v>
      </c>
      <c r="CZ244" s="90">
        <v>0</v>
      </c>
      <c r="DA244" s="88">
        <v>0</v>
      </c>
      <c r="DB244" s="88">
        <v>0</v>
      </c>
      <c r="DC244" s="88">
        <v>0</v>
      </c>
      <c r="DD244" s="88">
        <v>0</v>
      </c>
      <c r="DE244" s="152">
        <v>0</v>
      </c>
      <c r="DF244" s="230">
        <v>0</v>
      </c>
      <c r="DG244" s="38">
        <v>0</v>
      </c>
      <c r="DH244" s="1237">
        <v>0</v>
      </c>
      <c r="DI244" s="956">
        <v>0</v>
      </c>
      <c r="DJ244" s="956">
        <v>0</v>
      </c>
      <c r="DK244" s="956">
        <v>0</v>
      </c>
      <c r="DL244" s="152">
        <v>0</v>
      </c>
      <c r="DM244" s="160">
        <v>0</v>
      </c>
      <c r="DN244" s="160">
        <v>0</v>
      </c>
      <c r="DO244" s="160">
        <v>0</v>
      </c>
      <c r="DP244" s="160">
        <v>0</v>
      </c>
      <c r="DQ244" s="160">
        <v>0</v>
      </c>
      <c r="DR244" s="230">
        <v>0</v>
      </c>
      <c r="DS244" s="88">
        <v>0</v>
      </c>
      <c r="DT244" s="88">
        <v>0</v>
      </c>
      <c r="DU244" s="88">
        <v>0</v>
      </c>
      <c r="DV244" s="88">
        <v>0</v>
      </c>
      <c r="DW244" s="88">
        <v>0</v>
      </c>
      <c r="DX244" s="88">
        <v>0</v>
      </c>
      <c r="DY244" s="88">
        <v>0</v>
      </c>
      <c r="DZ244" s="88">
        <v>0</v>
      </c>
      <c r="EA244" s="88">
        <v>0</v>
      </c>
      <c r="EB244" s="152">
        <v>0</v>
      </c>
      <c r="EC244" s="52">
        <f t="shared" si="213"/>
        <v>0</v>
      </c>
      <c r="ED244" s="52">
        <f t="shared" si="213"/>
        <v>0</v>
      </c>
      <c r="EE244" s="52">
        <f t="shared" si="213"/>
        <v>0</v>
      </c>
      <c r="EF244" s="52">
        <f t="shared" si="186"/>
        <v>0</v>
      </c>
      <c r="EG244" s="52">
        <f t="shared" si="214"/>
        <v>0</v>
      </c>
      <c r="EH244" s="238">
        <v>0</v>
      </c>
      <c r="EI244" s="211">
        <v>0</v>
      </c>
      <c r="EJ244" s="211">
        <v>0</v>
      </c>
      <c r="EK244" s="211">
        <v>0</v>
      </c>
      <c r="EL244" s="217">
        <f>IF(C244&gt;=Summary!$E$26,MAX(0,SUM(EH244:EK244)),0)</f>
        <v>0</v>
      </c>
      <c r="EM244" s="52">
        <f>IF(C244&gt;=Summary!$E$26,DX244*BL244,0)</f>
        <v>0</v>
      </c>
      <c r="EN244" s="52">
        <f>IF(C244&gt;=Summary!$E$26,DY244*BM244,0)</f>
        <v>0</v>
      </c>
      <c r="EO244" s="52">
        <f>IF(C244&gt;=Summary!$E$26,DZ244*BN244,0)</f>
        <v>0</v>
      </c>
      <c r="EP244" s="52">
        <f>IF(C244&gt;=Summary!$E$26,EA244*BO244,0)</f>
        <v>0</v>
      </c>
      <c r="EQ244" s="52">
        <f>IF(C244&gt;=Summary!$E$26,DX244*BL244+DY244*BM244+DZ244*BN244+EA244*BO244,0)</f>
        <v>0</v>
      </c>
      <c r="ER244" s="826">
        <v>0</v>
      </c>
      <c r="ES244" s="278">
        <v>0</v>
      </c>
      <c r="ET244" s="278">
        <v>0</v>
      </c>
      <c r="EU244" s="278">
        <v>0</v>
      </c>
      <c r="EV244" s="212">
        <f>IF(C244&gt;=Summary!$E$26,MAX(0,SUM(ER244:EU244)),0)</f>
        <v>0</v>
      </c>
      <c r="EW244" s="52"/>
      <c r="EX244" s="1049">
        <f t="shared" si="215"/>
        <v>0</v>
      </c>
      <c r="EY244" s="1045" t="str">
        <f t="shared" si="216"/>
        <v/>
      </c>
      <c r="EZ244" s="1684" t="s">
        <v>525</v>
      </c>
      <c r="FA244" s="1046">
        <f t="shared" si="229"/>
        <v>45</v>
      </c>
      <c r="FB244" s="256">
        <f t="shared" si="217"/>
        <v>8865</v>
      </c>
      <c r="FC244" s="194">
        <f t="shared" si="218"/>
        <v>2659.5</v>
      </c>
      <c r="FD244" s="194">
        <f t="shared" si="219"/>
        <v>2216.25</v>
      </c>
      <c r="FE244" s="194">
        <f t="shared" si="220"/>
        <v>664.875</v>
      </c>
      <c r="FF244" s="194">
        <f t="shared" si="221"/>
        <v>2659.5</v>
      </c>
      <c r="FG244" s="194">
        <f t="shared" si="222"/>
        <v>797.85</v>
      </c>
      <c r="FH244" s="257">
        <f>IF(EZ244="No",IF((OR(MONTH(C244)=5,MONTH(C244)=6,MONTH(C244)=7,MONTH(C244)=8,MONTH(C244)=9)),Summary!$O$15*12*(AX244+AY244+AZ244+BA244)*(1-$BC244),Summary!$O$15*13*(AX244+AY244+AZ244+BA244)*(1-$BC244)+IF(Summary!$O$16="Yes",(CALC!FA244+Summary!$O$15)*6*(AX244+AY244+AZ244+BA244)*(1-$BC244),0)),0)</f>
        <v>0</v>
      </c>
      <c r="FI244" s="1412">
        <f>IF(MONTH(C244)=5,FI243*(IF(Summary!$E$70="no",(1+(Summary!$E$71*0.8)),1+HLOOKUP(YEAR(C244)-1,CCFMODEL!$I$127:$AF$128,2)*0.8)),+FI243)</f>
        <v>41.746766959221887</v>
      </c>
      <c r="FJ244" s="1411">
        <f>IF(MONTH(C244)=5,FJ243*(IF(Summary!$E$70="no",(1+(Summary!$E$71*0.8)),1+HLOOKUP(YEAR(CALC!C244)-1,CCFMODEL!$I$127:$AF$128,2)*0.8)),FJ243)</f>
        <v>36.487331751760863</v>
      </c>
      <c r="FK244" s="832">
        <f t="shared" si="187"/>
        <v>745721.45452340657</v>
      </c>
      <c r="FL244" s="1412">
        <f>IF(MONTH(C244)=5,FL243*(IF(Summary!$E$70="no",(1+(Summary!$E$71*0.8)),1+HLOOKUP(YEAR(CALC!C244)-1,CCFMODEL!$I$127:$AF$128,2)*0.8)),+FL243)</f>
        <v>87.798131186454995</v>
      </c>
      <c r="FM244" s="1411">
        <f>IF(MONTH(C244)=5,FM243*(IF(Summary!$E$70="no",(1+(Summary!$E$71*0.8)),1+HLOOKUP(YEAR(CALC!C244)-1,CCFMODEL!$I$127:$AF$128,2)*0.8)),+FM243)</f>
        <v>41.903297768967747</v>
      </c>
      <c r="FN244" s="832">
        <f t="shared" si="188"/>
        <v>759916.30504023004</v>
      </c>
      <c r="FO244" s="194">
        <f t="shared" si="223"/>
        <v>1505637.7595636365</v>
      </c>
      <c r="FP244" s="263">
        <f t="shared" si="238"/>
        <v>8865</v>
      </c>
      <c r="FQ244" s="194">
        <f t="shared" si="238"/>
        <v>2659.5</v>
      </c>
      <c r="FR244" s="194">
        <f t="shared" si="238"/>
        <v>2216.25</v>
      </c>
      <c r="FS244" s="194">
        <f t="shared" si="238"/>
        <v>664.875</v>
      </c>
      <c r="FT244" s="194">
        <f t="shared" si="238"/>
        <v>2659.5</v>
      </c>
      <c r="FU244" s="194">
        <f t="shared" si="238"/>
        <v>797.85</v>
      </c>
      <c r="FV244" s="257">
        <f t="shared" si="238"/>
        <v>0</v>
      </c>
      <c r="FW244" s="189">
        <f t="shared" si="192"/>
        <v>0</v>
      </c>
      <c r="FX244" s="189">
        <f t="shared" si="193"/>
        <v>0</v>
      </c>
      <c r="FY244" s="189">
        <f t="shared" si="194"/>
        <v>0</v>
      </c>
      <c r="FZ244" s="258">
        <f t="shared" si="195"/>
        <v>0</v>
      </c>
      <c r="GA244" s="1294">
        <f>(SUM(FP244:FV244)+SUM(GU244:HB244)/(1-Summary!$O$25))*CY244/1000</f>
        <v>236016.54029651036</v>
      </c>
      <c r="GB244" s="1369">
        <f>IF($C244&lt;Summary!$M$81,+Summary!$O$81,VLOOKUP(C244,GasTable,19))</f>
        <v>4.464387927631785</v>
      </c>
      <c r="GC244" s="1370">
        <f>IF(H244&lt;=Summary!$N$84,MIN(GA244,Summary!$O$75*(H244-G244+1)),0)</f>
        <v>0</v>
      </c>
      <c r="GD244" s="1371">
        <f>IF(C244&lt;Summary!$N$84,IF(Summary!$O$75*(H244-G244+1)*0.8&gt;GC244,1,0),0)</f>
        <v>0</v>
      </c>
      <c r="GE244" s="1372">
        <v>0</v>
      </c>
      <c r="GF244" s="1370">
        <f t="shared" si="224"/>
        <v>236016.54029651036</v>
      </c>
      <c r="GG244" s="1371">
        <f>GF244*(IF(Summary!$O$74=1,VLOOKUP($C244,GasTable,16)+Summary!$O$92+Summary!$O$93,VLOOKUP($C244,GasTable,19)+Summary!$O$92+Summary!$O$93))</f>
        <v>1065965.8549706098</v>
      </c>
      <c r="GH244" s="1373">
        <v>6919.8012878292666</v>
      </c>
      <c r="GI244" s="1466">
        <v>0</v>
      </c>
      <c r="GJ244" s="1374">
        <f t="shared" si="225"/>
        <v>1072885.6562584389</v>
      </c>
      <c r="GK244" s="189">
        <f t="shared" si="196"/>
        <v>30062.012849999999</v>
      </c>
      <c r="GL244" s="266">
        <v>0.51838667551999995</v>
      </c>
      <c r="GM244" s="255">
        <f t="shared" si="197"/>
        <v>0</v>
      </c>
      <c r="GN244" s="189">
        <f>IF(SUM(GU244:HB244)=0,0,IF(Summary!$O$16="Yes",SUM(GX244:HB244),IF(Summary!$O$17="Yes",SUM(GY244:HB244),SUM(GU244:HB244))))</f>
        <v>12199.037850000001</v>
      </c>
      <c r="GO244" s="203">
        <v>4.0509829620357856</v>
      </c>
      <c r="GP244" s="258">
        <f t="shared" si="226"/>
        <v>49418.094483579662</v>
      </c>
      <c r="GQ244" s="189"/>
      <c r="GR244" s="189"/>
      <c r="GS244" s="189"/>
      <c r="GT244" s="189"/>
      <c r="GU244" s="268">
        <v>5132.835</v>
      </c>
      <c r="GV244" s="189">
        <v>1283.20875</v>
      </c>
      <c r="GW244" s="189">
        <v>1539.8504999999998</v>
      </c>
      <c r="GX244" s="189"/>
      <c r="GY244" s="254">
        <v>2737.5120000000002</v>
      </c>
      <c r="GZ244" s="189">
        <v>684.37800000000004</v>
      </c>
      <c r="HA244" s="189">
        <v>821.25359999999989</v>
      </c>
      <c r="HB244" s="255"/>
      <c r="HC244" s="189">
        <v>12199.037850000001</v>
      </c>
      <c r="HD244" s="189"/>
      <c r="HE244" s="189">
        <v>20950.521525</v>
      </c>
      <c r="HF244" s="189">
        <v>723515.23632860091</v>
      </c>
      <c r="HG244" s="189"/>
      <c r="HH244" s="203">
        <v>58.926497018828094</v>
      </c>
      <c r="HI244" s="189">
        <v>1234540.8441858063</v>
      </c>
      <c r="HJ244" s="268">
        <f t="shared" si="198"/>
        <v>0</v>
      </c>
      <c r="HK244" s="189">
        <f t="shared" si="199"/>
        <v>0</v>
      </c>
      <c r="HL244" s="189">
        <f t="shared" si="200"/>
        <v>0</v>
      </c>
      <c r="HM244" s="255">
        <f t="shared" si="201"/>
        <v>0</v>
      </c>
      <c r="HN244" s="189">
        <f t="shared" si="202"/>
        <v>0</v>
      </c>
      <c r="HO244" s="203">
        <f t="shared" si="227"/>
        <v>0</v>
      </c>
      <c r="HP244" s="258">
        <f t="shared" si="203"/>
        <v>0</v>
      </c>
      <c r="HQ244" s="203"/>
      <c r="HR244" s="268"/>
      <c r="HS244" s="1408"/>
      <c r="HT244" s="255"/>
      <c r="HU244" s="268"/>
      <c r="HV244" s="1408"/>
      <c r="HW244" s="255"/>
      <c r="HX244" s="1408"/>
      <c r="HY244" s="1408"/>
      <c r="HZ244"/>
      <c r="IA244" s="203"/>
      <c r="IB244" s="203"/>
      <c r="IC244" s="203"/>
      <c r="ID244" s="203"/>
      <c r="IE244" s="203"/>
      <c r="IF244" s="203"/>
      <c r="IG244" s="203"/>
      <c r="IH244" s="203"/>
      <c r="II244" s="203"/>
      <c r="IJ244" s="203"/>
      <c r="IK244" s="203"/>
      <c r="IL244" s="821"/>
      <c r="IM244" s="820"/>
      <c r="IN244" s="820"/>
      <c r="IR244" s="223"/>
    </row>
    <row r="245" spans="1:252" ht="13.8" thickBot="1">
      <c r="A245" t="str">
        <f t="shared" si="204"/>
        <v>2019Q1</v>
      </c>
      <c r="B245">
        <f t="shared" si="205"/>
        <v>2019</v>
      </c>
      <c r="C245" s="49">
        <f t="shared" si="206"/>
        <v>43466</v>
      </c>
      <c r="D245" s="115">
        <f t="shared" si="207"/>
        <v>2019</v>
      </c>
      <c r="E245" s="10">
        <f t="shared" si="230"/>
        <v>1</v>
      </c>
      <c r="F245" s="248">
        <f t="shared" si="231"/>
        <v>43466</v>
      </c>
      <c r="G245" s="245">
        <v>43466</v>
      </c>
      <c r="H245" s="251">
        <v>43496</v>
      </c>
      <c r="I245" s="959">
        <f t="shared" si="228"/>
        <v>7.1499999999999994E-2</v>
      </c>
      <c r="J245" s="37">
        <f t="shared" si="208"/>
        <v>0.259833241370865</v>
      </c>
      <c r="K245" s="1036"/>
      <c r="L245" s="37"/>
      <c r="M245" s="1004">
        <v>0</v>
      </c>
      <c r="N245" s="38">
        <f t="shared" si="235"/>
        <v>0</v>
      </c>
      <c r="O245" s="40">
        <f t="shared" si="235"/>
        <v>0</v>
      </c>
      <c r="P245" s="159">
        <f t="shared" si="234"/>
        <v>0</v>
      </c>
      <c r="Q245" s="38">
        <f t="shared" si="237"/>
        <v>0</v>
      </c>
      <c r="R245" s="40">
        <f t="shared" si="237"/>
        <v>0</v>
      </c>
      <c r="S245" s="38">
        <f t="shared" si="237"/>
        <v>0</v>
      </c>
      <c r="T245" s="38">
        <f t="shared" si="237"/>
        <v>0</v>
      </c>
      <c r="U245" s="38">
        <f t="shared" si="237"/>
        <v>0</v>
      </c>
      <c r="V245" s="159">
        <f t="shared" si="237"/>
        <v>0</v>
      </c>
      <c r="W245" s="38">
        <f t="shared" si="237"/>
        <v>0</v>
      </c>
      <c r="X245" s="39">
        <f t="shared" si="237"/>
        <v>0</v>
      </c>
      <c r="Y245" s="46">
        <v>0</v>
      </c>
      <c r="Z245" s="46">
        <v>0</v>
      </c>
      <c r="AA245" s="47">
        <v>0</v>
      </c>
      <c r="AB245" s="46">
        <v>0</v>
      </c>
      <c r="AC245" s="46">
        <v>0</v>
      </c>
      <c r="AD245" s="47">
        <v>0</v>
      </c>
      <c r="AE245" s="46">
        <v>0</v>
      </c>
      <c r="AF245" s="46">
        <v>0</v>
      </c>
      <c r="AG245" s="47">
        <v>0</v>
      </c>
      <c r="AH245" s="46">
        <v>0</v>
      </c>
      <c r="AI245" s="46">
        <v>0</v>
      </c>
      <c r="AJ245" s="47">
        <v>0</v>
      </c>
      <c r="AK245" s="46">
        <v>0</v>
      </c>
      <c r="AL245" s="46">
        <v>0</v>
      </c>
      <c r="AM245" s="47">
        <v>0</v>
      </c>
      <c r="AN245" s="46">
        <v>0</v>
      </c>
      <c r="AO245" s="46">
        <v>0</v>
      </c>
      <c r="AP245" s="47">
        <v>0</v>
      </c>
      <c r="AQ245" s="46">
        <v>0</v>
      </c>
      <c r="AR245" s="46">
        <v>0</v>
      </c>
      <c r="AS245" s="47">
        <v>0</v>
      </c>
      <c r="AT245" s="46">
        <v>0</v>
      </c>
      <c r="AU245" s="46">
        <v>0</v>
      </c>
      <c r="AV245" s="46">
        <v>0</v>
      </c>
      <c r="AW245" s="1545">
        <v>0</v>
      </c>
      <c r="AX245" s="10">
        <f t="shared" si="232"/>
        <v>22</v>
      </c>
      <c r="AY245" s="42">
        <f>IF(AND($E245=MONTH(Summary!$E$24),$D245=YEAR(Summary!$E$24)),Summary!$E$25,1)*IF(G245="",0,INT((H245-MOD(H245,7)-G245)/7)+1-IF(BA245,IF(WEEKDAY(F245)=7,1,0),0))</f>
        <v>4</v>
      </c>
      <c r="AZ245" s="42">
        <f>IF(AND($E245=MONTH(Summary!$E$24),$D245=YEAR(Summary!$E$24)),Summary!$E$25,1)*IF(G245="",0,INT((H245-MOD(H245-1,7)-G245)/7)+1-IF(BA245,IF(WEEKDAY(F245)=1,1,0),0))</f>
        <v>4</v>
      </c>
      <c r="BA245" s="42">
        <v>1</v>
      </c>
      <c r="BB245" s="10">
        <f>IF(AND($E245=MONTH(Summary!$E$24),$D245=YEAR(Summary!$E$24)),Summary!$E$25,1)*IF(G245="",0,H245-G245+1)</f>
        <v>31</v>
      </c>
      <c r="BC245" s="914">
        <f>Summary!$E$19</f>
        <v>1.4999999999999999E-2</v>
      </c>
      <c r="BD245" s="113">
        <v>15602.4</v>
      </c>
      <c r="BE245" s="171">
        <v>2836.8</v>
      </c>
      <c r="BF245" s="171">
        <v>3546</v>
      </c>
      <c r="BG245" s="174"/>
      <c r="BH245" s="1198">
        <v>1</v>
      </c>
      <c r="BI245" s="1198">
        <v>1</v>
      </c>
      <c r="BJ245" s="1198">
        <v>1</v>
      </c>
      <c r="BK245" s="1198">
        <v>1</v>
      </c>
      <c r="BL245" s="95">
        <v>3120.48</v>
      </c>
      <c r="BM245" s="171">
        <v>567.36</v>
      </c>
      <c r="BN245" s="171">
        <v>709.2</v>
      </c>
      <c r="BO245" s="174"/>
      <c r="BP245" s="1198">
        <v>1</v>
      </c>
      <c r="BQ245" s="1199">
        <v>1</v>
      </c>
      <c r="BR245" s="1199">
        <v>1</v>
      </c>
      <c r="BS245" s="1200">
        <v>1</v>
      </c>
      <c r="BT245" s="94">
        <f t="shared" si="209"/>
        <v>21985.200000000001</v>
      </c>
      <c r="BU245" s="233">
        <f t="shared" si="210"/>
        <v>21985.200000000001</v>
      </c>
      <c r="BV245" s="92">
        <f t="shared" si="211"/>
        <v>4397.04</v>
      </c>
      <c r="BW245" s="233">
        <f t="shared" si="212"/>
        <v>4397.04</v>
      </c>
      <c r="BX245" s="88">
        <v>19.04722792607803</v>
      </c>
      <c r="BY245" s="90">
        <v>0</v>
      </c>
      <c r="BZ245" s="88">
        <v>0</v>
      </c>
      <c r="CA245" s="88">
        <v>0</v>
      </c>
      <c r="CB245" s="88">
        <v>0</v>
      </c>
      <c r="CC245" s="88">
        <v>0</v>
      </c>
      <c r="CD245" s="88">
        <v>0</v>
      </c>
      <c r="CE245" s="100">
        <v>0</v>
      </c>
      <c r="CF245" s="88">
        <v>0</v>
      </c>
      <c r="CG245" s="88">
        <v>0</v>
      </c>
      <c r="CH245" s="88">
        <v>0</v>
      </c>
      <c r="CI245" s="88">
        <v>0</v>
      </c>
      <c r="CJ245" s="228">
        <v>0</v>
      </c>
      <c r="CK245" s="88">
        <v>0</v>
      </c>
      <c r="CL245" s="88">
        <v>0</v>
      </c>
      <c r="CM245" s="88">
        <v>0</v>
      </c>
      <c r="CN245" s="88">
        <v>0</v>
      </c>
      <c r="CO245" s="88">
        <v>0</v>
      </c>
      <c r="CP245" s="88">
        <v>0</v>
      </c>
      <c r="CQ245" s="229">
        <v>0</v>
      </c>
      <c r="CR245" s="91">
        <v>0</v>
      </c>
      <c r="CS245" s="91">
        <v>0</v>
      </c>
      <c r="CT245" s="91">
        <v>0</v>
      </c>
      <c r="CU245" s="91">
        <v>0</v>
      </c>
      <c r="CV245" s="91">
        <v>0</v>
      </c>
      <c r="CW245" s="91">
        <v>0</v>
      </c>
      <c r="CX245" s="225">
        <v>0</v>
      </c>
      <c r="CY245" s="1265">
        <v>7739.14552</v>
      </c>
      <c r="CZ245" s="90">
        <v>0</v>
      </c>
      <c r="DA245" s="88">
        <v>0</v>
      </c>
      <c r="DB245" s="88">
        <v>0</v>
      </c>
      <c r="DC245" s="88">
        <v>0</v>
      </c>
      <c r="DD245" s="88">
        <v>0</v>
      </c>
      <c r="DE245" s="152">
        <v>0</v>
      </c>
      <c r="DF245" s="230">
        <v>0</v>
      </c>
      <c r="DG245" s="38">
        <v>0</v>
      </c>
      <c r="DH245" s="1237">
        <v>0</v>
      </c>
      <c r="DI245" s="956">
        <v>0</v>
      </c>
      <c r="DJ245" s="956">
        <v>0</v>
      </c>
      <c r="DK245" s="956">
        <v>0</v>
      </c>
      <c r="DL245" s="152">
        <v>0</v>
      </c>
      <c r="DM245" s="160">
        <v>0</v>
      </c>
      <c r="DN245" s="160">
        <v>0</v>
      </c>
      <c r="DO245" s="160">
        <v>0</v>
      </c>
      <c r="DP245" s="160">
        <v>0</v>
      </c>
      <c r="DQ245" s="160">
        <v>0</v>
      </c>
      <c r="DR245" s="230">
        <v>0</v>
      </c>
      <c r="DS245" s="88">
        <v>0</v>
      </c>
      <c r="DT245" s="88">
        <v>0</v>
      </c>
      <c r="DU245" s="88">
        <v>0</v>
      </c>
      <c r="DV245" s="88">
        <v>0</v>
      </c>
      <c r="DW245" s="88">
        <v>0</v>
      </c>
      <c r="DX245" s="88">
        <v>0</v>
      </c>
      <c r="DY245" s="88">
        <v>0</v>
      </c>
      <c r="DZ245" s="88">
        <v>0</v>
      </c>
      <c r="EA245" s="88">
        <v>0</v>
      </c>
      <c r="EB245" s="152">
        <v>0</v>
      </c>
      <c r="EC245" s="52">
        <f t="shared" si="213"/>
        <v>0</v>
      </c>
      <c r="ED245" s="52">
        <f t="shared" si="213"/>
        <v>0</v>
      </c>
      <c r="EE245" s="52">
        <f t="shared" si="213"/>
        <v>0</v>
      </c>
      <c r="EF245" s="52">
        <f t="shared" si="186"/>
        <v>0</v>
      </c>
      <c r="EG245" s="52">
        <f t="shared" si="214"/>
        <v>0</v>
      </c>
      <c r="EH245" s="238">
        <v>0</v>
      </c>
      <c r="EI245" s="211">
        <v>0</v>
      </c>
      <c r="EJ245" s="211">
        <v>0</v>
      </c>
      <c r="EK245" s="211">
        <v>0</v>
      </c>
      <c r="EL245" s="217">
        <f>IF(C245&gt;=Summary!$E$26,MAX(0,SUM(EH245:EK245)),0)</f>
        <v>0</v>
      </c>
      <c r="EM245" s="52">
        <f>IF(C245&gt;=Summary!$E$26,DX245*BL245,0)</f>
        <v>0</v>
      </c>
      <c r="EN245" s="52">
        <f>IF(C245&gt;=Summary!$E$26,DY245*BM245,0)</f>
        <v>0</v>
      </c>
      <c r="EO245" s="52">
        <f>IF(C245&gt;=Summary!$E$26,DZ245*BN245,0)</f>
        <v>0</v>
      </c>
      <c r="EP245" s="52">
        <f>IF(C245&gt;=Summary!$E$26,EA245*BO245,0)</f>
        <v>0</v>
      </c>
      <c r="EQ245" s="52">
        <f>IF(C245&gt;=Summary!$E$26,DX245*BL245+DY245*BM245+DZ245*BN245+EA245*BO245,0)</f>
        <v>0</v>
      </c>
      <c r="ER245" s="826">
        <v>0</v>
      </c>
      <c r="ES245" s="278">
        <v>0</v>
      </c>
      <c r="ET245" s="278">
        <v>0</v>
      </c>
      <c r="EU245" s="278">
        <v>0</v>
      </c>
      <c r="EV245" s="212">
        <f>IF(C245&gt;=Summary!$E$26,MAX(0,SUM(ER245:EU245)),0)</f>
        <v>0</v>
      </c>
      <c r="EW245" s="52"/>
      <c r="EX245" s="1049">
        <f t="shared" si="215"/>
        <v>0</v>
      </c>
      <c r="EY245" s="1045" t="str">
        <f t="shared" si="216"/>
        <v/>
      </c>
      <c r="EZ245" s="1684" t="s">
        <v>525</v>
      </c>
      <c r="FA245" s="1046">
        <f t="shared" si="229"/>
        <v>45</v>
      </c>
      <c r="FB245" s="256">
        <f t="shared" si="217"/>
        <v>9751.5</v>
      </c>
      <c r="FC245" s="194">
        <f t="shared" si="218"/>
        <v>2925.45</v>
      </c>
      <c r="FD245" s="194">
        <f t="shared" si="219"/>
        <v>1773</v>
      </c>
      <c r="FE245" s="194">
        <f t="shared" si="220"/>
        <v>531.9</v>
      </c>
      <c r="FF245" s="194">
        <f t="shared" si="221"/>
        <v>2216.25</v>
      </c>
      <c r="FG245" s="194">
        <f t="shared" si="222"/>
        <v>664.875</v>
      </c>
      <c r="FH245" s="257">
        <f>IF(EZ245="No",IF((OR(MONTH(C245)=5,MONTH(C245)=6,MONTH(C245)=7,MONTH(C245)=8,MONTH(C245)=9)),Summary!$O$15*12*(AX245+AY245+AZ245+BA245)*(1-$BC245),Summary!$O$15*13*(AX245+AY245+AZ245+BA245)*(1-$BC245)+IF(Summary!$O$16="Yes",(CALC!FA245+Summary!$O$15)*6*(AX245+AY245+AZ245+BA245)*(1-$BC245),0)),0)</f>
        <v>0</v>
      </c>
      <c r="FI245" s="1412">
        <f>IF(MONTH(C245)=5,FI244*(IF(Summary!$E$70="no",(1+(Summary!$E$71*0.8)),1+HLOOKUP(YEAR(C245)-1,CCFMODEL!$I$127:$AF$128,2)*0.8)),+FI244)</f>
        <v>41.746766959221887</v>
      </c>
      <c r="FJ245" s="1411">
        <f>IF(MONTH(C245)=5,FJ244*(IF(Summary!$E$70="no",(1+(Summary!$E$71*0.8)),1+HLOOKUP(YEAR(CALC!C245)-1,CCFMODEL!$I$127:$AF$128,2)*0.8)),FJ244)</f>
        <v>36.487331751760863</v>
      </c>
      <c r="FK245" s="832">
        <f t="shared" si="187"/>
        <v>745721.45452340657</v>
      </c>
      <c r="FL245" s="1412">
        <f>IF(MONTH(C245)=5,FL244*(IF(Summary!$E$70="no",(1+(Summary!$E$71*0.8)),1+HLOOKUP(YEAR(CALC!C245)-1,CCFMODEL!$I$127:$AF$128,2)*0.8)),+FL244)</f>
        <v>87.798131186454995</v>
      </c>
      <c r="FM245" s="1411">
        <f>IF(MONTH(C245)=5,FM244*(IF(Summary!$E$70="no",(1+(Summary!$E$71*0.8)),1+HLOOKUP(YEAR(CALC!C245)-1,CCFMODEL!$I$127:$AF$128,2)*0.8)),+FM244)</f>
        <v>41.903297768967747</v>
      </c>
      <c r="FN245" s="832">
        <f t="shared" si="188"/>
        <v>759916.30504023004</v>
      </c>
      <c r="FO245" s="194">
        <f t="shared" si="223"/>
        <v>1505637.7595636365</v>
      </c>
      <c r="FP245" s="263">
        <f t="shared" si="238"/>
        <v>9751.5</v>
      </c>
      <c r="FQ245" s="194">
        <f t="shared" si="238"/>
        <v>2925.45</v>
      </c>
      <c r="FR245" s="194">
        <f t="shared" si="238"/>
        <v>1773</v>
      </c>
      <c r="FS245" s="194">
        <f t="shared" si="238"/>
        <v>531.9</v>
      </c>
      <c r="FT245" s="194">
        <f t="shared" si="238"/>
        <v>2216.25</v>
      </c>
      <c r="FU245" s="194">
        <f t="shared" si="238"/>
        <v>664.875</v>
      </c>
      <c r="FV245" s="257">
        <f t="shared" si="238"/>
        <v>0</v>
      </c>
      <c r="FW245" s="189">
        <f t="shared" si="192"/>
        <v>0</v>
      </c>
      <c r="FX245" s="189">
        <f t="shared" si="193"/>
        <v>0</v>
      </c>
      <c r="FY245" s="189">
        <f t="shared" si="194"/>
        <v>0</v>
      </c>
      <c r="FZ245" s="258">
        <f t="shared" si="195"/>
        <v>0</v>
      </c>
      <c r="GA245" s="1294">
        <f>(SUM(FP245:FV245)+SUM(GU245:HB245)/(1-Summary!$O$25))*CY245/1000</f>
        <v>236078.49364474678</v>
      </c>
      <c r="GB245" s="1369">
        <f>IF($C245&lt;Summary!$M$81,+Summary!$O$81,VLOOKUP(C245,GasTable,19))</f>
        <v>4.2552611917118242</v>
      </c>
      <c r="GC245" s="1370">
        <f>IF(H245&lt;=Summary!$N$84,MIN(GA245,Summary!$O$75*(H245-G245+1)),0)</f>
        <v>0</v>
      </c>
      <c r="GD245" s="1371">
        <f>IF(C245&lt;Summary!$N$84,IF(Summary!$O$75*(H245-G245+1)*0.8&gt;GC245,1,0),0)</f>
        <v>0</v>
      </c>
      <c r="GE245" s="1372">
        <v>0</v>
      </c>
      <c r="GF245" s="1370">
        <f t="shared" si="224"/>
        <v>236078.49364474678</v>
      </c>
      <c r="GG245" s="1371">
        <f>GF245*(IF(Summary!$O$74=1,VLOOKUP($C245,GasTable,16)+Summary!$O$92+Summary!$O$93,VLOOKUP($C245,GasTable,19)+Summary!$O$92+Summary!$O$93))</f>
        <v>1016875.3417231689</v>
      </c>
      <c r="GH245" s="1373">
        <v>6595.6548471533279</v>
      </c>
      <c r="GI245" s="1466">
        <v>0</v>
      </c>
      <c r="GJ245" s="1374">
        <f t="shared" si="225"/>
        <v>1023470.9965703222</v>
      </c>
      <c r="GK245" s="189">
        <f t="shared" si="196"/>
        <v>30062.012850000003</v>
      </c>
      <c r="GL245" s="266">
        <v>0.51852274984000002</v>
      </c>
      <c r="GM245" s="255">
        <f t="shared" si="197"/>
        <v>0</v>
      </c>
      <c r="GN245" s="189">
        <f>IF(SUM(GU245:HB245)=0,0,IF(Summary!$O$16="Yes",SUM(GX245:HB245),IF(Summary!$O$17="Yes",SUM(GY245:HB245),SUM(GU245:HB245))))</f>
        <v>12199.037849999999</v>
      </c>
      <c r="GO245" s="203">
        <v>4.1725124508968587</v>
      </c>
      <c r="GP245" s="258">
        <f t="shared" si="226"/>
        <v>50900.637318087043</v>
      </c>
      <c r="GQ245" s="189"/>
      <c r="GR245" s="189"/>
      <c r="GS245" s="189"/>
      <c r="GT245" s="189"/>
      <c r="GU245" s="268">
        <v>5646.1184999999996</v>
      </c>
      <c r="GV245" s="189">
        <v>1026.5670000000002</v>
      </c>
      <c r="GW245" s="189">
        <v>1283.20875</v>
      </c>
      <c r="GX245" s="189"/>
      <c r="GY245" s="254">
        <v>3011.2631999999999</v>
      </c>
      <c r="GZ245" s="189">
        <v>547.50239999999997</v>
      </c>
      <c r="HA245" s="189">
        <v>684.37800000000004</v>
      </c>
      <c r="HB245" s="255"/>
      <c r="HC245" s="189">
        <v>12199.037849999999</v>
      </c>
      <c r="HD245" s="189"/>
      <c r="HE245" s="189">
        <v>20950.521524999996</v>
      </c>
      <c r="HF245" s="189">
        <v>723730.88206573529</v>
      </c>
      <c r="HG245" s="189"/>
      <c r="HH245" s="203">
        <v>58.87257903805812</v>
      </c>
      <c r="HI245" s="189">
        <v>1233411.2343691003</v>
      </c>
      <c r="HJ245" s="268">
        <f t="shared" si="198"/>
        <v>0</v>
      </c>
      <c r="HK245" s="189">
        <f t="shared" si="199"/>
        <v>0</v>
      </c>
      <c r="HL245" s="189">
        <f t="shared" si="200"/>
        <v>0</v>
      </c>
      <c r="HM245" s="255">
        <f t="shared" si="201"/>
        <v>0</v>
      </c>
      <c r="HN245" s="189">
        <f t="shared" si="202"/>
        <v>0</v>
      </c>
      <c r="HO245" s="203">
        <f t="shared" si="227"/>
        <v>0</v>
      </c>
      <c r="HP245" s="258">
        <f t="shared" si="203"/>
        <v>0</v>
      </c>
      <c r="HQ245" s="203"/>
      <c r="HR245" s="268"/>
      <c r="HS245" s="1408"/>
      <c r="HT245" s="255"/>
      <c r="HU245" s="268"/>
      <c r="HV245" s="1408"/>
      <c r="HW245" s="255"/>
      <c r="HX245" s="1408"/>
      <c r="HY245" s="1408"/>
      <c r="HZ245"/>
      <c r="IA245" s="203"/>
      <c r="IB245" s="203"/>
      <c r="IC245" s="203"/>
      <c r="ID245" s="203"/>
      <c r="IE245" s="203"/>
      <c r="IF245" s="203"/>
      <c r="IG245" s="203"/>
      <c r="IH245" s="203"/>
      <c r="II245" s="203"/>
      <c r="IJ245" s="203"/>
      <c r="IK245" s="203"/>
      <c r="IL245" s="821"/>
      <c r="IM245" s="820"/>
      <c r="IN245" s="820"/>
      <c r="IR245" s="223"/>
    </row>
    <row r="246" spans="1:252" ht="13.8" thickBot="1">
      <c r="A246" t="str">
        <f t="shared" si="204"/>
        <v>2019Q1</v>
      </c>
      <c r="B246">
        <f t="shared" si="205"/>
        <v>2019</v>
      </c>
      <c r="C246" s="49">
        <f t="shared" si="206"/>
        <v>43497</v>
      </c>
      <c r="D246" s="115">
        <f t="shared" si="207"/>
        <v>2019</v>
      </c>
      <c r="E246" s="10">
        <f t="shared" si="230"/>
        <v>2</v>
      </c>
      <c r="F246" s="248" t="str">
        <f t="shared" si="231"/>
        <v/>
      </c>
      <c r="G246" s="245">
        <v>43497</v>
      </c>
      <c r="H246" s="251">
        <v>43524</v>
      </c>
      <c r="I246" s="959">
        <f t="shared" si="228"/>
        <v>7.1499999999999994E-2</v>
      </c>
      <c r="J246" s="37">
        <f t="shared" si="208"/>
        <v>0.25843767708818138</v>
      </c>
      <c r="K246" s="1036"/>
      <c r="L246" s="37"/>
      <c r="M246" s="1004">
        <v>0</v>
      </c>
      <c r="N246" s="38">
        <f t="shared" si="235"/>
        <v>0</v>
      </c>
      <c r="O246" s="40">
        <f t="shared" si="235"/>
        <v>0</v>
      </c>
      <c r="P246" s="159">
        <f t="shared" si="234"/>
        <v>0</v>
      </c>
      <c r="Q246" s="38">
        <f t="shared" si="237"/>
        <v>0</v>
      </c>
      <c r="R246" s="40">
        <f t="shared" si="237"/>
        <v>0</v>
      </c>
      <c r="S246" s="38">
        <f t="shared" si="237"/>
        <v>0</v>
      </c>
      <c r="T246" s="38">
        <f t="shared" si="237"/>
        <v>0</v>
      </c>
      <c r="U246" s="38">
        <f t="shared" si="237"/>
        <v>0</v>
      </c>
      <c r="V246" s="159">
        <f t="shared" si="237"/>
        <v>0</v>
      </c>
      <c r="W246" s="38">
        <f t="shared" si="237"/>
        <v>0</v>
      </c>
      <c r="X246" s="39">
        <f t="shared" si="237"/>
        <v>0</v>
      </c>
      <c r="Y246" s="46">
        <v>0</v>
      </c>
      <c r="Z246" s="46">
        <v>0</v>
      </c>
      <c r="AA246" s="47">
        <v>0</v>
      </c>
      <c r="AB246" s="46">
        <v>0</v>
      </c>
      <c r="AC246" s="46">
        <v>0</v>
      </c>
      <c r="AD246" s="47">
        <v>0</v>
      </c>
      <c r="AE246" s="46">
        <v>0</v>
      </c>
      <c r="AF246" s="46">
        <v>0</v>
      </c>
      <c r="AG246" s="47">
        <v>0</v>
      </c>
      <c r="AH246" s="46">
        <v>0</v>
      </c>
      <c r="AI246" s="46">
        <v>0</v>
      </c>
      <c r="AJ246" s="47">
        <v>0</v>
      </c>
      <c r="AK246" s="46">
        <v>0</v>
      </c>
      <c r="AL246" s="46">
        <v>0</v>
      </c>
      <c r="AM246" s="47">
        <v>0</v>
      </c>
      <c r="AN246" s="46">
        <v>0</v>
      </c>
      <c r="AO246" s="46">
        <v>0</v>
      </c>
      <c r="AP246" s="47">
        <v>0</v>
      </c>
      <c r="AQ246" s="46">
        <v>0</v>
      </c>
      <c r="AR246" s="46">
        <v>0</v>
      </c>
      <c r="AS246" s="47">
        <v>0</v>
      </c>
      <c r="AT246" s="46">
        <v>0</v>
      </c>
      <c r="AU246" s="46">
        <v>0</v>
      </c>
      <c r="AV246" s="46">
        <v>0</v>
      </c>
      <c r="AW246" s="1545">
        <v>0</v>
      </c>
      <c r="AX246" s="10">
        <f t="shared" si="232"/>
        <v>20</v>
      </c>
      <c r="AY246" s="42">
        <f>IF(AND($E246=MONTH(Summary!$E$24),$D246=YEAR(Summary!$E$24)),Summary!$E$25,1)*IF(G246="",0,INT((H246-MOD(H246,7)-G246)/7)+1-IF(BA246,IF(WEEKDAY(F246)=7,1,0),0))</f>
        <v>4</v>
      </c>
      <c r="AZ246" s="42">
        <f>IF(AND($E246=MONTH(Summary!$E$24),$D246=YEAR(Summary!$E$24)),Summary!$E$25,1)*IF(G246="",0,INT((H246-MOD(H246-1,7)-G246)/7)+1-IF(BA246,IF(WEEKDAY(F246)=1,1,0),0))</f>
        <v>4</v>
      </c>
      <c r="BA246" s="42">
        <v>0</v>
      </c>
      <c r="BB246" s="10">
        <f>IF(AND($E246=MONTH(Summary!$E$24),$D246=YEAR(Summary!$E$24)),Summary!$E$25,1)*IF(G246="",0,H246-G246+1)</f>
        <v>28</v>
      </c>
      <c r="BC246" s="914">
        <f>Summary!$E$19</f>
        <v>1.4999999999999999E-2</v>
      </c>
      <c r="BD246" s="113">
        <v>14184</v>
      </c>
      <c r="BE246" s="171">
        <v>2836.8</v>
      </c>
      <c r="BF246" s="171">
        <v>2836.8</v>
      </c>
      <c r="BG246" s="174"/>
      <c r="BH246" s="1198">
        <v>1</v>
      </c>
      <c r="BI246" s="1198">
        <v>1</v>
      </c>
      <c r="BJ246" s="1198">
        <v>1</v>
      </c>
      <c r="BK246" s="1198">
        <v>1</v>
      </c>
      <c r="BL246" s="95">
        <v>2836.8</v>
      </c>
      <c r="BM246" s="171">
        <v>567.36</v>
      </c>
      <c r="BN246" s="171">
        <v>567.36</v>
      </c>
      <c r="BO246" s="174"/>
      <c r="BP246" s="1198">
        <v>1</v>
      </c>
      <c r="BQ246" s="1199">
        <v>1</v>
      </c>
      <c r="BR246" s="1199">
        <v>1</v>
      </c>
      <c r="BS246" s="1200">
        <v>1</v>
      </c>
      <c r="BT246" s="94">
        <f t="shared" si="209"/>
        <v>19857.599999999999</v>
      </c>
      <c r="BU246" s="233">
        <f t="shared" si="210"/>
        <v>19857.599999999999</v>
      </c>
      <c r="BV246" s="92">
        <f t="shared" si="211"/>
        <v>3971.5200000000004</v>
      </c>
      <c r="BW246" s="233">
        <f t="shared" si="212"/>
        <v>3971.5200000000004</v>
      </c>
      <c r="BX246" s="88">
        <v>19.132101300479125</v>
      </c>
      <c r="BY246" s="90">
        <v>0</v>
      </c>
      <c r="BZ246" s="88">
        <v>0</v>
      </c>
      <c r="CA246" s="88">
        <v>0</v>
      </c>
      <c r="CB246" s="88">
        <v>0</v>
      </c>
      <c r="CC246" s="88">
        <v>0</v>
      </c>
      <c r="CD246" s="88">
        <v>0</v>
      </c>
      <c r="CE246" s="100">
        <v>0</v>
      </c>
      <c r="CF246" s="88">
        <v>0</v>
      </c>
      <c r="CG246" s="88">
        <v>0</v>
      </c>
      <c r="CH246" s="88">
        <v>0</v>
      </c>
      <c r="CI246" s="88">
        <v>0</v>
      </c>
      <c r="CJ246" s="228">
        <v>0</v>
      </c>
      <c r="CK246" s="88">
        <v>0</v>
      </c>
      <c r="CL246" s="88">
        <v>0</v>
      </c>
      <c r="CM246" s="88">
        <v>0</v>
      </c>
      <c r="CN246" s="88">
        <v>0</v>
      </c>
      <c r="CO246" s="88">
        <v>0</v>
      </c>
      <c r="CP246" s="88">
        <v>0</v>
      </c>
      <c r="CQ246" s="229">
        <v>0</v>
      </c>
      <c r="CR246" s="91">
        <v>0</v>
      </c>
      <c r="CS246" s="91">
        <v>0</v>
      </c>
      <c r="CT246" s="91">
        <v>0</v>
      </c>
      <c r="CU246" s="91">
        <v>0</v>
      </c>
      <c r="CV246" s="91">
        <v>0</v>
      </c>
      <c r="CW246" s="91">
        <v>0</v>
      </c>
      <c r="CX246" s="225">
        <v>0</v>
      </c>
      <c r="CY246" s="1265">
        <v>7741.1764800000001</v>
      </c>
      <c r="CZ246" s="90">
        <v>0</v>
      </c>
      <c r="DA246" s="88">
        <v>0</v>
      </c>
      <c r="DB246" s="88">
        <v>0</v>
      </c>
      <c r="DC246" s="88">
        <v>0</v>
      </c>
      <c r="DD246" s="88">
        <v>0</v>
      </c>
      <c r="DE246" s="152">
        <v>0</v>
      </c>
      <c r="DF246" s="230">
        <v>0</v>
      </c>
      <c r="DG246" s="38">
        <v>0</v>
      </c>
      <c r="DH246" s="1237">
        <v>0</v>
      </c>
      <c r="DI246" s="956">
        <v>0</v>
      </c>
      <c r="DJ246" s="956">
        <v>0</v>
      </c>
      <c r="DK246" s="956">
        <v>0</v>
      </c>
      <c r="DL246" s="152">
        <v>0</v>
      </c>
      <c r="DM246" s="160">
        <v>0</v>
      </c>
      <c r="DN246" s="160">
        <v>0</v>
      </c>
      <c r="DO246" s="160">
        <v>0</v>
      </c>
      <c r="DP246" s="160">
        <v>0</v>
      </c>
      <c r="DQ246" s="160">
        <v>0</v>
      </c>
      <c r="DR246" s="230">
        <v>0</v>
      </c>
      <c r="DS246" s="88">
        <v>0</v>
      </c>
      <c r="DT246" s="88">
        <v>0</v>
      </c>
      <c r="DU246" s="88">
        <v>0</v>
      </c>
      <c r="DV246" s="88">
        <v>0</v>
      </c>
      <c r="DW246" s="88">
        <v>0</v>
      </c>
      <c r="DX246" s="88">
        <v>0</v>
      </c>
      <c r="DY246" s="88">
        <v>0</v>
      </c>
      <c r="DZ246" s="88">
        <v>0</v>
      </c>
      <c r="EA246" s="88">
        <v>0</v>
      </c>
      <c r="EB246" s="152">
        <v>0</v>
      </c>
      <c r="EC246" s="52">
        <f t="shared" si="213"/>
        <v>0</v>
      </c>
      <c r="ED246" s="52">
        <f t="shared" si="213"/>
        <v>0</v>
      </c>
      <c r="EE246" s="52">
        <f t="shared" si="213"/>
        <v>0</v>
      </c>
      <c r="EF246" s="52">
        <f t="shared" si="186"/>
        <v>0</v>
      </c>
      <c r="EG246" s="52">
        <f t="shared" si="214"/>
        <v>0</v>
      </c>
      <c r="EH246" s="238">
        <v>0</v>
      </c>
      <c r="EI246" s="211">
        <v>0</v>
      </c>
      <c r="EJ246" s="211">
        <v>0</v>
      </c>
      <c r="EK246" s="211">
        <v>0</v>
      </c>
      <c r="EL246" s="217">
        <f>IF(C246&gt;=Summary!$E$26,MAX(0,SUM(EH246:EK246)),0)</f>
        <v>0</v>
      </c>
      <c r="EM246" s="52">
        <f>IF(C246&gt;=Summary!$E$26,DX246*BL246,0)</f>
        <v>0</v>
      </c>
      <c r="EN246" s="52">
        <f>IF(C246&gt;=Summary!$E$26,DY246*BM246,0)</f>
        <v>0</v>
      </c>
      <c r="EO246" s="52">
        <f>IF(C246&gt;=Summary!$E$26,DZ246*BN246,0)</f>
        <v>0</v>
      </c>
      <c r="EP246" s="52">
        <f>IF(C246&gt;=Summary!$E$26,EA246*BO246,0)</f>
        <v>0</v>
      </c>
      <c r="EQ246" s="52">
        <f>IF(C246&gt;=Summary!$E$26,DX246*BL246+DY246*BM246+DZ246*BN246+EA246*BO246,0)</f>
        <v>0</v>
      </c>
      <c r="ER246" s="826">
        <v>0</v>
      </c>
      <c r="ES246" s="278">
        <v>0</v>
      </c>
      <c r="ET246" s="278">
        <v>0</v>
      </c>
      <c r="EU246" s="278">
        <v>0</v>
      </c>
      <c r="EV246" s="212">
        <f>IF(C246&gt;=Summary!$E$26,MAX(0,SUM(ER246:EU246)),0)</f>
        <v>0</v>
      </c>
      <c r="EW246" s="52"/>
      <c r="EX246" s="1049">
        <f t="shared" si="215"/>
        <v>0</v>
      </c>
      <c r="EY246" s="1045" t="str">
        <f t="shared" si="216"/>
        <v/>
      </c>
      <c r="EZ246" s="1684" t="s">
        <v>525</v>
      </c>
      <c r="FA246" s="1046">
        <f t="shared" si="229"/>
        <v>45</v>
      </c>
      <c r="FB246" s="256">
        <f t="shared" si="217"/>
        <v>8865</v>
      </c>
      <c r="FC246" s="194">
        <f t="shared" si="218"/>
        <v>2659.5</v>
      </c>
      <c r="FD246" s="194">
        <f t="shared" si="219"/>
        <v>1773</v>
      </c>
      <c r="FE246" s="194">
        <f t="shared" si="220"/>
        <v>531.9</v>
      </c>
      <c r="FF246" s="194">
        <f t="shared" si="221"/>
        <v>1773</v>
      </c>
      <c r="FG246" s="194">
        <f t="shared" si="222"/>
        <v>531.9</v>
      </c>
      <c r="FH246" s="257">
        <f>IF(EZ246="No",IF((OR(MONTH(C246)=5,MONTH(C246)=6,MONTH(C246)=7,MONTH(C246)=8,MONTH(C246)=9)),Summary!$O$15*12*(AX246+AY246+AZ246+BA246)*(1-$BC246),Summary!$O$15*13*(AX246+AY246+AZ246+BA246)*(1-$BC246)+IF(Summary!$O$16="Yes",(CALC!FA246+Summary!$O$15)*6*(AX246+AY246+AZ246+BA246)*(1-$BC246),0)),0)</f>
        <v>0</v>
      </c>
      <c r="FI246" s="1412">
        <f>IF(MONTH(C246)=5,FI245*(IF(Summary!$E$70="no",(1+(Summary!$E$71*0.8)),1+HLOOKUP(YEAR(C246)-1,CCFMODEL!$I$127:$AF$128,2)*0.8)),+FI245)</f>
        <v>41.746766959221887</v>
      </c>
      <c r="FJ246" s="1411">
        <f>IF(MONTH(C246)=5,FJ245*(IF(Summary!$E$70="no",(1+(Summary!$E$71*0.8)),1+HLOOKUP(YEAR(CALC!C246)-1,CCFMODEL!$I$127:$AF$128,2)*0.8)),FJ245)</f>
        <v>36.487331751760863</v>
      </c>
      <c r="FK246" s="832">
        <f t="shared" si="187"/>
        <v>673554.86215017363</v>
      </c>
      <c r="FL246" s="1412">
        <f>IF(MONTH(C246)=5,FL245*(IF(Summary!$E$70="no",(1+(Summary!$E$71*0.8)),1+HLOOKUP(YEAR(CALC!C246)-1,CCFMODEL!$I$127:$AF$128,2)*0.8)),+FL245)</f>
        <v>87.798131186454995</v>
      </c>
      <c r="FM246" s="1411">
        <f>IF(MONTH(C246)=5,FM245*(IF(Summary!$E$70="no",(1+(Summary!$E$71*0.8)),1+HLOOKUP(YEAR(CALC!C246)-1,CCFMODEL!$I$127:$AF$128,2)*0.8)),+FM245)</f>
        <v>41.903297768967747</v>
      </c>
      <c r="FN246" s="832">
        <f t="shared" si="188"/>
        <v>686376.0174556917</v>
      </c>
      <c r="FO246" s="194">
        <f t="shared" si="223"/>
        <v>1359930.8796058653</v>
      </c>
      <c r="FP246" s="263">
        <f t="shared" si="238"/>
        <v>8865</v>
      </c>
      <c r="FQ246" s="194">
        <f t="shared" si="238"/>
        <v>2659.5</v>
      </c>
      <c r="FR246" s="194">
        <f t="shared" si="238"/>
        <v>1773</v>
      </c>
      <c r="FS246" s="194">
        <f t="shared" si="238"/>
        <v>531.9</v>
      </c>
      <c r="FT246" s="194">
        <f t="shared" si="238"/>
        <v>1773</v>
      </c>
      <c r="FU246" s="194">
        <f t="shared" si="238"/>
        <v>531.9</v>
      </c>
      <c r="FV246" s="257">
        <f t="shared" si="238"/>
        <v>0</v>
      </c>
      <c r="FW246" s="189">
        <f t="shared" si="192"/>
        <v>0</v>
      </c>
      <c r="FX246" s="189">
        <f t="shared" si="193"/>
        <v>0</v>
      </c>
      <c r="FY246" s="189">
        <f t="shared" si="194"/>
        <v>0</v>
      </c>
      <c r="FZ246" s="258">
        <f t="shared" si="195"/>
        <v>0</v>
      </c>
      <c r="GA246" s="1294">
        <f>(SUM(FP246:FV246)+SUM(GU246:HB246)/(1-Summary!$O$25))*CY246/1000</f>
        <v>213288.14567108161</v>
      </c>
      <c r="GB246" s="1369">
        <f>IF($C246&lt;Summary!$M$81,+Summary!$O$81,VLOOKUP(C246,GasTable,19))</f>
        <v>3.9302325696089291</v>
      </c>
      <c r="GC246" s="1370">
        <f>IF(H246&lt;=Summary!$N$84,MIN(GA246,Summary!$O$75*(H246-G246+1)),0)</f>
        <v>0</v>
      </c>
      <c r="GD246" s="1371">
        <f>IF(C246&lt;Summary!$N$84,IF(Summary!$O$75*(H246-G246+1)*0.8&gt;GC246,1,0),0)</f>
        <v>0</v>
      </c>
      <c r="GE246" s="1372">
        <v>0</v>
      </c>
      <c r="GF246" s="1370">
        <f t="shared" si="224"/>
        <v>213288.14567108161</v>
      </c>
      <c r="GG246" s="1371">
        <f>GF246*(IF(Summary!$O$74=1,VLOOKUP($C246,GasTable,16)+Summary!$O$92+Summary!$O$93,VLOOKUP($C246,GasTable,19)+Summary!$O$92+Summary!$O$93))</f>
        <v>849384.32921744208</v>
      </c>
      <c r="GH246" s="1373">
        <v>5502.3255974525009</v>
      </c>
      <c r="GI246" s="1466">
        <v>0</v>
      </c>
      <c r="GJ246" s="1374">
        <f t="shared" si="225"/>
        <v>854886.65481489454</v>
      </c>
      <c r="GK246" s="189">
        <f t="shared" si="196"/>
        <v>27152.785799999998</v>
      </c>
      <c r="GL246" s="266">
        <v>0.51865882415999998</v>
      </c>
      <c r="GM246" s="255">
        <f t="shared" si="197"/>
        <v>0</v>
      </c>
      <c r="GN246" s="189">
        <f>IF(SUM(GU246:HB246)=0,0,IF(Summary!$O$16="Yes",SUM(GX246:HB246),IF(Summary!$O$17="Yes",SUM(GY246:HB246),SUM(GU246:HB246))))</f>
        <v>11018.485799999999</v>
      </c>
      <c r="GO246" s="203">
        <v>4.1725124508968587</v>
      </c>
      <c r="GP246" s="258">
        <f t="shared" si="226"/>
        <v>45974.769190530227</v>
      </c>
      <c r="GQ246" s="189"/>
      <c r="GR246" s="189"/>
      <c r="GS246" s="189"/>
      <c r="GT246" s="189"/>
      <c r="GU246" s="268">
        <v>5132.835</v>
      </c>
      <c r="GV246" s="189">
        <v>1026.5670000000002</v>
      </c>
      <c r="GW246" s="189">
        <v>1026.5670000000002</v>
      </c>
      <c r="GX246" s="189"/>
      <c r="GY246" s="254">
        <v>2737.5120000000002</v>
      </c>
      <c r="GZ246" s="189">
        <v>547.50239999999997</v>
      </c>
      <c r="HA246" s="189">
        <v>547.50239999999997</v>
      </c>
      <c r="HB246" s="255"/>
      <c r="HC246" s="189">
        <v>11018.485799999999</v>
      </c>
      <c r="HD246" s="189"/>
      <c r="HE246" s="189">
        <v>18923.051699999996</v>
      </c>
      <c r="HF246" s="189">
        <v>510382.35292833624</v>
      </c>
      <c r="HG246" s="189"/>
      <c r="HH246" s="203">
        <v>45.974727708169446</v>
      </c>
      <c r="HI246" s="189">
        <v>869982.14931511274</v>
      </c>
      <c r="HJ246" s="268">
        <f t="shared" si="198"/>
        <v>0</v>
      </c>
      <c r="HK246" s="189">
        <f t="shared" si="199"/>
        <v>0</v>
      </c>
      <c r="HL246" s="189">
        <f t="shared" si="200"/>
        <v>0</v>
      </c>
      <c r="HM246" s="255">
        <f t="shared" si="201"/>
        <v>0</v>
      </c>
      <c r="HN246" s="189">
        <f t="shared" si="202"/>
        <v>0</v>
      </c>
      <c r="HO246" s="203">
        <f t="shared" si="227"/>
        <v>0</v>
      </c>
      <c r="HP246" s="258">
        <f t="shared" si="203"/>
        <v>0</v>
      </c>
      <c r="HQ246" s="203"/>
      <c r="HR246" s="268"/>
      <c r="HS246" s="1408"/>
      <c r="HT246" s="255"/>
      <c r="HU246" s="268"/>
      <c r="HV246" s="1408"/>
      <c r="HW246" s="255"/>
      <c r="HX246" s="1408"/>
      <c r="HY246" s="1408"/>
      <c r="HZ246"/>
      <c r="IA246" s="203"/>
      <c r="IB246" s="203"/>
      <c r="IC246" s="203"/>
      <c r="ID246" s="203"/>
      <c r="IE246" s="203"/>
      <c r="IF246" s="203"/>
      <c r="IG246" s="203"/>
      <c r="IH246" s="203"/>
      <c r="II246" s="203"/>
      <c r="IJ246" s="203"/>
      <c r="IK246" s="203"/>
      <c r="IL246" s="821"/>
      <c r="IM246" s="820"/>
      <c r="IN246" s="820"/>
      <c r="IR246" s="223"/>
    </row>
    <row r="247" spans="1:252" ht="13.8" thickBot="1">
      <c r="A247" t="str">
        <f t="shared" si="204"/>
        <v>2019Q1</v>
      </c>
      <c r="B247">
        <f t="shared" si="205"/>
        <v>2019</v>
      </c>
      <c r="C247" s="49">
        <f t="shared" si="206"/>
        <v>43525</v>
      </c>
      <c r="D247" s="115">
        <f t="shared" si="207"/>
        <v>2019</v>
      </c>
      <c r="E247" s="10">
        <f t="shared" si="230"/>
        <v>3</v>
      </c>
      <c r="F247" s="248" t="str">
        <f t="shared" si="231"/>
        <v/>
      </c>
      <c r="G247" s="245">
        <v>43525</v>
      </c>
      <c r="H247" s="251">
        <v>43555</v>
      </c>
      <c r="I247" s="959">
        <f t="shared" si="228"/>
        <v>7.1499999999999994E-2</v>
      </c>
      <c r="J247" s="37">
        <f t="shared" si="208"/>
        <v>0.25690132962635498</v>
      </c>
      <c r="K247" s="1036"/>
      <c r="L247" s="37"/>
      <c r="M247" s="1004">
        <v>0</v>
      </c>
      <c r="N247" s="38">
        <f t="shared" si="235"/>
        <v>0</v>
      </c>
      <c r="O247" s="40">
        <f t="shared" si="235"/>
        <v>0</v>
      </c>
      <c r="P247" s="159">
        <f t="shared" si="234"/>
        <v>0</v>
      </c>
      <c r="Q247" s="38">
        <f t="shared" si="237"/>
        <v>0</v>
      </c>
      <c r="R247" s="40">
        <f t="shared" si="237"/>
        <v>0</v>
      </c>
      <c r="S247" s="38">
        <f t="shared" si="237"/>
        <v>0</v>
      </c>
      <c r="T247" s="38">
        <f t="shared" si="237"/>
        <v>0</v>
      </c>
      <c r="U247" s="38">
        <f t="shared" si="237"/>
        <v>0</v>
      </c>
      <c r="V247" s="159">
        <f t="shared" si="237"/>
        <v>0</v>
      </c>
      <c r="W247" s="38">
        <f t="shared" si="237"/>
        <v>0</v>
      </c>
      <c r="X247" s="39">
        <f t="shared" si="237"/>
        <v>0</v>
      </c>
      <c r="Y247" s="46">
        <v>0</v>
      </c>
      <c r="Z247" s="46">
        <v>0</v>
      </c>
      <c r="AA247" s="47">
        <v>0</v>
      </c>
      <c r="AB247" s="46">
        <v>0</v>
      </c>
      <c r="AC247" s="46">
        <v>0</v>
      </c>
      <c r="AD247" s="47">
        <v>0</v>
      </c>
      <c r="AE247" s="46">
        <v>0</v>
      </c>
      <c r="AF247" s="46">
        <v>0</v>
      </c>
      <c r="AG247" s="47">
        <v>0</v>
      </c>
      <c r="AH247" s="46">
        <v>0</v>
      </c>
      <c r="AI247" s="46">
        <v>0</v>
      </c>
      <c r="AJ247" s="47">
        <v>0</v>
      </c>
      <c r="AK247" s="46">
        <v>0</v>
      </c>
      <c r="AL247" s="46">
        <v>0</v>
      </c>
      <c r="AM247" s="47">
        <v>0</v>
      </c>
      <c r="AN247" s="46">
        <v>0</v>
      </c>
      <c r="AO247" s="46">
        <v>0</v>
      </c>
      <c r="AP247" s="47">
        <v>0</v>
      </c>
      <c r="AQ247" s="46">
        <v>0</v>
      </c>
      <c r="AR247" s="46">
        <v>0</v>
      </c>
      <c r="AS247" s="47">
        <v>0</v>
      </c>
      <c r="AT247" s="46">
        <v>0</v>
      </c>
      <c r="AU247" s="46">
        <v>0</v>
      </c>
      <c r="AV247" s="46">
        <v>0</v>
      </c>
      <c r="AW247" s="1545">
        <v>0</v>
      </c>
      <c r="AX247" s="10">
        <f t="shared" si="232"/>
        <v>21</v>
      </c>
      <c r="AY247" s="42">
        <f>IF(AND($E247=MONTH(Summary!$E$24),$D247=YEAR(Summary!$E$24)),Summary!$E$25,1)*IF(G247="",0,INT((H247-MOD(H247,7)-G247)/7)+1-IF(BA247,IF(WEEKDAY(F247)=7,1,0),0))</f>
        <v>5</v>
      </c>
      <c r="AZ247" s="42">
        <f>IF(AND($E247=MONTH(Summary!$E$24),$D247=YEAR(Summary!$E$24)),Summary!$E$25,1)*IF(G247="",0,INT((H247-MOD(H247-1,7)-G247)/7)+1-IF(BA247,IF(WEEKDAY(F247)=1,1,0),0))</f>
        <v>5</v>
      </c>
      <c r="BA247" s="42">
        <v>0</v>
      </c>
      <c r="BB247" s="10">
        <f>IF(AND($E247=MONTH(Summary!$E$24),$D247=YEAR(Summary!$E$24)),Summary!$E$25,1)*IF(G247="",0,H247-G247+1)</f>
        <v>31</v>
      </c>
      <c r="BC247" s="914">
        <f>Summary!$E$19</f>
        <v>1.4999999999999999E-2</v>
      </c>
      <c r="BD247" s="113">
        <v>14893.2</v>
      </c>
      <c r="BE247" s="171">
        <v>3546</v>
      </c>
      <c r="BF247" s="171">
        <v>3546</v>
      </c>
      <c r="BG247" s="174"/>
      <c r="BH247" s="1198">
        <v>1</v>
      </c>
      <c r="BI247" s="1198">
        <v>1</v>
      </c>
      <c r="BJ247" s="1198">
        <v>1</v>
      </c>
      <c r="BK247" s="1198">
        <v>1</v>
      </c>
      <c r="BL247" s="95">
        <v>2978.64</v>
      </c>
      <c r="BM247" s="171">
        <v>709.2</v>
      </c>
      <c r="BN247" s="171">
        <v>709.2</v>
      </c>
      <c r="BO247" s="174"/>
      <c r="BP247" s="1198">
        <v>1</v>
      </c>
      <c r="BQ247" s="1199">
        <v>1</v>
      </c>
      <c r="BR247" s="1199">
        <v>1</v>
      </c>
      <c r="BS247" s="1200">
        <v>1</v>
      </c>
      <c r="BT247" s="94">
        <f t="shared" si="209"/>
        <v>21985.200000000001</v>
      </c>
      <c r="BU247" s="233">
        <f t="shared" si="210"/>
        <v>21985.200000000001</v>
      </c>
      <c r="BV247" s="92">
        <f t="shared" si="211"/>
        <v>4397.04</v>
      </c>
      <c r="BW247" s="233">
        <f t="shared" si="212"/>
        <v>4397.04</v>
      </c>
      <c r="BX247" s="88">
        <v>19.208761122518823</v>
      </c>
      <c r="BY247" s="90">
        <v>0</v>
      </c>
      <c r="BZ247" s="88">
        <v>0</v>
      </c>
      <c r="CA247" s="88">
        <v>0</v>
      </c>
      <c r="CB247" s="88">
        <v>0</v>
      </c>
      <c r="CC247" s="88">
        <v>0</v>
      </c>
      <c r="CD247" s="88">
        <v>0</v>
      </c>
      <c r="CE247" s="100">
        <v>0</v>
      </c>
      <c r="CF247" s="88">
        <v>0</v>
      </c>
      <c r="CG247" s="88">
        <v>0</v>
      </c>
      <c r="CH247" s="88">
        <v>0</v>
      </c>
      <c r="CI247" s="88">
        <v>0</v>
      </c>
      <c r="CJ247" s="228">
        <v>0</v>
      </c>
      <c r="CK247" s="88">
        <v>0</v>
      </c>
      <c r="CL247" s="88">
        <v>0</v>
      </c>
      <c r="CM247" s="88">
        <v>0</v>
      </c>
      <c r="CN247" s="88">
        <v>0</v>
      </c>
      <c r="CO247" s="88">
        <v>0</v>
      </c>
      <c r="CP247" s="88">
        <v>0</v>
      </c>
      <c r="CQ247" s="229">
        <v>0</v>
      </c>
      <c r="CR247" s="91">
        <v>0</v>
      </c>
      <c r="CS247" s="91">
        <v>0</v>
      </c>
      <c r="CT247" s="91">
        <v>0</v>
      </c>
      <c r="CU247" s="91">
        <v>0</v>
      </c>
      <c r="CV247" s="91">
        <v>0</v>
      </c>
      <c r="CW247" s="91">
        <v>0</v>
      </c>
      <c r="CX247" s="225">
        <v>0</v>
      </c>
      <c r="CY247" s="1265">
        <v>7743.2074400000001</v>
      </c>
      <c r="CZ247" s="90">
        <v>0</v>
      </c>
      <c r="DA247" s="88">
        <v>0</v>
      </c>
      <c r="DB247" s="88">
        <v>0</v>
      </c>
      <c r="DC247" s="88">
        <v>0</v>
      </c>
      <c r="DD247" s="88">
        <v>0</v>
      </c>
      <c r="DE247" s="152">
        <v>0</v>
      </c>
      <c r="DF247" s="230">
        <v>0</v>
      </c>
      <c r="DG247" s="38">
        <v>0</v>
      </c>
      <c r="DH247" s="1237">
        <v>0</v>
      </c>
      <c r="DI247" s="956">
        <v>0</v>
      </c>
      <c r="DJ247" s="956">
        <v>0</v>
      </c>
      <c r="DK247" s="956">
        <v>0</v>
      </c>
      <c r="DL247" s="152">
        <v>0</v>
      </c>
      <c r="DM247" s="160">
        <v>0</v>
      </c>
      <c r="DN247" s="160">
        <v>0</v>
      </c>
      <c r="DO247" s="160">
        <v>0</v>
      </c>
      <c r="DP247" s="160">
        <v>0</v>
      </c>
      <c r="DQ247" s="160">
        <v>0</v>
      </c>
      <c r="DR247" s="230">
        <v>0</v>
      </c>
      <c r="DS247" s="88">
        <v>0</v>
      </c>
      <c r="DT247" s="88">
        <v>0</v>
      </c>
      <c r="DU247" s="88">
        <v>0</v>
      </c>
      <c r="DV247" s="88">
        <v>0</v>
      </c>
      <c r="DW247" s="88">
        <v>0</v>
      </c>
      <c r="DX247" s="88">
        <v>0</v>
      </c>
      <c r="DY247" s="88">
        <v>0</v>
      </c>
      <c r="DZ247" s="88">
        <v>0</v>
      </c>
      <c r="EA247" s="88">
        <v>0</v>
      </c>
      <c r="EB247" s="152">
        <v>0</v>
      </c>
      <c r="EC247" s="52">
        <f t="shared" si="213"/>
        <v>0</v>
      </c>
      <c r="ED247" s="52">
        <f t="shared" si="213"/>
        <v>0</v>
      </c>
      <c r="EE247" s="52">
        <f t="shared" si="213"/>
        <v>0</v>
      </c>
      <c r="EF247" s="52">
        <f t="shared" si="186"/>
        <v>0</v>
      </c>
      <c r="EG247" s="52">
        <f t="shared" si="214"/>
        <v>0</v>
      </c>
      <c r="EH247" s="238">
        <v>0</v>
      </c>
      <c r="EI247" s="211">
        <v>0</v>
      </c>
      <c r="EJ247" s="211">
        <v>0</v>
      </c>
      <c r="EK247" s="211">
        <v>0</v>
      </c>
      <c r="EL247" s="217">
        <f>IF(C247&gt;=Summary!$E$26,MAX(0,SUM(EH247:EK247)),0)</f>
        <v>0</v>
      </c>
      <c r="EM247" s="52">
        <f>IF(C247&gt;=Summary!$E$26,DX247*BL247,0)</f>
        <v>0</v>
      </c>
      <c r="EN247" s="52">
        <f>IF(C247&gt;=Summary!$E$26,DY247*BM247,0)</f>
        <v>0</v>
      </c>
      <c r="EO247" s="52">
        <f>IF(C247&gt;=Summary!$E$26,DZ247*BN247,0)</f>
        <v>0</v>
      </c>
      <c r="EP247" s="52">
        <f>IF(C247&gt;=Summary!$E$26,EA247*BO247,0)</f>
        <v>0</v>
      </c>
      <c r="EQ247" s="52">
        <f>IF(C247&gt;=Summary!$E$26,DX247*BL247+DY247*BM247+DZ247*BN247+EA247*BO247,0)</f>
        <v>0</v>
      </c>
      <c r="ER247" s="826">
        <v>0</v>
      </c>
      <c r="ES247" s="278">
        <v>0</v>
      </c>
      <c r="ET247" s="278">
        <v>0</v>
      </c>
      <c r="EU247" s="278">
        <v>0</v>
      </c>
      <c r="EV247" s="212">
        <f>IF(C247&gt;=Summary!$E$26,MAX(0,SUM(ER247:EU247)),0)</f>
        <v>0</v>
      </c>
      <c r="EW247" s="52"/>
      <c r="EX247" s="1049">
        <f t="shared" si="215"/>
        <v>0</v>
      </c>
      <c r="EY247" s="1045" t="str">
        <f t="shared" si="216"/>
        <v/>
      </c>
      <c r="EZ247" s="1684" t="s">
        <v>525</v>
      </c>
      <c r="FA247" s="1046">
        <f t="shared" si="229"/>
        <v>45</v>
      </c>
      <c r="FB247" s="256">
        <f t="shared" si="217"/>
        <v>9308.25</v>
      </c>
      <c r="FC247" s="194">
        <f t="shared" si="218"/>
        <v>2792.4749999999999</v>
      </c>
      <c r="FD247" s="194">
        <f t="shared" si="219"/>
        <v>2216.25</v>
      </c>
      <c r="FE247" s="194">
        <f t="shared" si="220"/>
        <v>664.875</v>
      </c>
      <c r="FF247" s="194">
        <f t="shared" si="221"/>
        <v>2216.25</v>
      </c>
      <c r="FG247" s="194">
        <f t="shared" si="222"/>
        <v>664.875</v>
      </c>
      <c r="FH247" s="257">
        <f>IF(EZ247="No",IF((OR(MONTH(C247)=5,MONTH(C247)=6,MONTH(C247)=7,MONTH(C247)=8,MONTH(C247)=9)),Summary!$O$15*12*(AX247+AY247+AZ247+BA247)*(1-$BC247),Summary!$O$15*13*(AX247+AY247+AZ247+BA247)*(1-$BC247)+IF(Summary!$O$16="Yes",(CALC!FA247+Summary!$O$15)*6*(AX247+AY247+AZ247+BA247)*(1-$BC247),0)),0)</f>
        <v>0</v>
      </c>
      <c r="FI247" s="1412">
        <f>IF(MONTH(C247)=5,FI246*(IF(Summary!$E$70="no",(1+(Summary!$E$71*0.8)),1+HLOOKUP(YEAR(C247)-1,CCFMODEL!$I$127:$AF$128,2)*0.8)),+FI246)</f>
        <v>41.746766959221887</v>
      </c>
      <c r="FJ247" s="1411">
        <f>IF(MONTH(C247)=5,FJ246*(IF(Summary!$E$70="no",(1+(Summary!$E$71*0.8)),1+HLOOKUP(YEAR(CALC!C247)-1,CCFMODEL!$I$127:$AF$128,2)*0.8)),FJ246)</f>
        <v>36.487331751760863</v>
      </c>
      <c r="FK247" s="832">
        <f t="shared" si="187"/>
        <v>745721.45452340657</v>
      </c>
      <c r="FL247" s="1412">
        <f>IF(MONTH(C247)=5,FL246*(IF(Summary!$E$70="no",(1+(Summary!$E$71*0.8)),1+HLOOKUP(YEAR(CALC!C247)-1,CCFMODEL!$I$127:$AF$128,2)*0.8)),+FL246)</f>
        <v>87.798131186454995</v>
      </c>
      <c r="FM247" s="1411">
        <f>IF(MONTH(C247)=5,FM246*(IF(Summary!$E$70="no",(1+(Summary!$E$71*0.8)),1+HLOOKUP(YEAR(CALC!C247)-1,CCFMODEL!$I$127:$AF$128,2)*0.8)),+FM246)</f>
        <v>41.903297768967747</v>
      </c>
      <c r="FN247" s="832">
        <f t="shared" si="188"/>
        <v>759916.30504023004</v>
      </c>
      <c r="FO247" s="194">
        <f t="shared" si="223"/>
        <v>1505637.7595636365</v>
      </c>
      <c r="FP247" s="263">
        <f t="shared" si="238"/>
        <v>9308.25</v>
      </c>
      <c r="FQ247" s="194">
        <f t="shared" si="238"/>
        <v>2792.4749999999999</v>
      </c>
      <c r="FR247" s="194">
        <f t="shared" si="238"/>
        <v>2216.25</v>
      </c>
      <c r="FS247" s="194">
        <f t="shared" si="238"/>
        <v>664.875</v>
      </c>
      <c r="FT247" s="194">
        <f t="shared" si="238"/>
        <v>2216.25</v>
      </c>
      <c r="FU247" s="194">
        <f t="shared" si="238"/>
        <v>664.875</v>
      </c>
      <c r="FV247" s="257">
        <f t="shared" si="238"/>
        <v>0</v>
      </c>
      <c r="FW247" s="189">
        <f t="shared" si="192"/>
        <v>0</v>
      </c>
      <c r="FX247" s="189">
        <f t="shared" si="193"/>
        <v>0</v>
      </c>
      <c r="FY247" s="189">
        <f t="shared" si="194"/>
        <v>0</v>
      </c>
      <c r="FZ247" s="258">
        <f t="shared" si="195"/>
        <v>0</v>
      </c>
      <c r="GA247" s="1294">
        <f>(SUM(FP247:FV247)+SUM(GU247:HB247)/(1-Summary!$O$25))*CY247/1000</f>
        <v>236202.40034121962</v>
      </c>
      <c r="GB247" s="1369">
        <f>IF($C247&lt;Summary!$M$81,+Summary!$O$81,VLOOKUP(C247,GasTable,19))</f>
        <v>3.7192441515891077</v>
      </c>
      <c r="GC247" s="1370">
        <f>IF(H247&lt;=Summary!$N$84,MIN(GA247,Summary!$O$75*(H247-G247+1)),0)</f>
        <v>0</v>
      </c>
      <c r="GD247" s="1371">
        <f>IF(C247&lt;Summary!$N$84,IF(Summary!$O$75*(H247-G247+1)*0.8&gt;GC247,1,0),0)</f>
        <v>0</v>
      </c>
      <c r="GE247" s="1372">
        <v>0</v>
      </c>
      <c r="GF247" s="1370">
        <f t="shared" si="224"/>
        <v>236202.40034121962</v>
      </c>
      <c r="GG247" s="1371">
        <f>GF247*(IF(Summary!$O$74=1,VLOOKUP($C247,GasTable,16)+Summary!$O$92+Summary!$O$93,VLOOKUP($C247,GasTable,19)+Summary!$O$92+Summary!$O$93))</f>
        <v>890800.54111816757</v>
      </c>
      <c r="GH247" s="1373">
        <v>5764.8284349631167</v>
      </c>
      <c r="GI247" s="1466">
        <v>0</v>
      </c>
      <c r="GJ247" s="1374">
        <f t="shared" si="225"/>
        <v>896565.3695531307</v>
      </c>
      <c r="GK247" s="189">
        <f t="shared" si="196"/>
        <v>30062.012850000003</v>
      </c>
      <c r="GL247" s="266">
        <v>0.51879489848000004</v>
      </c>
      <c r="GM247" s="255">
        <f t="shared" si="197"/>
        <v>0</v>
      </c>
      <c r="GN247" s="189">
        <f>IF(SUM(GU247:HB247)=0,0,IF(Summary!$O$16="Yes",SUM(GX247:HB247),IF(Summary!$O$17="Yes",SUM(GY247:HB247),SUM(GU247:HB247))))</f>
        <v>12199.037850000001</v>
      </c>
      <c r="GO247" s="203">
        <v>4.1725124508968587</v>
      </c>
      <c r="GP247" s="258">
        <f t="shared" si="226"/>
        <v>50900.637318087051</v>
      </c>
      <c r="GQ247" s="189"/>
      <c r="GR247" s="189"/>
      <c r="GS247" s="189"/>
      <c r="GT247" s="189"/>
      <c r="GU247" s="268">
        <v>5389.4767500000007</v>
      </c>
      <c r="GV247" s="189">
        <v>1283.20875</v>
      </c>
      <c r="GW247" s="189">
        <v>1283.20875</v>
      </c>
      <c r="GX247" s="189"/>
      <c r="GY247" s="254">
        <v>2874.3875999999996</v>
      </c>
      <c r="GZ247" s="189">
        <v>684.37800000000004</v>
      </c>
      <c r="HA247" s="189">
        <v>684.37800000000004</v>
      </c>
      <c r="HB247" s="255"/>
      <c r="HC247" s="189">
        <v>12199.037850000001</v>
      </c>
      <c r="HD247" s="189"/>
      <c r="HE247" s="189">
        <v>20950.521525</v>
      </c>
      <c r="HF247" s="189">
        <v>523441.37079384271</v>
      </c>
      <c r="HG247" s="189"/>
      <c r="HH247" s="203">
        <v>42.204269690244921</v>
      </c>
      <c r="HI247" s="189">
        <v>884201.46059238131</v>
      </c>
      <c r="HJ247" s="268">
        <f t="shared" si="198"/>
        <v>0</v>
      </c>
      <c r="HK247" s="189">
        <f t="shared" si="199"/>
        <v>0</v>
      </c>
      <c r="HL247" s="189">
        <f t="shared" si="200"/>
        <v>0</v>
      </c>
      <c r="HM247" s="255">
        <f t="shared" si="201"/>
        <v>0</v>
      </c>
      <c r="HN247" s="189">
        <f t="shared" si="202"/>
        <v>0</v>
      </c>
      <c r="HO247" s="203">
        <f t="shared" si="227"/>
        <v>0</v>
      </c>
      <c r="HP247" s="258">
        <f t="shared" si="203"/>
        <v>0</v>
      </c>
      <c r="HQ247" s="203"/>
      <c r="HR247" s="268"/>
      <c r="HS247" s="1408"/>
      <c r="HT247" s="255"/>
      <c r="HU247" s="268"/>
      <c r="HV247" s="1408"/>
      <c r="HW247" s="255"/>
      <c r="HX247" s="1408"/>
      <c r="HY247" s="1408"/>
      <c r="HZ247"/>
      <c r="IA247" s="203"/>
      <c r="IB247" s="203"/>
      <c r="IC247" s="203"/>
      <c r="ID247" s="203"/>
      <c r="IE247" s="203"/>
      <c r="IF247" s="203"/>
      <c r="IG247" s="203"/>
      <c r="IH247" s="203"/>
      <c r="II247" s="203"/>
      <c r="IJ247" s="203"/>
      <c r="IK247" s="203"/>
      <c r="IL247" s="821"/>
      <c r="IM247" s="820"/>
      <c r="IN247" s="820"/>
      <c r="IR247" s="223"/>
    </row>
    <row r="248" spans="1:252" ht="13.8" thickBot="1">
      <c r="A248" t="str">
        <f t="shared" si="204"/>
        <v>2019Q2</v>
      </c>
      <c r="B248">
        <f t="shared" si="205"/>
        <v>2019</v>
      </c>
      <c r="C248" s="49">
        <f t="shared" si="206"/>
        <v>43556</v>
      </c>
      <c r="D248" s="115">
        <f t="shared" si="207"/>
        <v>2019</v>
      </c>
      <c r="E248" s="10">
        <f t="shared" si="230"/>
        <v>4</v>
      </c>
      <c r="F248" s="248" t="str">
        <f t="shared" si="231"/>
        <v/>
      </c>
      <c r="G248" s="245">
        <v>43556</v>
      </c>
      <c r="H248" s="251">
        <v>43585</v>
      </c>
      <c r="I248" s="959">
        <f t="shared" si="228"/>
        <v>7.1499999999999994E-2</v>
      </c>
      <c r="J248" s="37">
        <f t="shared" si="208"/>
        <v>0.25542323834164321</v>
      </c>
      <c r="K248" s="1036"/>
      <c r="L248" s="37"/>
      <c r="M248" s="1004">
        <v>0</v>
      </c>
      <c r="N248" s="38">
        <f t="shared" si="235"/>
        <v>0</v>
      </c>
      <c r="O248" s="40">
        <f t="shared" si="235"/>
        <v>0</v>
      </c>
      <c r="P248" s="159">
        <f t="shared" si="234"/>
        <v>0</v>
      </c>
      <c r="Q248" s="38">
        <f t="shared" si="237"/>
        <v>0</v>
      </c>
      <c r="R248" s="40">
        <f t="shared" si="237"/>
        <v>0</v>
      </c>
      <c r="S248" s="38">
        <f t="shared" si="237"/>
        <v>0</v>
      </c>
      <c r="T248" s="38">
        <f t="shared" si="237"/>
        <v>0</v>
      </c>
      <c r="U248" s="38">
        <f t="shared" si="237"/>
        <v>0</v>
      </c>
      <c r="V248" s="159">
        <f t="shared" si="237"/>
        <v>0</v>
      </c>
      <c r="W248" s="38">
        <f t="shared" si="237"/>
        <v>0</v>
      </c>
      <c r="X248" s="39">
        <f t="shared" si="237"/>
        <v>0</v>
      </c>
      <c r="Y248" s="46">
        <v>0</v>
      </c>
      <c r="Z248" s="46">
        <v>0</v>
      </c>
      <c r="AA248" s="47">
        <v>0</v>
      </c>
      <c r="AB248" s="46">
        <v>0</v>
      </c>
      <c r="AC248" s="46">
        <v>0</v>
      </c>
      <c r="AD248" s="47">
        <v>0</v>
      </c>
      <c r="AE248" s="46">
        <v>0</v>
      </c>
      <c r="AF248" s="46">
        <v>0</v>
      </c>
      <c r="AG248" s="47">
        <v>0</v>
      </c>
      <c r="AH248" s="46">
        <v>0</v>
      </c>
      <c r="AI248" s="46">
        <v>0</v>
      </c>
      <c r="AJ248" s="47">
        <v>0</v>
      </c>
      <c r="AK248" s="46">
        <v>0</v>
      </c>
      <c r="AL248" s="46">
        <v>0</v>
      </c>
      <c r="AM248" s="47">
        <v>0</v>
      </c>
      <c r="AN248" s="46">
        <v>0</v>
      </c>
      <c r="AO248" s="46">
        <v>0</v>
      </c>
      <c r="AP248" s="47">
        <v>0</v>
      </c>
      <c r="AQ248" s="46">
        <v>0</v>
      </c>
      <c r="AR248" s="46">
        <v>0</v>
      </c>
      <c r="AS248" s="47">
        <v>0</v>
      </c>
      <c r="AT248" s="46">
        <v>0</v>
      </c>
      <c r="AU248" s="46">
        <v>0</v>
      </c>
      <c r="AV248" s="46">
        <v>0</v>
      </c>
      <c r="AW248" s="1545">
        <v>0</v>
      </c>
      <c r="AX248" s="10">
        <f t="shared" si="232"/>
        <v>22</v>
      </c>
      <c r="AY248" s="42">
        <f>IF(AND($E248=MONTH(Summary!$E$24),$D248=YEAR(Summary!$E$24)),Summary!$E$25,1)*IF(G248="",0,INT((H248-MOD(H248,7)-G248)/7)+1-IF(BA248,IF(WEEKDAY(F248)=7,1,0),0))</f>
        <v>4</v>
      </c>
      <c r="AZ248" s="42">
        <f>IF(AND($E248=MONTH(Summary!$E$24),$D248=YEAR(Summary!$E$24)),Summary!$E$25,1)*IF(G248="",0,INT((H248-MOD(H248-1,7)-G248)/7)+1-IF(BA248,IF(WEEKDAY(F248)=1,1,0),0))</f>
        <v>4</v>
      </c>
      <c r="BA248" s="42">
        <v>0</v>
      </c>
      <c r="BB248" s="10">
        <f>IF(AND($E248=MONTH(Summary!$E$24),$D248=YEAR(Summary!$E$24)),Summary!$E$25,1)*IF(G248="",0,H248-G248+1)</f>
        <v>30</v>
      </c>
      <c r="BC248" s="914">
        <f>Summary!$E$19</f>
        <v>1.4999999999999999E-2</v>
      </c>
      <c r="BD248" s="113">
        <v>15602.4</v>
      </c>
      <c r="BE248" s="171">
        <v>2836.8</v>
      </c>
      <c r="BF248" s="171">
        <v>2836.8</v>
      </c>
      <c r="BG248" s="174"/>
      <c r="BH248" s="1198">
        <v>1</v>
      </c>
      <c r="BI248" s="1198">
        <v>1</v>
      </c>
      <c r="BJ248" s="1198">
        <v>1</v>
      </c>
      <c r="BK248" s="1198">
        <v>1</v>
      </c>
      <c r="BL248" s="95">
        <v>3120.48</v>
      </c>
      <c r="BM248" s="171">
        <v>567.36</v>
      </c>
      <c r="BN248" s="171">
        <v>567.36</v>
      </c>
      <c r="BO248" s="174"/>
      <c r="BP248" s="1198">
        <v>1</v>
      </c>
      <c r="BQ248" s="1199">
        <v>1</v>
      </c>
      <c r="BR248" s="1199">
        <v>1</v>
      </c>
      <c r="BS248" s="1200">
        <v>1</v>
      </c>
      <c r="BT248" s="94">
        <f t="shared" si="209"/>
        <v>21276</v>
      </c>
      <c r="BU248" s="233">
        <f t="shared" si="210"/>
        <v>21276</v>
      </c>
      <c r="BV248" s="92">
        <f t="shared" si="211"/>
        <v>4255.2</v>
      </c>
      <c r="BW248" s="233">
        <f t="shared" si="212"/>
        <v>4255.2</v>
      </c>
      <c r="BX248" s="88">
        <v>19.293634496919918</v>
      </c>
      <c r="BY248" s="90">
        <v>0</v>
      </c>
      <c r="BZ248" s="88">
        <v>0</v>
      </c>
      <c r="CA248" s="88">
        <v>0</v>
      </c>
      <c r="CB248" s="88">
        <v>0</v>
      </c>
      <c r="CC248" s="88">
        <v>0</v>
      </c>
      <c r="CD248" s="88">
        <v>0</v>
      </c>
      <c r="CE248" s="100">
        <v>0</v>
      </c>
      <c r="CF248" s="88">
        <v>0</v>
      </c>
      <c r="CG248" s="88">
        <v>0</v>
      </c>
      <c r="CH248" s="88">
        <v>0</v>
      </c>
      <c r="CI248" s="88">
        <v>0</v>
      </c>
      <c r="CJ248" s="228">
        <v>0</v>
      </c>
      <c r="CK248" s="88">
        <v>0</v>
      </c>
      <c r="CL248" s="88">
        <v>0</v>
      </c>
      <c r="CM248" s="88">
        <v>0</v>
      </c>
      <c r="CN248" s="88">
        <v>0</v>
      </c>
      <c r="CO248" s="88">
        <v>0</v>
      </c>
      <c r="CP248" s="88">
        <v>0</v>
      </c>
      <c r="CQ248" s="229">
        <v>0</v>
      </c>
      <c r="CR248" s="91">
        <v>0</v>
      </c>
      <c r="CS248" s="91">
        <v>0</v>
      </c>
      <c r="CT248" s="91">
        <v>0</v>
      </c>
      <c r="CU248" s="91">
        <v>0</v>
      </c>
      <c r="CV248" s="91">
        <v>0</v>
      </c>
      <c r="CW248" s="91">
        <v>0</v>
      </c>
      <c r="CX248" s="225">
        <v>0</v>
      </c>
      <c r="CY248" s="1265">
        <v>7745.2383999999993</v>
      </c>
      <c r="CZ248" s="90">
        <v>0</v>
      </c>
      <c r="DA248" s="88">
        <v>0</v>
      </c>
      <c r="DB248" s="88">
        <v>0</v>
      </c>
      <c r="DC248" s="88">
        <v>0</v>
      </c>
      <c r="DD248" s="88">
        <v>0</v>
      </c>
      <c r="DE248" s="152">
        <v>0</v>
      </c>
      <c r="DF248" s="230">
        <v>0</v>
      </c>
      <c r="DG248" s="38">
        <v>0</v>
      </c>
      <c r="DH248" s="1237">
        <v>0</v>
      </c>
      <c r="DI248" s="956">
        <v>0</v>
      </c>
      <c r="DJ248" s="956">
        <v>0</v>
      </c>
      <c r="DK248" s="956">
        <v>0</v>
      </c>
      <c r="DL248" s="152">
        <v>0</v>
      </c>
      <c r="DM248" s="160">
        <v>0</v>
      </c>
      <c r="DN248" s="160">
        <v>0</v>
      </c>
      <c r="DO248" s="160">
        <v>0</v>
      </c>
      <c r="DP248" s="160">
        <v>0</v>
      </c>
      <c r="DQ248" s="160">
        <v>0</v>
      </c>
      <c r="DR248" s="230">
        <v>0</v>
      </c>
      <c r="DS248" s="88">
        <v>0</v>
      </c>
      <c r="DT248" s="88">
        <v>0</v>
      </c>
      <c r="DU248" s="88">
        <v>0</v>
      </c>
      <c r="DV248" s="88">
        <v>0</v>
      </c>
      <c r="DW248" s="88">
        <v>0</v>
      </c>
      <c r="DX248" s="88">
        <v>0</v>
      </c>
      <c r="DY248" s="88">
        <v>0</v>
      </c>
      <c r="DZ248" s="88">
        <v>0</v>
      </c>
      <c r="EA248" s="88">
        <v>0</v>
      </c>
      <c r="EB248" s="152">
        <v>0</v>
      </c>
      <c r="EC248" s="52">
        <f t="shared" si="213"/>
        <v>0</v>
      </c>
      <c r="ED248" s="52">
        <f t="shared" si="213"/>
        <v>0</v>
      </c>
      <c r="EE248" s="52">
        <f t="shared" si="213"/>
        <v>0</v>
      </c>
      <c r="EF248" s="52">
        <f t="shared" si="186"/>
        <v>0</v>
      </c>
      <c r="EG248" s="52">
        <f t="shared" si="214"/>
        <v>0</v>
      </c>
      <c r="EH248" s="238">
        <v>0</v>
      </c>
      <c r="EI248" s="211">
        <v>0</v>
      </c>
      <c r="EJ248" s="211">
        <v>0</v>
      </c>
      <c r="EK248" s="211">
        <v>0</v>
      </c>
      <c r="EL248" s="217">
        <f>IF(C248&gt;=Summary!$E$26,MAX(0,SUM(EH248:EK248)),0)</f>
        <v>0</v>
      </c>
      <c r="EM248" s="52">
        <f>IF(C248&gt;=Summary!$E$26,DX248*BL248,0)</f>
        <v>0</v>
      </c>
      <c r="EN248" s="52">
        <f>IF(C248&gt;=Summary!$E$26,DY248*BM248,0)</f>
        <v>0</v>
      </c>
      <c r="EO248" s="52">
        <f>IF(C248&gt;=Summary!$E$26,DZ248*BN248,0)</f>
        <v>0</v>
      </c>
      <c r="EP248" s="52">
        <f>IF(C248&gt;=Summary!$E$26,EA248*BO248,0)</f>
        <v>0</v>
      </c>
      <c r="EQ248" s="52">
        <f>IF(C248&gt;=Summary!$E$26,DX248*BL248+DY248*BM248+DZ248*BN248+EA248*BO248,0)</f>
        <v>0</v>
      </c>
      <c r="ER248" s="826">
        <v>0</v>
      </c>
      <c r="ES248" s="278">
        <v>0</v>
      </c>
      <c r="ET248" s="278">
        <v>0</v>
      </c>
      <c r="EU248" s="278">
        <v>0</v>
      </c>
      <c r="EV248" s="212">
        <f>IF(C248&gt;=Summary!$E$26,MAX(0,SUM(ER248:EU248)),0)</f>
        <v>0</v>
      </c>
      <c r="EW248" s="52"/>
      <c r="EX248" s="1049">
        <f t="shared" si="215"/>
        <v>0</v>
      </c>
      <c r="EY248" s="1045" t="str">
        <f t="shared" si="216"/>
        <v/>
      </c>
      <c r="EZ248" s="1684" t="s">
        <v>525</v>
      </c>
      <c r="FA248" s="1046">
        <f t="shared" si="229"/>
        <v>45</v>
      </c>
      <c r="FB248" s="256">
        <f t="shared" si="217"/>
        <v>9751.5</v>
      </c>
      <c r="FC248" s="194">
        <f t="shared" si="218"/>
        <v>2925.45</v>
      </c>
      <c r="FD248" s="194">
        <f t="shared" si="219"/>
        <v>1773</v>
      </c>
      <c r="FE248" s="194">
        <f t="shared" si="220"/>
        <v>531.9</v>
      </c>
      <c r="FF248" s="194">
        <f t="shared" si="221"/>
        <v>1773</v>
      </c>
      <c r="FG248" s="194">
        <f t="shared" si="222"/>
        <v>531.9</v>
      </c>
      <c r="FH248" s="257">
        <f>IF(EZ248="No",IF((OR(MONTH(C248)=5,MONTH(C248)=6,MONTH(C248)=7,MONTH(C248)=8,MONTH(C248)=9)),Summary!$O$15*12*(AX248+AY248+AZ248+BA248)*(1-$BC248),Summary!$O$15*13*(AX248+AY248+AZ248+BA248)*(1-$BC248)+IF(Summary!$O$16="Yes",(CALC!FA248+Summary!$O$15)*6*(AX248+AY248+AZ248+BA248)*(1-$BC248),0)),0)</f>
        <v>0</v>
      </c>
      <c r="FI248" s="1412">
        <f>IF(MONTH(C248)=5,FI247*(IF(Summary!$E$70="no",(1+(Summary!$E$71*0.8)),1+HLOOKUP(YEAR(C248)-1,CCFMODEL!$I$127:$AF$128,2)*0.8)),+FI247)</f>
        <v>41.746766959221887</v>
      </c>
      <c r="FJ248" s="1411">
        <f>IF(MONTH(C248)=5,FJ247*(IF(Summary!$E$70="no",(1+(Summary!$E$71*0.8)),1+HLOOKUP(YEAR(CALC!C248)-1,CCFMODEL!$I$127:$AF$128,2)*0.8)),FJ247)</f>
        <v>36.487331751760863</v>
      </c>
      <c r="FK248" s="832">
        <f t="shared" si="187"/>
        <v>721665.92373232893</v>
      </c>
      <c r="FL248" s="1412">
        <f>IF(MONTH(C248)=5,FL247*(IF(Summary!$E$70="no",(1+(Summary!$E$71*0.8)),1+HLOOKUP(YEAR(CALC!C248)-1,CCFMODEL!$I$127:$AF$128,2)*0.8)),+FL247)</f>
        <v>87.798131186454995</v>
      </c>
      <c r="FM248" s="1411">
        <f>IF(MONTH(C248)=5,FM247*(IF(Summary!$E$70="no",(1+(Summary!$E$71*0.8)),1+HLOOKUP(YEAR(CALC!C248)-1,CCFMODEL!$I$127:$AF$128,2)*0.8)),+FM247)</f>
        <v>41.903297768967747</v>
      </c>
      <c r="FN248" s="832">
        <f t="shared" si="188"/>
        <v>735402.87584538397</v>
      </c>
      <c r="FO248" s="194">
        <f t="shared" si="223"/>
        <v>1457068.799577713</v>
      </c>
      <c r="FP248" s="263">
        <f t="shared" si="238"/>
        <v>9751.5</v>
      </c>
      <c r="FQ248" s="194">
        <f t="shared" si="238"/>
        <v>2925.45</v>
      </c>
      <c r="FR248" s="194">
        <f t="shared" si="238"/>
        <v>1773</v>
      </c>
      <c r="FS248" s="194">
        <f t="shared" si="238"/>
        <v>531.9</v>
      </c>
      <c r="FT248" s="194">
        <f t="shared" si="238"/>
        <v>1773</v>
      </c>
      <c r="FU248" s="194">
        <f t="shared" si="238"/>
        <v>531.9</v>
      </c>
      <c r="FV248" s="257">
        <f t="shared" si="238"/>
        <v>0</v>
      </c>
      <c r="FW248" s="189">
        <f t="shared" si="192"/>
        <v>0</v>
      </c>
      <c r="FX248" s="189">
        <f t="shared" si="193"/>
        <v>0</v>
      </c>
      <c r="FY248" s="189">
        <f t="shared" si="194"/>
        <v>0</v>
      </c>
      <c r="FZ248" s="258">
        <f t="shared" si="195"/>
        <v>0</v>
      </c>
      <c r="GA248" s="1294">
        <f>(SUM(FP248:FV248)+SUM(GU248:HB248)/(1-Summary!$O$25))*CY248/1000</f>
        <v>228642.92292527994</v>
      </c>
      <c r="GB248" s="1369">
        <f>IF($C248&lt;Summary!$M$81,+Summary!$O$81,VLOOKUP(C248,GasTable,19))</f>
        <v>3.6076641719758178</v>
      </c>
      <c r="GC248" s="1370">
        <f>IF(H248&lt;=Summary!$N$84,MIN(GA248,Summary!$O$75*(H248-G248+1)),0)</f>
        <v>0</v>
      </c>
      <c r="GD248" s="1371">
        <f>IF(C248&lt;Summary!$N$84,IF(Summary!$O$75*(H248-G248+1)*0.8&gt;GC248,1,0),0)</f>
        <v>0</v>
      </c>
      <c r="GE248" s="1372">
        <v>0</v>
      </c>
      <c r="GF248" s="1370">
        <f t="shared" si="224"/>
        <v>228642.92292527994</v>
      </c>
      <c r="GG248" s="1371">
        <f>GF248*(IF(Summary!$O$74=1,VLOOKUP($C248,GasTable,16)+Summary!$O$92+Summary!$O$93,VLOOKUP($C248,GasTable,19)+Summary!$O$92+Summary!$O$93))</f>
        <v>836779.17749776784</v>
      </c>
      <c r="GH248" s="1373">
        <v>5411.4962579637267</v>
      </c>
      <c r="GI248" s="1466">
        <v>0</v>
      </c>
      <c r="GJ248" s="1374">
        <f t="shared" si="225"/>
        <v>842190.67375573155</v>
      </c>
      <c r="GK248" s="189">
        <f t="shared" si="196"/>
        <v>29092.270500000002</v>
      </c>
      <c r="GL248" s="266">
        <v>0.5189309728</v>
      </c>
      <c r="GM248" s="255">
        <f t="shared" si="197"/>
        <v>0</v>
      </c>
      <c r="GN248" s="189">
        <f>IF(SUM(GU248:HB248)=0,0,IF(Summary!$O$16="Yes",SUM(GX248:HB248),IF(Summary!$O$17="Yes",SUM(GY248:HB248),SUM(GU248:HB248))))</f>
        <v>11805.520499999999</v>
      </c>
      <c r="GO248" s="203">
        <v>4.1725124508968587</v>
      </c>
      <c r="GP248" s="258">
        <f t="shared" si="226"/>
        <v>49258.681275568102</v>
      </c>
      <c r="GQ248" s="189"/>
      <c r="GR248" s="189"/>
      <c r="GS248" s="189"/>
      <c r="GT248" s="189"/>
      <c r="GU248" s="268">
        <v>5646.1184999999996</v>
      </c>
      <c r="GV248" s="189">
        <v>1026.5670000000002</v>
      </c>
      <c r="GW248" s="189">
        <v>1026.5670000000002</v>
      </c>
      <c r="GX248" s="189"/>
      <c r="GY248" s="254">
        <v>3011.2631999999999</v>
      </c>
      <c r="GZ248" s="189">
        <v>547.50239999999997</v>
      </c>
      <c r="HA248" s="189">
        <v>547.50239999999997</v>
      </c>
      <c r="HB248" s="255"/>
      <c r="HC248" s="189">
        <v>11805.520499999999</v>
      </c>
      <c r="HD248" s="189"/>
      <c r="HE248" s="189">
        <v>20274.698249999998</v>
      </c>
      <c r="HF248" s="189">
        <v>504505.49162934168</v>
      </c>
      <c r="HG248" s="189"/>
      <c r="HH248" s="203">
        <v>41.962509741096412</v>
      </c>
      <c r="HI248" s="189">
        <v>850777.22281341534</v>
      </c>
      <c r="HJ248" s="268">
        <f t="shared" si="198"/>
        <v>0</v>
      </c>
      <c r="HK248" s="189">
        <f t="shared" si="199"/>
        <v>0</v>
      </c>
      <c r="HL248" s="189">
        <f t="shared" si="200"/>
        <v>0</v>
      </c>
      <c r="HM248" s="255">
        <f t="shared" si="201"/>
        <v>0</v>
      </c>
      <c r="HN248" s="189">
        <f t="shared" si="202"/>
        <v>0</v>
      </c>
      <c r="HO248" s="203">
        <f t="shared" si="227"/>
        <v>0</v>
      </c>
      <c r="HP248" s="258">
        <f t="shared" si="203"/>
        <v>0</v>
      </c>
      <c r="HQ248" s="203"/>
      <c r="HR248" s="268"/>
      <c r="HS248" s="1408"/>
      <c r="HT248" s="255"/>
      <c r="HU248" s="268"/>
      <c r="HV248" s="1408"/>
      <c r="HW248" s="255"/>
      <c r="HX248" s="1408"/>
      <c r="HY248" s="1408"/>
      <c r="HZ248"/>
      <c r="IA248" s="203"/>
      <c r="IB248" s="203"/>
      <c r="IC248" s="203"/>
      <c r="ID248" s="203"/>
      <c r="IE248" s="203"/>
      <c r="IF248" s="203"/>
      <c r="IG248" s="203"/>
      <c r="IH248" s="203"/>
      <c r="II248" s="203"/>
      <c r="IJ248" s="203"/>
      <c r="IK248" s="203"/>
      <c r="IL248" s="821"/>
      <c r="IM248" s="820"/>
      <c r="IN248" s="820"/>
      <c r="IR248" s="223"/>
    </row>
    <row r="249" spans="1:252" ht="13.8" thickBot="1">
      <c r="A249" t="str">
        <f t="shared" si="204"/>
        <v>2019Q2</v>
      </c>
      <c r="B249">
        <f t="shared" si="205"/>
        <v>2019</v>
      </c>
      <c r="C249" s="49">
        <f t="shared" si="206"/>
        <v>43586</v>
      </c>
      <c r="D249" s="115">
        <f t="shared" si="207"/>
        <v>2019</v>
      </c>
      <c r="E249" s="10">
        <f t="shared" si="230"/>
        <v>5</v>
      </c>
      <c r="F249" s="248">
        <f t="shared" si="231"/>
        <v>43612</v>
      </c>
      <c r="G249" s="245">
        <v>43586</v>
      </c>
      <c r="H249" s="251">
        <v>43616</v>
      </c>
      <c r="I249" s="959">
        <f t="shared" si="228"/>
        <v>7.1499999999999994E-2</v>
      </c>
      <c r="J249" s="37">
        <f t="shared" si="208"/>
        <v>0.25390481096549949</v>
      </c>
      <c r="K249" s="1036"/>
      <c r="L249" s="37"/>
      <c r="M249" s="1004">
        <v>0</v>
      </c>
      <c r="N249" s="38">
        <f t="shared" ref="N249:O268" si="239">M249</f>
        <v>0</v>
      </c>
      <c r="O249" s="40">
        <f t="shared" si="239"/>
        <v>0</v>
      </c>
      <c r="P249" s="159">
        <f t="shared" si="234"/>
        <v>0</v>
      </c>
      <c r="Q249" s="38">
        <f t="shared" ref="Q249:X258" si="240">P249</f>
        <v>0</v>
      </c>
      <c r="R249" s="40">
        <f t="shared" si="240"/>
        <v>0</v>
      </c>
      <c r="S249" s="38">
        <f t="shared" si="240"/>
        <v>0</v>
      </c>
      <c r="T249" s="38">
        <f t="shared" si="240"/>
        <v>0</v>
      </c>
      <c r="U249" s="38">
        <f t="shared" si="240"/>
        <v>0</v>
      </c>
      <c r="V249" s="159">
        <f t="shared" si="240"/>
        <v>0</v>
      </c>
      <c r="W249" s="38">
        <f t="shared" si="240"/>
        <v>0</v>
      </c>
      <c r="X249" s="39">
        <f t="shared" si="240"/>
        <v>0</v>
      </c>
      <c r="Y249" s="46">
        <v>0</v>
      </c>
      <c r="Z249" s="46">
        <v>0</v>
      </c>
      <c r="AA249" s="47">
        <v>0</v>
      </c>
      <c r="AB249" s="46">
        <v>0</v>
      </c>
      <c r="AC249" s="46">
        <v>0</v>
      </c>
      <c r="AD249" s="47">
        <v>0</v>
      </c>
      <c r="AE249" s="46">
        <v>0</v>
      </c>
      <c r="AF249" s="46">
        <v>0</v>
      </c>
      <c r="AG249" s="47">
        <v>0</v>
      </c>
      <c r="AH249" s="46">
        <v>0</v>
      </c>
      <c r="AI249" s="46">
        <v>0</v>
      </c>
      <c r="AJ249" s="47">
        <v>0</v>
      </c>
      <c r="AK249" s="46">
        <v>0</v>
      </c>
      <c r="AL249" s="46">
        <v>0</v>
      </c>
      <c r="AM249" s="47">
        <v>0</v>
      </c>
      <c r="AN249" s="46">
        <v>0</v>
      </c>
      <c r="AO249" s="46">
        <v>0</v>
      </c>
      <c r="AP249" s="47">
        <v>0</v>
      </c>
      <c r="AQ249" s="46">
        <v>0</v>
      </c>
      <c r="AR249" s="46">
        <v>0</v>
      </c>
      <c r="AS249" s="47">
        <v>0</v>
      </c>
      <c r="AT249" s="46">
        <v>0</v>
      </c>
      <c r="AU249" s="46">
        <v>0</v>
      </c>
      <c r="AV249" s="46">
        <v>0</v>
      </c>
      <c r="AW249" s="1545">
        <v>0</v>
      </c>
      <c r="AX249" s="10">
        <f t="shared" si="232"/>
        <v>22</v>
      </c>
      <c r="AY249" s="42">
        <f>IF(AND($E249=MONTH(Summary!$E$24),$D249=YEAR(Summary!$E$24)),Summary!$E$25,1)*IF(G249="",0,INT((H249-MOD(H249,7)-G249)/7)+1-IF(BA249,IF(WEEKDAY(F249)=7,1,0),0))</f>
        <v>4</v>
      </c>
      <c r="AZ249" s="42">
        <f>IF(AND($E249=MONTH(Summary!$E$24),$D249=YEAR(Summary!$E$24)),Summary!$E$25,1)*IF(G249="",0,INT((H249-MOD(H249-1,7)-G249)/7)+1-IF(BA249,IF(WEEKDAY(F249)=1,1,0),0))</f>
        <v>4</v>
      </c>
      <c r="BA249" s="42">
        <v>1</v>
      </c>
      <c r="BB249" s="10">
        <f>IF(AND($E249=MONTH(Summary!$E$24),$D249=YEAR(Summary!$E$24)),Summary!$E$25,1)*IF(G249="",0,H249-G249+1)</f>
        <v>31</v>
      </c>
      <c r="BC249" s="914">
        <f>Summary!$E$19</f>
        <v>1.4999999999999999E-2</v>
      </c>
      <c r="BD249" s="113">
        <v>15602.4</v>
      </c>
      <c r="BE249" s="171">
        <v>2836.8</v>
      </c>
      <c r="BF249" s="171">
        <v>3546</v>
      </c>
      <c r="BG249" s="174"/>
      <c r="BH249" s="1198">
        <v>1</v>
      </c>
      <c r="BI249" s="1198">
        <v>1</v>
      </c>
      <c r="BJ249" s="1198">
        <v>1</v>
      </c>
      <c r="BK249" s="1198">
        <v>1</v>
      </c>
      <c r="BL249" s="95">
        <v>3120.48</v>
      </c>
      <c r="BM249" s="171">
        <v>567.36</v>
      </c>
      <c r="BN249" s="171">
        <v>709.2</v>
      </c>
      <c r="BO249" s="174"/>
      <c r="BP249" s="1198">
        <v>1</v>
      </c>
      <c r="BQ249" s="1199">
        <v>1</v>
      </c>
      <c r="BR249" s="1199">
        <v>1</v>
      </c>
      <c r="BS249" s="1200">
        <v>1</v>
      </c>
      <c r="BT249" s="94">
        <f t="shared" si="209"/>
        <v>21985.200000000001</v>
      </c>
      <c r="BU249" s="233">
        <f t="shared" si="210"/>
        <v>21985.200000000001</v>
      </c>
      <c r="BV249" s="92">
        <f t="shared" si="211"/>
        <v>4397.04</v>
      </c>
      <c r="BW249" s="233">
        <f t="shared" si="212"/>
        <v>4397.04</v>
      </c>
      <c r="BX249" s="88">
        <v>19.375770020533881</v>
      </c>
      <c r="BY249" s="90">
        <v>0</v>
      </c>
      <c r="BZ249" s="88">
        <v>0</v>
      </c>
      <c r="CA249" s="88">
        <v>0</v>
      </c>
      <c r="CB249" s="88">
        <v>0</v>
      </c>
      <c r="CC249" s="88">
        <v>0</v>
      </c>
      <c r="CD249" s="88">
        <v>0</v>
      </c>
      <c r="CE249" s="100">
        <v>0</v>
      </c>
      <c r="CF249" s="88">
        <v>0</v>
      </c>
      <c r="CG249" s="88">
        <v>0</v>
      </c>
      <c r="CH249" s="88">
        <v>0</v>
      </c>
      <c r="CI249" s="88">
        <v>0</v>
      </c>
      <c r="CJ249" s="228">
        <v>0</v>
      </c>
      <c r="CK249" s="88">
        <v>0</v>
      </c>
      <c r="CL249" s="88">
        <v>0</v>
      </c>
      <c r="CM249" s="88">
        <v>0</v>
      </c>
      <c r="CN249" s="88">
        <v>0</v>
      </c>
      <c r="CO249" s="88">
        <v>0</v>
      </c>
      <c r="CP249" s="88">
        <v>0</v>
      </c>
      <c r="CQ249" s="229">
        <v>0</v>
      </c>
      <c r="CR249" s="91">
        <v>0</v>
      </c>
      <c r="CS249" s="91">
        <v>0</v>
      </c>
      <c r="CT249" s="91">
        <v>0</v>
      </c>
      <c r="CU249" s="91">
        <v>0</v>
      </c>
      <c r="CV249" s="91">
        <v>0</v>
      </c>
      <c r="CW249" s="91">
        <v>0</v>
      </c>
      <c r="CX249" s="225">
        <v>0</v>
      </c>
      <c r="CY249" s="1265">
        <v>7747.2693599999993</v>
      </c>
      <c r="CZ249" s="90">
        <v>0</v>
      </c>
      <c r="DA249" s="88">
        <v>0</v>
      </c>
      <c r="DB249" s="88">
        <v>0</v>
      </c>
      <c r="DC249" s="88">
        <v>0</v>
      </c>
      <c r="DD249" s="88">
        <v>0</v>
      </c>
      <c r="DE249" s="152">
        <v>0</v>
      </c>
      <c r="DF249" s="230">
        <v>0</v>
      </c>
      <c r="DG249" s="38">
        <v>0</v>
      </c>
      <c r="DH249" s="1237">
        <v>0</v>
      </c>
      <c r="DI249" s="956">
        <v>0</v>
      </c>
      <c r="DJ249" s="956">
        <v>0</v>
      </c>
      <c r="DK249" s="956">
        <v>0</v>
      </c>
      <c r="DL249" s="152">
        <v>0</v>
      </c>
      <c r="DM249" s="160">
        <v>0</v>
      </c>
      <c r="DN249" s="160">
        <v>0</v>
      </c>
      <c r="DO249" s="160">
        <v>0</v>
      </c>
      <c r="DP249" s="160">
        <v>0</v>
      </c>
      <c r="DQ249" s="160">
        <v>0</v>
      </c>
      <c r="DR249" s="230">
        <v>0</v>
      </c>
      <c r="DS249" s="88">
        <v>0</v>
      </c>
      <c r="DT249" s="88">
        <v>0</v>
      </c>
      <c r="DU249" s="88">
        <v>0</v>
      </c>
      <c r="DV249" s="88">
        <v>0</v>
      </c>
      <c r="DW249" s="88">
        <v>0</v>
      </c>
      <c r="DX249" s="88">
        <v>0</v>
      </c>
      <c r="DY249" s="88">
        <v>0</v>
      </c>
      <c r="DZ249" s="88">
        <v>0</v>
      </c>
      <c r="EA249" s="88">
        <v>0</v>
      </c>
      <c r="EB249" s="152">
        <v>0</v>
      </c>
      <c r="EC249" s="52">
        <f t="shared" si="213"/>
        <v>0</v>
      </c>
      <c r="ED249" s="52">
        <f t="shared" si="213"/>
        <v>0</v>
      </c>
      <c r="EE249" s="52">
        <f t="shared" si="213"/>
        <v>0</v>
      </c>
      <c r="EF249" s="52">
        <f t="shared" si="186"/>
        <v>0</v>
      </c>
      <c r="EG249" s="52">
        <f t="shared" si="214"/>
        <v>0</v>
      </c>
      <c r="EH249" s="238">
        <v>0</v>
      </c>
      <c r="EI249" s="211">
        <v>0</v>
      </c>
      <c r="EJ249" s="211">
        <v>0</v>
      </c>
      <c r="EK249" s="211">
        <v>0</v>
      </c>
      <c r="EL249" s="217">
        <f>IF(C249&gt;=Summary!$E$26,MAX(0,SUM(EH249:EK249)),0)</f>
        <v>0</v>
      </c>
      <c r="EM249" s="52">
        <f>IF(C249&gt;=Summary!$E$26,DX249*BL249,0)</f>
        <v>0</v>
      </c>
      <c r="EN249" s="52">
        <f>IF(C249&gt;=Summary!$E$26,DY249*BM249,0)</f>
        <v>0</v>
      </c>
      <c r="EO249" s="52">
        <f>IF(C249&gt;=Summary!$E$26,DZ249*BN249,0)</f>
        <v>0</v>
      </c>
      <c r="EP249" s="52">
        <f>IF(C249&gt;=Summary!$E$26,EA249*BO249,0)</f>
        <v>0</v>
      </c>
      <c r="EQ249" s="52">
        <f>IF(C249&gt;=Summary!$E$26,DX249*BL249+DY249*BM249+DZ249*BN249+EA249*BO249,0)</f>
        <v>0</v>
      </c>
      <c r="ER249" s="826">
        <v>0</v>
      </c>
      <c r="ES249" s="278">
        <v>0</v>
      </c>
      <c r="ET249" s="278">
        <v>0</v>
      </c>
      <c r="EU249" s="278">
        <v>0</v>
      </c>
      <c r="EV249" s="212">
        <f>IF(C249&gt;=Summary!$E$26,MAX(0,SUM(ER249:EU249)),0)</f>
        <v>0</v>
      </c>
      <c r="EW249" s="52"/>
      <c r="EX249" s="1049">
        <f t="shared" si="215"/>
        <v>0</v>
      </c>
      <c r="EY249" s="1045" t="str">
        <f t="shared" si="216"/>
        <v/>
      </c>
      <c r="EZ249" s="1684" t="s">
        <v>525</v>
      </c>
      <c r="FA249" s="1046">
        <f t="shared" si="229"/>
        <v>45</v>
      </c>
      <c r="FB249" s="256">
        <f t="shared" si="217"/>
        <v>11701.8</v>
      </c>
      <c r="FC249" s="194">
        <f t="shared" si="218"/>
        <v>0</v>
      </c>
      <c r="FD249" s="194">
        <f t="shared" si="219"/>
        <v>2127.6</v>
      </c>
      <c r="FE249" s="194">
        <f t="shared" si="220"/>
        <v>0</v>
      </c>
      <c r="FF249" s="194">
        <f t="shared" si="221"/>
        <v>2659.5</v>
      </c>
      <c r="FG249" s="194">
        <f t="shared" si="222"/>
        <v>0</v>
      </c>
      <c r="FH249" s="257">
        <f>IF(EZ249="No",IF((OR(MONTH(C249)=5,MONTH(C249)=6,MONTH(C249)=7,MONTH(C249)=8,MONTH(C249)=9)),Summary!$O$15*12*(AX249+AY249+AZ249+BA249)*(1-$BC249),Summary!$O$15*13*(AX249+AY249+AZ249+BA249)*(1-$BC249)+IF(Summary!$O$16="Yes",(CALC!FA249+Summary!$O$15)*6*(AX249+AY249+AZ249+BA249)*(1-$BC249),0)),0)</f>
        <v>0</v>
      </c>
      <c r="FI249" s="1412">
        <f>IF(MONTH(C249)=5,FI248*(IF(Summary!$E$70="no",(1+(Summary!$E$71*0.8)),1+HLOOKUP(YEAR(C249)-1,CCFMODEL!$I$127:$AF$128,2)*0.8)),+FI248)</f>
        <v>42.748689366243212</v>
      </c>
      <c r="FJ249" s="1411">
        <f>IF(MONTH(C249)=5,FJ248*(IF(Summary!$E$70="no",(1+(Summary!$E$71*0.8)),1+HLOOKUP(YEAR(CALC!C249)-1,CCFMODEL!$I$127:$AF$128,2)*0.8)),FJ248)</f>
        <v>37.363027713803127</v>
      </c>
      <c r="FK249" s="832">
        <f t="shared" si="187"/>
        <v>704878.86409104778</v>
      </c>
      <c r="FL249" s="1412">
        <f>IF(MONTH(C249)=5,FL248*(IF(Summary!$E$70="no",(1+(Summary!$E$71*0.8)),1+HLOOKUP(YEAR(CALC!C249)-1,CCFMODEL!$I$127:$AF$128,2)*0.8)),+FL248)</f>
        <v>89.905286334929912</v>
      </c>
      <c r="FM249" s="1411">
        <f>IF(MONTH(C249)=5,FM248*(IF(Summary!$E$70="no",(1+(Summary!$E$71*0.8)),1+HLOOKUP(YEAR(CALC!C249)-1,CCFMODEL!$I$127:$AF$128,2)*0.8)),+FM248)</f>
        <v>42.908976915422976</v>
      </c>
      <c r="FN249" s="832">
        <f t="shared" si="188"/>
        <v>1505014.4932467267</v>
      </c>
      <c r="FO249" s="194">
        <f t="shared" si="223"/>
        <v>2209893.3573377747</v>
      </c>
      <c r="FP249" s="263">
        <f t="shared" si="238"/>
        <v>11701.8</v>
      </c>
      <c r="FQ249" s="194">
        <f t="shared" si="238"/>
        <v>0</v>
      </c>
      <c r="FR249" s="194">
        <f t="shared" si="238"/>
        <v>2127.6</v>
      </c>
      <c r="FS249" s="194">
        <f t="shared" si="238"/>
        <v>0</v>
      </c>
      <c r="FT249" s="194">
        <f t="shared" si="238"/>
        <v>2659.5</v>
      </c>
      <c r="FU249" s="194">
        <f t="shared" si="238"/>
        <v>0</v>
      </c>
      <c r="FV249" s="257">
        <f t="shared" si="238"/>
        <v>0</v>
      </c>
      <c r="FW249" s="189">
        <f t="shared" si="192"/>
        <v>0</v>
      </c>
      <c r="FX249" s="189">
        <f t="shared" si="193"/>
        <v>0</v>
      </c>
      <c r="FY249" s="189">
        <f t="shared" si="194"/>
        <v>0</v>
      </c>
      <c r="FZ249" s="258">
        <f t="shared" si="195"/>
        <v>0</v>
      </c>
      <c r="GA249" s="1294">
        <f>(SUM(FP249:FV249)+SUM(GU249:HB249)/(1-Summary!$O$25))*CY249/1000</f>
        <v>204390.31960016637</v>
      </c>
      <c r="GB249" s="1369">
        <f>IF($C249&lt;Summary!$M$81,+Summary!$O$81,VLOOKUP(C249,GasTable,19))</f>
        <v>3.5804562847648449</v>
      </c>
      <c r="GC249" s="1370">
        <f>IF(H249&lt;=Summary!$N$84,MIN(GA249,Summary!$O$75*(H249-G249+1)),0)</f>
        <v>0</v>
      </c>
      <c r="GD249" s="1371">
        <f>IF(C249&lt;Summary!$N$84,IF(Summary!$O$75*(H249-G249+1)*0.8&gt;GC249,1,0),0)</f>
        <v>0</v>
      </c>
      <c r="GE249" s="1372">
        <v>0</v>
      </c>
      <c r="GF249" s="1370">
        <f t="shared" si="224"/>
        <v>204390.31960016637</v>
      </c>
      <c r="GG249" s="1371">
        <f>GF249*(IF(Summary!$O$74=1,VLOOKUP($C249,GasTable,16)+Summary!$O$92+Summary!$O$93,VLOOKUP($C249,GasTable,19)+Summary!$O$92+Summary!$O$93))</f>
        <v>742459.34000867954</v>
      </c>
      <c r="GH249" s="1373">
        <v>5549.7072413855094</v>
      </c>
      <c r="GI249" s="1466">
        <v>0</v>
      </c>
      <c r="GJ249" s="1374">
        <f t="shared" si="225"/>
        <v>748009.04725006502</v>
      </c>
      <c r="GK249" s="189">
        <f t="shared" si="196"/>
        <v>26035.973100000007</v>
      </c>
      <c r="GL249" s="266">
        <v>0.51906704711999996</v>
      </c>
      <c r="GM249" s="255">
        <f t="shared" si="197"/>
        <v>0</v>
      </c>
      <c r="GN249" s="189">
        <f>IF(SUM(GU249:HB249)=0,0,IF(Summary!$O$16="Yes",SUM(GX249:HB249),IF(Summary!$O$17="Yes",SUM(GY249:HB249),SUM(GU249:HB249))))</f>
        <v>9547.0730999999996</v>
      </c>
      <c r="GO249" s="203">
        <v>4.1725124508968587</v>
      </c>
      <c r="GP249" s="258">
        <f t="shared" si="226"/>
        <v>39835.281379372471</v>
      </c>
      <c r="GQ249" s="189"/>
      <c r="GR249" s="189"/>
      <c r="GS249" s="189"/>
      <c r="GT249" s="189"/>
      <c r="GU249" s="268">
        <v>3764.0790000000002</v>
      </c>
      <c r="GV249" s="189">
        <v>684.37800000000027</v>
      </c>
      <c r="GW249" s="189">
        <v>855.47249999999997</v>
      </c>
      <c r="GX249" s="189"/>
      <c r="GY249" s="254">
        <v>3011.2631999999999</v>
      </c>
      <c r="GZ249" s="189">
        <v>547.50239999999997</v>
      </c>
      <c r="HA249" s="189">
        <v>684.37800000000004</v>
      </c>
      <c r="HB249" s="255"/>
      <c r="HC249" s="189">
        <v>9547.0730999999996</v>
      </c>
      <c r="HD249" s="189"/>
      <c r="HE249" s="189">
        <v>22276.5039</v>
      </c>
      <c r="HF249" s="189">
        <v>434266.47613810434</v>
      </c>
      <c r="HG249" s="189"/>
      <c r="HH249" s="203">
        <v>46.087052329554368</v>
      </c>
      <c r="HI249" s="189">
        <v>1026658.400958822</v>
      </c>
      <c r="HJ249" s="268">
        <f t="shared" si="198"/>
        <v>0</v>
      </c>
      <c r="HK249" s="189">
        <f t="shared" si="199"/>
        <v>0</v>
      </c>
      <c r="HL249" s="189">
        <f t="shared" si="200"/>
        <v>0</v>
      </c>
      <c r="HM249" s="255">
        <f t="shared" si="201"/>
        <v>0</v>
      </c>
      <c r="HN249" s="189">
        <f t="shared" si="202"/>
        <v>0</v>
      </c>
      <c r="HO249" s="203">
        <f t="shared" si="227"/>
        <v>0</v>
      </c>
      <c r="HP249" s="258">
        <f t="shared" si="203"/>
        <v>0</v>
      </c>
      <c r="HQ249" s="203"/>
      <c r="HR249" s="268"/>
      <c r="HS249" s="1408"/>
      <c r="HT249" s="255"/>
      <c r="HU249" s="268"/>
      <c r="HV249" s="1408"/>
      <c r="HW249" s="255"/>
      <c r="HX249" s="1408"/>
      <c r="HY249" s="1408"/>
      <c r="HZ249"/>
      <c r="IA249" s="203"/>
      <c r="IB249" s="203"/>
      <c r="IC249" s="203"/>
      <c r="ID249" s="203"/>
      <c r="IE249" s="203"/>
      <c r="IF249" s="203"/>
      <c r="IG249" s="203"/>
      <c r="IH249" s="203"/>
      <c r="II249" s="203"/>
      <c r="IJ249" s="203"/>
      <c r="IK249" s="203"/>
      <c r="IL249" s="821"/>
      <c r="IM249" s="820"/>
      <c r="IN249" s="820"/>
      <c r="IR249" s="223"/>
    </row>
    <row r="250" spans="1:252" ht="13.8" thickBot="1">
      <c r="A250" t="str">
        <f t="shared" si="204"/>
        <v>2019Q2</v>
      </c>
      <c r="B250">
        <f t="shared" si="205"/>
        <v>2019</v>
      </c>
      <c r="C250" s="49">
        <f t="shared" si="206"/>
        <v>43617</v>
      </c>
      <c r="D250" s="115">
        <f t="shared" si="207"/>
        <v>2019</v>
      </c>
      <c r="E250" s="10">
        <f t="shared" si="230"/>
        <v>6</v>
      </c>
      <c r="F250" s="248" t="str">
        <f t="shared" si="231"/>
        <v/>
      </c>
      <c r="G250" s="245">
        <v>43617</v>
      </c>
      <c r="H250" s="251">
        <v>43646</v>
      </c>
      <c r="I250" s="959">
        <f t="shared" si="228"/>
        <v>7.1499999999999994E-2</v>
      </c>
      <c r="J250" s="37">
        <f t="shared" si="208"/>
        <v>0.25244396026153348</v>
      </c>
      <c r="K250" s="1036"/>
      <c r="L250" s="37"/>
      <c r="M250" s="1004">
        <v>0</v>
      </c>
      <c r="N250" s="38">
        <f t="shared" si="239"/>
        <v>0</v>
      </c>
      <c r="O250" s="40">
        <f t="shared" si="239"/>
        <v>0</v>
      </c>
      <c r="P250" s="159">
        <f t="shared" si="234"/>
        <v>0</v>
      </c>
      <c r="Q250" s="38">
        <f t="shared" si="240"/>
        <v>0</v>
      </c>
      <c r="R250" s="40">
        <f t="shared" si="240"/>
        <v>0</v>
      </c>
      <c r="S250" s="38">
        <f t="shared" si="240"/>
        <v>0</v>
      </c>
      <c r="T250" s="38">
        <f t="shared" si="240"/>
        <v>0</v>
      </c>
      <c r="U250" s="38">
        <f t="shared" si="240"/>
        <v>0</v>
      </c>
      <c r="V250" s="159">
        <f t="shared" si="240"/>
        <v>0</v>
      </c>
      <c r="W250" s="38">
        <f t="shared" si="240"/>
        <v>0</v>
      </c>
      <c r="X250" s="39">
        <f t="shared" si="240"/>
        <v>0</v>
      </c>
      <c r="Y250" s="46">
        <v>0</v>
      </c>
      <c r="Z250" s="46">
        <v>0</v>
      </c>
      <c r="AA250" s="47">
        <v>0</v>
      </c>
      <c r="AB250" s="46">
        <v>0</v>
      </c>
      <c r="AC250" s="46">
        <v>0</v>
      </c>
      <c r="AD250" s="47">
        <v>0</v>
      </c>
      <c r="AE250" s="46">
        <v>0</v>
      </c>
      <c r="AF250" s="46">
        <v>0</v>
      </c>
      <c r="AG250" s="47">
        <v>0</v>
      </c>
      <c r="AH250" s="46">
        <v>0</v>
      </c>
      <c r="AI250" s="46">
        <v>0</v>
      </c>
      <c r="AJ250" s="47">
        <v>0</v>
      </c>
      <c r="AK250" s="46">
        <v>0</v>
      </c>
      <c r="AL250" s="46">
        <v>0</v>
      </c>
      <c r="AM250" s="47">
        <v>0</v>
      </c>
      <c r="AN250" s="46">
        <v>0</v>
      </c>
      <c r="AO250" s="46">
        <v>0</v>
      </c>
      <c r="AP250" s="47">
        <v>0</v>
      </c>
      <c r="AQ250" s="46">
        <v>0</v>
      </c>
      <c r="AR250" s="46">
        <v>0</v>
      </c>
      <c r="AS250" s="47">
        <v>0</v>
      </c>
      <c r="AT250" s="46">
        <v>0</v>
      </c>
      <c r="AU250" s="46">
        <v>0</v>
      </c>
      <c r="AV250" s="46">
        <v>0</v>
      </c>
      <c r="AW250" s="1545">
        <v>0</v>
      </c>
      <c r="AX250" s="10">
        <f t="shared" si="232"/>
        <v>20</v>
      </c>
      <c r="AY250" s="42">
        <f>IF(AND($E250=MONTH(Summary!$E$24),$D250=YEAR(Summary!$E$24)),Summary!$E$25,1)*IF(G250="",0,INT((H250-MOD(H250,7)-G250)/7)+1-IF(BA250,IF(WEEKDAY(F250)=7,1,0),0))</f>
        <v>5</v>
      </c>
      <c r="AZ250" s="42">
        <f>IF(AND($E250=MONTH(Summary!$E$24),$D250=YEAR(Summary!$E$24)),Summary!$E$25,1)*IF(G250="",0,INT((H250-MOD(H250-1,7)-G250)/7)+1-IF(BA250,IF(WEEKDAY(F250)=1,1,0),0))</f>
        <v>5</v>
      </c>
      <c r="BA250" s="42">
        <v>0</v>
      </c>
      <c r="BB250" s="10">
        <f>IF(AND($E250=MONTH(Summary!$E$24),$D250=YEAR(Summary!$E$24)),Summary!$E$25,1)*IF(G250="",0,H250-G250+1)</f>
        <v>30</v>
      </c>
      <c r="BC250" s="914">
        <f>Summary!$E$19</f>
        <v>1.4999999999999999E-2</v>
      </c>
      <c r="BD250" s="113">
        <v>14184</v>
      </c>
      <c r="BE250" s="171">
        <v>3546</v>
      </c>
      <c r="BF250" s="171">
        <v>3546</v>
      </c>
      <c r="BG250" s="174"/>
      <c r="BH250" s="1198">
        <v>1</v>
      </c>
      <c r="BI250" s="1198">
        <v>1</v>
      </c>
      <c r="BJ250" s="1198">
        <v>1</v>
      </c>
      <c r="BK250" s="1198">
        <v>1</v>
      </c>
      <c r="BL250" s="95">
        <v>2836.8</v>
      </c>
      <c r="BM250" s="171">
        <v>709.2</v>
      </c>
      <c r="BN250" s="171">
        <v>709.2</v>
      </c>
      <c r="BO250" s="174"/>
      <c r="BP250" s="1198">
        <v>1</v>
      </c>
      <c r="BQ250" s="1199">
        <v>1</v>
      </c>
      <c r="BR250" s="1199">
        <v>1</v>
      </c>
      <c r="BS250" s="1200">
        <v>1</v>
      </c>
      <c r="BT250" s="94">
        <f t="shared" si="209"/>
        <v>21276</v>
      </c>
      <c r="BU250" s="233">
        <f t="shared" si="210"/>
        <v>21276</v>
      </c>
      <c r="BV250" s="92">
        <f t="shared" si="211"/>
        <v>4255.2</v>
      </c>
      <c r="BW250" s="233">
        <f t="shared" si="212"/>
        <v>4255.2</v>
      </c>
      <c r="BX250" s="88">
        <v>19.460643394934976</v>
      </c>
      <c r="BY250" s="90">
        <v>0</v>
      </c>
      <c r="BZ250" s="88">
        <v>0</v>
      </c>
      <c r="CA250" s="88">
        <v>0</v>
      </c>
      <c r="CB250" s="88">
        <v>0</v>
      </c>
      <c r="CC250" s="88">
        <v>0</v>
      </c>
      <c r="CD250" s="88">
        <v>0</v>
      </c>
      <c r="CE250" s="100">
        <v>0</v>
      </c>
      <c r="CF250" s="88">
        <v>0</v>
      </c>
      <c r="CG250" s="88">
        <v>0</v>
      </c>
      <c r="CH250" s="88">
        <v>0</v>
      </c>
      <c r="CI250" s="88">
        <v>0</v>
      </c>
      <c r="CJ250" s="228">
        <v>0</v>
      </c>
      <c r="CK250" s="88">
        <v>0</v>
      </c>
      <c r="CL250" s="88">
        <v>0</v>
      </c>
      <c r="CM250" s="88">
        <v>0</v>
      </c>
      <c r="CN250" s="88">
        <v>0</v>
      </c>
      <c r="CO250" s="88">
        <v>0</v>
      </c>
      <c r="CP250" s="88">
        <v>0</v>
      </c>
      <c r="CQ250" s="229">
        <v>0</v>
      </c>
      <c r="CR250" s="91">
        <v>0</v>
      </c>
      <c r="CS250" s="91">
        <v>0</v>
      </c>
      <c r="CT250" s="91">
        <v>0</v>
      </c>
      <c r="CU250" s="91">
        <v>0</v>
      </c>
      <c r="CV250" s="91">
        <v>0</v>
      </c>
      <c r="CW250" s="91">
        <v>0</v>
      </c>
      <c r="CX250" s="225">
        <v>0</v>
      </c>
      <c r="CY250" s="1265">
        <v>7749.3003200000003</v>
      </c>
      <c r="CZ250" s="90">
        <v>0</v>
      </c>
      <c r="DA250" s="88">
        <v>0</v>
      </c>
      <c r="DB250" s="88">
        <v>0</v>
      </c>
      <c r="DC250" s="88">
        <v>0</v>
      </c>
      <c r="DD250" s="88">
        <v>0</v>
      </c>
      <c r="DE250" s="152">
        <v>0</v>
      </c>
      <c r="DF250" s="230">
        <v>0</v>
      </c>
      <c r="DG250" s="38">
        <v>0</v>
      </c>
      <c r="DH250" s="1237">
        <v>0</v>
      </c>
      <c r="DI250" s="956">
        <v>0</v>
      </c>
      <c r="DJ250" s="956">
        <v>0</v>
      </c>
      <c r="DK250" s="956">
        <v>0</v>
      </c>
      <c r="DL250" s="152">
        <v>0</v>
      </c>
      <c r="DM250" s="160">
        <v>0</v>
      </c>
      <c r="DN250" s="160">
        <v>0</v>
      </c>
      <c r="DO250" s="160">
        <v>0</v>
      </c>
      <c r="DP250" s="160">
        <v>0</v>
      </c>
      <c r="DQ250" s="160">
        <v>0</v>
      </c>
      <c r="DR250" s="230">
        <v>0</v>
      </c>
      <c r="DS250" s="88">
        <v>0</v>
      </c>
      <c r="DT250" s="88">
        <v>0</v>
      </c>
      <c r="DU250" s="88">
        <v>0</v>
      </c>
      <c r="DV250" s="88">
        <v>0</v>
      </c>
      <c r="DW250" s="88">
        <v>0</v>
      </c>
      <c r="DX250" s="88">
        <v>0</v>
      </c>
      <c r="DY250" s="88">
        <v>0</v>
      </c>
      <c r="DZ250" s="88">
        <v>0</v>
      </c>
      <c r="EA250" s="88">
        <v>0</v>
      </c>
      <c r="EB250" s="152">
        <v>0</v>
      </c>
      <c r="EC250" s="52">
        <f t="shared" si="213"/>
        <v>0</v>
      </c>
      <c r="ED250" s="52">
        <f t="shared" si="213"/>
        <v>0</v>
      </c>
      <c r="EE250" s="52">
        <f t="shared" si="213"/>
        <v>0</v>
      </c>
      <c r="EF250" s="52">
        <f t="shared" si="186"/>
        <v>0</v>
      </c>
      <c r="EG250" s="52">
        <f t="shared" si="214"/>
        <v>0</v>
      </c>
      <c r="EH250" s="238">
        <v>0</v>
      </c>
      <c r="EI250" s="211">
        <v>0</v>
      </c>
      <c r="EJ250" s="211">
        <v>0</v>
      </c>
      <c r="EK250" s="211">
        <v>0</v>
      </c>
      <c r="EL250" s="217">
        <f>IF(C250&gt;=Summary!$E$26,MAX(0,SUM(EH250:EK250)),0)</f>
        <v>0</v>
      </c>
      <c r="EM250" s="52">
        <f>IF(C250&gt;=Summary!$E$26,DX250*BL250,0)</f>
        <v>0</v>
      </c>
      <c r="EN250" s="52">
        <f>IF(C250&gt;=Summary!$E$26,DY250*BM250,0)</f>
        <v>0</v>
      </c>
      <c r="EO250" s="52">
        <f>IF(C250&gt;=Summary!$E$26,DZ250*BN250,0)</f>
        <v>0</v>
      </c>
      <c r="EP250" s="52">
        <f>IF(C250&gt;=Summary!$E$26,EA250*BO250,0)</f>
        <v>0</v>
      </c>
      <c r="EQ250" s="52">
        <f>IF(C250&gt;=Summary!$E$26,DX250*BL250+DY250*BM250+DZ250*BN250+EA250*BO250,0)</f>
        <v>0</v>
      </c>
      <c r="ER250" s="826">
        <v>0</v>
      </c>
      <c r="ES250" s="278">
        <v>0</v>
      </c>
      <c r="ET250" s="278">
        <v>0</v>
      </c>
      <c r="EU250" s="278">
        <v>0</v>
      </c>
      <c r="EV250" s="212">
        <f>IF(C250&gt;=Summary!$E$26,MAX(0,SUM(ER250:EU250)),0)</f>
        <v>0</v>
      </c>
      <c r="EW250" s="52"/>
      <c r="EX250" s="1049">
        <f t="shared" si="215"/>
        <v>0</v>
      </c>
      <c r="EY250" s="1045" t="str">
        <f t="shared" si="216"/>
        <v/>
      </c>
      <c r="EZ250" s="1684" t="s">
        <v>525</v>
      </c>
      <c r="FA250" s="1046">
        <f t="shared" si="229"/>
        <v>45</v>
      </c>
      <c r="FB250" s="256">
        <f t="shared" si="217"/>
        <v>10638</v>
      </c>
      <c r="FC250" s="194">
        <f t="shared" si="218"/>
        <v>0</v>
      </c>
      <c r="FD250" s="194">
        <f t="shared" si="219"/>
        <v>2659.5</v>
      </c>
      <c r="FE250" s="194">
        <f t="shared" si="220"/>
        <v>0</v>
      </c>
      <c r="FF250" s="194">
        <f t="shared" si="221"/>
        <v>2659.5</v>
      </c>
      <c r="FG250" s="194">
        <f t="shared" si="222"/>
        <v>0</v>
      </c>
      <c r="FH250" s="257">
        <f>IF(EZ250="No",IF((OR(MONTH(C250)=5,MONTH(C250)=6,MONTH(C250)=7,MONTH(C250)=8,MONTH(C250)=9)),Summary!$O$15*12*(AX250+AY250+AZ250+BA250)*(1-$BC250),Summary!$O$15*13*(AX250+AY250+AZ250+BA250)*(1-$BC250)+IF(Summary!$O$16="Yes",(CALC!FA250+Summary!$O$15)*6*(AX250+AY250+AZ250+BA250)*(1-$BC250),0)),0)</f>
        <v>0</v>
      </c>
      <c r="FI250" s="1412">
        <f>IF(MONTH(C250)=5,FI249*(IF(Summary!$E$70="no",(1+(Summary!$E$71*0.8)),1+HLOOKUP(YEAR(C250)-1,CCFMODEL!$I$127:$AF$128,2)*0.8)),+FI249)</f>
        <v>42.748689366243212</v>
      </c>
      <c r="FJ250" s="1411">
        <f>IF(MONTH(C250)=5,FJ249*(IF(Summary!$E$70="no",(1+(Summary!$E$71*0.8)),1+HLOOKUP(YEAR(CALC!C250)-1,CCFMODEL!$I$127:$AF$128,2)*0.8)),FJ249)</f>
        <v>37.363027713803127</v>
      </c>
      <c r="FK250" s="832">
        <f t="shared" si="187"/>
        <v>682140.83621714299</v>
      </c>
      <c r="FL250" s="1412">
        <f>IF(MONTH(C250)=5,FL249*(IF(Summary!$E$70="no",(1+(Summary!$E$71*0.8)),1+HLOOKUP(YEAR(CALC!C250)-1,CCFMODEL!$I$127:$AF$128,2)*0.8)),+FL249)</f>
        <v>89.905286334929912</v>
      </c>
      <c r="FM250" s="1411">
        <f>IF(MONTH(C250)=5,FM249*(IF(Summary!$E$70="no",(1+(Summary!$E$71*0.8)),1+HLOOKUP(YEAR(CALC!C250)-1,CCFMODEL!$I$127:$AF$128,2)*0.8)),+FM249)</f>
        <v>42.908976915422976</v>
      </c>
      <c r="FN250" s="832">
        <f t="shared" si="188"/>
        <v>1456465.6386258646</v>
      </c>
      <c r="FO250" s="194">
        <f t="shared" si="223"/>
        <v>2138606.4748430075</v>
      </c>
      <c r="FP250" s="263">
        <f t="shared" si="238"/>
        <v>10638</v>
      </c>
      <c r="FQ250" s="194">
        <f t="shared" si="238"/>
        <v>0</v>
      </c>
      <c r="FR250" s="194">
        <f t="shared" si="238"/>
        <v>2659.5</v>
      </c>
      <c r="FS250" s="194">
        <f t="shared" si="238"/>
        <v>0</v>
      </c>
      <c r="FT250" s="194">
        <f t="shared" si="238"/>
        <v>2659.5</v>
      </c>
      <c r="FU250" s="194">
        <f t="shared" si="238"/>
        <v>0</v>
      </c>
      <c r="FV250" s="257">
        <f t="shared" si="238"/>
        <v>0</v>
      </c>
      <c r="FW250" s="189">
        <f t="shared" si="192"/>
        <v>0</v>
      </c>
      <c r="FX250" s="189">
        <f t="shared" si="193"/>
        <v>0</v>
      </c>
      <c r="FY250" s="189">
        <f t="shared" si="194"/>
        <v>0</v>
      </c>
      <c r="FZ250" s="258">
        <f t="shared" si="195"/>
        <v>0</v>
      </c>
      <c r="GA250" s="1294">
        <f>(SUM(FP250:FV250)+SUM(GU250:HB250)/(1-Summary!$O$25))*CY250/1000</f>
        <v>197848.93632998402</v>
      </c>
      <c r="GB250" s="1369">
        <f>IF($C250&lt;Summary!$M$81,+Summary!$O$81,VLOOKUP(C250,GasTable,19))</f>
        <v>3.623706129616842</v>
      </c>
      <c r="GC250" s="1370">
        <f>IF(H250&lt;=Summary!$N$84,MIN(GA250,Summary!$O$75*(H250-G250+1)),0)</f>
        <v>0</v>
      </c>
      <c r="GD250" s="1371">
        <f>IF(C250&lt;Summary!$N$84,IF(Summary!$O$75*(H250-G250+1)*0.8&gt;GC250,1,0),0)</f>
        <v>0</v>
      </c>
      <c r="GE250" s="1372">
        <v>0</v>
      </c>
      <c r="GF250" s="1370">
        <f t="shared" si="224"/>
        <v>197848.93632998402</v>
      </c>
      <c r="GG250" s="1371">
        <f>GF250*(IF(Summary!$O$74=1,VLOOKUP($C250,GasTable,16)+Summary!$O$92+Summary!$O$93,VLOOKUP($C250,GasTable,19)+Summary!$O$92+Summary!$O$93))</f>
        <v>727254.33289992763</v>
      </c>
      <c r="GH250" s="1373">
        <v>5435.5591944252628</v>
      </c>
      <c r="GI250" s="1466">
        <v>0</v>
      </c>
      <c r="GJ250" s="1374">
        <f t="shared" si="225"/>
        <v>732689.89209435286</v>
      </c>
      <c r="GK250" s="189">
        <f t="shared" si="196"/>
        <v>25196.102999999999</v>
      </c>
      <c r="GL250" s="266">
        <v>0.51920312144000003</v>
      </c>
      <c r="GM250" s="255">
        <f t="shared" si="197"/>
        <v>0</v>
      </c>
      <c r="GN250" s="189">
        <f>IF(SUM(GU250:HB250)=0,0,IF(Summary!$O$16="Yes",SUM(GX250:HB250),IF(Summary!$O$17="Yes",SUM(GY250:HB250),SUM(GU250:HB250))))</f>
        <v>9239.103000000001</v>
      </c>
      <c r="GO250" s="203">
        <v>4.1725124508968587</v>
      </c>
      <c r="GP250" s="258">
        <f t="shared" si="226"/>
        <v>38550.272302618527</v>
      </c>
      <c r="GQ250" s="189"/>
      <c r="GR250" s="189"/>
      <c r="GS250" s="189"/>
      <c r="GT250" s="189"/>
      <c r="GU250" s="268">
        <v>3421.89</v>
      </c>
      <c r="GV250" s="189">
        <v>855.47249999999997</v>
      </c>
      <c r="GW250" s="189">
        <v>855.47249999999997</v>
      </c>
      <c r="GX250" s="189"/>
      <c r="GY250" s="254">
        <v>2737.5120000000002</v>
      </c>
      <c r="GZ250" s="189">
        <v>684.37800000000004</v>
      </c>
      <c r="HA250" s="189">
        <v>684.37800000000004</v>
      </c>
      <c r="HB250" s="255"/>
      <c r="HC250" s="189">
        <v>9239.103000000001</v>
      </c>
      <c r="HD250" s="189"/>
      <c r="HE250" s="189">
        <v>21557.906999999999</v>
      </c>
      <c r="HF250" s="189">
        <v>417251.24210860318</v>
      </c>
      <c r="HG250" s="189"/>
      <c r="HH250" s="203">
        <v>46.720122174753364</v>
      </c>
      <c r="HI250" s="189">
        <v>1007188.0488719707</v>
      </c>
      <c r="HJ250" s="268">
        <f t="shared" si="198"/>
        <v>0</v>
      </c>
      <c r="HK250" s="189">
        <f t="shared" si="199"/>
        <v>0</v>
      </c>
      <c r="HL250" s="189">
        <f t="shared" si="200"/>
        <v>0</v>
      </c>
      <c r="HM250" s="255">
        <f t="shared" si="201"/>
        <v>0</v>
      </c>
      <c r="HN250" s="189">
        <f t="shared" si="202"/>
        <v>0</v>
      </c>
      <c r="HO250" s="203">
        <f t="shared" si="227"/>
        <v>0</v>
      </c>
      <c r="HP250" s="258">
        <f t="shared" si="203"/>
        <v>0</v>
      </c>
      <c r="HQ250" s="203"/>
      <c r="HR250" s="268"/>
      <c r="HS250" s="1408"/>
      <c r="HT250" s="255"/>
      <c r="HU250" s="268"/>
      <c r="HV250" s="1408"/>
      <c r="HW250" s="255"/>
      <c r="HX250" s="1408"/>
      <c r="HY250" s="1408"/>
      <c r="HZ250"/>
      <c r="IA250" s="203"/>
      <c r="IB250" s="203"/>
      <c r="IC250" s="203"/>
      <c r="ID250" s="203"/>
      <c r="IE250" s="203"/>
      <c r="IF250" s="203"/>
      <c r="IG250" s="203"/>
      <c r="IH250" s="203"/>
      <c r="II250" s="203"/>
      <c r="IJ250" s="203"/>
      <c r="IK250" s="203"/>
      <c r="IL250" s="821"/>
      <c r="IM250" s="820"/>
      <c r="IN250" s="820"/>
      <c r="IR250" s="223"/>
    </row>
    <row r="251" spans="1:252" ht="13.8" thickBot="1">
      <c r="A251" t="str">
        <f t="shared" si="204"/>
        <v>2019Q3</v>
      </c>
      <c r="B251">
        <f t="shared" si="205"/>
        <v>2019</v>
      </c>
      <c r="C251" s="49">
        <f t="shared" si="206"/>
        <v>43647</v>
      </c>
      <c r="D251" s="115">
        <f t="shared" si="207"/>
        <v>2019</v>
      </c>
      <c r="E251" s="10">
        <f t="shared" si="230"/>
        <v>7</v>
      </c>
      <c r="F251" s="248">
        <f t="shared" si="231"/>
        <v>43650</v>
      </c>
      <c r="G251" s="245">
        <v>43647</v>
      </c>
      <c r="H251" s="251">
        <v>43677</v>
      </c>
      <c r="I251" s="959">
        <f t="shared" si="228"/>
        <v>7.1499999999999994E-2</v>
      </c>
      <c r="J251" s="37">
        <f t="shared" si="208"/>
        <v>0.25094324394968981</v>
      </c>
      <c r="K251" s="1036"/>
      <c r="L251" s="37"/>
      <c r="M251" s="1004">
        <v>0</v>
      </c>
      <c r="N251" s="38">
        <f t="shared" si="239"/>
        <v>0</v>
      </c>
      <c r="O251" s="40">
        <f t="shared" si="239"/>
        <v>0</v>
      </c>
      <c r="P251" s="159">
        <f t="shared" si="234"/>
        <v>0</v>
      </c>
      <c r="Q251" s="38">
        <f t="shared" si="240"/>
        <v>0</v>
      </c>
      <c r="R251" s="40">
        <f t="shared" si="240"/>
        <v>0</v>
      </c>
      <c r="S251" s="38">
        <f t="shared" si="240"/>
        <v>0</v>
      </c>
      <c r="T251" s="38">
        <f t="shared" si="240"/>
        <v>0</v>
      </c>
      <c r="U251" s="38">
        <f t="shared" si="240"/>
        <v>0</v>
      </c>
      <c r="V251" s="159">
        <f t="shared" si="240"/>
        <v>0</v>
      </c>
      <c r="W251" s="38">
        <f t="shared" si="240"/>
        <v>0</v>
      </c>
      <c r="X251" s="39">
        <f t="shared" si="240"/>
        <v>0</v>
      </c>
      <c r="Y251" s="46">
        <v>0</v>
      </c>
      <c r="Z251" s="46">
        <v>0</v>
      </c>
      <c r="AA251" s="47">
        <v>0</v>
      </c>
      <c r="AB251" s="46">
        <v>0</v>
      </c>
      <c r="AC251" s="46">
        <v>0</v>
      </c>
      <c r="AD251" s="47">
        <v>0</v>
      </c>
      <c r="AE251" s="46">
        <v>0</v>
      </c>
      <c r="AF251" s="46">
        <v>0</v>
      </c>
      <c r="AG251" s="47">
        <v>0</v>
      </c>
      <c r="AH251" s="46">
        <v>0</v>
      </c>
      <c r="AI251" s="46">
        <v>0</v>
      </c>
      <c r="AJ251" s="47">
        <v>0</v>
      </c>
      <c r="AK251" s="46">
        <v>0</v>
      </c>
      <c r="AL251" s="46">
        <v>0</v>
      </c>
      <c r="AM251" s="47">
        <v>0</v>
      </c>
      <c r="AN251" s="46">
        <v>0</v>
      </c>
      <c r="AO251" s="46">
        <v>0</v>
      </c>
      <c r="AP251" s="47">
        <v>0</v>
      </c>
      <c r="AQ251" s="46">
        <v>0</v>
      </c>
      <c r="AR251" s="46">
        <v>0</v>
      </c>
      <c r="AS251" s="47">
        <v>0</v>
      </c>
      <c r="AT251" s="46">
        <v>0</v>
      </c>
      <c r="AU251" s="46">
        <v>0</v>
      </c>
      <c r="AV251" s="46">
        <v>0</v>
      </c>
      <c r="AW251" s="1545">
        <v>0</v>
      </c>
      <c r="AX251" s="10">
        <f t="shared" si="232"/>
        <v>22</v>
      </c>
      <c r="AY251" s="42">
        <f>IF(AND($E251=MONTH(Summary!$E$24),$D251=YEAR(Summary!$E$24)),Summary!$E$25,1)*IF(G251="",0,INT((H251-MOD(H251,7)-G251)/7)+1-IF(BA251,IF(WEEKDAY(F251)=7,1,0),0))</f>
        <v>4</v>
      </c>
      <c r="AZ251" s="42">
        <f>IF(AND($E251=MONTH(Summary!$E$24),$D251=YEAR(Summary!$E$24)),Summary!$E$25,1)*IF(G251="",0,INT((H251-MOD(H251-1,7)-G251)/7)+1-IF(BA251,IF(WEEKDAY(F251)=1,1,0),0))</f>
        <v>4</v>
      </c>
      <c r="BA251" s="42">
        <v>1</v>
      </c>
      <c r="BB251" s="10">
        <f>IF(AND($E251=MONTH(Summary!$E$24),$D251=YEAR(Summary!$E$24)),Summary!$E$25,1)*IF(G251="",0,H251-G251+1)</f>
        <v>31</v>
      </c>
      <c r="BC251" s="914">
        <f>Summary!$E$19</f>
        <v>1.4999999999999999E-2</v>
      </c>
      <c r="BD251" s="113">
        <v>15602.4</v>
      </c>
      <c r="BE251" s="171">
        <v>2836.8</v>
      </c>
      <c r="BF251" s="171">
        <v>3546</v>
      </c>
      <c r="BG251" s="174"/>
      <c r="BH251" s="1198">
        <v>1</v>
      </c>
      <c r="BI251" s="1198">
        <v>1</v>
      </c>
      <c r="BJ251" s="1198">
        <v>1</v>
      </c>
      <c r="BK251" s="1198">
        <v>1</v>
      </c>
      <c r="BL251" s="95">
        <v>3120.48</v>
      </c>
      <c r="BM251" s="171">
        <v>567.36</v>
      </c>
      <c r="BN251" s="171">
        <v>709.2</v>
      </c>
      <c r="BO251" s="174"/>
      <c r="BP251" s="1198">
        <v>1</v>
      </c>
      <c r="BQ251" s="1199">
        <v>1</v>
      </c>
      <c r="BR251" s="1199">
        <v>1</v>
      </c>
      <c r="BS251" s="1200">
        <v>1</v>
      </c>
      <c r="BT251" s="94">
        <f t="shared" si="209"/>
        <v>21985.200000000001</v>
      </c>
      <c r="BU251" s="233">
        <f t="shared" si="210"/>
        <v>21985.200000000001</v>
      </c>
      <c r="BV251" s="92">
        <f t="shared" si="211"/>
        <v>4397.04</v>
      </c>
      <c r="BW251" s="233">
        <f t="shared" si="212"/>
        <v>4397.04</v>
      </c>
      <c r="BX251" s="88">
        <v>19.54277891854894</v>
      </c>
      <c r="BY251" s="90">
        <v>0</v>
      </c>
      <c r="BZ251" s="88">
        <v>0</v>
      </c>
      <c r="CA251" s="88">
        <v>0</v>
      </c>
      <c r="CB251" s="88">
        <v>0</v>
      </c>
      <c r="CC251" s="88">
        <v>0</v>
      </c>
      <c r="CD251" s="88">
        <v>0</v>
      </c>
      <c r="CE251" s="100">
        <v>0</v>
      </c>
      <c r="CF251" s="88">
        <v>0</v>
      </c>
      <c r="CG251" s="88">
        <v>0</v>
      </c>
      <c r="CH251" s="88">
        <v>0</v>
      </c>
      <c r="CI251" s="88">
        <v>0</v>
      </c>
      <c r="CJ251" s="228">
        <v>0</v>
      </c>
      <c r="CK251" s="88">
        <v>0</v>
      </c>
      <c r="CL251" s="88">
        <v>0</v>
      </c>
      <c r="CM251" s="88">
        <v>0</v>
      </c>
      <c r="CN251" s="88">
        <v>0</v>
      </c>
      <c r="CO251" s="88">
        <v>0</v>
      </c>
      <c r="CP251" s="88">
        <v>0</v>
      </c>
      <c r="CQ251" s="229">
        <v>0</v>
      </c>
      <c r="CR251" s="91">
        <v>0</v>
      </c>
      <c r="CS251" s="91">
        <v>0</v>
      </c>
      <c r="CT251" s="91">
        <v>0</v>
      </c>
      <c r="CU251" s="91">
        <v>0</v>
      </c>
      <c r="CV251" s="91">
        <v>0</v>
      </c>
      <c r="CW251" s="91">
        <v>0</v>
      </c>
      <c r="CX251" s="225">
        <v>0</v>
      </c>
      <c r="CY251" s="1265">
        <v>7751.3312800000003</v>
      </c>
      <c r="CZ251" s="90">
        <v>0</v>
      </c>
      <c r="DA251" s="88">
        <v>0</v>
      </c>
      <c r="DB251" s="88">
        <v>0</v>
      </c>
      <c r="DC251" s="88">
        <v>0</v>
      </c>
      <c r="DD251" s="88">
        <v>0</v>
      </c>
      <c r="DE251" s="152">
        <v>0</v>
      </c>
      <c r="DF251" s="230">
        <v>0</v>
      </c>
      <c r="DG251" s="38">
        <v>0</v>
      </c>
      <c r="DH251" s="1237">
        <v>0</v>
      </c>
      <c r="DI251" s="956">
        <v>0</v>
      </c>
      <c r="DJ251" s="956">
        <v>0</v>
      </c>
      <c r="DK251" s="956">
        <v>0</v>
      </c>
      <c r="DL251" s="152">
        <v>0</v>
      </c>
      <c r="DM251" s="160">
        <v>0</v>
      </c>
      <c r="DN251" s="160">
        <v>0</v>
      </c>
      <c r="DO251" s="160">
        <v>0</v>
      </c>
      <c r="DP251" s="160">
        <v>0</v>
      </c>
      <c r="DQ251" s="160">
        <v>0</v>
      </c>
      <c r="DR251" s="230">
        <v>0</v>
      </c>
      <c r="DS251" s="88">
        <v>0</v>
      </c>
      <c r="DT251" s="88">
        <v>0</v>
      </c>
      <c r="DU251" s="88">
        <v>0</v>
      </c>
      <c r="DV251" s="88">
        <v>0</v>
      </c>
      <c r="DW251" s="88">
        <v>0</v>
      </c>
      <c r="DX251" s="88">
        <v>0</v>
      </c>
      <c r="DY251" s="88">
        <v>0</v>
      </c>
      <c r="DZ251" s="88">
        <v>0</v>
      </c>
      <c r="EA251" s="88">
        <v>0</v>
      </c>
      <c r="EB251" s="152">
        <v>0</v>
      </c>
      <c r="EC251" s="52">
        <f t="shared" si="213"/>
        <v>0</v>
      </c>
      <c r="ED251" s="52">
        <f t="shared" si="213"/>
        <v>0</v>
      </c>
      <c r="EE251" s="52">
        <f t="shared" si="213"/>
        <v>0</v>
      </c>
      <c r="EF251" s="52">
        <f t="shared" si="186"/>
        <v>0</v>
      </c>
      <c r="EG251" s="52">
        <f t="shared" si="214"/>
        <v>0</v>
      </c>
      <c r="EH251" s="238">
        <v>0</v>
      </c>
      <c r="EI251" s="211">
        <v>0</v>
      </c>
      <c r="EJ251" s="211">
        <v>0</v>
      </c>
      <c r="EK251" s="211">
        <v>0</v>
      </c>
      <c r="EL251" s="217">
        <f>IF(C251&gt;=Summary!$E$26,MAX(0,SUM(EH251:EK251)),0)</f>
        <v>0</v>
      </c>
      <c r="EM251" s="52">
        <f>IF(C251&gt;=Summary!$E$26,DX251*BL251,0)</f>
        <v>0</v>
      </c>
      <c r="EN251" s="52">
        <f>IF(C251&gt;=Summary!$E$26,DY251*BM251,0)</f>
        <v>0</v>
      </c>
      <c r="EO251" s="52">
        <f>IF(C251&gt;=Summary!$E$26,DZ251*BN251,0)</f>
        <v>0</v>
      </c>
      <c r="EP251" s="52">
        <f>IF(C251&gt;=Summary!$E$26,EA251*BO251,0)</f>
        <v>0</v>
      </c>
      <c r="EQ251" s="52">
        <f>IF(C251&gt;=Summary!$E$26,DX251*BL251+DY251*BM251+DZ251*BN251+EA251*BO251,0)</f>
        <v>0</v>
      </c>
      <c r="ER251" s="826">
        <v>0</v>
      </c>
      <c r="ES251" s="278">
        <v>0</v>
      </c>
      <c r="ET251" s="278">
        <v>0</v>
      </c>
      <c r="EU251" s="278">
        <v>0</v>
      </c>
      <c r="EV251" s="212">
        <f>IF(C251&gt;=Summary!$E$26,MAX(0,SUM(ER251:EU251)),0)</f>
        <v>0</v>
      </c>
      <c r="EW251" s="52"/>
      <c r="EX251" s="1049">
        <f t="shared" si="215"/>
        <v>0</v>
      </c>
      <c r="EY251" s="1045" t="str">
        <f t="shared" si="216"/>
        <v/>
      </c>
      <c r="EZ251" s="1684" t="s">
        <v>525</v>
      </c>
      <c r="FA251" s="1046">
        <f t="shared" si="229"/>
        <v>45</v>
      </c>
      <c r="FB251" s="256">
        <f t="shared" si="217"/>
        <v>11701.8</v>
      </c>
      <c r="FC251" s="194">
        <f t="shared" si="218"/>
        <v>0</v>
      </c>
      <c r="FD251" s="194">
        <f t="shared" si="219"/>
        <v>2127.6</v>
      </c>
      <c r="FE251" s="194">
        <f t="shared" si="220"/>
        <v>0</v>
      </c>
      <c r="FF251" s="194">
        <f t="shared" si="221"/>
        <v>2659.5</v>
      </c>
      <c r="FG251" s="194">
        <f t="shared" si="222"/>
        <v>0</v>
      </c>
      <c r="FH251" s="257">
        <f>IF(EZ251="No",IF((OR(MONTH(C251)=5,MONTH(C251)=6,MONTH(C251)=7,MONTH(C251)=8,MONTH(C251)=9)),Summary!$O$15*12*(AX251+AY251+AZ251+BA251)*(1-$BC251),Summary!$O$15*13*(AX251+AY251+AZ251+BA251)*(1-$BC251)+IF(Summary!$O$16="Yes",(CALC!FA251+Summary!$O$15)*6*(AX251+AY251+AZ251+BA251)*(1-$BC251),0)),0)</f>
        <v>0</v>
      </c>
      <c r="FI251" s="1412">
        <f>IF(MONTH(C251)=5,FI250*(IF(Summary!$E$70="no",(1+(Summary!$E$71*0.8)),1+HLOOKUP(YEAR(C251)-1,CCFMODEL!$I$127:$AF$128,2)*0.8)),+FI250)</f>
        <v>42.748689366243212</v>
      </c>
      <c r="FJ251" s="1411">
        <f>IF(MONTH(C251)=5,FJ250*(IF(Summary!$E$70="no",(1+(Summary!$E$71*0.8)),1+HLOOKUP(YEAR(CALC!C251)-1,CCFMODEL!$I$127:$AF$128,2)*0.8)),FJ250)</f>
        <v>37.363027713803127</v>
      </c>
      <c r="FK251" s="832">
        <f t="shared" si="187"/>
        <v>704878.86409104778</v>
      </c>
      <c r="FL251" s="1412">
        <f>IF(MONTH(C251)=5,FL250*(IF(Summary!$E$70="no",(1+(Summary!$E$71*0.8)),1+HLOOKUP(YEAR(CALC!C251)-1,CCFMODEL!$I$127:$AF$128,2)*0.8)),+FL250)</f>
        <v>89.905286334929912</v>
      </c>
      <c r="FM251" s="1411">
        <f>IF(MONTH(C251)=5,FM250*(IF(Summary!$E$70="no",(1+(Summary!$E$71*0.8)),1+HLOOKUP(YEAR(CALC!C251)-1,CCFMODEL!$I$127:$AF$128,2)*0.8)),+FM250)</f>
        <v>42.908976915422976</v>
      </c>
      <c r="FN251" s="832">
        <f t="shared" si="188"/>
        <v>1505014.4932467267</v>
      </c>
      <c r="FO251" s="194">
        <f t="shared" si="223"/>
        <v>2209893.3573377747</v>
      </c>
      <c r="FP251" s="263">
        <f t="shared" si="238"/>
        <v>11701.8</v>
      </c>
      <c r="FQ251" s="194">
        <f t="shared" si="238"/>
        <v>0</v>
      </c>
      <c r="FR251" s="194">
        <f t="shared" si="238"/>
        <v>2127.6</v>
      </c>
      <c r="FS251" s="194">
        <f t="shared" si="238"/>
        <v>0</v>
      </c>
      <c r="FT251" s="194">
        <f t="shared" si="238"/>
        <v>2659.5</v>
      </c>
      <c r="FU251" s="194">
        <f t="shared" si="238"/>
        <v>0</v>
      </c>
      <c r="FV251" s="257">
        <f t="shared" si="238"/>
        <v>0</v>
      </c>
      <c r="FW251" s="189">
        <f t="shared" si="192"/>
        <v>0</v>
      </c>
      <c r="FX251" s="189">
        <f t="shared" si="193"/>
        <v>0</v>
      </c>
      <c r="FY251" s="189">
        <f t="shared" si="194"/>
        <v>0</v>
      </c>
      <c r="FZ251" s="258">
        <f t="shared" si="195"/>
        <v>0</v>
      </c>
      <c r="GA251" s="1294">
        <f>(SUM(FP251:FV251)+SUM(GU251:HB251)/(1-Summary!$O$25))*CY251/1000</f>
        <v>204497.48214846721</v>
      </c>
      <c r="GB251" s="1369">
        <f>IF($C251&lt;Summary!$M$81,+Summary!$O$81,VLOOKUP(C251,GasTable,19))</f>
        <v>3.7226191396411807</v>
      </c>
      <c r="GC251" s="1370">
        <f>IF(H251&lt;=Summary!$N$84,MIN(GA251,Summary!$O$75*(H251-G251+1)),0)</f>
        <v>0</v>
      </c>
      <c r="GD251" s="1371">
        <f>IF(C251&lt;Summary!$N$84,IF(Summary!$O$75*(H251-G251+1)*0.8&gt;GC251,1,0),0)</f>
        <v>0</v>
      </c>
      <c r="GE251" s="1372">
        <v>0</v>
      </c>
      <c r="GF251" s="1370">
        <f t="shared" si="224"/>
        <v>204497.48214846721</v>
      </c>
      <c r="GG251" s="1371">
        <f>GF251*(IF(Summary!$O$74=1,VLOOKUP($C251,GasTable,16)+Summary!$O$92+Summary!$O$93,VLOOKUP($C251,GasTable,19)+Summary!$O$92+Summary!$O$93))</f>
        <v>771920.55987424986</v>
      </c>
      <c r="GH251" s="1373">
        <v>5770.0596664438299</v>
      </c>
      <c r="GI251" s="1466">
        <v>0</v>
      </c>
      <c r="GJ251" s="1374">
        <f t="shared" si="225"/>
        <v>777690.6195406937</v>
      </c>
      <c r="GK251" s="189">
        <f t="shared" si="196"/>
        <v>26035.973100000007</v>
      </c>
      <c r="GL251" s="266">
        <v>0.51933919576000009</v>
      </c>
      <c r="GM251" s="255">
        <f t="shared" si="197"/>
        <v>0</v>
      </c>
      <c r="GN251" s="189">
        <f>IF(SUM(GU251:HB251)=0,0,IF(Summary!$O$16="Yes",SUM(GX251:HB251),IF(Summary!$O$17="Yes",SUM(GY251:HB251),SUM(GU251:HB251))))</f>
        <v>9547.0730999999996</v>
      </c>
      <c r="GO251" s="203">
        <v>4.1725124508968587</v>
      </c>
      <c r="GP251" s="258">
        <f t="shared" si="226"/>
        <v>39835.281379372471</v>
      </c>
      <c r="GQ251" s="189"/>
      <c r="GR251" s="189"/>
      <c r="GS251" s="189"/>
      <c r="GT251" s="189"/>
      <c r="GU251" s="268">
        <v>3764.0790000000002</v>
      </c>
      <c r="GV251" s="189">
        <v>684.37800000000027</v>
      </c>
      <c r="GW251" s="189">
        <v>855.47249999999997</v>
      </c>
      <c r="GX251" s="189"/>
      <c r="GY251" s="254">
        <v>3011.2631999999999</v>
      </c>
      <c r="GZ251" s="189">
        <v>547.50239999999997</v>
      </c>
      <c r="HA251" s="189">
        <v>684.37800000000004</v>
      </c>
      <c r="HB251" s="255"/>
      <c r="HC251" s="189">
        <v>9547.0730999999996</v>
      </c>
      <c r="HD251" s="189"/>
      <c r="HE251" s="189">
        <v>22276.5039</v>
      </c>
      <c r="HF251" s="189">
        <v>570094.47998967138</v>
      </c>
      <c r="HG251" s="189"/>
      <c r="HH251" s="203">
        <v>63.235691833782433</v>
      </c>
      <c r="HI251" s="189">
        <v>1408670.1357544526</v>
      </c>
      <c r="HJ251" s="268">
        <f t="shared" si="198"/>
        <v>0</v>
      </c>
      <c r="HK251" s="189">
        <f t="shared" si="199"/>
        <v>0</v>
      </c>
      <c r="HL251" s="189">
        <f t="shared" si="200"/>
        <v>0</v>
      </c>
      <c r="HM251" s="255">
        <f t="shared" si="201"/>
        <v>0</v>
      </c>
      <c r="HN251" s="189">
        <f t="shared" si="202"/>
        <v>0</v>
      </c>
      <c r="HO251" s="203">
        <f t="shared" si="227"/>
        <v>0</v>
      </c>
      <c r="HP251" s="258">
        <f t="shared" si="203"/>
        <v>0</v>
      </c>
      <c r="HQ251" s="203" t="s">
        <v>1083</v>
      </c>
      <c r="HR251" s="268">
        <f t="shared" ref="HR251:HR276" si="241">SUMIF($A$17:$A$292,HQ251,$GF$17:$GF$292)</f>
        <v>608745.82388221449</v>
      </c>
      <c r="HS251" s="1408">
        <f>IF(HT251=0,IF(OR(SUMIF(CURVES!$AU$6:$AU$283,$HQ251,CURVES!$BQ$6:$BQ$283)=0,COUNTIF(CURVES!$AU$6:$AU$283,$HQ251)=0),0,SUMIF(CURVES!$AU$6:$AU$283,$HQ251,CURVES!$BQ$6:$BQ$283)/COUNTIF(CURVES!$AU$6:$AU$283,$HQ251)),HT251/HR251)</f>
        <v>3.6154492456068774</v>
      </c>
      <c r="HT251" s="255">
        <f t="shared" ref="HT251:HT276" si="242">SUMIF($A$17:$A$292,HQ251,$GG$17:$GG$292)</f>
        <v>2200889.6297212895</v>
      </c>
      <c r="HU251" s="268">
        <f t="shared" ref="HU251:HU276" si="243">SUMIF($A$17:$A$292,HQ251,$GC$17:$GC$292)</f>
        <v>0</v>
      </c>
      <c r="HV251" s="1408" t="e">
        <f>IF(HW251=0,0,HW251/Summary!$O$79/HU251)</f>
        <v>#DIV/0!</v>
      </c>
      <c r="HW251" s="255">
        <f t="shared" ref="HW251:HW276" si="244">SUMIF($A$17:$A$292,HQ251,$GH$17:$GH$292)</f>
        <v>16391.334174604614</v>
      </c>
      <c r="HX251" s="1408">
        <f>IF(OR(SUMIF(CURVES!$AU$6:$AU$283,$HQ251,CURVES!$BQ$6:$BQ$283)=0,COUNTIF(CURVES!$AU$6:$AU$283,$HQ251)=0),0,SUMIF(CURVES!$AU$6:$AU$283,$HQ251,CURVES!$BQ$6:$BQ$283)/COUNTIF(CURVES!$AU$6:$AU$283,$HQ251))</f>
        <v>3.9290589337001536</v>
      </c>
      <c r="HY251" s="1408">
        <f>IF(OR(SUMIF(CURVES!$AU$6:$AU$283,$HQ251,CURVES!$BR$6:$BR$283)=0,COUNTIF(CURVES!$AU$6:$AU$283,$HQ251)=0),0,SUMIF(CURVES!$AU$6:$AU$283,$HQ251,CURVES!$BR$6:$BR$283)/COUNTIF(CURVES!$AU$6:$AU$283,$HQ251))</f>
        <v>3.1536513248189322</v>
      </c>
      <c r="HZ251"/>
      <c r="IA251" s="203"/>
      <c r="IB251" s="203"/>
      <c r="IC251" s="203"/>
      <c r="ID251" s="203"/>
      <c r="IE251" s="203"/>
      <c r="IF251" s="203"/>
      <c r="IG251" s="203"/>
      <c r="IH251" s="203"/>
      <c r="II251" s="203"/>
      <c r="IJ251" s="203"/>
      <c r="IK251" s="203"/>
      <c r="IL251" s="821"/>
      <c r="IM251" s="820"/>
      <c r="IN251" s="820"/>
      <c r="IR251" s="223"/>
    </row>
    <row r="252" spans="1:252" ht="13.8" thickBot="1">
      <c r="A252" t="str">
        <f t="shared" si="204"/>
        <v>2019Q3</v>
      </c>
      <c r="B252">
        <f t="shared" si="205"/>
        <v>2019</v>
      </c>
      <c r="C252" s="49">
        <f t="shared" si="206"/>
        <v>43678</v>
      </c>
      <c r="D252" s="115">
        <f t="shared" si="207"/>
        <v>2019</v>
      </c>
      <c r="E252" s="10">
        <f t="shared" si="230"/>
        <v>8</v>
      </c>
      <c r="F252" s="248" t="str">
        <f t="shared" si="231"/>
        <v/>
      </c>
      <c r="G252" s="245">
        <v>43678</v>
      </c>
      <c r="H252" s="251">
        <v>43708</v>
      </c>
      <c r="I252" s="959">
        <f t="shared" si="228"/>
        <v>7.1499999999999994E-2</v>
      </c>
      <c r="J252" s="37">
        <f t="shared" si="208"/>
        <v>0.24945144902161104</v>
      </c>
      <c r="K252" s="1036"/>
      <c r="L252" s="37"/>
      <c r="M252" s="1004">
        <v>0</v>
      </c>
      <c r="N252" s="38">
        <f t="shared" si="239"/>
        <v>0</v>
      </c>
      <c r="O252" s="40">
        <f t="shared" si="239"/>
        <v>0</v>
      </c>
      <c r="P252" s="159">
        <f t="shared" si="234"/>
        <v>0</v>
      </c>
      <c r="Q252" s="38">
        <f t="shared" si="240"/>
        <v>0</v>
      </c>
      <c r="R252" s="40">
        <f t="shared" si="240"/>
        <v>0</v>
      </c>
      <c r="S252" s="38">
        <f t="shared" si="240"/>
        <v>0</v>
      </c>
      <c r="T252" s="38">
        <f t="shared" si="240"/>
        <v>0</v>
      </c>
      <c r="U252" s="38">
        <f t="shared" si="240"/>
        <v>0</v>
      </c>
      <c r="V252" s="159">
        <f t="shared" si="240"/>
        <v>0</v>
      </c>
      <c r="W252" s="38">
        <f t="shared" si="240"/>
        <v>0</v>
      </c>
      <c r="X252" s="39">
        <f t="shared" si="240"/>
        <v>0</v>
      </c>
      <c r="Y252" s="46">
        <v>0</v>
      </c>
      <c r="Z252" s="46">
        <v>0</v>
      </c>
      <c r="AA252" s="47">
        <v>0</v>
      </c>
      <c r="AB252" s="46">
        <v>0</v>
      </c>
      <c r="AC252" s="46">
        <v>0</v>
      </c>
      <c r="AD252" s="47">
        <v>0</v>
      </c>
      <c r="AE252" s="46">
        <v>0</v>
      </c>
      <c r="AF252" s="46">
        <v>0</v>
      </c>
      <c r="AG252" s="47">
        <v>0</v>
      </c>
      <c r="AH252" s="46">
        <v>0</v>
      </c>
      <c r="AI252" s="46">
        <v>0</v>
      </c>
      <c r="AJ252" s="47">
        <v>0</v>
      </c>
      <c r="AK252" s="46">
        <v>0</v>
      </c>
      <c r="AL252" s="46">
        <v>0</v>
      </c>
      <c r="AM252" s="47">
        <v>0</v>
      </c>
      <c r="AN252" s="46">
        <v>0</v>
      </c>
      <c r="AO252" s="46">
        <v>0</v>
      </c>
      <c r="AP252" s="47">
        <v>0</v>
      </c>
      <c r="AQ252" s="46">
        <v>0</v>
      </c>
      <c r="AR252" s="46">
        <v>0</v>
      </c>
      <c r="AS252" s="47">
        <v>0</v>
      </c>
      <c r="AT252" s="46">
        <v>0</v>
      </c>
      <c r="AU252" s="46">
        <v>0</v>
      </c>
      <c r="AV252" s="46">
        <v>0</v>
      </c>
      <c r="AW252" s="1545">
        <v>0</v>
      </c>
      <c r="AX252" s="10">
        <f t="shared" si="232"/>
        <v>22</v>
      </c>
      <c r="AY252" s="42">
        <f>IF(AND($E252=MONTH(Summary!$E$24),$D252=YEAR(Summary!$E$24)),Summary!$E$25,1)*IF(G252="",0,INT((H252-MOD(H252,7)-G252)/7)+1-IF(BA252,IF(WEEKDAY(F252)=7,1,0),0))</f>
        <v>5</v>
      </c>
      <c r="AZ252" s="42">
        <f>IF(AND($E252=MONTH(Summary!$E$24),$D252=YEAR(Summary!$E$24)),Summary!$E$25,1)*IF(G252="",0,INT((H252-MOD(H252-1,7)-G252)/7)+1-IF(BA252,IF(WEEKDAY(F252)=1,1,0),0))</f>
        <v>4</v>
      </c>
      <c r="BA252" s="42">
        <v>0</v>
      </c>
      <c r="BB252" s="10">
        <f>IF(AND($E252=MONTH(Summary!$E$24),$D252=YEAR(Summary!$E$24)),Summary!$E$25,1)*IF(G252="",0,H252-G252+1)</f>
        <v>31</v>
      </c>
      <c r="BC252" s="914">
        <f>Summary!$E$19</f>
        <v>1.4999999999999999E-2</v>
      </c>
      <c r="BD252" s="113">
        <v>15602.4</v>
      </c>
      <c r="BE252" s="171">
        <v>3546</v>
      </c>
      <c r="BF252" s="171">
        <v>2836.8</v>
      </c>
      <c r="BG252" s="174"/>
      <c r="BH252" s="1198">
        <v>1</v>
      </c>
      <c r="BI252" s="1198">
        <v>1</v>
      </c>
      <c r="BJ252" s="1198">
        <v>1</v>
      </c>
      <c r="BK252" s="1198">
        <v>1</v>
      </c>
      <c r="BL252" s="95">
        <v>3120.48</v>
      </c>
      <c r="BM252" s="171">
        <v>709.2</v>
      </c>
      <c r="BN252" s="171">
        <v>567.36</v>
      </c>
      <c r="BO252" s="174"/>
      <c r="BP252" s="1198">
        <v>1</v>
      </c>
      <c r="BQ252" s="1199">
        <v>1</v>
      </c>
      <c r="BR252" s="1199">
        <v>1</v>
      </c>
      <c r="BS252" s="1200">
        <v>1</v>
      </c>
      <c r="BT252" s="94">
        <f t="shared" si="209"/>
        <v>21985.200000000001</v>
      </c>
      <c r="BU252" s="233">
        <f t="shared" si="210"/>
        <v>21985.200000000001</v>
      </c>
      <c r="BV252" s="92">
        <f t="shared" si="211"/>
        <v>4397.04</v>
      </c>
      <c r="BW252" s="233">
        <f t="shared" si="212"/>
        <v>4397.04</v>
      </c>
      <c r="BX252" s="88">
        <v>19.627652292950035</v>
      </c>
      <c r="BY252" s="90">
        <v>0</v>
      </c>
      <c r="BZ252" s="88">
        <v>0</v>
      </c>
      <c r="CA252" s="88">
        <v>0</v>
      </c>
      <c r="CB252" s="88">
        <v>0</v>
      </c>
      <c r="CC252" s="88">
        <v>0</v>
      </c>
      <c r="CD252" s="88">
        <v>0</v>
      </c>
      <c r="CE252" s="100">
        <v>0</v>
      </c>
      <c r="CF252" s="88">
        <v>0</v>
      </c>
      <c r="CG252" s="88">
        <v>0</v>
      </c>
      <c r="CH252" s="88">
        <v>0</v>
      </c>
      <c r="CI252" s="88">
        <v>0</v>
      </c>
      <c r="CJ252" s="228">
        <v>0</v>
      </c>
      <c r="CK252" s="88">
        <v>0</v>
      </c>
      <c r="CL252" s="88">
        <v>0</v>
      </c>
      <c r="CM252" s="88">
        <v>0</v>
      </c>
      <c r="CN252" s="88">
        <v>0</v>
      </c>
      <c r="CO252" s="88">
        <v>0</v>
      </c>
      <c r="CP252" s="88">
        <v>0</v>
      </c>
      <c r="CQ252" s="229">
        <v>0</v>
      </c>
      <c r="CR252" s="91">
        <v>0</v>
      </c>
      <c r="CS252" s="91">
        <v>0</v>
      </c>
      <c r="CT252" s="91">
        <v>0</v>
      </c>
      <c r="CU252" s="91">
        <v>0</v>
      </c>
      <c r="CV252" s="91">
        <v>0</v>
      </c>
      <c r="CW252" s="91">
        <v>0</v>
      </c>
      <c r="CX252" s="225">
        <v>0</v>
      </c>
      <c r="CY252" s="1265">
        <v>7753.3622400000004</v>
      </c>
      <c r="CZ252" s="90">
        <v>0</v>
      </c>
      <c r="DA252" s="88">
        <v>0</v>
      </c>
      <c r="DB252" s="88">
        <v>0</v>
      </c>
      <c r="DC252" s="88">
        <v>0</v>
      </c>
      <c r="DD252" s="88">
        <v>0</v>
      </c>
      <c r="DE252" s="152">
        <v>0</v>
      </c>
      <c r="DF252" s="230">
        <v>0</v>
      </c>
      <c r="DG252" s="38">
        <v>0</v>
      </c>
      <c r="DH252" s="1237">
        <v>0</v>
      </c>
      <c r="DI252" s="956">
        <v>0</v>
      </c>
      <c r="DJ252" s="956">
        <v>0</v>
      </c>
      <c r="DK252" s="956">
        <v>0</v>
      </c>
      <c r="DL252" s="152">
        <v>0</v>
      </c>
      <c r="DM252" s="160">
        <v>0</v>
      </c>
      <c r="DN252" s="160">
        <v>0</v>
      </c>
      <c r="DO252" s="160">
        <v>0</v>
      </c>
      <c r="DP252" s="160">
        <v>0</v>
      </c>
      <c r="DQ252" s="160">
        <v>0</v>
      </c>
      <c r="DR252" s="230">
        <v>0</v>
      </c>
      <c r="DS252" s="88">
        <v>0</v>
      </c>
      <c r="DT252" s="88">
        <v>0</v>
      </c>
      <c r="DU252" s="88">
        <v>0</v>
      </c>
      <c r="DV252" s="88">
        <v>0</v>
      </c>
      <c r="DW252" s="88">
        <v>0</v>
      </c>
      <c r="DX252" s="88">
        <v>0</v>
      </c>
      <c r="DY252" s="88">
        <v>0</v>
      </c>
      <c r="DZ252" s="88">
        <v>0</v>
      </c>
      <c r="EA252" s="88">
        <v>0</v>
      </c>
      <c r="EB252" s="152">
        <v>0</v>
      </c>
      <c r="EC252" s="52">
        <f t="shared" si="213"/>
        <v>0</v>
      </c>
      <c r="ED252" s="52">
        <f t="shared" si="213"/>
        <v>0</v>
      </c>
      <c r="EE252" s="52">
        <f t="shared" si="213"/>
        <v>0</v>
      </c>
      <c r="EF252" s="52">
        <f t="shared" si="186"/>
        <v>0</v>
      </c>
      <c r="EG252" s="52">
        <f t="shared" si="214"/>
        <v>0</v>
      </c>
      <c r="EH252" s="238">
        <v>0</v>
      </c>
      <c r="EI252" s="211">
        <v>0</v>
      </c>
      <c r="EJ252" s="211">
        <v>0</v>
      </c>
      <c r="EK252" s="211">
        <v>0</v>
      </c>
      <c r="EL252" s="217">
        <f>IF(C252&gt;=Summary!$E$26,MAX(0,SUM(EH252:EK252)),0)</f>
        <v>0</v>
      </c>
      <c r="EM252" s="52">
        <f>IF(C252&gt;=Summary!$E$26,DX252*BL252,0)</f>
        <v>0</v>
      </c>
      <c r="EN252" s="52">
        <f>IF(C252&gt;=Summary!$E$26,DY252*BM252,0)</f>
        <v>0</v>
      </c>
      <c r="EO252" s="52">
        <f>IF(C252&gt;=Summary!$E$26,DZ252*BN252,0)</f>
        <v>0</v>
      </c>
      <c r="EP252" s="52">
        <f>IF(C252&gt;=Summary!$E$26,EA252*BO252,0)</f>
        <v>0</v>
      </c>
      <c r="EQ252" s="52">
        <f>IF(C252&gt;=Summary!$E$26,DX252*BL252+DY252*BM252+DZ252*BN252+EA252*BO252,0)</f>
        <v>0</v>
      </c>
      <c r="ER252" s="826">
        <v>0</v>
      </c>
      <c r="ES252" s="278">
        <v>0</v>
      </c>
      <c r="ET252" s="278">
        <v>0</v>
      </c>
      <c r="EU252" s="278">
        <v>0</v>
      </c>
      <c r="EV252" s="212">
        <f>IF(C252&gt;=Summary!$E$26,MAX(0,SUM(ER252:EU252)),0)</f>
        <v>0</v>
      </c>
      <c r="EW252" s="52"/>
      <c r="EX252" s="1049">
        <f t="shared" si="215"/>
        <v>0</v>
      </c>
      <c r="EY252" s="1045" t="str">
        <f t="shared" si="216"/>
        <v/>
      </c>
      <c r="EZ252" s="1684" t="s">
        <v>525</v>
      </c>
      <c r="FA252" s="1046">
        <f t="shared" si="229"/>
        <v>45</v>
      </c>
      <c r="FB252" s="256">
        <f t="shared" si="217"/>
        <v>11701.8</v>
      </c>
      <c r="FC252" s="194">
        <f t="shared" si="218"/>
        <v>0</v>
      </c>
      <c r="FD252" s="194">
        <f t="shared" si="219"/>
        <v>2659.5</v>
      </c>
      <c r="FE252" s="194">
        <f t="shared" si="220"/>
        <v>0</v>
      </c>
      <c r="FF252" s="194">
        <f t="shared" si="221"/>
        <v>2127.6</v>
      </c>
      <c r="FG252" s="194">
        <f t="shared" si="222"/>
        <v>0</v>
      </c>
      <c r="FH252" s="257">
        <f>IF(EZ252="No",IF((OR(MONTH(C252)=5,MONTH(C252)=6,MONTH(C252)=7,MONTH(C252)=8,MONTH(C252)=9)),Summary!$O$15*12*(AX252+AY252+AZ252+BA252)*(1-$BC252),Summary!$O$15*13*(AX252+AY252+AZ252+BA252)*(1-$BC252)+IF(Summary!$O$16="Yes",(CALC!FA252+Summary!$O$15)*6*(AX252+AY252+AZ252+BA252)*(1-$BC252),0)),0)</f>
        <v>0</v>
      </c>
      <c r="FI252" s="1412">
        <f>IF(MONTH(C252)=5,FI251*(IF(Summary!$E$70="no",(1+(Summary!$E$71*0.8)),1+HLOOKUP(YEAR(C252)-1,CCFMODEL!$I$127:$AF$128,2)*0.8)),+FI251)</f>
        <v>42.748689366243212</v>
      </c>
      <c r="FJ252" s="1411">
        <f>IF(MONTH(C252)=5,FJ251*(IF(Summary!$E$70="no",(1+(Summary!$E$71*0.8)),1+HLOOKUP(YEAR(CALC!C252)-1,CCFMODEL!$I$127:$AF$128,2)*0.8)),FJ251)</f>
        <v>37.363027713803127</v>
      </c>
      <c r="FK252" s="832">
        <f t="shared" si="187"/>
        <v>704878.86409104767</v>
      </c>
      <c r="FL252" s="1412">
        <f>IF(MONTH(C252)=5,FL251*(IF(Summary!$E$70="no",(1+(Summary!$E$71*0.8)),1+HLOOKUP(YEAR(CALC!C252)-1,CCFMODEL!$I$127:$AF$128,2)*0.8)),+FL251)</f>
        <v>89.905286334929912</v>
      </c>
      <c r="FM252" s="1411">
        <f>IF(MONTH(C252)=5,FM251*(IF(Summary!$E$70="no",(1+(Summary!$E$71*0.8)),1+HLOOKUP(YEAR(CALC!C252)-1,CCFMODEL!$I$127:$AF$128,2)*0.8)),+FM251)</f>
        <v>42.908976915422976</v>
      </c>
      <c r="FN252" s="832">
        <f t="shared" si="188"/>
        <v>1505014.4932467265</v>
      </c>
      <c r="FO252" s="194">
        <f t="shared" si="223"/>
        <v>2209893.3573377742</v>
      </c>
      <c r="FP252" s="263">
        <f t="shared" si="238"/>
        <v>11701.8</v>
      </c>
      <c r="FQ252" s="194">
        <f t="shared" si="238"/>
        <v>0</v>
      </c>
      <c r="FR252" s="194">
        <f t="shared" si="238"/>
        <v>2659.5</v>
      </c>
      <c r="FS252" s="194">
        <f t="shared" si="238"/>
        <v>0</v>
      </c>
      <c r="FT252" s="194">
        <f t="shared" si="238"/>
        <v>2127.6</v>
      </c>
      <c r="FU252" s="194">
        <f t="shared" si="238"/>
        <v>0</v>
      </c>
      <c r="FV252" s="257">
        <f t="shared" si="238"/>
        <v>0</v>
      </c>
      <c r="FW252" s="189">
        <f t="shared" si="192"/>
        <v>0</v>
      </c>
      <c r="FX252" s="189">
        <f t="shared" si="193"/>
        <v>0</v>
      </c>
      <c r="FY252" s="189">
        <f t="shared" si="194"/>
        <v>0</v>
      </c>
      <c r="FZ252" s="258">
        <f t="shared" si="195"/>
        <v>0</v>
      </c>
      <c r="GA252" s="1294">
        <f>(SUM(FP252:FV252)+SUM(GU252:HB252)/(1-Summary!$O$25))*CY252/1000</f>
        <v>204551.06342261759</v>
      </c>
      <c r="GB252" s="1369">
        <f>IF($C252&lt;Summary!$M$81,+Summary!$O$81,VLOOKUP(C252,GasTable,19))</f>
        <v>3.8630961569595716</v>
      </c>
      <c r="GC252" s="1370">
        <f>IF(H252&lt;=Summary!$N$84,MIN(GA252,Summary!$O$75*(H252-G252+1)),0)</f>
        <v>0</v>
      </c>
      <c r="GD252" s="1371">
        <f>IF(C252&lt;Summary!$N$84,IF(Summary!$O$75*(H252-G252+1)*0.8&gt;GC252,1,0),0)</f>
        <v>0</v>
      </c>
      <c r="GE252" s="1372">
        <v>0</v>
      </c>
      <c r="GF252" s="1370">
        <f t="shared" si="224"/>
        <v>204551.06342261759</v>
      </c>
      <c r="GG252" s="1371">
        <f>GF252*(IF(Summary!$O$74=1,VLOOKUP($C252,GasTable,16)+Summary!$O$92+Summary!$O$93,VLOOKUP($C252,GasTable,19)+Summary!$O$92+Summary!$O$93))</f>
        <v>800857.53741422598</v>
      </c>
      <c r="GH252" s="1373">
        <v>5987.7990432873357</v>
      </c>
      <c r="GI252" s="1466">
        <v>0</v>
      </c>
      <c r="GJ252" s="1374">
        <f t="shared" si="225"/>
        <v>806845.33645751327</v>
      </c>
      <c r="GK252" s="189">
        <f t="shared" si="196"/>
        <v>26035.973100000003</v>
      </c>
      <c r="GL252" s="266">
        <v>0.51947527008000005</v>
      </c>
      <c r="GM252" s="255">
        <f t="shared" si="197"/>
        <v>0</v>
      </c>
      <c r="GN252" s="189">
        <f>IF(SUM(GU252:HB252)=0,0,IF(Summary!$O$16="Yes",SUM(GX252:HB252),IF(Summary!$O$17="Yes",SUM(GY252:HB252),SUM(GU252:HB252))))</f>
        <v>9547.0731000000014</v>
      </c>
      <c r="GO252" s="203">
        <v>4.1725124508968587</v>
      </c>
      <c r="GP252" s="258">
        <f t="shared" si="226"/>
        <v>39835.281379372478</v>
      </c>
      <c r="GQ252" s="189"/>
      <c r="GR252" s="189"/>
      <c r="GS252" s="189"/>
      <c r="GT252" s="189"/>
      <c r="GU252" s="268">
        <v>3764.0790000000002</v>
      </c>
      <c r="GV252" s="189">
        <v>855.47249999999997</v>
      </c>
      <c r="GW252" s="189">
        <v>684.37800000000027</v>
      </c>
      <c r="GX252" s="189"/>
      <c r="GY252" s="254">
        <v>3011.2631999999999</v>
      </c>
      <c r="GZ252" s="189">
        <v>684.37800000000004</v>
      </c>
      <c r="HA252" s="189">
        <v>547.50239999999997</v>
      </c>
      <c r="HB252" s="255"/>
      <c r="HC252" s="189">
        <v>9547.0731000000014</v>
      </c>
      <c r="HD252" s="189"/>
      <c r="HE252" s="189">
        <v>22276.503900000003</v>
      </c>
      <c r="HF252" s="189">
        <v>692099.63454024424</v>
      </c>
      <c r="HG252" s="189"/>
      <c r="HH252" s="203">
        <v>76.32853530920967</v>
      </c>
      <c r="HI252" s="189">
        <v>1700332.914496897</v>
      </c>
      <c r="HJ252" s="268">
        <f t="shared" si="198"/>
        <v>0</v>
      </c>
      <c r="HK252" s="189">
        <f t="shared" si="199"/>
        <v>0</v>
      </c>
      <c r="HL252" s="189">
        <f t="shared" si="200"/>
        <v>0</v>
      </c>
      <c r="HM252" s="255">
        <f t="shared" si="201"/>
        <v>0</v>
      </c>
      <c r="HN252" s="189">
        <f t="shared" si="202"/>
        <v>0</v>
      </c>
      <c r="HO252" s="203">
        <f t="shared" si="227"/>
        <v>0</v>
      </c>
      <c r="HP252" s="258">
        <f t="shared" si="203"/>
        <v>0</v>
      </c>
      <c r="HQ252" s="203" t="s">
        <v>1084</v>
      </c>
      <c r="HR252" s="268">
        <f t="shared" si="241"/>
        <v>700673.28858155524</v>
      </c>
      <c r="HS252" s="1408">
        <f>IF(HT252=0,IF(OR(SUMIF(CURVES!$AU$6:$AU$283,$HQ252,CURVES!$BQ$6:$BQ$283)=0,COUNTIF(CURVES!$AU$6:$AU$283,$HQ252)=0),0,SUMIF(CURVES!$AU$6:$AU$283,$HQ252,CURVES!$BQ$6:$BQ$283)/COUNTIF(CURVES!$AU$6:$AU$283,$HQ252)),HT252/HR252)</f>
        <v>4.0925478246815308</v>
      </c>
      <c r="HT252" s="255">
        <f t="shared" si="242"/>
        <v>2867538.9429968982</v>
      </c>
      <c r="HU252" s="268">
        <f t="shared" si="243"/>
        <v>0</v>
      </c>
      <c r="HV252" s="1408" t="e">
        <f>IF(HW252=0,0,HW252/Summary!$O$79/HU252)</f>
        <v>#DIV/0!</v>
      </c>
      <c r="HW252" s="255">
        <f t="shared" si="244"/>
        <v>18589.897601398683</v>
      </c>
      <c r="HX252" s="1408">
        <f>IF(OR(SUMIF(CURVES!$AU$6:$AU$283,$HQ252,CURVES!$BQ$6:$BQ$283)=0,COUNTIF(CURVES!$AU$6:$AU$283,$HQ252)=0),0,SUMIF(CURVES!$AU$6:$AU$283,$HQ252,CURVES!$BQ$6:$BQ$283)/COUNTIF(CURVES!$AU$6:$AU$283,$HQ252))</f>
        <v>4.395630073390465</v>
      </c>
      <c r="HY252" s="1408">
        <f>IF(OR(SUMIF(CURVES!$AU$6:$AU$283,$HQ252,CURVES!$BR$6:$BR$283)=0,COUNTIF(CURVES!$AU$6:$AU$283,$HQ252)=0),0,SUMIF(CURVES!$AU$6:$AU$283,$HQ252,CURVES!$BR$6:$BR$283)/COUNTIF(CURVES!$AU$6:$AU$283,$HQ252))</f>
        <v>3.4133902255166171</v>
      </c>
      <c r="HZ252"/>
      <c r="IA252" s="203"/>
      <c r="IB252" s="203"/>
      <c r="IC252" s="203"/>
      <c r="ID252" s="203"/>
      <c r="IE252" s="203"/>
      <c r="IF252" s="203"/>
      <c r="IG252" s="203"/>
      <c r="IH252" s="203"/>
      <c r="II252" s="203"/>
      <c r="IJ252" s="203"/>
      <c r="IK252" s="203"/>
      <c r="IL252" s="821"/>
      <c r="IM252" s="820"/>
      <c r="IN252" s="820"/>
      <c r="IR252" s="223"/>
    </row>
    <row r="253" spans="1:252" ht="13.8" thickBot="1">
      <c r="A253" t="str">
        <f t="shared" si="204"/>
        <v>2019Q3</v>
      </c>
      <c r="B253">
        <f t="shared" si="205"/>
        <v>2019</v>
      </c>
      <c r="C253" s="49">
        <f t="shared" si="206"/>
        <v>43709</v>
      </c>
      <c r="D253" s="115">
        <f t="shared" si="207"/>
        <v>2019</v>
      </c>
      <c r="E253" s="10">
        <f t="shared" si="230"/>
        <v>9</v>
      </c>
      <c r="F253" s="248">
        <f t="shared" si="231"/>
        <v>43710</v>
      </c>
      <c r="G253" s="245">
        <v>43709</v>
      </c>
      <c r="H253" s="251">
        <v>43738</v>
      </c>
      <c r="I253" s="959">
        <f t="shared" si="228"/>
        <v>7.1499999999999994E-2</v>
      </c>
      <c r="J253" s="37">
        <f t="shared" si="208"/>
        <v>0.24801622090000575</v>
      </c>
      <c r="K253" s="1036"/>
      <c r="L253" s="37"/>
      <c r="M253" s="1004">
        <v>0</v>
      </c>
      <c r="N253" s="38">
        <f t="shared" si="239"/>
        <v>0</v>
      </c>
      <c r="O253" s="40">
        <f t="shared" si="239"/>
        <v>0</v>
      </c>
      <c r="P253" s="159">
        <f t="shared" si="234"/>
        <v>0</v>
      </c>
      <c r="Q253" s="38">
        <f t="shared" si="240"/>
        <v>0</v>
      </c>
      <c r="R253" s="40">
        <f t="shared" si="240"/>
        <v>0</v>
      </c>
      <c r="S253" s="38">
        <f t="shared" si="240"/>
        <v>0</v>
      </c>
      <c r="T253" s="38">
        <f t="shared" si="240"/>
        <v>0</v>
      </c>
      <c r="U253" s="38">
        <f t="shared" si="240"/>
        <v>0</v>
      </c>
      <c r="V253" s="159">
        <f t="shared" si="240"/>
        <v>0</v>
      </c>
      <c r="W253" s="38">
        <f t="shared" si="240"/>
        <v>0</v>
      </c>
      <c r="X253" s="39">
        <f t="shared" si="240"/>
        <v>0</v>
      </c>
      <c r="Y253" s="46">
        <v>0</v>
      </c>
      <c r="Z253" s="46">
        <v>0</v>
      </c>
      <c r="AA253" s="47">
        <v>0</v>
      </c>
      <c r="AB253" s="46">
        <v>0</v>
      </c>
      <c r="AC253" s="46">
        <v>0</v>
      </c>
      <c r="AD253" s="47">
        <v>0</v>
      </c>
      <c r="AE253" s="46">
        <v>0</v>
      </c>
      <c r="AF253" s="46">
        <v>0</v>
      </c>
      <c r="AG253" s="47">
        <v>0</v>
      </c>
      <c r="AH253" s="46">
        <v>0</v>
      </c>
      <c r="AI253" s="46">
        <v>0</v>
      </c>
      <c r="AJ253" s="47">
        <v>0</v>
      </c>
      <c r="AK253" s="46">
        <v>0</v>
      </c>
      <c r="AL253" s="46">
        <v>0</v>
      </c>
      <c r="AM253" s="47">
        <v>0</v>
      </c>
      <c r="AN253" s="46">
        <v>0</v>
      </c>
      <c r="AO253" s="46">
        <v>0</v>
      </c>
      <c r="AP253" s="47">
        <v>0</v>
      </c>
      <c r="AQ253" s="46">
        <v>0</v>
      </c>
      <c r="AR253" s="46">
        <v>0</v>
      </c>
      <c r="AS253" s="47">
        <v>0</v>
      </c>
      <c r="AT253" s="46">
        <v>0</v>
      </c>
      <c r="AU253" s="46">
        <v>0</v>
      </c>
      <c r="AV253" s="46">
        <v>0</v>
      </c>
      <c r="AW253" s="1545">
        <v>0</v>
      </c>
      <c r="AX253" s="10">
        <f t="shared" si="232"/>
        <v>20</v>
      </c>
      <c r="AY253" s="42">
        <f>IF(AND($E253=MONTH(Summary!$E$24),$D253=YEAR(Summary!$E$24)),Summary!$E$25,1)*IF(G253="",0,INT((H253-MOD(H253,7)-G253)/7)+1-IF(BA253,IF(WEEKDAY(F253)=7,1,0),0))</f>
        <v>4</v>
      </c>
      <c r="AZ253" s="42">
        <f>IF(AND($E253=MONTH(Summary!$E$24),$D253=YEAR(Summary!$E$24)),Summary!$E$25,1)*IF(G253="",0,INT((H253-MOD(H253-1,7)-G253)/7)+1-IF(BA253,IF(WEEKDAY(F253)=1,1,0),0))</f>
        <v>5</v>
      </c>
      <c r="BA253" s="42">
        <v>1</v>
      </c>
      <c r="BB253" s="10">
        <f>IF(AND($E253=MONTH(Summary!$E$24),$D253=YEAR(Summary!$E$24)),Summary!$E$25,1)*IF(G253="",0,H253-G253+1)</f>
        <v>30</v>
      </c>
      <c r="BC253" s="914">
        <f>Summary!$E$19</f>
        <v>1.4999999999999999E-2</v>
      </c>
      <c r="BD253" s="113">
        <v>14184</v>
      </c>
      <c r="BE253" s="171">
        <v>2836.8</v>
      </c>
      <c r="BF253" s="171">
        <v>4255.2</v>
      </c>
      <c r="BG253" s="174"/>
      <c r="BH253" s="1198">
        <v>1</v>
      </c>
      <c r="BI253" s="1198">
        <v>1</v>
      </c>
      <c r="BJ253" s="1198">
        <v>1</v>
      </c>
      <c r="BK253" s="1198">
        <v>1</v>
      </c>
      <c r="BL253" s="95">
        <v>2836.8</v>
      </c>
      <c r="BM253" s="171">
        <v>567.36</v>
      </c>
      <c r="BN253" s="171">
        <v>851.04</v>
      </c>
      <c r="BO253" s="174"/>
      <c r="BP253" s="1198">
        <v>1</v>
      </c>
      <c r="BQ253" s="1199">
        <v>1</v>
      </c>
      <c r="BR253" s="1199">
        <v>1</v>
      </c>
      <c r="BS253" s="1200">
        <v>1</v>
      </c>
      <c r="BT253" s="94">
        <f t="shared" si="209"/>
        <v>21276</v>
      </c>
      <c r="BU253" s="233">
        <f t="shared" si="210"/>
        <v>21276</v>
      </c>
      <c r="BV253" s="92">
        <f t="shared" si="211"/>
        <v>4255.2000000000007</v>
      </c>
      <c r="BW253" s="233">
        <f t="shared" si="212"/>
        <v>4255.2000000000007</v>
      </c>
      <c r="BX253" s="88">
        <v>19.71252566735113</v>
      </c>
      <c r="BY253" s="90">
        <v>0</v>
      </c>
      <c r="BZ253" s="88">
        <v>0</v>
      </c>
      <c r="CA253" s="88">
        <v>0</v>
      </c>
      <c r="CB253" s="88">
        <v>0</v>
      </c>
      <c r="CC253" s="88">
        <v>0</v>
      </c>
      <c r="CD253" s="88">
        <v>0</v>
      </c>
      <c r="CE253" s="100">
        <v>0</v>
      </c>
      <c r="CF253" s="88">
        <v>0</v>
      </c>
      <c r="CG253" s="88">
        <v>0</v>
      </c>
      <c r="CH253" s="88">
        <v>0</v>
      </c>
      <c r="CI253" s="88">
        <v>0</v>
      </c>
      <c r="CJ253" s="228">
        <v>0</v>
      </c>
      <c r="CK253" s="88">
        <v>0</v>
      </c>
      <c r="CL253" s="88">
        <v>0</v>
      </c>
      <c r="CM253" s="88">
        <v>0</v>
      </c>
      <c r="CN253" s="88">
        <v>0</v>
      </c>
      <c r="CO253" s="88">
        <v>0</v>
      </c>
      <c r="CP253" s="88">
        <v>0</v>
      </c>
      <c r="CQ253" s="229">
        <v>0</v>
      </c>
      <c r="CR253" s="91">
        <v>0</v>
      </c>
      <c r="CS253" s="91">
        <v>0</v>
      </c>
      <c r="CT253" s="91">
        <v>0</v>
      </c>
      <c r="CU253" s="91">
        <v>0</v>
      </c>
      <c r="CV253" s="91">
        <v>0</v>
      </c>
      <c r="CW253" s="91">
        <v>0</v>
      </c>
      <c r="CX253" s="225">
        <v>0</v>
      </c>
      <c r="CY253" s="1265">
        <v>7755.3931999999995</v>
      </c>
      <c r="CZ253" s="90">
        <v>0</v>
      </c>
      <c r="DA253" s="88">
        <v>0</v>
      </c>
      <c r="DB253" s="88">
        <v>0</v>
      </c>
      <c r="DC253" s="88">
        <v>0</v>
      </c>
      <c r="DD253" s="88">
        <v>0</v>
      </c>
      <c r="DE253" s="152">
        <v>0</v>
      </c>
      <c r="DF253" s="230">
        <v>0</v>
      </c>
      <c r="DG253" s="38">
        <v>0</v>
      </c>
      <c r="DH253" s="1237">
        <v>0</v>
      </c>
      <c r="DI253" s="956">
        <v>0</v>
      </c>
      <c r="DJ253" s="956">
        <v>0</v>
      </c>
      <c r="DK253" s="956">
        <v>0</v>
      </c>
      <c r="DL253" s="152">
        <v>0</v>
      </c>
      <c r="DM253" s="160">
        <v>0</v>
      </c>
      <c r="DN253" s="160">
        <v>0</v>
      </c>
      <c r="DO253" s="160">
        <v>0</v>
      </c>
      <c r="DP253" s="160">
        <v>0</v>
      </c>
      <c r="DQ253" s="160">
        <v>0</v>
      </c>
      <c r="DR253" s="230">
        <v>0</v>
      </c>
      <c r="DS253" s="88">
        <v>0</v>
      </c>
      <c r="DT253" s="88">
        <v>0</v>
      </c>
      <c r="DU253" s="88">
        <v>0</v>
      </c>
      <c r="DV253" s="88">
        <v>0</v>
      </c>
      <c r="DW253" s="88">
        <v>0</v>
      </c>
      <c r="DX253" s="88">
        <v>0</v>
      </c>
      <c r="DY253" s="88">
        <v>0</v>
      </c>
      <c r="DZ253" s="88">
        <v>0</v>
      </c>
      <c r="EA253" s="88">
        <v>0</v>
      </c>
      <c r="EB253" s="152">
        <v>0</v>
      </c>
      <c r="EC253" s="52">
        <f t="shared" si="213"/>
        <v>0</v>
      </c>
      <c r="ED253" s="52">
        <f t="shared" si="213"/>
        <v>0</v>
      </c>
      <c r="EE253" s="52">
        <f t="shared" si="213"/>
        <v>0</v>
      </c>
      <c r="EF253" s="52">
        <f t="shared" si="186"/>
        <v>0</v>
      </c>
      <c r="EG253" s="52">
        <f t="shared" si="214"/>
        <v>0</v>
      </c>
      <c r="EH253" s="238">
        <v>0</v>
      </c>
      <c r="EI253" s="211">
        <v>0</v>
      </c>
      <c r="EJ253" s="211">
        <v>0</v>
      </c>
      <c r="EK253" s="211">
        <v>0</v>
      </c>
      <c r="EL253" s="217">
        <f>IF(C253&gt;=Summary!$E$26,MAX(0,SUM(EH253:EK253)),0)</f>
        <v>0</v>
      </c>
      <c r="EM253" s="52">
        <f>IF(C253&gt;=Summary!$E$26,DX253*BL253,0)</f>
        <v>0</v>
      </c>
      <c r="EN253" s="52">
        <f>IF(C253&gt;=Summary!$E$26,DY253*BM253,0)</f>
        <v>0</v>
      </c>
      <c r="EO253" s="52">
        <f>IF(C253&gt;=Summary!$E$26,DZ253*BN253,0)</f>
        <v>0</v>
      </c>
      <c r="EP253" s="52">
        <f>IF(C253&gt;=Summary!$E$26,EA253*BO253,0)</f>
        <v>0</v>
      </c>
      <c r="EQ253" s="52">
        <f>IF(C253&gt;=Summary!$E$26,DX253*BL253+DY253*BM253+DZ253*BN253+EA253*BO253,0)</f>
        <v>0</v>
      </c>
      <c r="ER253" s="826">
        <v>0</v>
      </c>
      <c r="ES253" s="278">
        <v>0</v>
      </c>
      <c r="ET253" s="278">
        <v>0</v>
      </c>
      <c r="EU253" s="278">
        <v>0</v>
      </c>
      <c r="EV253" s="212">
        <f>IF(C253&gt;=Summary!$E$26,MAX(0,SUM(ER253:EU253)),0)</f>
        <v>0</v>
      </c>
      <c r="EW253" s="52"/>
      <c r="EX253" s="1049">
        <f t="shared" si="215"/>
        <v>0</v>
      </c>
      <c r="EY253" s="1045" t="str">
        <f t="shared" si="216"/>
        <v/>
      </c>
      <c r="EZ253" s="1684" t="s">
        <v>525</v>
      </c>
      <c r="FA253" s="1046">
        <f t="shared" si="229"/>
        <v>45</v>
      </c>
      <c r="FB253" s="256">
        <f t="shared" si="217"/>
        <v>10638</v>
      </c>
      <c r="FC253" s="194">
        <f t="shared" si="218"/>
        <v>0</v>
      </c>
      <c r="FD253" s="194">
        <f t="shared" si="219"/>
        <v>2127.6</v>
      </c>
      <c r="FE253" s="194">
        <f t="shared" si="220"/>
        <v>0</v>
      </c>
      <c r="FF253" s="194">
        <f t="shared" si="221"/>
        <v>3191.4</v>
      </c>
      <c r="FG253" s="194">
        <f t="shared" si="222"/>
        <v>0</v>
      </c>
      <c r="FH253" s="257">
        <f>IF(EZ253="No",IF((OR(MONTH(C253)=5,MONTH(C253)=6,MONTH(C253)=7,MONTH(C253)=8,MONTH(C253)=9)),Summary!$O$15*12*(AX253+AY253+AZ253+BA253)*(1-$BC253),Summary!$O$15*13*(AX253+AY253+AZ253+BA253)*(1-$BC253)+IF(Summary!$O$16="Yes",(CALC!FA253+Summary!$O$15)*6*(AX253+AY253+AZ253+BA253)*(1-$BC253),0)),0)</f>
        <v>0</v>
      </c>
      <c r="FI253" s="1412">
        <f>IF(MONTH(C253)=5,FI252*(IF(Summary!$E$70="no",(1+(Summary!$E$71*0.8)),1+HLOOKUP(YEAR(C253)-1,CCFMODEL!$I$127:$AF$128,2)*0.8)),+FI252)</f>
        <v>42.748689366243212</v>
      </c>
      <c r="FJ253" s="1411">
        <f>IF(MONTH(C253)=5,FJ252*(IF(Summary!$E$70="no",(1+(Summary!$E$71*0.8)),1+HLOOKUP(YEAR(CALC!C253)-1,CCFMODEL!$I$127:$AF$128,2)*0.8)),FJ252)</f>
        <v>37.363027713803127</v>
      </c>
      <c r="FK253" s="832">
        <f t="shared" si="187"/>
        <v>682140.83621714299</v>
      </c>
      <c r="FL253" s="1412">
        <f>IF(MONTH(C253)=5,FL252*(IF(Summary!$E$70="no",(1+(Summary!$E$71*0.8)),1+HLOOKUP(YEAR(CALC!C253)-1,CCFMODEL!$I$127:$AF$128,2)*0.8)),+FL252)</f>
        <v>89.905286334929912</v>
      </c>
      <c r="FM253" s="1411">
        <f>IF(MONTH(C253)=5,FM252*(IF(Summary!$E$70="no",(1+(Summary!$E$71*0.8)),1+HLOOKUP(YEAR(CALC!C253)-1,CCFMODEL!$I$127:$AF$128,2)*0.8)),+FM252)</f>
        <v>42.908976915422976</v>
      </c>
      <c r="FN253" s="832">
        <f t="shared" si="188"/>
        <v>1456465.6386258646</v>
      </c>
      <c r="FO253" s="194">
        <f t="shared" si="223"/>
        <v>2138606.4748430075</v>
      </c>
      <c r="FP253" s="263">
        <f t="shared" si="238"/>
        <v>10638</v>
      </c>
      <c r="FQ253" s="194">
        <f t="shared" si="238"/>
        <v>0</v>
      </c>
      <c r="FR253" s="194">
        <f t="shared" si="238"/>
        <v>2127.6</v>
      </c>
      <c r="FS253" s="194">
        <f t="shared" si="238"/>
        <v>0</v>
      </c>
      <c r="FT253" s="194">
        <f t="shared" si="238"/>
        <v>3191.4</v>
      </c>
      <c r="FU253" s="194">
        <f t="shared" si="238"/>
        <v>0</v>
      </c>
      <c r="FV253" s="257">
        <f t="shared" si="238"/>
        <v>0</v>
      </c>
      <c r="FW253" s="189">
        <f t="shared" si="192"/>
        <v>0</v>
      </c>
      <c r="FX253" s="189">
        <f t="shared" si="193"/>
        <v>0</v>
      </c>
      <c r="FY253" s="189">
        <f t="shared" si="194"/>
        <v>0</v>
      </c>
      <c r="FZ253" s="258">
        <f t="shared" si="195"/>
        <v>0</v>
      </c>
      <c r="GA253" s="1294">
        <f>(SUM(FP253:FV253)+SUM(GU253:HB253)/(1-Summary!$O$25))*CY253/1000</f>
        <v>198004.49486783997</v>
      </c>
      <c r="GB253" s="1369">
        <f>IF($C253&lt;Summary!$M$81,+Summary!$O$81,VLOOKUP(C253,GasTable,19))</f>
        <v>4.0303478258292058</v>
      </c>
      <c r="GC253" s="1370">
        <f>IF(H253&lt;=Summary!$N$84,MIN(GA253,Summary!$O$75*(H253-G253+1)),0)</f>
        <v>0</v>
      </c>
      <c r="GD253" s="1371">
        <f>IF(C253&lt;Summary!$N$84,IF(Summary!$O$75*(H253-G253+1)*0.8&gt;GC253,1,0),0)</f>
        <v>0</v>
      </c>
      <c r="GE253" s="1372">
        <v>0</v>
      </c>
      <c r="GF253" s="1370">
        <f t="shared" si="224"/>
        <v>198004.49486783997</v>
      </c>
      <c r="GG253" s="1371">
        <f>GF253*(IF(Summary!$O$74=1,VLOOKUP($C253,GasTable,16)+Summary!$O$92+Summary!$O$93,VLOOKUP($C253,GasTable,19)+Summary!$O$92+Summary!$O$93))</f>
        <v>808343.01957762346</v>
      </c>
      <c r="GH253" s="1373">
        <v>6045.5217387438088</v>
      </c>
      <c r="GI253" s="1466">
        <v>0</v>
      </c>
      <c r="GJ253" s="1374">
        <f t="shared" si="225"/>
        <v>814388.54131636722</v>
      </c>
      <c r="GK253" s="189">
        <f t="shared" si="196"/>
        <v>25196.102999999999</v>
      </c>
      <c r="GL253" s="266">
        <v>0.51961134440000001</v>
      </c>
      <c r="GM253" s="255">
        <f t="shared" si="197"/>
        <v>0</v>
      </c>
      <c r="GN253" s="189">
        <f>IF(SUM(GU253:HB253)=0,0,IF(Summary!$O$16="Yes",SUM(GX253:HB253),IF(Summary!$O$17="Yes",SUM(GY253:HB253),SUM(GU253:HB253))))</f>
        <v>9239.1029999999992</v>
      </c>
      <c r="GO253" s="203">
        <v>4.1725124508968587</v>
      </c>
      <c r="GP253" s="258">
        <f t="shared" si="226"/>
        <v>38550.272302618519</v>
      </c>
      <c r="GQ253" s="189"/>
      <c r="GR253" s="189"/>
      <c r="GS253" s="189"/>
      <c r="GT253" s="189"/>
      <c r="GU253" s="268">
        <v>3421.89</v>
      </c>
      <c r="GV253" s="189">
        <v>684.37800000000027</v>
      </c>
      <c r="GW253" s="189">
        <v>1026.5669999999998</v>
      </c>
      <c r="GX253" s="189"/>
      <c r="GY253" s="254">
        <v>2737.5120000000002</v>
      </c>
      <c r="GZ253" s="189">
        <v>547.50239999999997</v>
      </c>
      <c r="HA253" s="189">
        <v>821.25359999999989</v>
      </c>
      <c r="HB253" s="255"/>
      <c r="HC253" s="189">
        <v>9239.1029999999992</v>
      </c>
      <c r="HD253" s="189"/>
      <c r="HE253" s="189">
        <v>21557.906999999999</v>
      </c>
      <c r="HF253" s="189">
        <v>598939.0982224039</v>
      </c>
      <c r="HG253" s="189"/>
      <c r="HH253" s="203">
        <v>67.286175504539372</v>
      </c>
      <c r="HI253" s="189">
        <v>1450549.1139125379</v>
      </c>
      <c r="HJ253" s="268">
        <f t="shared" si="198"/>
        <v>0</v>
      </c>
      <c r="HK253" s="189">
        <f t="shared" si="199"/>
        <v>0</v>
      </c>
      <c r="HL253" s="189">
        <f t="shared" si="200"/>
        <v>0</v>
      </c>
      <c r="HM253" s="255">
        <f t="shared" si="201"/>
        <v>0</v>
      </c>
      <c r="HN253" s="189">
        <f t="shared" si="202"/>
        <v>0</v>
      </c>
      <c r="HO253" s="203">
        <f t="shared" si="227"/>
        <v>0</v>
      </c>
      <c r="HP253" s="258">
        <f t="shared" si="203"/>
        <v>0</v>
      </c>
      <c r="HQ253" s="203" t="s">
        <v>1085</v>
      </c>
      <c r="HR253" s="268">
        <f t="shared" si="241"/>
        <v>686639.40346900083</v>
      </c>
      <c r="HS253" s="1408">
        <f>IF(HT253=0,IF(OR(SUMIF(CURVES!$AU$6:$AU$283,$HQ253,CURVES!$BQ$6:$BQ$283)=0,COUNTIF(CURVES!$AU$6:$AU$283,$HQ253)=0),0,SUMIF(CURVES!$AU$6:$AU$283,$HQ253,CURVES!$BQ$6:$BQ$283)/COUNTIF(CURVES!$AU$6:$AU$283,$HQ253)),HT253/HR253)</f>
        <v>3.7727367871780544</v>
      </c>
      <c r="HT253" s="255">
        <f t="shared" si="242"/>
        <v>2590509.736993494</v>
      </c>
      <c r="HU253" s="268">
        <f t="shared" si="243"/>
        <v>0</v>
      </c>
      <c r="HV253" s="1408" t="e">
        <f>IF(HW253=0,0,HW253/Summary!$O$79/HU253)</f>
        <v>#DIV/0!</v>
      </c>
      <c r="HW253" s="255">
        <f t="shared" si="244"/>
        <v>16929.103581194606</v>
      </c>
      <c r="HX253" s="1408">
        <f>IF(OR(SUMIF(CURVES!$AU$6:$AU$283,$HQ253,CURVES!$BQ$6:$BQ$283)=0,COUNTIF(CURVES!$AU$6:$AU$283,$HQ253)=0),0,SUMIF(CURVES!$AU$6:$AU$283,$HQ253,CURVES!$BQ$6:$BQ$283)/COUNTIF(CURVES!$AU$6:$AU$283,$HQ253))</f>
        <v>4.2011790311321082</v>
      </c>
      <c r="HY253" s="1408">
        <f>IF(OR(SUMIF(CURVES!$AU$6:$AU$283,$HQ253,CURVES!$BR$6:$BR$283)=0,COUNTIF(CURVES!$AU$6:$AU$283,$HQ253)=0),0,SUMIF(CURVES!$AU$6:$AU$283,$HQ253,CURVES!$BR$6:$BR$283)/COUNTIF(CURVES!$AU$6:$AU$283,$HQ253))</f>
        <v>3.4446058416214647</v>
      </c>
      <c r="HZ253"/>
      <c r="IA253" s="203"/>
      <c r="IB253" s="203"/>
      <c r="IC253" s="203"/>
      <c r="ID253" s="203"/>
      <c r="IE253" s="203"/>
      <c r="IF253" s="203"/>
      <c r="IG253" s="203"/>
      <c r="IH253" s="203"/>
      <c r="II253" s="203"/>
      <c r="IJ253" s="203"/>
      <c r="IK253" s="203"/>
      <c r="IL253" s="821"/>
      <c r="IM253" s="820"/>
      <c r="IN253" s="820"/>
      <c r="IR253" s="223"/>
    </row>
    <row r="254" spans="1:252" ht="13.8" thickBot="1">
      <c r="A254" t="str">
        <f t="shared" si="204"/>
        <v>2019Q4</v>
      </c>
      <c r="B254">
        <f t="shared" si="205"/>
        <v>2019</v>
      </c>
      <c r="C254" s="49">
        <f t="shared" si="206"/>
        <v>43739</v>
      </c>
      <c r="D254" s="115">
        <f t="shared" si="207"/>
        <v>2019</v>
      </c>
      <c r="E254" s="10">
        <f t="shared" si="230"/>
        <v>10</v>
      </c>
      <c r="F254" s="248" t="str">
        <f t="shared" si="231"/>
        <v/>
      </c>
      <c r="G254" s="245">
        <v>43739</v>
      </c>
      <c r="H254" s="251">
        <v>43769</v>
      </c>
      <c r="I254" s="959">
        <f t="shared" si="228"/>
        <v>7.1499999999999994E-2</v>
      </c>
      <c r="J254" s="37">
        <f t="shared" si="208"/>
        <v>0.24654182639311842</v>
      </c>
      <c r="K254" s="1036"/>
      <c r="L254" s="37"/>
      <c r="M254" s="1004">
        <v>0</v>
      </c>
      <c r="N254" s="38">
        <f t="shared" si="239"/>
        <v>0</v>
      </c>
      <c r="O254" s="40">
        <f t="shared" si="239"/>
        <v>0</v>
      </c>
      <c r="P254" s="159">
        <f t="shared" si="234"/>
        <v>0</v>
      </c>
      <c r="Q254" s="38">
        <f t="shared" si="240"/>
        <v>0</v>
      </c>
      <c r="R254" s="40">
        <f t="shared" si="240"/>
        <v>0</v>
      </c>
      <c r="S254" s="38">
        <f t="shared" si="240"/>
        <v>0</v>
      </c>
      <c r="T254" s="38">
        <f t="shared" si="240"/>
        <v>0</v>
      </c>
      <c r="U254" s="38">
        <f t="shared" si="240"/>
        <v>0</v>
      </c>
      <c r="V254" s="159">
        <f t="shared" si="240"/>
        <v>0</v>
      </c>
      <c r="W254" s="38">
        <f t="shared" si="240"/>
        <v>0</v>
      </c>
      <c r="X254" s="39">
        <f t="shared" si="240"/>
        <v>0</v>
      </c>
      <c r="Y254" s="46">
        <v>0</v>
      </c>
      <c r="Z254" s="46">
        <v>0</v>
      </c>
      <c r="AA254" s="47">
        <v>0</v>
      </c>
      <c r="AB254" s="46">
        <v>0</v>
      </c>
      <c r="AC254" s="46">
        <v>0</v>
      </c>
      <c r="AD254" s="47">
        <v>0</v>
      </c>
      <c r="AE254" s="46">
        <v>0</v>
      </c>
      <c r="AF254" s="46">
        <v>0</v>
      </c>
      <c r="AG254" s="47">
        <v>0</v>
      </c>
      <c r="AH254" s="46">
        <v>0</v>
      </c>
      <c r="AI254" s="46">
        <v>0</v>
      </c>
      <c r="AJ254" s="47">
        <v>0</v>
      </c>
      <c r="AK254" s="46">
        <v>0</v>
      </c>
      <c r="AL254" s="46">
        <v>0</v>
      </c>
      <c r="AM254" s="47">
        <v>0</v>
      </c>
      <c r="AN254" s="46">
        <v>0</v>
      </c>
      <c r="AO254" s="46">
        <v>0</v>
      </c>
      <c r="AP254" s="47">
        <v>0</v>
      </c>
      <c r="AQ254" s="46">
        <v>0</v>
      </c>
      <c r="AR254" s="46">
        <v>0</v>
      </c>
      <c r="AS254" s="47">
        <v>0</v>
      </c>
      <c r="AT254" s="46">
        <v>0</v>
      </c>
      <c r="AU254" s="46">
        <v>0</v>
      </c>
      <c r="AV254" s="46">
        <v>0</v>
      </c>
      <c r="AW254" s="1545">
        <v>0</v>
      </c>
      <c r="AX254" s="10">
        <f t="shared" si="232"/>
        <v>23</v>
      </c>
      <c r="AY254" s="42">
        <f>IF(AND($E254=MONTH(Summary!$E$24),$D254=YEAR(Summary!$E$24)),Summary!$E$25,1)*IF(G254="",0,INT((H254-MOD(H254,7)-G254)/7)+1-IF(BA254,IF(WEEKDAY(F254)=7,1,0),0))</f>
        <v>4</v>
      </c>
      <c r="AZ254" s="42">
        <f>IF(AND($E254=MONTH(Summary!$E$24),$D254=YEAR(Summary!$E$24)),Summary!$E$25,1)*IF(G254="",0,INT((H254-MOD(H254-1,7)-G254)/7)+1-IF(BA254,IF(WEEKDAY(F254)=1,1,0),0))</f>
        <v>4</v>
      </c>
      <c r="BA254" s="42">
        <v>0</v>
      </c>
      <c r="BB254" s="10">
        <f>IF(AND($E254=MONTH(Summary!$E$24),$D254=YEAR(Summary!$E$24)),Summary!$E$25,1)*IF(G254="",0,H254-G254+1)</f>
        <v>31</v>
      </c>
      <c r="BC254" s="914">
        <f>Summary!$E$19</f>
        <v>1.4999999999999999E-2</v>
      </c>
      <c r="BD254" s="113">
        <v>16311.6</v>
      </c>
      <c r="BE254" s="171">
        <v>2836.8</v>
      </c>
      <c r="BF254" s="171">
        <v>2836.8</v>
      </c>
      <c r="BG254" s="174"/>
      <c r="BH254" s="1198">
        <v>1</v>
      </c>
      <c r="BI254" s="1198">
        <v>1</v>
      </c>
      <c r="BJ254" s="1198">
        <v>1</v>
      </c>
      <c r="BK254" s="1198">
        <v>1</v>
      </c>
      <c r="BL254" s="95">
        <v>3262.32</v>
      </c>
      <c r="BM254" s="171">
        <v>567.36</v>
      </c>
      <c r="BN254" s="171">
        <v>567.36</v>
      </c>
      <c r="BO254" s="174"/>
      <c r="BP254" s="1198">
        <v>1</v>
      </c>
      <c r="BQ254" s="1199">
        <v>1</v>
      </c>
      <c r="BR254" s="1199">
        <v>1</v>
      </c>
      <c r="BS254" s="1200">
        <v>1</v>
      </c>
      <c r="BT254" s="94">
        <f t="shared" si="209"/>
        <v>21985.200000000001</v>
      </c>
      <c r="BU254" s="233">
        <f t="shared" si="210"/>
        <v>21985.200000000001</v>
      </c>
      <c r="BV254" s="92">
        <f t="shared" si="211"/>
        <v>4397.04</v>
      </c>
      <c r="BW254" s="233">
        <f t="shared" si="212"/>
        <v>4397.04</v>
      </c>
      <c r="BX254" s="88">
        <v>19.794661190965094</v>
      </c>
      <c r="BY254" s="90">
        <v>0</v>
      </c>
      <c r="BZ254" s="88">
        <v>0</v>
      </c>
      <c r="CA254" s="88">
        <v>0</v>
      </c>
      <c r="CB254" s="88">
        <v>0</v>
      </c>
      <c r="CC254" s="88">
        <v>0</v>
      </c>
      <c r="CD254" s="88">
        <v>0</v>
      </c>
      <c r="CE254" s="100">
        <v>0</v>
      </c>
      <c r="CF254" s="88">
        <v>0</v>
      </c>
      <c r="CG254" s="88">
        <v>0</v>
      </c>
      <c r="CH254" s="88">
        <v>0</v>
      </c>
      <c r="CI254" s="88">
        <v>0</v>
      </c>
      <c r="CJ254" s="228">
        <v>0</v>
      </c>
      <c r="CK254" s="88">
        <v>0</v>
      </c>
      <c r="CL254" s="88">
        <v>0</v>
      </c>
      <c r="CM254" s="88">
        <v>0</v>
      </c>
      <c r="CN254" s="88">
        <v>0</v>
      </c>
      <c r="CO254" s="88">
        <v>0</v>
      </c>
      <c r="CP254" s="88">
        <v>0</v>
      </c>
      <c r="CQ254" s="229">
        <v>0</v>
      </c>
      <c r="CR254" s="91">
        <v>0</v>
      </c>
      <c r="CS254" s="91">
        <v>0</v>
      </c>
      <c r="CT254" s="91">
        <v>0</v>
      </c>
      <c r="CU254" s="91">
        <v>0</v>
      </c>
      <c r="CV254" s="91">
        <v>0</v>
      </c>
      <c r="CW254" s="91">
        <v>0</v>
      </c>
      <c r="CX254" s="225">
        <v>0</v>
      </c>
      <c r="CY254" s="1265">
        <v>7757.4241599999996</v>
      </c>
      <c r="CZ254" s="90">
        <v>0</v>
      </c>
      <c r="DA254" s="88">
        <v>0</v>
      </c>
      <c r="DB254" s="88">
        <v>0</v>
      </c>
      <c r="DC254" s="88">
        <v>0</v>
      </c>
      <c r="DD254" s="88">
        <v>0</v>
      </c>
      <c r="DE254" s="152">
        <v>0</v>
      </c>
      <c r="DF254" s="230">
        <v>0</v>
      </c>
      <c r="DG254" s="38">
        <v>0</v>
      </c>
      <c r="DH254" s="1237">
        <v>0</v>
      </c>
      <c r="DI254" s="956">
        <v>0</v>
      </c>
      <c r="DJ254" s="956">
        <v>0</v>
      </c>
      <c r="DK254" s="956">
        <v>0</v>
      </c>
      <c r="DL254" s="152">
        <v>0</v>
      </c>
      <c r="DM254" s="160">
        <v>0</v>
      </c>
      <c r="DN254" s="160">
        <v>0</v>
      </c>
      <c r="DO254" s="160">
        <v>0</v>
      </c>
      <c r="DP254" s="160">
        <v>0</v>
      </c>
      <c r="DQ254" s="160">
        <v>0</v>
      </c>
      <c r="DR254" s="230">
        <v>0</v>
      </c>
      <c r="DS254" s="88">
        <v>0</v>
      </c>
      <c r="DT254" s="88">
        <v>0</v>
      </c>
      <c r="DU254" s="88">
        <v>0</v>
      </c>
      <c r="DV254" s="88">
        <v>0</v>
      </c>
      <c r="DW254" s="88">
        <v>0</v>
      </c>
      <c r="DX254" s="88">
        <v>0</v>
      </c>
      <c r="DY254" s="88">
        <v>0</v>
      </c>
      <c r="DZ254" s="88">
        <v>0</v>
      </c>
      <c r="EA254" s="88">
        <v>0</v>
      </c>
      <c r="EB254" s="152">
        <v>0</v>
      </c>
      <c r="EC254" s="52">
        <f t="shared" si="213"/>
        <v>0</v>
      </c>
      <c r="ED254" s="52">
        <f t="shared" si="213"/>
        <v>0</v>
      </c>
      <c r="EE254" s="52">
        <f t="shared" si="213"/>
        <v>0</v>
      </c>
      <c r="EF254" s="52">
        <f t="shared" si="186"/>
        <v>0</v>
      </c>
      <c r="EG254" s="52">
        <f t="shared" si="214"/>
        <v>0</v>
      </c>
      <c r="EH254" s="238">
        <v>0</v>
      </c>
      <c r="EI254" s="211">
        <v>0</v>
      </c>
      <c r="EJ254" s="211">
        <v>0</v>
      </c>
      <c r="EK254" s="211">
        <v>0</v>
      </c>
      <c r="EL254" s="217">
        <f>IF(C254&gt;=Summary!$E$26,MAX(0,SUM(EH254:EK254)),0)</f>
        <v>0</v>
      </c>
      <c r="EM254" s="52">
        <f>IF(C254&gt;=Summary!$E$26,DX254*BL254,0)</f>
        <v>0</v>
      </c>
      <c r="EN254" s="52">
        <f>IF(C254&gt;=Summary!$E$26,DY254*BM254,0)</f>
        <v>0</v>
      </c>
      <c r="EO254" s="52">
        <f>IF(C254&gt;=Summary!$E$26,DZ254*BN254,0)</f>
        <v>0</v>
      </c>
      <c r="EP254" s="52">
        <f>IF(C254&gt;=Summary!$E$26,EA254*BO254,0)</f>
        <v>0</v>
      </c>
      <c r="EQ254" s="52">
        <f>IF(C254&gt;=Summary!$E$26,DX254*BL254+DY254*BM254+DZ254*BN254+EA254*BO254,0)</f>
        <v>0</v>
      </c>
      <c r="ER254" s="826">
        <v>0</v>
      </c>
      <c r="ES254" s="278">
        <v>0</v>
      </c>
      <c r="ET254" s="278">
        <v>0</v>
      </c>
      <c r="EU254" s="278">
        <v>0</v>
      </c>
      <c r="EV254" s="212">
        <f>IF(C254&gt;=Summary!$E$26,MAX(0,SUM(ER254:EU254)),0)</f>
        <v>0</v>
      </c>
      <c r="EW254" s="52"/>
      <c r="EX254" s="1049">
        <f t="shared" si="215"/>
        <v>0</v>
      </c>
      <c r="EY254" s="1045" t="str">
        <f t="shared" si="216"/>
        <v/>
      </c>
      <c r="EZ254" s="1684" t="s">
        <v>525</v>
      </c>
      <c r="FA254" s="1046">
        <f t="shared" si="229"/>
        <v>45</v>
      </c>
      <c r="FB254" s="256">
        <f t="shared" si="217"/>
        <v>10194.75</v>
      </c>
      <c r="FC254" s="194">
        <f t="shared" si="218"/>
        <v>3058.4250000000002</v>
      </c>
      <c r="FD254" s="194">
        <f t="shared" si="219"/>
        <v>1773</v>
      </c>
      <c r="FE254" s="194">
        <f t="shared" si="220"/>
        <v>531.9</v>
      </c>
      <c r="FF254" s="194">
        <f t="shared" si="221"/>
        <v>1773</v>
      </c>
      <c r="FG254" s="194">
        <f t="shared" si="222"/>
        <v>531.9</v>
      </c>
      <c r="FH254" s="257">
        <f>IF(EZ254="No",IF((OR(MONTH(C254)=5,MONTH(C254)=6,MONTH(C254)=7,MONTH(C254)=8,MONTH(C254)=9)),Summary!$O$15*12*(AX254+AY254+AZ254+BA254)*(1-$BC254),Summary!$O$15*13*(AX254+AY254+AZ254+BA254)*(1-$BC254)+IF(Summary!$O$16="Yes",(CALC!FA254+Summary!$O$15)*6*(AX254+AY254+AZ254+BA254)*(1-$BC254),0)),0)</f>
        <v>0</v>
      </c>
      <c r="FI254" s="1412">
        <f>IF(MONTH(C254)=5,FI253*(IF(Summary!$E$70="no",(1+(Summary!$E$71*0.8)),1+HLOOKUP(YEAR(C254)-1,CCFMODEL!$I$127:$AF$128,2)*0.8)),+FI253)</f>
        <v>42.748689366243212</v>
      </c>
      <c r="FJ254" s="1411">
        <f>IF(MONTH(C254)=5,FJ253*(IF(Summary!$E$70="no",(1+(Summary!$E$71*0.8)),1+HLOOKUP(YEAR(CALC!C254)-1,CCFMODEL!$I$127:$AF$128,2)*0.8)),FJ253)</f>
        <v>37.363027713803127</v>
      </c>
      <c r="FK254" s="832">
        <f t="shared" si="187"/>
        <v>763618.76943196834</v>
      </c>
      <c r="FL254" s="1412">
        <f>IF(MONTH(C254)=5,FL253*(IF(Summary!$E$70="no",(1+(Summary!$E$71*0.8)),1+HLOOKUP(YEAR(CALC!C254)-1,CCFMODEL!$I$127:$AF$128,2)*0.8)),+FL253)</f>
        <v>89.905286334929912</v>
      </c>
      <c r="FM254" s="1411">
        <f>IF(MONTH(C254)=5,FM253*(IF(Summary!$E$70="no",(1+(Summary!$E$71*0.8)),1+HLOOKUP(YEAR(CALC!C254)-1,CCFMODEL!$I$127:$AF$128,2)*0.8)),+FM253)</f>
        <v>42.908976915422976</v>
      </c>
      <c r="FN254" s="832">
        <f t="shared" si="188"/>
        <v>778154.29636119562</v>
      </c>
      <c r="FO254" s="194">
        <f t="shared" si="223"/>
        <v>1541773.0657931641</v>
      </c>
      <c r="FP254" s="263">
        <f t="shared" si="238"/>
        <v>10194.75</v>
      </c>
      <c r="FQ254" s="194">
        <f t="shared" si="238"/>
        <v>3058.4250000000002</v>
      </c>
      <c r="FR254" s="194">
        <f t="shared" si="238"/>
        <v>1773</v>
      </c>
      <c r="FS254" s="194">
        <f t="shared" si="238"/>
        <v>531.9</v>
      </c>
      <c r="FT254" s="194">
        <f t="shared" si="238"/>
        <v>1773</v>
      </c>
      <c r="FU254" s="194">
        <f t="shared" si="238"/>
        <v>531.9</v>
      </c>
      <c r="FV254" s="257">
        <f t="shared" si="238"/>
        <v>0</v>
      </c>
      <c r="FW254" s="189">
        <f t="shared" si="192"/>
        <v>0</v>
      </c>
      <c r="FX254" s="189">
        <f t="shared" si="193"/>
        <v>0</v>
      </c>
      <c r="FY254" s="189">
        <f t="shared" si="194"/>
        <v>0</v>
      </c>
      <c r="FZ254" s="258">
        <f t="shared" si="195"/>
        <v>0</v>
      </c>
      <c r="GA254" s="1294">
        <f>(SUM(FP254:FV254)+SUM(GU254:HB254)/(1-Summary!$O$25))*CY254/1000</f>
        <v>236636.07377887436</v>
      </c>
      <c r="GB254" s="1369">
        <f>IF($C254&lt;Summary!$M$81,+Summary!$O$81,VLOOKUP(C254,GasTable,19))</f>
        <v>4.2094541327202126</v>
      </c>
      <c r="GC254" s="1370">
        <f>IF(H254&lt;=Summary!$N$84,MIN(GA254,Summary!$O$75*(H254-G254+1)),0)</f>
        <v>0</v>
      </c>
      <c r="GD254" s="1371">
        <f>IF(C254&lt;Summary!$N$84,IF(Summary!$O$75*(H254-G254+1)*0.8&gt;GC254,1,0),0)</f>
        <v>0</v>
      </c>
      <c r="GE254" s="1372">
        <v>0</v>
      </c>
      <c r="GF254" s="1370">
        <f t="shared" si="224"/>
        <v>236636.07377887436</v>
      </c>
      <c r="GG254" s="1371">
        <f>GF254*(IF(Summary!$O$74=1,VLOOKUP($C254,GasTable,16)+Summary!$O$92+Summary!$O$93,VLOOKUP($C254,GasTable,19)+Summary!$O$92+Summary!$O$93))</f>
        <v>1008437.4381630472</v>
      </c>
      <c r="GH254" s="1373">
        <v>6524.65390571633</v>
      </c>
      <c r="GI254" s="1466">
        <v>0</v>
      </c>
      <c r="GJ254" s="1374">
        <f t="shared" si="225"/>
        <v>1014962.0920687636</v>
      </c>
      <c r="GK254" s="189">
        <f t="shared" si="196"/>
        <v>30062.012849999999</v>
      </c>
      <c r="GL254" s="266">
        <v>0.51974741872000008</v>
      </c>
      <c r="GM254" s="255">
        <f t="shared" si="197"/>
        <v>0</v>
      </c>
      <c r="GN254" s="189">
        <f>IF(SUM(GU254:HB254)=0,0,IF(Summary!$O$16="Yes",SUM(GX254:HB254),IF(Summary!$O$17="Yes",SUM(GY254:HB254),SUM(GU254:HB254))))</f>
        <v>12199.037849999999</v>
      </c>
      <c r="GO254" s="203">
        <v>4.1725124508968587</v>
      </c>
      <c r="GP254" s="258">
        <f t="shared" si="226"/>
        <v>50900.637318087043</v>
      </c>
      <c r="GQ254" s="189"/>
      <c r="GR254" s="189"/>
      <c r="GS254" s="189"/>
      <c r="GT254" s="189"/>
      <c r="GU254" s="268">
        <v>5902.7602500000003</v>
      </c>
      <c r="GV254" s="189">
        <v>1026.5670000000002</v>
      </c>
      <c r="GW254" s="189">
        <v>1026.5670000000002</v>
      </c>
      <c r="GX254" s="189"/>
      <c r="GY254" s="254">
        <v>3148.1388000000002</v>
      </c>
      <c r="GZ254" s="189">
        <v>547.50239999999997</v>
      </c>
      <c r="HA254" s="189">
        <v>547.50239999999997</v>
      </c>
      <c r="HB254" s="255"/>
      <c r="HC254" s="189">
        <v>12199.037849999999</v>
      </c>
      <c r="HD254" s="189"/>
      <c r="HE254" s="189">
        <v>20950.521524999996</v>
      </c>
      <c r="HF254" s="189">
        <v>707755.96877623512</v>
      </c>
      <c r="HG254" s="189"/>
      <c r="HH254" s="203">
        <v>57.099730849049131</v>
      </c>
      <c r="HI254" s="189">
        <v>1196269.1402247101</v>
      </c>
      <c r="HJ254" s="268">
        <f t="shared" si="198"/>
        <v>0</v>
      </c>
      <c r="HK254" s="189">
        <f t="shared" si="199"/>
        <v>0</v>
      </c>
      <c r="HL254" s="189">
        <f t="shared" si="200"/>
        <v>0</v>
      </c>
      <c r="HM254" s="255">
        <f t="shared" si="201"/>
        <v>0</v>
      </c>
      <c r="HN254" s="189">
        <f t="shared" si="202"/>
        <v>0</v>
      </c>
      <c r="HO254" s="203">
        <f t="shared" si="227"/>
        <v>0</v>
      </c>
      <c r="HP254" s="258">
        <f t="shared" si="203"/>
        <v>0</v>
      </c>
      <c r="HQ254" s="203" t="s">
        <v>1086</v>
      </c>
      <c r="HR254" s="268">
        <f t="shared" si="241"/>
        <v>624928.17581899208</v>
      </c>
      <c r="HS254" s="1408">
        <f>IF(HT254=0,IF(OR(SUMIF(CURVES!$AU$6:$AU$283,$HQ254,CURVES!$BQ$6:$BQ$283)=0,COUNTIF(CURVES!$AU$6:$AU$283,$HQ254)=0),0,SUMIF(CURVES!$AU$6:$AU$283,$HQ254,CURVES!$BQ$6:$BQ$283)/COUNTIF(CURVES!$AU$6:$AU$283,$HQ254)),HT254/HR254)</f>
        <v>3.4305613247019338</v>
      </c>
      <c r="HT254" s="255">
        <f t="shared" si="242"/>
        <v>2143854.4306811644</v>
      </c>
      <c r="HU254" s="268">
        <f t="shared" si="243"/>
        <v>0</v>
      </c>
      <c r="HV254" s="1408" t="e">
        <f>IF(HW254=0,0,HW254/Summary!$O$79/HU254)</f>
        <v>#DIV/0!</v>
      </c>
      <c r="HW254" s="255">
        <f t="shared" si="244"/>
        <v>15371.161917867172</v>
      </c>
      <c r="HX254" s="1408">
        <f>IF(OR(SUMIF(CURVES!$AU$6:$AU$283,$HQ254,CURVES!$BQ$6:$BQ$283)=0,COUNTIF(CURVES!$AU$6:$AU$283,$HQ254)=0),0,SUMIF(CURVES!$AU$6:$AU$283,$HQ254,CURVES!$BQ$6:$BQ$283)/COUNTIF(CURVES!$AU$6:$AU$283,$HQ254))</f>
        <v>3.9056106586999935</v>
      </c>
      <c r="HY254" s="1408">
        <f>IF(OR(SUMIF(CURVES!$AU$6:$AU$283,$HQ254,CURVES!$BR$6:$BR$283)=0,COUNTIF(CURVES!$AU$6:$AU$283,$HQ254)=0),0,SUMIF(CURVES!$AU$6:$AU$283,$HQ254,CURVES!$BR$6:$BR$283)/COUNTIF(CURVES!$AU$6:$AU$283,$HQ254))</f>
        <v>3.1265297317105496</v>
      </c>
      <c r="HZ254"/>
      <c r="IA254" s="203"/>
      <c r="IB254" s="203"/>
      <c r="IC254" s="203"/>
      <c r="ID254" s="203"/>
      <c r="IE254" s="203"/>
      <c r="IF254" s="203"/>
      <c r="IG254" s="203"/>
      <c r="IH254" s="203"/>
      <c r="II254" s="203"/>
      <c r="IJ254" s="203"/>
      <c r="IK254" s="203"/>
      <c r="IL254" s="821"/>
      <c r="IM254" s="820"/>
      <c r="IN254" s="820"/>
      <c r="IR254" s="223"/>
    </row>
    <row r="255" spans="1:252" ht="13.8" thickBot="1">
      <c r="A255" t="str">
        <f t="shared" si="204"/>
        <v>2019Q4</v>
      </c>
      <c r="B255">
        <f t="shared" si="205"/>
        <v>2019</v>
      </c>
      <c r="C255" s="49">
        <f t="shared" si="206"/>
        <v>43770</v>
      </c>
      <c r="D255" s="115">
        <f t="shared" si="207"/>
        <v>2019</v>
      </c>
      <c r="E255" s="10">
        <f t="shared" si="230"/>
        <v>11</v>
      </c>
      <c r="F255" s="248">
        <f t="shared" si="231"/>
        <v>43797</v>
      </c>
      <c r="G255" s="245">
        <v>43770</v>
      </c>
      <c r="H255" s="251">
        <v>43799</v>
      </c>
      <c r="I255" s="959">
        <f t="shared" si="228"/>
        <v>7.1499999999999994E-2</v>
      </c>
      <c r="J255" s="37">
        <f t="shared" si="208"/>
        <v>0.24512333889272844</v>
      </c>
      <c r="K255" s="1036"/>
      <c r="L255" s="37"/>
      <c r="M255" s="1004">
        <v>0</v>
      </c>
      <c r="N255" s="38">
        <f t="shared" si="239"/>
        <v>0</v>
      </c>
      <c r="O255" s="40">
        <f t="shared" si="239"/>
        <v>0</v>
      </c>
      <c r="P255" s="159">
        <f t="shared" si="234"/>
        <v>0</v>
      </c>
      <c r="Q255" s="38">
        <f t="shared" si="240"/>
        <v>0</v>
      </c>
      <c r="R255" s="40">
        <f t="shared" si="240"/>
        <v>0</v>
      </c>
      <c r="S255" s="38">
        <f t="shared" si="240"/>
        <v>0</v>
      </c>
      <c r="T255" s="38">
        <f t="shared" si="240"/>
        <v>0</v>
      </c>
      <c r="U255" s="38">
        <f t="shared" si="240"/>
        <v>0</v>
      </c>
      <c r="V255" s="159">
        <f t="shared" si="240"/>
        <v>0</v>
      </c>
      <c r="W255" s="38">
        <f t="shared" si="240"/>
        <v>0</v>
      </c>
      <c r="X255" s="39">
        <f t="shared" si="240"/>
        <v>0</v>
      </c>
      <c r="Y255" s="46">
        <v>0</v>
      </c>
      <c r="Z255" s="46">
        <v>0</v>
      </c>
      <c r="AA255" s="47">
        <v>0</v>
      </c>
      <c r="AB255" s="46">
        <v>0</v>
      </c>
      <c r="AC255" s="46">
        <v>0</v>
      </c>
      <c r="AD255" s="47">
        <v>0</v>
      </c>
      <c r="AE255" s="46">
        <v>0</v>
      </c>
      <c r="AF255" s="46">
        <v>0</v>
      </c>
      <c r="AG255" s="47">
        <v>0</v>
      </c>
      <c r="AH255" s="46">
        <v>0</v>
      </c>
      <c r="AI255" s="46">
        <v>0</v>
      </c>
      <c r="AJ255" s="47">
        <v>0</v>
      </c>
      <c r="AK255" s="46">
        <v>0</v>
      </c>
      <c r="AL255" s="46">
        <v>0</v>
      </c>
      <c r="AM255" s="47">
        <v>0</v>
      </c>
      <c r="AN255" s="46">
        <v>0</v>
      </c>
      <c r="AO255" s="46">
        <v>0</v>
      </c>
      <c r="AP255" s="47">
        <v>0</v>
      </c>
      <c r="AQ255" s="46">
        <v>0</v>
      </c>
      <c r="AR255" s="46">
        <v>0</v>
      </c>
      <c r="AS255" s="47">
        <v>0</v>
      </c>
      <c r="AT255" s="46">
        <v>0</v>
      </c>
      <c r="AU255" s="46">
        <v>0</v>
      </c>
      <c r="AV255" s="46">
        <v>0</v>
      </c>
      <c r="AW255" s="1545">
        <v>0</v>
      </c>
      <c r="AX255" s="10">
        <f t="shared" si="232"/>
        <v>20</v>
      </c>
      <c r="AY255" s="42">
        <f>IF(AND($E255=MONTH(Summary!$E$24),$D255=YEAR(Summary!$E$24)),Summary!$E$25,1)*IF(G255="",0,INT((H255-MOD(H255,7)-G255)/7)+1-IF(BA255,IF(WEEKDAY(F255)=7,1,0),0))</f>
        <v>5</v>
      </c>
      <c r="AZ255" s="42">
        <f>IF(AND($E255=MONTH(Summary!$E$24),$D255=YEAR(Summary!$E$24)),Summary!$E$25,1)*IF(G255="",0,INT((H255-MOD(H255-1,7)-G255)/7)+1-IF(BA255,IF(WEEKDAY(F255)=1,1,0),0))</f>
        <v>4</v>
      </c>
      <c r="BA255" s="42">
        <v>1</v>
      </c>
      <c r="BB255" s="10">
        <f>IF(AND($E255=MONTH(Summary!$E$24),$D255=YEAR(Summary!$E$24)),Summary!$E$25,1)*IF(G255="",0,H255-G255+1)</f>
        <v>30</v>
      </c>
      <c r="BC255" s="914">
        <f>Summary!$E$19</f>
        <v>1.4999999999999999E-2</v>
      </c>
      <c r="BD255" s="113">
        <v>14184</v>
      </c>
      <c r="BE255" s="171">
        <v>3546</v>
      </c>
      <c r="BF255" s="171">
        <v>3546</v>
      </c>
      <c r="BG255" s="174"/>
      <c r="BH255" s="1198">
        <v>1</v>
      </c>
      <c r="BI255" s="1198">
        <v>1</v>
      </c>
      <c r="BJ255" s="1198">
        <v>1</v>
      </c>
      <c r="BK255" s="1198">
        <v>1</v>
      </c>
      <c r="BL255" s="95">
        <v>2836.8</v>
      </c>
      <c r="BM255" s="171">
        <v>709.2</v>
      </c>
      <c r="BN255" s="171">
        <v>709.2</v>
      </c>
      <c r="BO255" s="174"/>
      <c r="BP255" s="1198">
        <v>1</v>
      </c>
      <c r="BQ255" s="1199">
        <v>1</v>
      </c>
      <c r="BR255" s="1199">
        <v>1</v>
      </c>
      <c r="BS255" s="1200">
        <v>1</v>
      </c>
      <c r="BT255" s="94">
        <f t="shared" si="209"/>
        <v>21276</v>
      </c>
      <c r="BU255" s="233">
        <f t="shared" si="210"/>
        <v>21276</v>
      </c>
      <c r="BV255" s="92">
        <f t="shared" si="211"/>
        <v>4255.2</v>
      </c>
      <c r="BW255" s="233">
        <f t="shared" si="212"/>
        <v>4255.2</v>
      </c>
      <c r="BX255" s="88">
        <v>19.879534565366189</v>
      </c>
      <c r="BY255" s="90">
        <v>0</v>
      </c>
      <c r="BZ255" s="88">
        <v>0</v>
      </c>
      <c r="CA255" s="88">
        <v>0</v>
      </c>
      <c r="CB255" s="88">
        <v>0</v>
      </c>
      <c r="CC255" s="88">
        <v>0</v>
      </c>
      <c r="CD255" s="88">
        <v>0</v>
      </c>
      <c r="CE255" s="100">
        <v>0</v>
      </c>
      <c r="CF255" s="88">
        <v>0</v>
      </c>
      <c r="CG255" s="88">
        <v>0</v>
      </c>
      <c r="CH255" s="88">
        <v>0</v>
      </c>
      <c r="CI255" s="88">
        <v>0</v>
      </c>
      <c r="CJ255" s="228">
        <v>0</v>
      </c>
      <c r="CK255" s="88">
        <v>0</v>
      </c>
      <c r="CL255" s="88">
        <v>0</v>
      </c>
      <c r="CM255" s="88">
        <v>0</v>
      </c>
      <c r="CN255" s="88">
        <v>0</v>
      </c>
      <c r="CO255" s="88">
        <v>0</v>
      </c>
      <c r="CP255" s="88">
        <v>0</v>
      </c>
      <c r="CQ255" s="229">
        <v>0</v>
      </c>
      <c r="CR255" s="91">
        <v>0</v>
      </c>
      <c r="CS255" s="91">
        <v>0</v>
      </c>
      <c r="CT255" s="91">
        <v>0</v>
      </c>
      <c r="CU255" s="91">
        <v>0</v>
      </c>
      <c r="CV255" s="91">
        <v>0</v>
      </c>
      <c r="CW255" s="91">
        <v>0</v>
      </c>
      <c r="CX255" s="225">
        <v>0</v>
      </c>
      <c r="CY255" s="1265">
        <v>7759.4551199999987</v>
      </c>
      <c r="CZ255" s="90">
        <v>0</v>
      </c>
      <c r="DA255" s="88">
        <v>0</v>
      </c>
      <c r="DB255" s="88">
        <v>0</v>
      </c>
      <c r="DC255" s="88">
        <v>0</v>
      </c>
      <c r="DD255" s="88">
        <v>0</v>
      </c>
      <c r="DE255" s="152">
        <v>0</v>
      </c>
      <c r="DF255" s="230">
        <v>0</v>
      </c>
      <c r="DG255" s="38">
        <v>0</v>
      </c>
      <c r="DH255" s="1237">
        <v>0</v>
      </c>
      <c r="DI255" s="956">
        <v>0</v>
      </c>
      <c r="DJ255" s="956">
        <v>0</v>
      </c>
      <c r="DK255" s="956">
        <v>0</v>
      </c>
      <c r="DL255" s="152">
        <v>0</v>
      </c>
      <c r="DM255" s="160">
        <v>0</v>
      </c>
      <c r="DN255" s="160">
        <v>0</v>
      </c>
      <c r="DO255" s="160">
        <v>0</v>
      </c>
      <c r="DP255" s="160">
        <v>0</v>
      </c>
      <c r="DQ255" s="160">
        <v>0</v>
      </c>
      <c r="DR255" s="230">
        <v>0</v>
      </c>
      <c r="DS255" s="88">
        <v>0</v>
      </c>
      <c r="DT255" s="88">
        <v>0</v>
      </c>
      <c r="DU255" s="88">
        <v>0</v>
      </c>
      <c r="DV255" s="88">
        <v>0</v>
      </c>
      <c r="DW255" s="88">
        <v>0</v>
      </c>
      <c r="DX255" s="88">
        <v>0</v>
      </c>
      <c r="DY255" s="88">
        <v>0</v>
      </c>
      <c r="DZ255" s="88">
        <v>0</v>
      </c>
      <c r="EA255" s="88">
        <v>0</v>
      </c>
      <c r="EB255" s="152">
        <v>0</v>
      </c>
      <c r="EC255" s="52">
        <f t="shared" si="213"/>
        <v>0</v>
      </c>
      <c r="ED255" s="52">
        <f t="shared" si="213"/>
        <v>0</v>
      </c>
      <c r="EE255" s="52">
        <f t="shared" si="213"/>
        <v>0</v>
      </c>
      <c r="EF255" s="52">
        <f t="shared" si="186"/>
        <v>0</v>
      </c>
      <c r="EG255" s="52">
        <f t="shared" si="214"/>
        <v>0</v>
      </c>
      <c r="EH255" s="238">
        <v>0</v>
      </c>
      <c r="EI255" s="211">
        <v>0</v>
      </c>
      <c r="EJ255" s="211">
        <v>0</v>
      </c>
      <c r="EK255" s="211">
        <v>0</v>
      </c>
      <c r="EL255" s="217">
        <f>IF(C255&gt;=Summary!$E$26,MAX(0,SUM(EH255:EK255)),0)</f>
        <v>0</v>
      </c>
      <c r="EM255" s="52">
        <f>IF(C255&gt;=Summary!$E$26,DX255*BL255,0)</f>
        <v>0</v>
      </c>
      <c r="EN255" s="52">
        <f>IF(C255&gt;=Summary!$E$26,DY255*BM255,0)</f>
        <v>0</v>
      </c>
      <c r="EO255" s="52">
        <f>IF(C255&gt;=Summary!$E$26,DZ255*BN255,0)</f>
        <v>0</v>
      </c>
      <c r="EP255" s="52">
        <f>IF(C255&gt;=Summary!$E$26,EA255*BO255,0)</f>
        <v>0</v>
      </c>
      <c r="EQ255" s="52">
        <f>IF(C255&gt;=Summary!$E$26,DX255*BL255+DY255*BM255+DZ255*BN255+EA255*BO255,0)</f>
        <v>0</v>
      </c>
      <c r="ER255" s="826">
        <v>0</v>
      </c>
      <c r="ES255" s="278">
        <v>0</v>
      </c>
      <c r="ET255" s="278">
        <v>0</v>
      </c>
      <c r="EU255" s="278">
        <v>0</v>
      </c>
      <c r="EV255" s="212">
        <f>IF(C255&gt;=Summary!$E$26,MAX(0,SUM(ER255:EU255)),0)</f>
        <v>0</v>
      </c>
      <c r="EW255" s="52"/>
      <c r="EX255" s="1049">
        <f t="shared" si="215"/>
        <v>0</v>
      </c>
      <c r="EY255" s="1045" t="str">
        <f t="shared" si="216"/>
        <v/>
      </c>
      <c r="EZ255" s="1684" t="s">
        <v>525</v>
      </c>
      <c r="FA255" s="1046">
        <f t="shared" si="229"/>
        <v>45</v>
      </c>
      <c r="FB255" s="256">
        <f t="shared" si="217"/>
        <v>8865</v>
      </c>
      <c r="FC255" s="194">
        <f t="shared" si="218"/>
        <v>2659.5</v>
      </c>
      <c r="FD255" s="194">
        <f t="shared" si="219"/>
        <v>2216.25</v>
      </c>
      <c r="FE255" s="194">
        <f t="shared" si="220"/>
        <v>664.875</v>
      </c>
      <c r="FF255" s="194">
        <f t="shared" si="221"/>
        <v>2216.25</v>
      </c>
      <c r="FG255" s="194">
        <f t="shared" si="222"/>
        <v>664.875</v>
      </c>
      <c r="FH255" s="257">
        <f>IF(EZ255="No",IF((OR(MONTH(C255)=5,MONTH(C255)=6,MONTH(C255)=7,MONTH(C255)=8,MONTH(C255)=9)),Summary!$O$15*12*(AX255+AY255+AZ255+BA255)*(1-$BC255),Summary!$O$15*13*(AX255+AY255+AZ255+BA255)*(1-$BC255)+IF(Summary!$O$16="Yes",(CALC!FA255+Summary!$O$15)*6*(AX255+AY255+AZ255+BA255)*(1-$BC255),0)),0)</f>
        <v>0</v>
      </c>
      <c r="FI255" s="1412">
        <f>IF(MONTH(C255)=5,FI254*(IF(Summary!$E$70="no",(1+(Summary!$E$71*0.8)),1+HLOOKUP(YEAR(C255)-1,CCFMODEL!$I$127:$AF$128,2)*0.8)),+FI254)</f>
        <v>42.748689366243212</v>
      </c>
      <c r="FJ255" s="1411">
        <f>IF(MONTH(C255)=5,FJ254*(IF(Summary!$E$70="no",(1+(Summary!$E$71*0.8)),1+HLOOKUP(YEAR(CALC!C255)-1,CCFMODEL!$I$127:$AF$128,2)*0.8)),FJ254)</f>
        <v>37.363027713803127</v>
      </c>
      <c r="FK255" s="832">
        <f t="shared" si="187"/>
        <v>738985.9059019048</v>
      </c>
      <c r="FL255" s="1412">
        <f>IF(MONTH(C255)=5,FL254*(IF(Summary!$E$70="no",(1+(Summary!$E$71*0.8)),1+HLOOKUP(YEAR(CALC!C255)-1,CCFMODEL!$I$127:$AF$128,2)*0.8)),+FL254)</f>
        <v>89.905286334929912</v>
      </c>
      <c r="FM255" s="1411">
        <f>IF(MONTH(C255)=5,FM254*(IF(Summary!$E$70="no",(1+(Summary!$E$71*0.8)),1+HLOOKUP(YEAR(CALC!C255)-1,CCFMODEL!$I$127:$AF$128,2)*0.8)),+FM254)</f>
        <v>42.908976915422976</v>
      </c>
      <c r="FN255" s="832">
        <f t="shared" si="188"/>
        <v>753052.54486567318</v>
      </c>
      <c r="FO255" s="194">
        <f t="shared" si="223"/>
        <v>1492038.4507675781</v>
      </c>
      <c r="FP255" s="263">
        <f t="shared" si="238"/>
        <v>8865</v>
      </c>
      <c r="FQ255" s="194">
        <f t="shared" si="238"/>
        <v>2659.5</v>
      </c>
      <c r="FR255" s="194">
        <f t="shared" si="238"/>
        <v>2216.25</v>
      </c>
      <c r="FS255" s="194">
        <f t="shared" si="238"/>
        <v>664.875</v>
      </c>
      <c r="FT255" s="194">
        <f t="shared" si="238"/>
        <v>2216.25</v>
      </c>
      <c r="FU255" s="194">
        <f t="shared" si="238"/>
        <v>664.875</v>
      </c>
      <c r="FV255" s="257">
        <f t="shared" si="238"/>
        <v>0</v>
      </c>
      <c r="FW255" s="189">
        <f t="shared" si="192"/>
        <v>0</v>
      </c>
      <c r="FX255" s="189">
        <f t="shared" si="193"/>
        <v>0</v>
      </c>
      <c r="FY255" s="189">
        <f t="shared" si="194"/>
        <v>0</v>
      </c>
      <c r="FZ255" s="258">
        <f t="shared" si="195"/>
        <v>0</v>
      </c>
      <c r="GA255" s="1294">
        <f>(SUM(FP255:FV255)+SUM(GU255:HB255)/(1-Summary!$O$25))*CY255/1000</f>
        <v>229062.60689720398</v>
      </c>
      <c r="GB255" s="1369">
        <f>IF($C255&lt;Summary!$M$81,+Summary!$O$81,VLOOKUP(C255,GasTable,19))</f>
        <v>4.386070868372518</v>
      </c>
      <c r="GC255" s="1370">
        <f>IF(H255&lt;=Summary!$N$84,MIN(GA255,Summary!$O$75*(H255-G255+1)),0)</f>
        <v>0</v>
      </c>
      <c r="GD255" s="1371">
        <f>IF(C255&lt;Summary!$N$84,IF(Summary!$O$75*(H255-G255+1)*0.8&gt;GC255,1,0),0)</f>
        <v>0</v>
      </c>
      <c r="GE255" s="1372">
        <v>0</v>
      </c>
      <c r="GF255" s="1370">
        <f t="shared" si="224"/>
        <v>229062.60689720398</v>
      </c>
      <c r="GG255" s="1371">
        <f>GF255*(IF(Summary!$O$74=1,VLOOKUP($C255,GasTable,16)+Summary!$O$92+Summary!$O$93,VLOOKUP($C255,GasTable,19)+Summary!$O$92+Summary!$O$93))</f>
        <v>1016618.9889646366</v>
      </c>
      <c r="GH255" s="1373">
        <v>6579.1063025587773</v>
      </c>
      <c r="GI255" s="1466">
        <v>0</v>
      </c>
      <c r="GJ255" s="1374">
        <f t="shared" si="225"/>
        <v>1023198.0952671954</v>
      </c>
      <c r="GK255" s="189">
        <f t="shared" si="196"/>
        <v>29092.270500000002</v>
      </c>
      <c r="GL255" s="266">
        <v>0.51988349303999992</v>
      </c>
      <c r="GM255" s="255">
        <f t="shared" si="197"/>
        <v>0</v>
      </c>
      <c r="GN255" s="189">
        <f>IF(SUM(GU255:HB255)=0,0,IF(Summary!$O$16="Yes",SUM(GX255:HB255),IF(Summary!$O$17="Yes",SUM(GY255:HB255),SUM(GU255:HB255))))</f>
        <v>11805.520500000001</v>
      </c>
      <c r="GO255" s="203">
        <v>4.1725124508968587</v>
      </c>
      <c r="GP255" s="258">
        <f t="shared" si="226"/>
        <v>49258.681275568109</v>
      </c>
      <c r="GQ255" s="189"/>
      <c r="GR255" s="189"/>
      <c r="GS255" s="189"/>
      <c r="GT255" s="189"/>
      <c r="GU255" s="268">
        <v>5132.835</v>
      </c>
      <c r="GV255" s="189">
        <v>1283.20875</v>
      </c>
      <c r="GW255" s="189">
        <v>1283.20875</v>
      </c>
      <c r="GX255" s="189"/>
      <c r="GY255" s="254">
        <v>2737.5120000000002</v>
      </c>
      <c r="GZ255" s="189">
        <v>684.37800000000004</v>
      </c>
      <c r="HA255" s="189">
        <v>684.37800000000004</v>
      </c>
      <c r="HB255" s="255"/>
      <c r="HC255" s="189">
        <v>11805.520500000001</v>
      </c>
      <c r="HD255" s="189"/>
      <c r="HE255" s="189">
        <v>20274.698250000001</v>
      </c>
      <c r="HF255" s="189">
        <v>732210.38936518459</v>
      </c>
      <c r="HG255" s="189"/>
      <c r="HH255" s="203">
        <v>61.657599447714524</v>
      </c>
      <c r="HI255" s="189">
        <v>1250089.2236217787</v>
      </c>
      <c r="HJ255" s="268">
        <f t="shared" si="198"/>
        <v>0</v>
      </c>
      <c r="HK255" s="189">
        <f t="shared" si="199"/>
        <v>0</v>
      </c>
      <c r="HL255" s="189">
        <f t="shared" si="200"/>
        <v>0</v>
      </c>
      <c r="HM255" s="255">
        <f t="shared" si="201"/>
        <v>0</v>
      </c>
      <c r="HN255" s="189">
        <f t="shared" si="202"/>
        <v>0</v>
      </c>
      <c r="HO255" s="203">
        <f t="shared" si="227"/>
        <v>0</v>
      </c>
      <c r="HP255" s="258">
        <f t="shared" si="203"/>
        <v>0</v>
      </c>
      <c r="HQ255" s="203" t="s">
        <v>1087</v>
      </c>
      <c r="HR255" s="268">
        <f t="shared" si="241"/>
        <v>601328.48624582402</v>
      </c>
      <c r="HS255" s="1408">
        <f>IF(HT255=0,IF(OR(SUMIF(CURVES!$AU$6:$AU$283,$HQ255,CURVES!$BQ$6:$BQ$283)=0,COUNTIF(CURVES!$AU$6:$AU$283,$HQ255)=0),0,SUMIF(CURVES!$AU$6:$AU$283,$HQ255,CURVES!$BQ$6:$BQ$283)/COUNTIF(CURVES!$AU$6:$AU$283,$HQ255)),HT255/HR255)</f>
        <v>3.6803420492472281</v>
      </c>
      <c r="HT255" s="255">
        <f t="shared" si="242"/>
        <v>2213094.5133406897</v>
      </c>
      <c r="HU255" s="268">
        <f t="shared" si="243"/>
        <v>0</v>
      </c>
      <c r="HV255" s="1408" t="e">
        <f>IF(HW255=0,0,HW255/Summary!$O$79/HU255)</f>
        <v>#DIV/0!</v>
      </c>
      <c r="HW255" s="255">
        <f t="shared" si="244"/>
        <v>16689.797167266552</v>
      </c>
      <c r="HX255" s="1408">
        <f>IF(OR(SUMIF(CURVES!$AU$6:$AU$283,$HQ255,CURVES!$BQ$6:$BQ$283)=0,COUNTIF(CURVES!$AU$6:$AU$283,$HQ255)=0),0,SUMIF(CURVES!$AU$6:$AU$283,$HQ255,CURVES!$BQ$6:$BQ$283)/COUNTIF(CURVES!$AU$6:$AU$283,$HQ255))</f>
        <v>4.0552897940447812</v>
      </c>
      <c r="HY255" s="1408">
        <f>IF(OR(SUMIF(CURVES!$AU$6:$AU$283,$HQ255,CURVES!$BR$6:$BR$283)=0,COUNTIF(CURVES!$AU$6:$AU$283,$HQ255)=0),0,SUMIF(CURVES!$AU$6:$AU$283,$HQ255,CURVES!$BR$6:$BR$283)/COUNTIF(CURVES!$AU$6:$AU$283,$HQ255))</f>
        <v>3.2493729189864893</v>
      </c>
      <c r="HZ255"/>
      <c r="IA255" s="203"/>
      <c r="IB255" s="203"/>
      <c r="IC255" s="203"/>
      <c r="ID255" s="203"/>
      <c r="IE255" s="203"/>
      <c r="IF255" s="203"/>
      <c r="IG255" s="203"/>
      <c r="IH255" s="203"/>
      <c r="II255" s="203"/>
      <c r="IJ255" s="203"/>
      <c r="IK255" s="203"/>
      <c r="IL255" s="821"/>
      <c r="IM255" s="820"/>
      <c r="IN255" s="820"/>
      <c r="IR255" s="223"/>
    </row>
    <row r="256" spans="1:252" ht="13.8" thickBot="1">
      <c r="A256" t="str">
        <f t="shared" si="204"/>
        <v>2019Q4</v>
      </c>
      <c r="B256">
        <f t="shared" si="205"/>
        <v>2019</v>
      </c>
      <c r="C256" s="49">
        <f t="shared" si="206"/>
        <v>43800</v>
      </c>
      <c r="D256" s="115">
        <f t="shared" si="207"/>
        <v>2019</v>
      </c>
      <c r="E256" s="10">
        <f t="shared" si="230"/>
        <v>12</v>
      </c>
      <c r="F256" s="248">
        <f t="shared" si="231"/>
        <v>43824</v>
      </c>
      <c r="G256" s="245">
        <v>43800</v>
      </c>
      <c r="H256" s="251">
        <v>43830</v>
      </c>
      <c r="I256" s="959">
        <f t="shared" si="228"/>
        <v>7.1499999999999994E-2</v>
      </c>
      <c r="J256" s="37">
        <f t="shared" si="208"/>
        <v>0.24366614184706015</v>
      </c>
      <c r="K256" s="1036"/>
      <c r="L256" s="37"/>
      <c r="M256" s="1004">
        <v>0</v>
      </c>
      <c r="N256" s="38">
        <f t="shared" si="239"/>
        <v>0</v>
      </c>
      <c r="O256" s="40">
        <f t="shared" si="239"/>
        <v>0</v>
      </c>
      <c r="P256" s="159">
        <f t="shared" si="234"/>
        <v>0</v>
      </c>
      <c r="Q256" s="38">
        <f t="shared" si="240"/>
        <v>0</v>
      </c>
      <c r="R256" s="40">
        <f t="shared" si="240"/>
        <v>0</v>
      </c>
      <c r="S256" s="38">
        <f t="shared" si="240"/>
        <v>0</v>
      </c>
      <c r="T256" s="38">
        <f t="shared" si="240"/>
        <v>0</v>
      </c>
      <c r="U256" s="38">
        <f t="shared" si="240"/>
        <v>0</v>
      </c>
      <c r="V256" s="159">
        <f t="shared" si="240"/>
        <v>0</v>
      </c>
      <c r="W256" s="38">
        <f t="shared" si="240"/>
        <v>0</v>
      </c>
      <c r="X256" s="39">
        <f t="shared" si="240"/>
        <v>0</v>
      </c>
      <c r="Y256" s="46">
        <v>0</v>
      </c>
      <c r="Z256" s="46">
        <v>0</v>
      </c>
      <c r="AA256" s="47">
        <v>0</v>
      </c>
      <c r="AB256" s="46">
        <v>0</v>
      </c>
      <c r="AC256" s="46">
        <v>0</v>
      </c>
      <c r="AD256" s="47">
        <v>0</v>
      </c>
      <c r="AE256" s="46">
        <v>0</v>
      </c>
      <c r="AF256" s="46">
        <v>0</v>
      </c>
      <c r="AG256" s="47">
        <v>0</v>
      </c>
      <c r="AH256" s="46">
        <v>0</v>
      </c>
      <c r="AI256" s="46">
        <v>0</v>
      </c>
      <c r="AJ256" s="47">
        <v>0</v>
      </c>
      <c r="AK256" s="46">
        <v>0</v>
      </c>
      <c r="AL256" s="46">
        <v>0</v>
      </c>
      <c r="AM256" s="47">
        <v>0</v>
      </c>
      <c r="AN256" s="46">
        <v>0</v>
      </c>
      <c r="AO256" s="46">
        <v>0</v>
      </c>
      <c r="AP256" s="47">
        <v>0</v>
      </c>
      <c r="AQ256" s="46">
        <v>0</v>
      </c>
      <c r="AR256" s="46">
        <v>0</v>
      </c>
      <c r="AS256" s="47">
        <v>0</v>
      </c>
      <c r="AT256" s="46">
        <v>0</v>
      </c>
      <c r="AU256" s="46">
        <v>0</v>
      </c>
      <c r="AV256" s="46">
        <v>0</v>
      </c>
      <c r="AW256" s="1545">
        <v>0</v>
      </c>
      <c r="AX256" s="10">
        <f t="shared" si="232"/>
        <v>21</v>
      </c>
      <c r="AY256" s="42">
        <f>IF(AND($E256=MONTH(Summary!$E$24),$D256=YEAR(Summary!$E$24)),Summary!$E$25,1)*IF(G256="",0,INT((H256-MOD(H256,7)-G256)/7)+1-IF(BA256,IF(WEEKDAY(F256)=7,1,0),0))</f>
        <v>4</v>
      </c>
      <c r="AZ256" s="42">
        <f>IF(AND($E256=MONTH(Summary!$E$24),$D256=YEAR(Summary!$E$24)),Summary!$E$25,1)*IF(G256="",0,INT((H256-MOD(H256-1,7)-G256)/7)+1-IF(BA256,IF(WEEKDAY(F256)=1,1,0),0))</f>
        <v>5</v>
      </c>
      <c r="BA256" s="42">
        <v>1</v>
      </c>
      <c r="BB256" s="10">
        <f>IF(AND($E256=MONTH(Summary!$E$24),$D256=YEAR(Summary!$E$24)),Summary!$E$25,1)*IF(G256="",0,H256-G256+1)</f>
        <v>31</v>
      </c>
      <c r="BC256" s="914">
        <f>Summary!$E$19</f>
        <v>1.4999999999999999E-2</v>
      </c>
      <c r="BD256" s="113">
        <v>14893.2</v>
      </c>
      <c r="BE256" s="171">
        <v>2836.8</v>
      </c>
      <c r="BF256" s="171">
        <v>4255.2</v>
      </c>
      <c r="BG256" s="174"/>
      <c r="BH256" s="1198">
        <v>1</v>
      </c>
      <c r="BI256" s="1198">
        <v>1</v>
      </c>
      <c r="BJ256" s="1198">
        <v>1</v>
      </c>
      <c r="BK256" s="1198">
        <v>1</v>
      </c>
      <c r="BL256" s="95">
        <v>2978.64</v>
      </c>
      <c r="BM256" s="171">
        <v>567.36</v>
      </c>
      <c r="BN256" s="171">
        <v>851.04</v>
      </c>
      <c r="BO256" s="174"/>
      <c r="BP256" s="1198">
        <v>1</v>
      </c>
      <c r="BQ256" s="1199">
        <v>1</v>
      </c>
      <c r="BR256" s="1199">
        <v>1</v>
      </c>
      <c r="BS256" s="1200">
        <v>1</v>
      </c>
      <c r="BT256" s="94">
        <f t="shared" si="209"/>
        <v>21985.200000000001</v>
      </c>
      <c r="BU256" s="233">
        <f t="shared" si="210"/>
        <v>21985.200000000001</v>
      </c>
      <c r="BV256" s="92">
        <f t="shared" si="211"/>
        <v>4397.04</v>
      </c>
      <c r="BW256" s="233">
        <f t="shared" si="212"/>
        <v>4397.04</v>
      </c>
      <c r="BX256" s="88">
        <v>19.961670088980149</v>
      </c>
      <c r="BY256" s="90">
        <v>0</v>
      </c>
      <c r="BZ256" s="88">
        <v>0</v>
      </c>
      <c r="CA256" s="88">
        <v>0</v>
      </c>
      <c r="CB256" s="88">
        <v>0</v>
      </c>
      <c r="CC256" s="88">
        <v>0</v>
      </c>
      <c r="CD256" s="88">
        <v>0</v>
      </c>
      <c r="CE256" s="100">
        <v>0</v>
      </c>
      <c r="CF256" s="88">
        <v>0</v>
      </c>
      <c r="CG256" s="88">
        <v>0</v>
      </c>
      <c r="CH256" s="88">
        <v>0</v>
      </c>
      <c r="CI256" s="88">
        <v>0</v>
      </c>
      <c r="CJ256" s="228">
        <v>0</v>
      </c>
      <c r="CK256" s="88">
        <v>0</v>
      </c>
      <c r="CL256" s="88">
        <v>0</v>
      </c>
      <c r="CM256" s="88">
        <v>0</v>
      </c>
      <c r="CN256" s="88">
        <v>0</v>
      </c>
      <c r="CO256" s="88">
        <v>0</v>
      </c>
      <c r="CP256" s="88">
        <v>0</v>
      </c>
      <c r="CQ256" s="229">
        <v>0</v>
      </c>
      <c r="CR256" s="91">
        <v>0</v>
      </c>
      <c r="CS256" s="91">
        <v>0</v>
      </c>
      <c r="CT256" s="91">
        <v>0</v>
      </c>
      <c r="CU256" s="91">
        <v>0</v>
      </c>
      <c r="CV256" s="91">
        <v>0</v>
      </c>
      <c r="CW256" s="91">
        <v>0</v>
      </c>
      <c r="CX256" s="225">
        <v>0</v>
      </c>
      <c r="CY256" s="1265">
        <v>7761.4860800000006</v>
      </c>
      <c r="CZ256" s="90">
        <v>0</v>
      </c>
      <c r="DA256" s="88">
        <v>0</v>
      </c>
      <c r="DB256" s="88">
        <v>0</v>
      </c>
      <c r="DC256" s="88">
        <v>0</v>
      </c>
      <c r="DD256" s="88">
        <v>0</v>
      </c>
      <c r="DE256" s="152">
        <v>0</v>
      </c>
      <c r="DF256" s="230">
        <v>0</v>
      </c>
      <c r="DG256" s="38">
        <v>0</v>
      </c>
      <c r="DH256" s="1237">
        <v>0</v>
      </c>
      <c r="DI256" s="956">
        <v>0</v>
      </c>
      <c r="DJ256" s="956">
        <v>0</v>
      </c>
      <c r="DK256" s="956">
        <v>0</v>
      </c>
      <c r="DL256" s="152">
        <v>0</v>
      </c>
      <c r="DM256" s="160">
        <v>0</v>
      </c>
      <c r="DN256" s="160">
        <v>0</v>
      </c>
      <c r="DO256" s="160">
        <v>0</v>
      </c>
      <c r="DP256" s="160">
        <v>0</v>
      </c>
      <c r="DQ256" s="160">
        <v>0</v>
      </c>
      <c r="DR256" s="230">
        <v>0</v>
      </c>
      <c r="DS256" s="88">
        <v>0</v>
      </c>
      <c r="DT256" s="88">
        <v>0</v>
      </c>
      <c r="DU256" s="88">
        <v>0</v>
      </c>
      <c r="DV256" s="88">
        <v>0</v>
      </c>
      <c r="DW256" s="88">
        <v>0</v>
      </c>
      <c r="DX256" s="88">
        <v>0</v>
      </c>
      <c r="DY256" s="88">
        <v>0</v>
      </c>
      <c r="DZ256" s="88">
        <v>0</v>
      </c>
      <c r="EA256" s="88">
        <v>0</v>
      </c>
      <c r="EB256" s="152">
        <v>0</v>
      </c>
      <c r="EC256" s="52">
        <f t="shared" si="213"/>
        <v>0</v>
      </c>
      <c r="ED256" s="52">
        <f t="shared" si="213"/>
        <v>0</v>
      </c>
      <c r="EE256" s="52">
        <f t="shared" si="213"/>
        <v>0</v>
      </c>
      <c r="EF256" s="52">
        <f t="shared" si="186"/>
        <v>0</v>
      </c>
      <c r="EG256" s="52">
        <f t="shared" si="214"/>
        <v>0</v>
      </c>
      <c r="EH256" s="238">
        <v>0</v>
      </c>
      <c r="EI256" s="211">
        <v>0</v>
      </c>
      <c r="EJ256" s="211">
        <v>0</v>
      </c>
      <c r="EK256" s="211">
        <v>0</v>
      </c>
      <c r="EL256" s="217">
        <f>IF(C256&gt;=Summary!$E$26,MAX(0,SUM(EH256:EK256)),0)</f>
        <v>0</v>
      </c>
      <c r="EM256" s="52">
        <f>IF(C256&gt;=Summary!$E$26,DX256*BL256,0)</f>
        <v>0</v>
      </c>
      <c r="EN256" s="52">
        <f>IF(C256&gt;=Summary!$E$26,DY256*BM256,0)</f>
        <v>0</v>
      </c>
      <c r="EO256" s="52">
        <f>IF(C256&gt;=Summary!$E$26,DZ256*BN256,0)</f>
        <v>0</v>
      </c>
      <c r="EP256" s="52">
        <f>IF(C256&gt;=Summary!$E$26,EA256*BO256,0)</f>
        <v>0</v>
      </c>
      <c r="EQ256" s="52">
        <f>IF(C256&gt;=Summary!$E$26,DX256*BL256+DY256*BM256+DZ256*BN256+EA256*BO256,0)</f>
        <v>0</v>
      </c>
      <c r="ER256" s="826">
        <v>0</v>
      </c>
      <c r="ES256" s="278">
        <v>0</v>
      </c>
      <c r="ET256" s="278">
        <v>0</v>
      </c>
      <c r="EU256" s="278">
        <v>0</v>
      </c>
      <c r="EV256" s="212">
        <f>IF(C256&gt;=Summary!$E$26,MAX(0,SUM(ER256:EU256)),0)</f>
        <v>0</v>
      </c>
      <c r="EW256" s="52"/>
      <c r="EX256" s="1049">
        <f t="shared" si="215"/>
        <v>0</v>
      </c>
      <c r="EY256" s="1045" t="str">
        <f t="shared" si="216"/>
        <v/>
      </c>
      <c r="EZ256" s="1684" t="s">
        <v>525</v>
      </c>
      <c r="FA256" s="1046">
        <f t="shared" si="229"/>
        <v>45</v>
      </c>
      <c r="FB256" s="256">
        <f t="shared" si="217"/>
        <v>9308.25</v>
      </c>
      <c r="FC256" s="194">
        <f t="shared" si="218"/>
        <v>2792.4749999999999</v>
      </c>
      <c r="FD256" s="194">
        <f t="shared" si="219"/>
        <v>1773</v>
      </c>
      <c r="FE256" s="194">
        <f t="shared" si="220"/>
        <v>531.9</v>
      </c>
      <c r="FF256" s="194">
        <f t="shared" si="221"/>
        <v>2659.5</v>
      </c>
      <c r="FG256" s="194">
        <f t="shared" si="222"/>
        <v>797.85</v>
      </c>
      <c r="FH256" s="257">
        <f>IF(EZ256="No",IF((OR(MONTH(C256)=5,MONTH(C256)=6,MONTH(C256)=7,MONTH(C256)=8,MONTH(C256)=9)),Summary!$O$15*12*(AX256+AY256+AZ256+BA256)*(1-$BC256),Summary!$O$15*13*(AX256+AY256+AZ256+BA256)*(1-$BC256)+IF(Summary!$O$16="Yes",(CALC!FA256+Summary!$O$15)*6*(AX256+AY256+AZ256+BA256)*(1-$BC256),0)),0)</f>
        <v>0</v>
      </c>
      <c r="FI256" s="1412">
        <f>IF(MONTH(C256)=5,FI255*(IF(Summary!$E$70="no",(1+(Summary!$E$71*0.8)),1+HLOOKUP(YEAR(C256)-1,CCFMODEL!$I$127:$AF$128,2)*0.8)),+FI255)</f>
        <v>42.748689366243212</v>
      </c>
      <c r="FJ256" s="1411">
        <f>IF(MONTH(C256)=5,FJ255*(IF(Summary!$E$70="no",(1+(Summary!$E$71*0.8)),1+HLOOKUP(YEAR(CALC!C256)-1,CCFMODEL!$I$127:$AF$128,2)*0.8)),FJ255)</f>
        <v>37.363027713803127</v>
      </c>
      <c r="FK256" s="832">
        <f t="shared" si="187"/>
        <v>763618.76943196834</v>
      </c>
      <c r="FL256" s="1412">
        <f>IF(MONTH(C256)=5,FL255*(IF(Summary!$E$70="no",(1+(Summary!$E$71*0.8)),1+HLOOKUP(YEAR(CALC!C256)-1,CCFMODEL!$I$127:$AF$128,2)*0.8)),+FL255)</f>
        <v>89.905286334929912</v>
      </c>
      <c r="FM256" s="1411">
        <f>IF(MONTH(C256)=5,FM255*(IF(Summary!$E$70="no",(1+(Summary!$E$71*0.8)),1+HLOOKUP(YEAR(CALC!C256)-1,CCFMODEL!$I$127:$AF$128,2)*0.8)),+FM255)</f>
        <v>42.908976915422976</v>
      </c>
      <c r="FN256" s="832">
        <f t="shared" si="188"/>
        <v>778154.29636119562</v>
      </c>
      <c r="FO256" s="194">
        <f t="shared" si="223"/>
        <v>1541773.0657931641</v>
      </c>
      <c r="FP256" s="263">
        <f t="shared" si="238"/>
        <v>9308.25</v>
      </c>
      <c r="FQ256" s="194">
        <f t="shared" si="238"/>
        <v>2792.4749999999999</v>
      </c>
      <c r="FR256" s="194">
        <f t="shared" si="238"/>
        <v>1773</v>
      </c>
      <c r="FS256" s="194">
        <f t="shared" si="238"/>
        <v>531.9</v>
      </c>
      <c r="FT256" s="194">
        <f t="shared" si="238"/>
        <v>2659.5</v>
      </c>
      <c r="FU256" s="194">
        <f t="shared" si="238"/>
        <v>797.85</v>
      </c>
      <c r="FV256" s="257">
        <f t="shared" si="238"/>
        <v>0</v>
      </c>
      <c r="FW256" s="189">
        <f t="shared" si="192"/>
        <v>0</v>
      </c>
      <c r="FX256" s="189">
        <f t="shared" si="193"/>
        <v>0</v>
      </c>
      <c r="FY256" s="189">
        <f t="shared" si="194"/>
        <v>0</v>
      </c>
      <c r="FZ256" s="258">
        <f t="shared" si="195"/>
        <v>0</v>
      </c>
      <c r="GA256" s="1294">
        <f>(SUM(FP256:FV256)+SUM(GU256:HB256)/(1-Summary!$O$25))*CY256/1000</f>
        <v>236759.9804753472</v>
      </c>
      <c r="GB256" s="1369">
        <f>IF($C256&lt;Summary!$M$81,+Summary!$O$81,VLOOKUP(C256,GasTable,19))</f>
        <v>4.5726328370063527</v>
      </c>
      <c r="GC256" s="1370">
        <f>IF(H256&lt;=Summary!$N$84,MIN(GA256,Summary!$O$75*(H256-G256+1)),0)</f>
        <v>0</v>
      </c>
      <c r="GD256" s="1371">
        <f>IF(C256&lt;Summary!$N$84,IF(Summary!$O$75*(H256-G256+1)*0.8&gt;GC256,1,0),0)</f>
        <v>0</v>
      </c>
      <c r="GE256" s="1372">
        <v>0</v>
      </c>
      <c r="GF256" s="1370">
        <f t="shared" si="224"/>
        <v>236759.9804753472</v>
      </c>
      <c r="GG256" s="1371">
        <f>GF256*(IF(Summary!$O$74=1,VLOOKUP($C256,GasTable,16)+Summary!$O$92+Summary!$O$93,VLOOKUP($C256,GasTable,19)+Summary!$O$92+Summary!$O$93))</f>
        <v>1094951.6561933211</v>
      </c>
      <c r="GH256" s="1373">
        <v>7087.5808973598469</v>
      </c>
      <c r="GI256" s="1466">
        <v>0</v>
      </c>
      <c r="GJ256" s="1374">
        <f t="shared" si="225"/>
        <v>1102039.237090681</v>
      </c>
      <c r="GK256" s="189">
        <f t="shared" si="196"/>
        <v>30062.012849999999</v>
      </c>
      <c r="GL256" s="266">
        <v>0.5200195673600001</v>
      </c>
      <c r="GM256" s="255">
        <f t="shared" si="197"/>
        <v>0</v>
      </c>
      <c r="GN256" s="189">
        <f>IF(SUM(GU256:HB256)=0,0,IF(Summary!$O$16="Yes",SUM(GX256:HB256),IF(Summary!$O$17="Yes",SUM(GY256:HB256),SUM(GU256:HB256))))</f>
        <v>12199.037849999999</v>
      </c>
      <c r="GO256" s="203">
        <v>4.1725124508968587</v>
      </c>
      <c r="GP256" s="258">
        <f t="shared" si="226"/>
        <v>50900.637318087043</v>
      </c>
      <c r="GQ256" s="189"/>
      <c r="GR256" s="189"/>
      <c r="GS256" s="189"/>
      <c r="GT256" s="189"/>
      <c r="GU256" s="268">
        <v>5389.4767500000007</v>
      </c>
      <c r="GV256" s="189">
        <v>1026.5670000000002</v>
      </c>
      <c r="GW256" s="189">
        <v>1539.8504999999998</v>
      </c>
      <c r="GX256" s="189"/>
      <c r="GY256" s="254">
        <v>2874.3875999999996</v>
      </c>
      <c r="GZ256" s="189">
        <v>547.50239999999997</v>
      </c>
      <c r="HA256" s="189">
        <v>821.25359999999989</v>
      </c>
      <c r="HB256" s="255"/>
      <c r="HC256" s="189">
        <v>12199.037849999999</v>
      </c>
      <c r="HD256" s="189"/>
      <c r="HE256" s="189">
        <v>20950.521524999996</v>
      </c>
      <c r="HF256" s="189">
        <v>741955.06970024516</v>
      </c>
      <c r="HG256" s="189"/>
      <c r="HH256" s="203">
        <v>60.428324114710257</v>
      </c>
      <c r="HI256" s="189">
        <v>1266004.9050849136</v>
      </c>
      <c r="HJ256" s="268">
        <f t="shared" si="198"/>
        <v>0</v>
      </c>
      <c r="HK256" s="189">
        <f t="shared" si="199"/>
        <v>0</v>
      </c>
      <c r="HL256" s="189">
        <f t="shared" si="200"/>
        <v>0</v>
      </c>
      <c r="HM256" s="255">
        <f t="shared" si="201"/>
        <v>0</v>
      </c>
      <c r="HN256" s="189">
        <f t="shared" si="202"/>
        <v>0</v>
      </c>
      <c r="HO256" s="203">
        <f t="shared" si="227"/>
        <v>0</v>
      </c>
      <c r="HP256" s="258">
        <f t="shared" si="203"/>
        <v>0</v>
      </c>
      <c r="HQ256" s="203" t="s">
        <v>1088</v>
      </c>
      <c r="HR256" s="268">
        <f t="shared" si="241"/>
        <v>695839.64536565286</v>
      </c>
      <c r="HS256" s="1408">
        <f>IF(HT256=0,IF(OR(SUMIF(CURVES!$AU$6:$AU$283,$HQ256,CURVES!$BQ$6:$BQ$283)=0,COUNTIF(CURVES!$AU$6:$AU$283,$HQ256)=0),0,SUMIF(CURVES!$AU$6:$AU$283,$HQ256,CURVES!$BQ$6:$BQ$283)/COUNTIF(CURVES!$AU$6:$AU$283,$HQ256)),HT256/HR256)</f>
        <v>4.1669984261530111</v>
      </c>
      <c r="HT256" s="255">
        <f t="shared" si="242"/>
        <v>2899562.7070935448</v>
      </c>
      <c r="HU256" s="268">
        <f t="shared" si="243"/>
        <v>0</v>
      </c>
      <c r="HV256" s="1408" t="e">
        <f>IF(HW256=0,0,HW256/Summary!$O$79/HU256)</f>
        <v>#DIV/0!</v>
      </c>
      <c r="HW256" s="255">
        <f t="shared" si="244"/>
        <v>18928.393321898886</v>
      </c>
      <c r="HX256" s="1408">
        <f>IF(OR(SUMIF(CURVES!$AU$6:$AU$283,$HQ256,CURVES!$BQ$6:$BQ$283)=0,COUNTIF(CURVES!$AU$6:$AU$283,$HQ256)=0),0,SUMIF(CURVES!$AU$6:$AU$283,$HQ256,CURVES!$BQ$6:$BQ$283)/COUNTIF(CURVES!$AU$6:$AU$283,$HQ256))</f>
        <v>4.5368507003354166</v>
      </c>
      <c r="HY256" s="1408">
        <f>IF(OR(SUMIF(CURVES!$AU$6:$AU$283,$HQ256,CURVES!$BR$6:$BR$283)=0,COUNTIF(CURVES!$AU$6:$AU$283,$HQ256)=0),0,SUMIF(CURVES!$AU$6:$AU$283,$HQ256,CURVES!$BR$6:$BR$283)/COUNTIF(CURVES!$AU$6:$AU$283,$HQ256))</f>
        <v>3.5169955769805017</v>
      </c>
      <c r="HZ256"/>
      <c r="IA256" s="203"/>
      <c r="IB256" s="203"/>
      <c r="IC256" s="203"/>
      <c r="ID256" s="203"/>
      <c r="IE256" s="203"/>
      <c r="IF256" s="203"/>
      <c r="IG256" s="203"/>
      <c r="IH256" s="203"/>
      <c r="II256" s="203"/>
      <c r="IJ256" s="203"/>
      <c r="IK256" s="203"/>
      <c r="IL256" s="821"/>
      <c r="IM256" s="820"/>
      <c r="IN256" s="820"/>
      <c r="IR256" s="223"/>
    </row>
    <row r="257" spans="1:252" ht="13.8" thickBot="1">
      <c r="A257" t="str">
        <f t="shared" si="204"/>
        <v>2020Q1</v>
      </c>
      <c r="B257">
        <f t="shared" si="205"/>
        <v>2020</v>
      </c>
      <c r="C257" s="49">
        <f t="shared" si="206"/>
        <v>43831</v>
      </c>
      <c r="D257" s="115">
        <f t="shared" si="207"/>
        <v>2020</v>
      </c>
      <c r="E257" s="10">
        <f t="shared" si="230"/>
        <v>1</v>
      </c>
      <c r="F257" s="248">
        <f t="shared" si="231"/>
        <v>43831</v>
      </c>
      <c r="G257" s="245">
        <v>43831</v>
      </c>
      <c r="H257" s="251">
        <v>43861</v>
      </c>
      <c r="I257" s="959">
        <f t="shared" si="228"/>
        <v>7.1499999999999994E-2</v>
      </c>
      <c r="J257" s="37">
        <f t="shared" si="208"/>
        <v>0.24221760747398557</v>
      </c>
      <c r="K257" s="1036"/>
      <c r="L257" s="37"/>
      <c r="M257" s="1004">
        <v>0</v>
      </c>
      <c r="N257" s="38">
        <f t="shared" si="239"/>
        <v>0</v>
      </c>
      <c r="O257" s="40">
        <f t="shared" si="239"/>
        <v>0</v>
      </c>
      <c r="P257" s="159">
        <f t="shared" si="234"/>
        <v>0</v>
      </c>
      <c r="Q257" s="38">
        <f t="shared" si="240"/>
        <v>0</v>
      </c>
      <c r="R257" s="40">
        <f t="shared" si="240"/>
        <v>0</v>
      </c>
      <c r="S257" s="38">
        <f t="shared" si="240"/>
        <v>0</v>
      </c>
      <c r="T257" s="38">
        <f t="shared" si="240"/>
        <v>0</v>
      </c>
      <c r="U257" s="38">
        <f t="shared" si="240"/>
        <v>0</v>
      </c>
      <c r="V257" s="159">
        <f t="shared" si="240"/>
        <v>0</v>
      </c>
      <c r="W257" s="38">
        <f t="shared" si="240"/>
        <v>0</v>
      </c>
      <c r="X257" s="39">
        <f t="shared" si="240"/>
        <v>0</v>
      </c>
      <c r="Y257" s="46">
        <v>0</v>
      </c>
      <c r="Z257" s="46">
        <v>0</v>
      </c>
      <c r="AA257" s="47">
        <v>0</v>
      </c>
      <c r="AB257" s="46">
        <v>0</v>
      </c>
      <c r="AC257" s="46">
        <v>0</v>
      </c>
      <c r="AD257" s="47">
        <v>0</v>
      </c>
      <c r="AE257" s="46">
        <v>0</v>
      </c>
      <c r="AF257" s="46">
        <v>0</v>
      </c>
      <c r="AG257" s="47">
        <v>0</v>
      </c>
      <c r="AH257" s="46">
        <v>0</v>
      </c>
      <c r="AI257" s="46">
        <v>0</v>
      </c>
      <c r="AJ257" s="47">
        <v>0</v>
      </c>
      <c r="AK257" s="46">
        <v>0</v>
      </c>
      <c r="AL257" s="46">
        <v>0</v>
      </c>
      <c r="AM257" s="47">
        <v>0</v>
      </c>
      <c r="AN257" s="46">
        <v>0</v>
      </c>
      <c r="AO257" s="46">
        <v>0</v>
      </c>
      <c r="AP257" s="47">
        <v>0</v>
      </c>
      <c r="AQ257" s="46">
        <v>0</v>
      </c>
      <c r="AR257" s="46">
        <v>0</v>
      </c>
      <c r="AS257" s="47">
        <v>0</v>
      </c>
      <c r="AT257" s="46">
        <v>0</v>
      </c>
      <c r="AU257" s="46">
        <v>0</v>
      </c>
      <c r="AV257" s="46">
        <v>0</v>
      </c>
      <c r="AW257" s="1545">
        <v>0</v>
      </c>
      <c r="AX257" s="10">
        <f t="shared" si="232"/>
        <v>22</v>
      </c>
      <c r="AY257" s="42">
        <f>IF(AND($E257=MONTH(Summary!$E$24),$D257=YEAR(Summary!$E$24)),Summary!$E$25,1)*IF(G257="",0,INT((H257-MOD(H257,7)-G257)/7)+1-IF(BA257,IF(WEEKDAY(F257)=7,1,0),0))</f>
        <v>4</v>
      </c>
      <c r="AZ257" s="42">
        <f>IF(AND($E257=MONTH(Summary!$E$24),$D257=YEAR(Summary!$E$24)),Summary!$E$25,1)*IF(G257="",0,INT((H257-MOD(H257-1,7)-G257)/7)+1-IF(BA257,IF(WEEKDAY(F257)=1,1,0),0))</f>
        <v>4</v>
      </c>
      <c r="BA257" s="42">
        <v>1</v>
      </c>
      <c r="BB257" s="10">
        <f>IF(AND($E257=MONTH(Summary!$E$24),$D257=YEAR(Summary!$E$24)),Summary!$E$25,1)*IF(G257="",0,H257-G257+1)</f>
        <v>31</v>
      </c>
      <c r="BC257" s="914">
        <f>Summary!$E$19</f>
        <v>1.4999999999999999E-2</v>
      </c>
      <c r="BD257" s="113">
        <v>15602.4</v>
      </c>
      <c r="BE257" s="171">
        <v>2836.8</v>
      </c>
      <c r="BF257" s="171">
        <v>3546</v>
      </c>
      <c r="BG257" s="174"/>
      <c r="BH257" s="1198">
        <v>1</v>
      </c>
      <c r="BI257" s="1198">
        <v>1</v>
      </c>
      <c r="BJ257" s="1198">
        <v>1</v>
      </c>
      <c r="BK257" s="1198">
        <v>1</v>
      </c>
      <c r="BL257" s="95">
        <v>3120.48</v>
      </c>
      <c r="BM257" s="171">
        <v>567.36</v>
      </c>
      <c r="BN257" s="171">
        <v>709.2</v>
      </c>
      <c r="BO257" s="174"/>
      <c r="BP257" s="1198">
        <v>1</v>
      </c>
      <c r="BQ257" s="1199">
        <v>1</v>
      </c>
      <c r="BR257" s="1199">
        <v>1</v>
      </c>
      <c r="BS257" s="1200">
        <v>1</v>
      </c>
      <c r="BT257" s="94">
        <f t="shared" si="209"/>
        <v>21985.200000000001</v>
      </c>
      <c r="BU257" s="233">
        <f t="shared" si="210"/>
        <v>21985.200000000001</v>
      </c>
      <c r="BV257" s="92">
        <f t="shared" si="211"/>
        <v>4397.04</v>
      </c>
      <c r="BW257" s="233">
        <f t="shared" si="212"/>
        <v>4397.04</v>
      </c>
      <c r="BX257" s="88">
        <v>20.046543463381244</v>
      </c>
      <c r="BY257" s="90">
        <v>0</v>
      </c>
      <c r="BZ257" s="88">
        <v>0</v>
      </c>
      <c r="CA257" s="88">
        <v>0</v>
      </c>
      <c r="CB257" s="88">
        <v>0</v>
      </c>
      <c r="CC257" s="88">
        <v>0</v>
      </c>
      <c r="CD257" s="88">
        <v>0</v>
      </c>
      <c r="CE257" s="100">
        <v>0</v>
      </c>
      <c r="CF257" s="88">
        <v>0</v>
      </c>
      <c r="CG257" s="88">
        <v>0</v>
      </c>
      <c r="CH257" s="88">
        <v>0</v>
      </c>
      <c r="CI257" s="88">
        <v>0</v>
      </c>
      <c r="CJ257" s="228">
        <v>0</v>
      </c>
      <c r="CK257" s="88">
        <v>0</v>
      </c>
      <c r="CL257" s="88">
        <v>0</v>
      </c>
      <c r="CM257" s="88">
        <v>0</v>
      </c>
      <c r="CN257" s="88">
        <v>0</v>
      </c>
      <c r="CO257" s="88">
        <v>0</v>
      </c>
      <c r="CP257" s="88">
        <v>0</v>
      </c>
      <c r="CQ257" s="229">
        <v>0</v>
      </c>
      <c r="CR257" s="91">
        <v>0</v>
      </c>
      <c r="CS257" s="91">
        <v>0</v>
      </c>
      <c r="CT257" s="91">
        <v>0</v>
      </c>
      <c r="CU257" s="91">
        <v>0</v>
      </c>
      <c r="CV257" s="91">
        <v>0</v>
      </c>
      <c r="CW257" s="91">
        <v>0</v>
      </c>
      <c r="CX257" s="225">
        <v>0</v>
      </c>
      <c r="CY257" s="1265">
        <v>7763.5170400000006</v>
      </c>
      <c r="CZ257" s="90">
        <v>0</v>
      </c>
      <c r="DA257" s="88">
        <v>0</v>
      </c>
      <c r="DB257" s="88">
        <v>0</v>
      </c>
      <c r="DC257" s="88">
        <v>0</v>
      </c>
      <c r="DD257" s="88">
        <v>0</v>
      </c>
      <c r="DE257" s="152">
        <v>0</v>
      </c>
      <c r="DF257" s="230">
        <v>0</v>
      </c>
      <c r="DG257" s="38">
        <v>0</v>
      </c>
      <c r="DH257" s="1237">
        <v>0</v>
      </c>
      <c r="DI257" s="956">
        <v>0</v>
      </c>
      <c r="DJ257" s="956">
        <v>0</v>
      </c>
      <c r="DK257" s="956">
        <v>0</v>
      </c>
      <c r="DL257" s="152">
        <v>0</v>
      </c>
      <c r="DM257" s="160">
        <v>0</v>
      </c>
      <c r="DN257" s="160">
        <v>0</v>
      </c>
      <c r="DO257" s="160">
        <v>0</v>
      </c>
      <c r="DP257" s="160">
        <v>0</v>
      </c>
      <c r="DQ257" s="160">
        <v>0</v>
      </c>
      <c r="DR257" s="230">
        <v>0</v>
      </c>
      <c r="DS257" s="88">
        <v>0</v>
      </c>
      <c r="DT257" s="88">
        <v>0</v>
      </c>
      <c r="DU257" s="88">
        <v>0</v>
      </c>
      <c r="DV257" s="88">
        <v>0</v>
      </c>
      <c r="DW257" s="88">
        <v>0</v>
      </c>
      <c r="DX257" s="88">
        <v>0</v>
      </c>
      <c r="DY257" s="88">
        <v>0</v>
      </c>
      <c r="DZ257" s="88">
        <v>0</v>
      </c>
      <c r="EA257" s="88">
        <v>0</v>
      </c>
      <c r="EB257" s="152">
        <v>0</v>
      </c>
      <c r="EC257" s="52">
        <f t="shared" si="213"/>
        <v>0</v>
      </c>
      <c r="ED257" s="52">
        <f t="shared" si="213"/>
        <v>0</v>
      </c>
      <c r="EE257" s="52">
        <f t="shared" si="213"/>
        <v>0</v>
      </c>
      <c r="EF257" s="52">
        <f t="shared" si="186"/>
        <v>0</v>
      </c>
      <c r="EG257" s="52">
        <f t="shared" si="214"/>
        <v>0</v>
      </c>
      <c r="EH257" s="238">
        <v>0</v>
      </c>
      <c r="EI257" s="211">
        <v>0</v>
      </c>
      <c r="EJ257" s="211">
        <v>0</v>
      </c>
      <c r="EK257" s="211">
        <v>0</v>
      </c>
      <c r="EL257" s="217">
        <f>IF(C257&gt;=Summary!$E$26,MAX(0,SUM(EH257:EK257)),0)</f>
        <v>0</v>
      </c>
      <c r="EM257" s="52">
        <f>IF(C257&gt;=Summary!$E$26,DX257*BL257,0)</f>
        <v>0</v>
      </c>
      <c r="EN257" s="52">
        <f>IF(C257&gt;=Summary!$E$26,DY257*BM257,0)</f>
        <v>0</v>
      </c>
      <c r="EO257" s="52">
        <f>IF(C257&gt;=Summary!$E$26,DZ257*BN257,0)</f>
        <v>0</v>
      </c>
      <c r="EP257" s="52">
        <f>IF(C257&gt;=Summary!$E$26,EA257*BO257,0)</f>
        <v>0</v>
      </c>
      <c r="EQ257" s="52">
        <f>IF(C257&gt;=Summary!$E$26,DX257*BL257+DY257*BM257+DZ257*BN257+EA257*BO257,0)</f>
        <v>0</v>
      </c>
      <c r="ER257" s="826">
        <v>0</v>
      </c>
      <c r="ES257" s="278">
        <v>0</v>
      </c>
      <c r="ET257" s="278">
        <v>0</v>
      </c>
      <c r="EU257" s="278">
        <v>0</v>
      </c>
      <c r="EV257" s="212">
        <f>IF(C257&gt;=Summary!$E$26,MAX(0,SUM(ER257:EU257)),0)</f>
        <v>0</v>
      </c>
      <c r="EW257" s="52"/>
      <c r="EX257" s="1049">
        <f t="shared" si="215"/>
        <v>0</v>
      </c>
      <c r="EY257" s="1045" t="str">
        <f t="shared" si="216"/>
        <v/>
      </c>
      <c r="EZ257" s="1684" t="s">
        <v>525</v>
      </c>
      <c r="FA257" s="1046">
        <f t="shared" si="229"/>
        <v>45</v>
      </c>
      <c r="FB257" s="256">
        <f t="shared" si="217"/>
        <v>9751.5</v>
      </c>
      <c r="FC257" s="194">
        <f t="shared" si="218"/>
        <v>2925.45</v>
      </c>
      <c r="FD257" s="194">
        <f t="shared" si="219"/>
        <v>1773</v>
      </c>
      <c r="FE257" s="194">
        <f t="shared" si="220"/>
        <v>531.9</v>
      </c>
      <c r="FF257" s="194">
        <f t="shared" si="221"/>
        <v>2216.25</v>
      </c>
      <c r="FG257" s="194">
        <f t="shared" si="222"/>
        <v>664.875</v>
      </c>
      <c r="FH257" s="257">
        <f>IF(EZ257="No",IF((OR(MONTH(C257)=5,MONTH(C257)=6,MONTH(C257)=7,MONTH(C257)=8,MONTH(C257)=9)),Summary!$O$15*12*(AX257+AY257+AZ257+BA257)*(1-$BC257),Summary!$O$15*13*(AX257+AY257+AZ257+BA257)*(1-$BC257)+IF(Summary!$O$16="Yes",(CALC!FA257+Summary!$O$15)*6*(AX257+AY257+AZ257+BA257)*(1-$BC257),0)),0)</f>
        <v>0</v>
      </c>
      <c r="FI257" s="1412">
        <f>IF(MONTH(C257)=5,FI256*(IF(Summary!$E$70="no",(1+(Summary!$E$71*0.8)),1+HLOOKUP(YEAR(C257)-1,CCFMODEL!$I$127:$AF$128,2)*0.8)),+FI256)</f>
        <v>42.748689366243212</v>
      </c>
      <c r="FJ257" s="1411">
        <f>IF(MONTH(C257)=5,FJ256*(IF(Summary!$E$70="no",(1+(Summary!$E$71*0.8)),1+HLOOKUP(YEAR(CALC!C257)-1,CCFMODEL!$I$127:$AF$128,2)*0.8)),FJ256)</f>
        <v>37.363027713803127</v>
      </c>
      <c r="FK257" s="832">
        <f t="shared" si="187"/>
        <v>763618.76943196834</v>
      </c>
      <c r="FL257" s="1412">
        <f>IF(MONTH(C257)=5,FL256*(IF(Summary!$E$70="no",(1+(Summary!$E$71*0.8)),1+HLOOKUP(YEAR(CALC!C257)-1,CCFMODEL!$I$127:$AF$128,2)*0.8)),+FL256)</f>
        <v>89.905286334929912</v>
      </c>
      <c r="FM257" s="1411">
        <f>IF(MONTH(C257)=5,FM256*(IF(Summary!$E$70="no",(1+(Summary!$E$71*0.8)),1+HLOOKUP(YEAR(CALC!C257)-1,CCFMODEL!$I$127:$AF$128,2)*0.8)),+FM256)</f>
        <v>42.908976915422976</v>
      </c>
      <c r="FN257" s="832">
        <f t="shared" si="188"/>
        <v>778154.29636119562</v>
      </c>
      <c r="FO257" s="194">
        <f t="shared" si="223"/>
        <v>1541773.0657931641</v>
      </c>
      <c r="FP257" s="263">
        <f t="shared" si="238"/>
        <v>9751.5</v>
      </c>
      <c r="FQ257" s="194">
        <f t="shared" si="238"/>
        <v>2925.45</v>
      </c>
      <c r="FR257" s="194">
        <f t="shared" si="238"/>
        <v>1773</v>
      </c>
      <c r="FS257" s="194">
        <f t="shared" si="238"/>
        <v>531.9</v>
      </c>
      <c r="FT257" s="194">
        <f t="shared" si="238"/>
        <v>2216.25</v>
      </c>
      <c r="FU257" s="194">
        <f t="shared" si="238"/>
        <v>664.875</v>
      </c>
      <c r="FV257" s="257">
        <f t="shared" si="238"/>
        <v>0</v>
      </c>
      <c r="FW257" s="189">
        <f t="shared" si="192"/>
        <v>0</v>
      </c>
      <c r="FX257" s="189">
        <f t="shared" si="193"/>
        <v>0</v>
      </c>
      <c r="FY257" s="189">
        <f t="shared" si="194"/>
        <v>0</v>
      </c>
      <c r="FZ257" s="258">
        <f t="shared" si="195"/>
        <v>0</v>
      </c>
      <c r="GA257" s="1294">
        <f>(SUM(FP257:FV257)+SUM(GU257:HB257)/(1-Summary!$O$25))*CY257/1000</f>
        <v>236821.93382358359</v>
      </c>
      <c r="GB257" s="1369">
        <f>IF($C257&lt;Summary!$M$81,+Summary!$O$81,VLOOKUP(C257,GasTable,19))</f>
        <v>4.3685917403178136</v>
      </c>
      <c r="GC257" s="1370">
        <f>IF(H257&lt;=Summary!$N$84,MIN(GA257,Summary!$O$75*(H257-G257+1)),0)</f>
        <v>0</v>
      </c>
      <c r="GD257" s="1371">
        <f>IF(C257&lt;Summary!$N$84,IF(Summary!$O$75*(H257-G257+1)*0.8&gt;GC257,1,0),0)</f>
        <v>0</v>
      </c>
      <c r="GE257" s="1372">
        <v>0</v>
      </c>
      <c r="GF257" s="1370">
        <f t="shared" si="224"/>
        <v>236821.93382358359</v>
      </c>
      <c r="GG257" s="1371">
        <f>GF257*(IF(Summary!$O$74=1,VLOOKUP($C257,GasTable,16)+Summary!$O$92+Summary!$O$93,VLOOKUP($C257,GasTable,19)+Summary!$O$92+Summary!$O$93))</f>
        <v>1046916.7667800079</v>
      </c>
      <c r="GH257" s="1373">
        <v>6771.3171974926108</v>
      </c>
      <c r="GI257" s="1466">
        <v>0</v>
      </c>
      <c r="GJ257" s="1374">
        <f t="shared" si="225"/>
        <v>1053688.0839775004</v>
      </c>
      <c r="GK257" s="189">
        <f t="shared" si="196"/>
        <v>30062.012850000003</v>
      </c>
      <c r="GL257" s="266">
        <v>0.52015564168000006</v>
      </c>
      <c r="GM257" s="255">
        <f t="shared" si="197"/>
        <v>0</v>
      </c>
      <c r="GN257" s="189">
        <f>IF(SUM(GU257:HB257)=0,0,IF(Summary!$O$16="Yes",SUM(GX257:HB257),IF(Summary!$O$17="Yes",SUM(GY257:HB257),SUM(GU257:HB257))))</f>
        <v>12199.037849999999</v>
      </c>
      <c r="GO257" s="203">
        <v>4.2976878244237646</v>
      </c>
      <c r="GP257" s="258">
        <f t="shared" si="226"/>
        <v>52427.656437629652</v>
      </c>
      <c r="GQ257" s="189"/>
      <c r="GR257" s="189"/>
      <c r="GS257" s="189"/>
      <c r="GT257" s="189"/>
      <c r="GU257" s="268">
        <v>5646.1184999999996</v>
      </c>
      <c r="GV257" s="189">
        <v>1026.5670000000002</v>
      </c>
      <c r="GW257" s="189">
        <v>1283.20875</v>
      </c>
      <c r="GX257" s="189"/>
      <c r="GY257" s="254">
        <v>3011.2631999999999</v>
      </c>
      <c r="GZ257" s="189">
        <v>547.50239999999997</v>
      </c>
      <c r="HA257" s="189">
        <v>684.37800000000004</v>
      </c>
      <c r="HB257" s="255"/>
      <c r="HC257" s="189">
        <v>12199.037849999999</v>
      </c>
      <c r="HD257" s="189"/>
      <c r="HE257" s="189">
        <v>20950.521524999996</v>
      </c>
      <c r="HF257" s="189">
        <v>696283.06498606282</v>
      </c>
      <c r="HG257" s="189"/>
      <c r="HH257" s="203">
        <v>56.639810172602395</v>
      </c>
      <c r="HI257" s="189">
        <v>1186633.5621930202</v>
      </c>
      <c r="HJ257" s="268">
        <f t="shared" si="198"/>
        <v>0</v>
      </c>
      <c r="HK257" s="189">
        <f t="shared" si="199"/>
        <v>0</v>
      </c>
      <c r="HL257" s="189">
        <f t="shared" si="200"/>
        <v>0</v>
      </c>
      <c r="HM257" s="255">
        <f t="shared" si="201"/>
        <v>0</v>
      </c>
      <c r="HN257" s="189">
        <f t="shared" si="202"/>
        <v>0</v>
      </c>
      <c r="HO257" s="203">
        <f t="shared" si="227"/>
        <v>0</v>
      </c>
      <c r="HP257" s="258">
        <f t="shared" si="203"/>
        <v>0</v>
      </c>
      <c r="HQ257" s="203" t="s">
        <v>1089</v>
      </c>
      <c r="HR257" s="268">
        <f t="shared" si="241"/>
        <v>681252.29023154394</v>
      </c>
      <c r="HS257" s="1408">
        <f>IF(HT257=0,IF(OR(SUMIF(CURVES!$AU$6:$AU$283,$HQ257,CURVES!$BQ$6:$BQ$283)=0,COUNTIF(CURVES!$AU$6:$AU$283,$HQ257)=0),0,SUMIF(CURVES!$AU$6:$AU$283,$HQ257,CURVES!$BQ$6:$BQ$283)/COUNTIF(CURVES!$AU$6:$AU$283,$HQ257)),HT257/HR257)</f>
        <v>3.8499245124463033</v>
      </c>
      <c r="HT257" s="255">
        <f t="shared" si="242"/>
        <v>2622769.8913226044</v>
      </c>
      <c r="HU257" s="268">
        <f t="shared" si="243"/>
        <v>0</v>
      </c>
      <c r="HV257" s="1408" t="e">
        <f>IF(HW257=0,0,HW257/Summary!$O$79/HU257)</f>
        <v>#DIV/0!</v>
      </c>
      <c r="HW257" s="255">
        <f t="shared" si="244"/>
        <v>17090.420176270945</v>
      </c>
      <c r="HX257" s="1408">
        <f>IF(OR(SUMIF(CURVES!$AU$6:$AU$283,$HQ257,CURVES!$BQ$6:$BQ$283)=0,COUNTIF(CURVES!$AU$6:$AU$283,$HQ257)=0),0,SUMIF(CURVES!$AU$6:$AU$283,$HQ257,CURVES!$BQ$6:$BQ$283)/COUNTIF(CURVES!$AU$6:$AU$283,$HQ257))</f>
        <v>4.3427222664149783</v>
      </c>
      <c r="HY257" s="1408">
        <f>IF(OR(SUMIF(CURVES!$AU$6:$AU$283,$HQ257,CURVES!$BR$6:$BR$283)=0,COUNTIF(CURVES!$AU$6:$AU$283,$HQ257)=0),0,SUMIF(CURVES!$AU$6:$AU$283,$HQ257,CURVES!$BR$6:$BR$283)/COUNTIF(CURVES!$AU$6:$AU$283,$HQ257))</f>
        <v>3.5688565137196169</v>
      </c>
      <c r="HZ257"/>
      <c r="IA257" s="203"/>
      <c r="IB257" s="203"/>
      <c r="IC257" s="203"/>
      <c r="ID257" s="203"/>
      <c r="IE257" s="203"/>
      <c r="IF257" s="203"/>
      <c r="IG257" s="203"/>
      <c r="IH257" s="203"/>
      <c r="II257" s="203"/>
      <c r="IJ257" s="203"/>
      <c r="IK257" s="203"/>
      <c r="IL257" s="821"/>
      <c r="IM257" s="820"/>
      <c r="IN257" s="820"/>
      <c r="IR257" s="223"/>
    </row>
    <row r="258" spans="1:252" ht="13.8" thickBot="1">
      <c r="A258" t="str">
        <f t="shared" si="204"/>
        <v>2020Q1</v>
      </c>
      <c r="B258">
        <f t="shared" si="205"/>
        <v>2020</v>
      </c>
      <c r="C258" s="49">
        <f t="shared" si="206"/>
        <v>43862</v>
      </c>
      <c r="D258" s="115">
        <f t="shared" si="207"/>
        <v>2020</v>
      </c>
      <c r="E258" s="10">
        <f t="shared" si="230"/>
        <v>2</v>
      </c>
      <c r="F258" s="248" t="str">
        <f t="shared" si="231"/>
        <v/>
      </c>
      <c r="G258" s="245">
        <v>43862</v>
      </c>
      <c r="H258" s="251">
        <v>43890</v>
      </c>
      <c r="I258" s="959">
        <f t="shared" si="228"/>
        <v>7.1499999999999994E-2</v>
      </c>
      <c r="J258" s="37">
        <f t="shared" si="208"/>
        <v>0.24087032368657002</v>
      </c>
      <c r="K258" s="1036"/>
      <c r="L258" s="37"/>
      <c r="M258" s="1004">
        <v>0</v>
      </c>
      <c r="N258" s="38">
        <f t="shared" si="239"/>
        <v>0</v>
      </c>
      <c r="O258" s="40">
        <f t="shared" si="239"/>
        <v>0</v>
      </c>
      <c r="P258" s="159">
        <f t="shared" si="234"/>
        <v>0</v>
      </c>
      <c r="Q258" s="38">
        <f t="shared" si="240"/>
        <v>0</v>
      </c>
      <c r="R258" s="40">
        <f t="shared" si="240"/>
        <v>0</v>
      </c>
      <c r="S258" s="38">
        <f t="shared" si="240"/>
        <v>0</v>
      </c>
      <c r="T258" s="38">
        <f t="shared" si="240"/>
        <v>0</v>
      </c>
      <c r="U258" s="38">
        <f t="shared" si="240"/>
        <v>0</v>
      </c>
      <c r="V258" s="159">
        <f t="shared" si="240"/>
        <v>0</v>
      </c>
      <c r="W258" s="38">
        <f t="shared" si="240"/>
        <v>0</v>
      </c>
      <c r="X258" s="39">
        <f t="shared" si="240"/>
        <v>0</v>
      </c>
      <c r="Y258" s="46">
        <v>0</v>
      </c>
      <c r="Z258" s="46">
        <v>0</v>
      </c>
      <c r="AA258" s="47">
        <v>0</v>
      </c>
      <c r="AB258" s="46">
        <v>0</v>
      </c>
      <c r="AC258" s="46">
        <v>0</v>
      </c>
      <c r="AD258" s="47">
        <v>0</v>
      </c>
      <c r="AE258" s="46">
        <v>0</v>
      </c>
      <c r="AF258" s="46">
        <v>0</v>
      </c>
      <c r="AG258" s="47">
        <v>0</v>
      </c>
      <c r="AH258" s="46">
        <v>0</v>
      </c>
      <c r="AI258" s="46">
        <v>0</v>
      </c>
      <c r="AJ258" s="47">
        <v>0</v>
      </c>
      <c r="AK258" s="46">
        <v>0</v>
      </c>
      <c r="AL258" s="46">
        <v>0</v>
      </c>
      <c r="AM258" s="47">
        <v>0</v>
      </c>
      <c r="AN258" s="46">
        <v>0</v>
      </c>
      <c r="AO258" s="46">
        <v>0</v>
      </c>
      <c r="AP258" s="47">
        <v>0</v>
      </c>
      <c r="AQ258" s="46">
        <v>0</v>
      </c>
      <c r="AR258" s="46">
        <v>0</v>
      </c>
      <c r="AS258" s="47">
        <v>0</v>
      </c>
      <c r="AT258" s="46">
        <v>0</v>
      </c>
      <c r="AU258" s="46">
        <v>0</v>
      </c>
      <c r="AV258" s="46">
        <v>0</v>
      </c>
      <c r="AW258" s="1545">
        <v>0</v>
      </c>
      <c r="AX258" s="10">
        <f t="shared" si="232"/>
        <v>20</v>
      </c>
      <c r="AY258" s="42">
        <f>IF(AND($E258=MONTH(Summary!$E$24),$D258=YEAR(Summary!$E$24)),Summary!$E$25,1)*IF(G258="",0,INT((H258-MOD(H258,7)-G258)/7)+1-IF(BA258,IF(WEEKDAY(F258)=7,1,0),0))</f>
        <v>5</v>
      </c>
      <c r="AZ258" s="42">
        <f>IF(AND($E258=MONTH(Summary!$E$24),$D258=YEAR(Summary!$E$24)),Summary!$E$25,1)*IF(G258="",0,INT((H258-MOD(H258-1,7)-G258)/7)+1-IF(BA258,IF(WEEKDAY(F258)=1,1,0),0))</f>
        <v>4</v>
      </c>
      <c r="BA258" s="42">
        <v>0</v>
      </c>
      <c r="BB258" s="10">
        <f>IF(AND($E258=MONTH(Summary!$E$24),$D258=YEAR(Summary!$E$24)),Summary!$E$25,1)*IF(G258="",0,H258-G258+1)</f>
        <v>29</v>
      </c>
      <c r="BC258" s="914">
        <f>Summary!$E$19</f>
        <v>1.4999999999999999E-2</v>
      </c>
      <c r="BD258" s="113">
        <v>14184</v>
      </c>
      <c r="BE258" s="171">
        <v>3546</v>
      </c>
      <c r="BF258" s="171">
        <v>2836.8</v>
      </c>
      <c r="BG258" s="174"/>
      <c r="BH258" s="1198">
        <v>1</v>
      </c>
      <c r="BI258" s="1198">
        <v>1</v>
      </c>
      <c r="BJ258" s="1198">
        <v>1</v>
      </c>
      <c r="BK258" s="1198">
        <v>1</v>
      </c>
      <c r="BL258" s="95">
        <v>2836.8</v>
      </c>
      <c r="BM258" s="171">
        <v>709.2</v>
      </c>
      <c r="BN258" s="171">
        <v>567.36</v>
      </c>
      <c r="BO258" s="174"/>
      <c r="BP258" s="1198">
        <v>1</v>
      </c>
      <c r="BQ258" s="1199">
        <v>1</v>
      </c>
      <c r="BR258" s="1199">
        <v>1</v>
      </c>
      <c r="BS258" s="1200">
        <v>1</v>
      </c>
      <c r="BT258" s="94">
        <f t="shared" si="209"/>
        <v>20566.8</v>
      </c>
      <c r="BU258" s="233">
        <f t="shared" si="210"/>
        <v>20566.8</v>
      </c>
      <c r="BV258" s="92">
        <f t="shared" si="211"/>
        <v>4113.3599999999997</v>
      </c>
      <c r="BW258" s="233">
        <f t="shared" si="212"/>
        <v>4113.3599999999997</v>
      </c>
      <c r="BX258" s="88">
        <v>20.131416837782339</v>
      </c>
      <c r="BY258" s="90">
        <v>0</v>
      </c>
      <c r="BZ258" s="88">
        <v>0</v>
      </c>
      <c r="CA258" s="88">
        <v>0</v>
      </c>
      <c r="CB258" s="88">
        <v>0</v>
      </c>
      <c r="CC258" s="88">
        <v>0</v>
      </c>
      <c r="CD258" s="88">
        <v>0</v>
      </c>
      <c r="CE258" s="100">
        <v>0</v>
      </c>
      <c r="CF258" s="88">
        <v>0</v>
      </c>
      <c r="CG258" s="88">
        <v>0</v>
      </c>
      <c r="CH258" s="88">
        <v>0</v>
      </c>
      <c r="CI258" s="88">
        <v>0</v>
      </c>
      <c r="CJ258" s="228">
        <v>0</v>
      </c>
      <c r="CK258" s="88">
        <v>0</v>
      </c>
      <c r="CL258" s="88">
        <v>0</v>
      </c>
      <c r="CM258" s="88">
        <v>0</v>
      </c>
      <c r="CN258" s="88">
        <v>0</v>
      </c>
      <c r="CO258" s="88">
        <v>0</v>
      </c>
      <c r="CP258" s="88">
        <v>0</v>
      </c>
      <c r="CQ258" s="229">
        <v>0</v>
      </c>
      <c r="CR258" s="91">
        <v>0</v>
      </c>
      <c r="CS258" s="91">
        <v>0</v>
      </c>
      <c r="CT258" s="91">
        <v>0</v>
      </c>
      <c r="CU258" s="91">
        <v>0</v>
      </c>
      <c r="CV258" s="91">
        <v>0</v>
      </c>
      <c r="CW258" s="91">
        <v>0</v>
      </c>
      <c r="CX258" s="225">
        <v>0</v>
      </c>
      <c r="CY258" s="1265">
        <v>7765.5479999999998</v>
      </c>
      <c r="CZ258" s="90">
        <v>0</v>
      </c>
      <c r="DA258" s="88">
        <v>0</v>
      </c>
      <c r="DB258" s="88">
        <v>0</v>
      </c>
      <c r="DC258" s="88">
        <v>0</v>
      </c>
      <c r="DD258" s="88">
        <v>0</v>
      </c>
      <c r="DE258" s="152">
        <v>0</v>
      </c>
      <c r="DF258" s="230">
        <v>0</v>
      </c>
      <c r="DG258" s="38">
        <v>0</v>
      </c>
      <c r="DH258" s="1237">
        <v>0</v>
      </c>
      <c r="DI258" s="956">
        <v>0</v>
      </c>
      <c r="DJ258" s="956">
        <v>0</v>
      </c>
      <c r="DK258" s="956">
        <v>0</v>
      </c>
      <c r="DL258" s="152">
        <v>0</v>
      </c>
      <c r="DM258" s="160">
        <v>0</v>
      </c>
      <c r="DN258" s="160">
        <v>0</v>
      </c>
      <c r="DO258" s="160">
        <v>0</v>
      </c>
      <c r="DP258" s="160">
        <v>0</v>
      </c>
      <c r="DQ258" s="160">
        <v>0</v>
      </c>
      <c r="DR258" s="230">
        <v>0</v>
      </c>
      <c r="DS258" s="88">
        <v>0</v>
      </c>
      <c r="DT258" s="88">
        <v>0</v>
      </c>
      <c r="DU258" s="88">
        <v>0</v>
      </c>
      <c r="DV258" s="88">
        <v>0</v>
      </c>
      <c r="DW258" s="88">
        <v>0</v>
      </c>
      <c r="DX258" s="88">
        <v>0</v>
      </c>
      <c r="DY258" s="88">
        <v>0</v>
      </c>
      <c r="DZ258" s="88">
        <v>0</v>
      </c>
      <c r="EA258" s="88">
        <v>0</v>
      </c>
      <c r="EB258" s="152">
        <v>0</v>
      </c>
      <c r="EC258" s="52">
        <f t="shared" si="213"/>
        <v>0</v>
      </c>
      <c r="ED258" s="52">
        <f t="shared" si="213"/>
        <v>0</v>
      </c>
      <c r="EE258" s="52">
        <f t="shared" si="213"/>
        <v>0</v>
      </c>
      <c r="EF258" s="52">
        <f t="shared" si="186"/>
        <v>0</v>
      </c>
      <c r="EG258" s="52">
        <f t="shared" si="214"/>
        <v>0</v>
      </c>
      <c r="EH258" s="238">
        <v>0</v>
      </c>
      <c r="EI258" s="211">
        <v>0</v>
      </c>
      <c r="EJ258" s="211">
        <v>0</v>
      </c>
      <c r="EK258" s="211">
        <v>0</v>
      </c>
      <c r="EL258" s="217">
        <f>IF(C258&gt;=Summary!$E$26,MAX(0,SUM(EH258:EK258)),0)</f>
        <v>0</v>
      </c>
      <c r="EM258" s="52">
        <f>IF(C258&gt;=Summary!$E$26,DX258*BL258,0)</f>
        <v>0</v>
      </c>
      <c r="EN258" s="52">
        <f>IF(C258&gt;=Summary!$E$26,DY258*BM258,0)</f>
        <v>0</v>
      </c>
      <c r="EO258" s="52">
        <f>IF(C258&gt;=Summary!$E$26,DZ258*BN258,0)</f>
        <v>0</v>
      </c>
      <c r="EP258" s="52">
        <f>IF(C258&gt;=Summary!$E$26,EA258*BO258,0)</f>
        <v>0</v>
      </c>
      <c r="EQ258" s="52">
        <f>IF(C258&gt;=Summary!$E$26,DX258*BL258+DY258*BM258+DZ258*BN258+EA258*BO258,0)</f>
        <v>0</v>
      </c>
      <c r="ER258" s="826">
        <v>0</v>
      </c>
      <c r="ES258" s="278">
        <v>0</v>
      </c>
      <c r="ET258" s="278">
        <v>0</v>
      </c>
      <c r="EU258" s="278">
        <v>0</v>
      </c>
      <c r="EV258" s="212">
        <f>IF(C258&gt;=Summary!$E$26,MAX(0,SUM(ER258:EU258)),0)</f>
        <v>0</v>
      </c>
      <c r="EW258" s="52"/>
      <c r="EX258" s="1049">
        <f t="shared" si="215"/>
        <v>0</v>
      </c>
      <c r="EY258" s="1045" t="str">
        <f t="shared" si="216"/>
        <v/>
      </c>
      <c r="EZ258" s="1684" t="s">
        <v>525</v>
      </c>
      <c r="FA258" s="1046">
        <f t="shared" si="229"/>
        <v>45</v>
      </c>
      <c r="FB258" s="256">
        <f t="shared" si="217"/>
        <v>8865</v>
      </c>
      <c r="FC258" s="194">
        <f t="shared" si="218"/>
        <v>2659.5</v>
      </c>
      <c r="FD258" s="194">
        <f t="shared" si="219"/>
        <v>2216.25</v>
      </c>
      <c r="FE258" s="194">
        <f t="shared" si="220"/>
        <v>664.875</v>
      </c>
      <c r="FF258" s="194">
        <f t="shared" si="221"/>
        <v>1773</v>
      </c>
      <c r="FG258" s="194">
        <f t="shared" si="222"/>
        <v>531.9</v>
      </c>
      <c r="FH258" s="257">
        <f>IF(EZ258="No",IF((OR(MONTH(C258)=5,MONTH(C258)=6,MONTH(C258)=7,MONTH(C258)=8,MONTH(C258)=9)),Summary!$O$15*12*(AX258+AY258+AZ258+BA258)*(1-$BC258),Summary!$O$15*13*(AX258+AY258+AZ258+BA258)*(1-$BC258)+IF(Summary!$O$16="Yes",(CALC!FA258+Summary!$O$15)*6*(AX258+AY258+AZ258+BA258)*(1-$BC258),0)),0)</f>
        <v>0</v>
      </c>
      <c r="FI258" s="1412">
        <f>IF(MONTH(C258)=5,FI257*(IF(Summary!$E$70="no",(1+(Summary!$E$71*0.8)),1+HLOOKUP(YEAR(C258)-1,CCFMODEL!$I$127:$AF$128,2)*0.8)),+FI257)</f>
        <v>42.748689366243212</v>
      </c>
      <c r="FJ258" s="1411">
        <f>IF(MONTH(C258)=5,FJ257*(IF(Summary!$E$70="no",(1+(Summary!$E$71*0.8)),1+HLOOKUP(YEAR(CALC!C258)-1,CCFMODEL!$I$127:$AF$128,2)*0.8)),FJ257)</f>
        <v>37.363027713803127</v>
      </c>
      <c r="FK258" s="832">
        <f t="shared" si="187"/>
        <v>714353.04237184138</v>
      </c>
      <c r="FL258" s="1412">
        <f>IF(MONTH(C258)=5,FL257*(IF(Summary!$E$70="no",(1+(Summary!$E$71*0.8)),1+HLOOKUP(YEAR(CALC!C258)-1,CCFMODEL!$I$127:$AF$128,2)*0.8)),+FL257)</f>
        <v>89.905286334929912</v>
      </c>
      <c r="FM258" s="1411">
        <f>IF(MONTH(C258)=5,FM257*(IF(Summary!$E$70="no",(1+(Summary!$E$71*0.8)),1+HLOOKUP(YEAR(CALC!C258)-1,CCFMODEL!$I$127:$AF$128,2)*0.8)),+FM257)</f>
        <v>42.908976915422976</v>
      </c>
      <c r="FN258" s="832">
        <f t="shared" si="188"/>
        <v>727950.79337015073</v>
      </c>
      <c r="FO258" s="194">
        <f t="shared" si="223"/>
        <v>1442303.8357419921</v>
      </c>
      <c r="FP258" s="263">
        <f t="shared" si="238"/>
        <v>8865</v>
      </c>
      <c r="FQ258" s="194">
        <f t="shared" si="238"/>
        <v>2659.5</v>
      </c>
      <c r="FR258" s="194">
        <f t="shared" si="238"/>
        <v>2216.25</v>
      </c>
      <c r="FS258" s="194">
        <f t="shared" si="238"/>
        <v>664.875</v>
      </c>
      <c r="FT258" s="194">
        <f t="shared" si="238"/>
        <v>1773</v>
      </c>
      <c r="FU258" s="194">
        <f t="shared" si="238"/>
        <v>531.9</v>
      </c>
      <c r="FV258" s="257">
        <f t="shared" si="238"/>
        <v>0</v>
      </c>
      <c r="FW258" s="189">
        <f t="shared" si="192"/>
        <v>0</v>
      </c>
      <c r="FX258" s="189">
        <f t="shared" si="193"/>
        <v>0</v>
      </c>
      <c r="FY258" s="189">
        <f t="shared" si="194"/>
        <v>0</v>
      </c>
      <c r="FZ258" s="258">
        <f t="shared" si="195"/>
        <v>0</v>
      </c>
      <c r="GA258" s="1294">
        <f>(SUM(FP258:FV258)+SUM(GU258:HB258)/(1-Summary!$O$25))*CY258/1000</f>
        <v>221601.05574138003</v>
      </c>
      <c r="GB258" s="1369">
        <f>IF($C258&lt;Summary!$M$81,+Summary!$O$81,VLOOKUP(C258,GasTable,19))</f>
        <v>4.0349066173807708</v>
      </c>
      <c r="GC258" s="1370">
        <f>IF(H258&lt;=Summary!$N$84,MIN(GA258,Summary!$O$75*(H258-G258+1)),0)</f>
        <v>0</v>
      </c>
      <c r="GD258" s="1371">
        <f>IF(C258&lt;Summary!$N$84,IF(Summary!$O$75*(H258-G258+1)*0.8&gt;GC258,1,0),0)</f>
        <v>0</v>
      </c>
      <c r="GE258" s="1372">
        <v>0</v>
      </c>
      <c r="GF258" s="1370">
        <f t="shared" si="224"/>
        <v>221601.05574138003</v>
      </c>
      <c r="GG258" s="1371">
        <f>GF258*(IF(Summary!$O$74=1,VLOOKUP($C258,GasTable,16)+Summary!$O$92+Summary!$O$93,VLOOKUP($C258,GasTable,19)+Summary!$O$92+Summary!$O$93))</f>
        <v>905684.98123358528</v>
      </c>
      <c r="GH258" s="1373">
        <v>5850.6145952021179</v>
      </c>
      <c r="GI258" s="1466">
        <v>0</v>
      </c>
      <c r="GJ258" s="1374">
        <f t="shared" si="225"/>
        <v>911535.59582878742</v>
      </c>
      <c r="GK258" s="189">
        <f t="shared" si="196"/>
        <v>28122.528150000002</v>
      </c>
      <c r="GL258" s="266">
        <v>0.52029171600000002</v>
      </c>
      <c r="GM258" s="255">
        <f t="shared" si="197"/>
        <v>0</v>
      </c>
      <c r="GN258" s="189">
        <f>IF(SUM(GU258:HB258)=0,0,IF(Summary!$O$16="Yes",SUM(GX258:HB258),IF(Summary!$O$17="Yes",SUM(GY258:HB258),SUM(GU258:HB258))))</f>
        <v>11412.00315</v>
      </c>
      <c r="GO258" s="203">
        <v>4.2976878244237646</v>
      </c>
      <c r="GP258" s="258">
        <f t="shared" si="226"/>
        <v>49045.226990040654</v>
      </c>
      <c r="GQ258" s="189"/>
      <c r="GR258" s="189"/>
      <c r="GS258" s="189"/>
      <c r="GT258" s="189"/>
      <c r="GU258" s="268">
        <v>5132.835</v>
      </c>
      <c r="GV258" s="189">
        <v>1283.20875</v>
      </c>
      <c r="GW258" s="189">
        <v>1026.5670000000002</v>
      </c>
      <c r="GX258" s="189"/>
      <c r="GY258" s="254">
        <v>2737.5120000000002</v>
      </c>
      <c r="GZ258" s="189">
        <v>684.37800000000004</v>
      </c>
      <c r="HA258" s="189">
        <v>547.50239999999997</v>
      </c>
      <c r="HB258" s="255"/>
      <c r="HC258" s="189">
        <v>11412.00315</v>
      </c>
      <c r="HD258" s="189"/>
      <c r="HE258" s="189">
        <v>19598.874974999999</v>
      </c>
      <c r="HF258" s="189">
        <v>505622.49844112748</v>
      </c>
      <c r="HG258" s="189"/>
      <c r="HH258" s="203">
        <v>43.97541430467566</v>
      </c>
      <c r="HI258" s="189">
        <v>861868.64693116478</v>
      </c>
      <c r="HJ258" s="268">
        <f t="shared" si="198"/>
        <v>0</v>
      </c>
      <c r="HK258" s="189">
        <f t="shared" si="199"/>
        <v>0</v>
      </c>
      <c r="HL258" s="189">
        <f t="shared" si="200"/>
        <v>0</v>
      </c>
      <c r="HM258" s="255">
        <f t="shared" si="201"/>
        <v>0</v>
      </c>
      <c r="HN258" s="189">
        <f t="shared" si="202"/>
        <v>0</v>
      </c>
      <c r="HO258" s="203">
        <f t="shared" si="227"/>
        <v>0</v>
      </c>
      <c r="HP258" s="258">
        <f t="shared" si="203"/>
        <v>0</v>
      </c>
      <c r="HQ258" s="203" t="s">
        <v>1090</v>
      </c>
      <c r="HR258" s="268">
        <f t="shared" si="241"/>
        <v>626912.84349780472</v>
      </c>
      <c r="HS258" s="1408">
        <f>IF(HT258=0,IF(OR(SUMIF(CURVES!$AU$6:$AU$283,$HQ258,CURVES!$BQ$6:$BQ$283)=0,COUNTIF(CURVES!$AU$6:$AU$283,$HQ258)=0),0,SUMIF(CURVES!$AU$6:$AU$283,$HQ258,CURVES!$BQ$6:$BQ$283)/COUNTIF(CURVES!$AU$6:$AU$283,$HQ258)),HT258/HR258)</f>
        <v>3.5001484024448914</v>
      </c>
      <c r="HT258" s="255">
        <f t="shared" si="242"/>
        <v>2194287.9876410253</v>
      </c>
      <c r="HU258" s="268">
        <f t="shared" si="243"/>
        <v>0</v>
      </c>
      <c r="HV258" s="1408" t="e">
        <f>IF(HW258=0,0,HW258/Summary!$O$79/HU258)</f>
        <v>#DIV/0!</v>
      </c>
      <c r="HW258" s="255">
        <f t="shared" si="244"/>
        <v>15687.76589709405</v>
      </c>
      <c r="HX258" s="1408">
        <f>IF(OR(SUMIF(CURVES!$AU$6:$AU$283,$HQ258,CURVES!$BQ$6:$BQ$283)=0,COUNTIF(CURVES!$AU$6:$AU$283,$HQ258)=0),0,SUMIF(CURVES!$AU$6:$AU$283,$HQ258,CURVES!$BQ$6:$BQ$283)/COUNTIF(CURVES!$AU$6:$AU$283,$HQ258))</f>
        <v>4.0371958076048919</v>
      </c>
      <c r="HY258" s="1408">
        <f>IF(OR(SUMIF(CURVES!$AU$6:$AU$283,$HQ258,CURVES!$BR$6:$BR$283)=0,COUNTIF(CURVES!$AU$6:$AU$283,$HQ258)=0),0,SUMIF(CURVES!$AU$6:$AU$283,$HQ258,CURVES!$BR$6:$BR$283)/COUNTIF(CURVES!$AU$6:$AU$283,$HQ258))</f>
        <v>3.2393070532275527</v>
      </c>
      <c r="HZ258"/>
      <c r="IA258" s="203"/>
      <c r="IB258" s="203"/>
      <c r="IC258" s="203"/>
      <c r="ID258" s="203"/>
      <c r="IE258" s="203"/>
      <c r="IF258" s="203"/>
      <c r="IG258" s="203"/>
      <c r="IH258" s="203"/>
      <c r="II258" s="203"/>
      <c r="IJ258" s="203"/>
      <c r="IK258" s="203"/>
      <c r="IL258" s="821"/>
      <c r="IM258" s="820"/>
      <c r="IN258" s="820"/>
      <c r="IR258" s="223"/>
    </row>
    <row r="259" spans="1:252" ht="13.8" thickBot="1">
      <c r="A259" t="str">
        <f t="shared" si="204"/>
        <v>2020Q1</v>
      </c>
      <c r="B259">
        <f t="shared" si="205"/>
        <v>2020</v>
      </c>
      <c r="C259" s="49">
        <f t="shared" si="206"/>
        <v>43891</v>
      </c>
      <c r="D259" s="115">
        <f t="shared" si="207"/>
        <v>2020</v>
      </c>
      <c r="E259" s="10">
        <f t="shared" si="230"/>
        <v>3</v>
      </c>
      <c r="F259" s="248" t="str">
        <f t="shared" si="231"/>
        <v/>
      </c>
      <c r="G259" s="245">
        <v>43891</v>
      </c>
      <c r="H259" s="251">
        <v>43921</v>
      </c>
      <c r="I259" s="959">
        <f t="shared" si="228"/>
        <v>7.1499999999999994E-2</v>
      </c>
      <c r="J259" s="37">
        <f t="shared" si="208"/>
        <v>0.23943840975438083</v>
      </c>
      <c r="K259" s="1036"/>
      <c r="L259" s="37"/>
      <c r="M259" s="1004">
        <v>0</v>
      </c>
      <c r="N259" s="38">
        <f t="shared" si="239"/>
        <v>0</v>
      </c>
      <c r="O259" s="40">
        <f t="shared" si="239"/>
        <v>0</v>
      </c>
      <c r="P259" s="159">
        <f t="shared" si="234"/>
        <v>0</v>
      </c>
      <c r="Q259" s="38">
        <f t="shared" ref="Q259:X268" si="245">P259</f>
        <v>0</v>
      </c>
      <c r="R259" s="40">
        <f t="shared" si="245"/>
        <v>0</v>
      </c>
      <c r="S259" s="38">
        <f t="shared" si="245"/>
        <v>0</v>
      </c>
      <c r="T259" s="38">
        <f t="shared" si="245"/>
        <v>0</v>
      </c>
      <c r="U259" s="38">
        <f t="shared" si="245"/>
        <v>0</v>
      </c>
      <c r="V259" s="159">
        <f t="shared" si="245"/>
        <v>0</v>
      </c>
      <c r="W259" s="38">
        <f t="shared" si="245"/>
        <v>0</v>
      </c>
      <c r="X259" s="39">
        <f t="shared" si="245"/>
        <v>0</v>
      </c>
      <c r="Y259" s="46">
        <v>0</v>
      </c>
      <c r="Z259" s="46">
        <v>0</v>
      </c>
      <c r="AA259" s="47">
        <v>0</v>
      </c>
      <c r="AB259" s="46">
        <v>0</v>
      </c>
      <c r="AC259" s="46">
        <v>0</v>
      </c>
      <c r="AD259" s="47">
        <v>0</v>
      </c>
      <c r="AE259" s="46">
        <v>0</v>
      </c>
      <c r="AF259" s="46">
        <v>0</v>
      </c>
      <c r="AG259" s="47">
        <v>0</v>
      </c>
      <c r="AH259" s="46">
        <v>0</v>
      </c>
      <c r="AI259" s="46">
        <v>0</v>
      </c>
      <c r="AJ259" s="47">
        <v>0</v>
      </c>
      <c r="AK259" s="46">
        <v>0</v>
      </c>
      <c r="AL259" s="46">
        <v>0</v>
      </c>
      <c r="AM259" s="47">
        <v>0</v>
      </c>
      <c r="AN259" s="46">
        <v>0</v>
      </c>
      <c r="AO259" s="46">
        <v>0</v>
      </c>
      <c r="AP259" s="47">
        <v>0</v>
      </c>
      <c r="AQ259" s="46">
        <v>0</v>
      </c>
      <c r="AR259" s="46">
        <v>0</v>
      </c>
      <c r="AS259" s="47">
        <v>0</v>
      </c>
      <c r="AT259" s="46">
        <v>0</v>
      </c>
      <c r="AU259" s="46">
        <v>0</v>
      </c>
      <c r="AV259" s="46">
        <v>0</v>
      </c>
      <c r="AW259" s="1545">
        <v>0</v>
      </c>
      <c r="AX259" s="10">
        <f t="shared" si="232"/>
        <v>22</v>
      </c>
      <c r="AY259" s="42">
        <f>IF(AND($E259=MONTH(Summary!$E$24),$D259=YEAR(Summary!$E$24)),Summary!$E$25,1)*IF(G259="",0,INT((H259-MOD(H259,7)-G259)/7)+1-IF(BA259,IF(WEEKDAY(F259)=7,1,0),0))</f>
        <v>4</v>
      </c>
      <c r="AZ259" s="42">
        <f>IF(AND($E259=MONTH(Summary!$E$24),$D259=YEAR(Summary!$E$24)),Summary!$E$25,1)*IF(G259="",0,INT((H259-MOD(H259-1,7)-G259)/7)+1-IF(BA259,IF(WEEKDAY(F259)=1,1,0),0))</f>
        <v>5</v>
      </c>
      <c r="BA259" s="42">
        <v>0</v>
      </c>
      <c r="BB259" s="10">
        <f>IF(AND($E259=MONTH(Summary!$E$24),$D259=YEAR(Summary!$E$24)),Summary!$E$25,1)*IF(G259="",0,H259-G259+1)</f>
        <v>31</v>
      </c>
      <c r="BC259" s="914">
        <f>Summary!$E$19</f>
        <v>1.4999999999999999E-2</v>
      </c>
      <c r="BD259" s="113">
        <v>15602.4</v>
      </c>
      <c r="BE259" s="171">
        <v>2836.8</v>
      </c>
      <c r="BF259" s="171">
        <v>3546</v>
      </c>
      <c r="BG259" s="174"/>
      <c r="BH259" s="1198">
        <v>1</v>
      </c>
      <c r="BI259" s="1198">
        <v>1</v>
      </c>
      <c r="BJ259" s="1198">
        <v>1</v>
      </c>
      <c r="BK259" s="1198">
        <v>1</v>
      </c>
      <c r="BL259" s="95">
        <v>3120.48</v>
      </c>
      <c r="BM259" s="171">
        <v>567.36</v>
      </c>
      <c r="BN259" s="171">
        <v>709.2</v>
      </c>
      <c r="BO259" s="174"/>
      <c r="BP259" s="1198">
        <v>1</v>
      </c>
      <c r="BQ259" s="1199">
        <v>1</v>
      </c>
      <c r="BR259" s="1199">
        <v>1</v>
      </c>
      <c r="BS259" s="1200">
        <v>1</v>
      </c>
      <c r="BT259" s="94">
        <f t="shared" si="209"/>
        <v>21985.200000000001</v>
      </c>
      <c r="BU259" s="233">
        <f t="shared" si="210"/>
        <v>21985.200000000001</v>
      </c>
      <c r="BV259" s="92">
        <f t="shared" si="211"/>
        <v>4397.04</v>
      </c>
      <c r="BW259" s="233">
        <f t="shared" si="212"/>
        <v>4397.04</v>
      </c>
      <c r="BX259" s="88">
        <v>20.210814510609172</v>
      </c>
      <c r="BY259" s="90">
        <v>0</v>
      </c>
      <c r="BZ259" s="88">
        <v>0</v>
      </c>
      <c r="CA259" s="88">
        <v>0</v>
      </c>
      <c r="CB259" s="88">
        <v>0</v>
      </c>
      <c r="CC259" s="88">
        <v>0</v>
      </c>
      <c r="CD259" s="88">
        <v>0</v>
      </c>
      <c r="CE259" s="100">
        <v>0</v>
      </c>
      <c r="CF259" s="88">
        <v>0</v>
      </c>
      <c r="CG259" s="88">
        <v>0</v>
      </c>
      <c r="CH259" s="88">
        <v>0</v>
      </c>
      <c r="CI259" s="88">
        <v>0</v>
      </c>
      <c r="CJ259" s="228">
        <v>0</v>
      </c>
      <c r="CK259" s="88">
        <v>0</v>
      </c>
      <c r="CL259" s="88">
        <v>0</v>
      </c>
      <c r="CM259" s="88">
        <v>0</v>
      </c>
      <c r="CN259" s="88">
        <v>0</v>
      </c>
      <c r="CO259" s="88">
        <v>0</v>
      </c>
      <c r="CP259" s="88">
        <v>0</v>
      </c>
      <c r="CQ259" s="229">
        <v>0</v>
      </c>
      <c r="CR259" s="91">
        <v>0</v>
      </c>
      <c r="CS259" s="91">
        <v>0</v>
      </c>
      <c r="CT259" s="91">
        <v>0</v>
      </c>
      <c r="CU259" s="91">
        <v>0</v>
      </c>
      <c r="CV259" s="91">
        <v>0</v>
      </c>
      <c r="CW259" s="91">
        <v>0</v>
      </c>
      <c r="CX259" s="225">
        <v>0</v>
      </c>
      <c r="CY259" s="1265">
        <v>7767.5789599999998</v>
      </c>
      <c r="CZ259" s="90">
        <v>0</v>
      </c>
      <c r="DA259" s="88">
        <v>0</v>
      </c>
      <c r="DB259" s="88">
        <v>0</v>
      </c>
      <c r="DC259" s="88">
        <v>0</v>
      </c>
      <c r="DD259" s="88">
        <v>0</v>
      </c>
      <c r="DE259" s="152">
        <v>0</v>
      </c>
      <c r="DF259" s="230">
        <v>0</v>
      </c>
      <c r="DG259" s="38">
        <v>0</v>
      </c>
      <c r="DH259" s="1237">
        <v>0</v>
      </c>
      <c r="DI259" s="956">
        <v>0</v>
      </c>
      <c r="DJ259" s="956">
        <v>0</v>
      </c>
      <c r="DK259" s="956">
        <v>0</v>
      </c>
      <c r="DL259" s="152">
        <v>0</v>
      </c>
      <c r="DM259" s="160">
        <v>0</v>
      </c>
      <c r="DN259" s="160">
        <v>0</v>
      </c>
      <c r="DO259" s="160">
        <v>0</v>
      </c>
      <c r="DP259" s="160">
        <v>0</v>
      </c>
      <c r="DQ259" s="160">
        <v>0</v>
      </c>
      <c r="DR259" s="230">
        <v>0</v>
      </c>
      <c r="DS259" s="88">
        <v>0</v>
      </c>
      <c r="DT259" s="88">
        <v>0</v>
      </c>
      <c r="DU259" s="88">
        <v>0</v>
      </c>
      <c r="DV259" s="88">
        <v>0</v>
      </c>
      <c r="DW259" s="88">
        <v>0</v>
      </c>
      <c r="DX259" s="88">
        <v>0</v>
      </c>
      <c r="DY259" s="88">
        <v>0</v>
      </c>
      <c r="DZ259" s="88">
        <v>0</v>
      </c>
      <c r="EA259" s="88">
        <v>0</v>
      </c>
      <c r="EB259" s="152">
        <v>0</v>
      </c>
      <c r="EC259" s="52">
        <f t="shared" si="213"/>
        <v>0</v>
      </c>
      <c r="ED259" s="52">
        <f t="shared" si="213"/>
        <v>0</v>
      </c>
      <c r="EE259" s="52">
        <f t="shared" si="213"/>
        <v>0</v>
      </c>
      <c r="EF259" s="52">
        <f t="shared" si="186"/>
        <v>0</v>
      </c>
      <c r="EG259" s="52">
        <f t="shared" si="214"/>
        <v>0</v>
      </c>
      <c r="EH259" s="238">
        <v>0</v>
      </c>
      <c r="EI259" s="211">
        <v>0</v>
      </c>
      <c r="EJ259" s="211">
        <v>0</v>
      </c>
      <c r="EK259" s="211">
        <v>0</v>
      </c>
      <c r="EL259" s="217">
        <f>IF(C259&gt;=Summary!$E$26,MAX(0,SUM(EH259:EK259)),0)</f>
        <v>0</v>
      </c>
      <c r="EM259" s="52">
        <f>IF(C259&gt;=Summary!$E$26,DX259*BL259,0)</f>
        <v>0</v>
      </c>
      <c r="EN259" s="52">
        <f>IF(C259&gt;=Summary!$E$26,DY259*BM259,0)</f>
        <v>0</v>
      </c>
      <c r="EO259" s="52">
        <f>IF(C259&gt;=Summary!$E$26,DZ259*BN259,0)</f>
        <v>0</v>
      </c>
      <c r="EP259" s="52">
        <f>IF(C259&gt;=Summary!$E$26,EA259*BO259,0)</f>
        <v>0</v>
      </c>
      <c r="EQ259" s="52">
        <f>IF(C259&gt;=Summary!$E$26,DX259*BL259+DY259*BM259+DZ259*BN259+EA259*BO259,0)</f>
        <v>0</v>
      </c>
      <c r="ER259" s="826">
        <v>0</v>
      </c>
      <c r="ES259" s="278">
        <v>0</v>
      </c>
      <c r="ET259" s="278">
        <v>0</v>
      </c>
      <c r="EU259" s="278">
        <v>0</v>
      </c>
      <c r="EV259" s="212">
        <f>IF(C259&gt;=Summary!$E$26,MAX(0,SUM(ER259:EU259)),0)</f>
        <v>0</v>
      </c>
      <c r="EW259" s="52"/>
      <c r="EX259" s="1049">
        <f t="shared" si="215"/>
        <v>0</v>
      </c>
      <c r="EY259" s="1045" t="str">
        <f t="shared" si="216"/>
        <v/>
      </c>
      <c r="EZ259" s="1684" t="s">
        <v>525</v>
      </c>
      <c r="FA259" s="1046">
        <f t="shared" si="229"/>
        <v>45</v>
      </c>
      <c r="FB259" s="256">
        <f t="shared" si="217"/>
        <v>9751.5</v>
      </c>
      <c r="FC259" s="194">
        <f t="shared" si="218"/>
        <v>2925.45</v>
      </c>
      <c r="FD259" s="194">
        <f t="shared" si="219"/>
        <v>1773</v>
      </c>
      <c r="FE259" s="194">
        <f t="shared" si="220"/>
        <v>531.9</v>
      </c>
      <c r="FF259" s="194">
        <f t="shared" si="221"/>
        <v>2216.25</v>
      </c>
      <c r="FG259" s="194">
        <f t="shared" si="222"/>
        <v>664.875</v>
      </c>
      <c r="FH259" s="257">
        <f>IF(EZ259="No",IF((OR(MONTH(C259)=5,MONTH(C259)=6,MONTH(C259)=7,MONTH(C259)=8,MONTH(C259)=9)),Summary!$O$15*12*(AX259+AY259+AZ259+BA259)*(1-$BC259),Summary!$O$15*13*(AX259+AY259+AZ259+BA259)*(1-$BC259)+IF(Summary!$O$16="Yes",(CALC!FA259+Summary!$O$15)*6*(AX259+AY259+AZ259+BA259)*(1-$BC259),0)),0)</f>
        <v>0</v>
      </c>
      <c r="FI259" s="1412">
        <f>IF(MONTH(C259)=5,FI258*(IF(Summary!$E$70="no",(1+(Summary!$E$71*0.8)),1+HLOOKUP(YEAR(C259)-1,CCFMODEL!$I$127:$AF$128,2)*0.8)),+FI258)</f>
        <v>42.748689366243212</v>
      </c>
      <c r="FJ259" s="1411">
        <f>IF(MONTH(C259)=5,FJ258*(IF(Summary!$E$70="no",(1+(Summary!$E$71*0.8)),1+HLOOKUP(YEAR(CALC!C259)-1,CCFMODEL!$I$127:$AF$128,2)*0.8)),FJ258)</f>
        <v>37.363027713803127</v>
      </c>
      <c r="FK259" s="832">
        <f t="shared" si="187"/>
        <v>763618.76943196834</v>
      </c>
      <c r="FL259" s="1412">
        <f>IF(MONTH(C259)=5,FL258*(IF(Summary!$E$70="no",(1+(Summary!$E$71*0.8)),1+HLOOKUP(YEAR(CALC!C259)-1,CCFMODEL!$I$127:$AF$128,2)*0.8)),+FL258)</f>
        <v>89.905286334929912</v>
      </c>
      <c r="FM259" s="1411">
        <f>IF(MONTH(C259)=5,FM258*(IF(Summary!$E$70="no",(1+(Summary!$E$71*0.8)),1+HLOOKUP(YEAR(CALC!C259)-1,CCFMODEL!$I$127:$AF$128,2)*0.8)),+FM258)</f>
        <v>42.908976915422976</v>
      </c>
      <c r="FN259" s="832">
        <f t="shared" si="188"/>
        <v>778154.29636119562</v>
      </c>
      <c r="FO259" s="194">
        <f t="shared" si="223"/>
        <v>1541773.0657931641</v>
      </c>
      <c r="FP259" s="263">
        <f t="shared" si="238"/>
        <v>9751.5</v>
      </c>
      <c r="FQ259" s="194">
        <f t="shared" si="238"/>
        <v>2925.45</v>
      </c>
      <c r="FR259" s="194">
        <f t="shared" si="238"/>
        <v>1773</v>
      </c>
      <c r="FS259" s="194">
        <f t="shared" si="238"/>
        <v>531.9</v>
      </c>
      <c r="FT259" s="194">
        <f t="shared" si="238"/>
        <v>2216.25</v>
      </c>
      <c r="FU259" s="194">
        <f t="shared" si="238"/>
        <v>664.875</v>
      </c>
      <c r="FV259" s="257">
        <f t="shared" si="238"/>
        <v>0</v>
      </c>
      <c r="FW259" s="189">
        <f t="shared" si="192"/>
        <v>0</v>
      </c>
      <c r="FX259" s="189">
        <f t="shared" si="193"/>
        <v>0</v>
      </c>
      <c r="FY259" s="189">
        <f t="shared" si="194"/>
        <v>0</v>
      </c>
      <c r="FZ259" s="258">
        <f t="shared" si="195"/>
        <v>0</v>
      </c>
      <c r="GA259" s="1294">
        <f>(SUM(FP259:FV259)+SUM(GU259:HB259)/(1-Summary!$O$25))*CY259/1000</f>
        <v>236945.84052005637</v>
      </c>
      <c r="GB259" s="1369">
        <f>IF($C259&lt;Summary!$M$81,+Summary!$O$81,VLOOKUP(C259,GasTable,19))</f>
        <v>3.8185059569793256</v>
      </c>
      <c r="GC259" s="1370">
        <f>IF(H259&lt;=Summary!$N$84,MIN(GA259,Summary!$O$75*(H259-G259+1)),0)</f>
        <v>0</v>
      </c>
      <c r="GD259" s="1371">
        <f>IF(C259&lt;Summary!$N$84,IF(Summary!$O$75*(H259-G259+1)*0.8&gt;GC259,1,0),0)</f>
        <v>0</v>
      </c>
      <c r="GE259" s="1372">
        <v>0</v>
      </c>
      <c r="GF259" s="1370">
        <f t="shared" si="224"/>
        <v>236945.84052005637</v>
      </c>
      <c r="GG259" s="1371">
        <f>GF259*(IF(Summary!$O$74=1,VLOOKUP($C259,GasTable,16)+Summary!$O$92+Summary!$O$93,VLOOKUP($C259,GasTable,19)+Summary!$O$92+Summary!$O$93))</f>
        <v>917123.98179840343</v>
      </c>
      <c r="GH259" s="1373">
        <v>5918.6842333179547</v>
      </c>
      <c r="GI259" s="1466">
        <v>0</v>
      </c>
      <c r="GJ259" s="1374">
        <f t="shared" si="225"/>
        <v>923042.6660317214</v>
      </c>
      <c r="GK259" s="189">
        <f t="shared" si="196"/>
        <v>30062.012850000003</v>
      </c>
      <c r="GL259" s="266">
        <v>0.52042779031999997</v>
      </c>
      <c r="GM259" s="255">
        <f t="shared" si="197"/>
        <v>0</v>
      </c>
      <c r="GN259" s="189">
        <f>IF(SUM(GU259:HB259)=0,0,IF(Summary!$O$16="Yes",SUM(GX259:HB259),IF(Summary!$O$17="Yes",SUM(GY259:HB259),SUM(GU259:HB259))))</f>
        <v>12199.037849999999</v>
      </c>
      <c r="GO259" s="203">
        <v>4.2976878244237646</v>
      </c>
      <c r="GP259" s="258">
        <f t="shared" si="226"/>
        <v>52427.656437629652</v>
      </c>
      <c r="GQ259" s="189"/>
      <c r="GR259" s="189"/>
      <c r="GS259" s="189"/>
      <c r="GT259" s="189"/>
      <c r="GU259" s="268">
        <v>5646.1184999999996</v>
      </c>
      <c r="GV259" s="189">
        <v>1026.5670000000002</v>
      </c>
      <c r="GW259" s="189">
        <v>1283.20875</v>
      </c>
      <c r="GX259" s="189"/>
      <c r="GY259" s="254">
        <v>3011.2631999999999</v>
      </c>
      <c r="GZ259" s="189">
        <v>547.50239999999997</v>
      </c>
      <c r="HA259" s="189">
        <v>684.37800000000004</v>
      </c>
      <c r="HB259" s="255"/>
      <c r="HC259" s="189">
        <v>12199.037849999999</v>
      </c>
      <c r="HD259" s="189"/>
      <c r="HE259" s="189">
        <v>20950.521524999996</v>
      </c>
      <c r="HF259" s="189">
        <v>551636.29803698382</v>
      </c>
      <c r="HG259" s="189"/>
      <c r="HH259" s="203">
        <v>44.477583149327664</v>
      </c>
      <c r="HI259" s="189">
        <v>931828.5631499663</v>
      </c>
      <c r="HJ259" s="268">
        <f t="shared" si="198"/>
        <v>0</v>
      </c>
      <c r="HK259" s="189">
        <f t="shared" si="199"/>
        <v>0</v>
      </c>
      <c r="HL259" s="189">
        <f t="shared" si="200"/>
        <v>0</v>
      </c>
      <c r="HM259" s="255">
        <f t="shared" si="201"/>
        <v>0</v>
      </c>
      <c r="HN259" s="189">
        <f t="shared" si="202"/>
        <v>0</v>
      </c>
      <c r="HO259" s="203">
        <f t="shared" si="227"/>
        <v>0</v>
      </c>
      <c r="HP259" s="258">
        <f t="shared" si="203"/>
        <v>0</v>
      </c>
      <c r="HQ259" s="203" t="s">
        <v>1091</v>
      </c>
      <c r="HR259" s="268">
        <f t="shared" si="241"/>
        <v>603236.67097685765</v>
      </c>
      <c r="HS259" s="1408">
        <f>IF(HT259=0,IF(OR(SUMIF(CURVES!$AU$6:$AU$283,$HQ259,CURVES!$BQ$6:$BQ$283)=0,COUNTIF(CURVES!$AU$6:$AU$283,$HQ259)=0),0,SUMIF(CURVES!$AU$6:$AU$283,$HQ259,CURVES!$BQ$6:$BQ$283)/COUNTIF(CURVES!$AU$6:$AU$283,$HQ259)),HT259/HR259)</f>
        <v>3.7550738504173204</v>
      </c>
      <c r="HT259" s="255">
        <f t="shared" si="242"/>
        <v>2265198.248797995</v>
      </c>
      <c r="HU259" s="268">
        <f t="shared" si="243"/>
        <v>0</v>
      </c>
      <c r="HV259" s="1408" t="e">
        <f>IF(HW259=0,0,HW259/Summary!$O$79/HU259)</f>
        <v>#DIV/0!</v>
      </c>
      <c r="HW259" s="255">
        <f t="shared" si="244"/>
        <v>17033.561433356546</v>
      </c>
      <c r="HX259" s="1408">
        <f>IF(OR(SUMIF(CURVES!$AU$6:$AU$283,$HQ259,CURVES!$BQ$6:$BQ$283)=0,COUNTIF(CURVES!$AU$6:$AU$283,$HQ259)=0),0,SUMIF(CURVES!$AU$6:$AU$283,$HQ259,CURVES!$BQ$6:$BQ$283)/COUNTIF(CURVES!$AU$6:$AU$283,$HQ259))</f>
        <v>4.1919178294617865</v>
      </c>
      <c r="HY259" s="1408">
        <f>IF(OR(SUMIF(CURVES!$AU$6:$AU$283,$HQ259,CURVES!$BR$6:$BR$283)=0,COUNTIF(CURVES!$AU$6:$AU$283,$HQ259)=0),0,SUMIF(CURVES!$AU$6:$AU$283,$HQ259,CURVES!$BR$6:$BR$283)/COUNTIF(CURVES!$AU$6:$AU$283,$HQ259))</f>
        <v>3.3665813276244889</v>
      </c>
      <c r="HZ259"/>
      <c r="IA259" s="203"/>
      <c r="IB259" s="203"/>
      <c r="IC259" s="203"/>
      <c r="ID259" s="203"/>
      <c r="IE259" s="203"/>
      <c r="IF259" s="203"/>
      <c r="IG259" s="203"/>
      <c r="IH259" s="203"/>
      <c r="II259" s="203"/>
      <c r="IJ259" s="203"/>
      <c r="IK259" s="203"/>
      <c r="IL259" s="821"/>
      <c r="IM259" s="820"/>
      <c r="IN259" s="820"/>
      <c r="IR259" s="223"/>
    </row>
    <row r="260" spans="1:252" ht="13.8" thickBot="1">
      <c r="A260" t="str">
        <f t="shared" si="204"/>
        <v>2020Q2</v>
      </c>
      <c r="B260">
        <f t="shared" si="205"/>
        <v>2020</v>
      </c>
      <c r="C260" s="49">
        <f t="shared" si="206"/>
        <v>43922</v>
      </c>
      <c r="D260" s="115">
        <f t="shared" si="207"/>
        <v>2020</v>
      </c>
      <c r="E260" s="10">
        <f t="shared" si="230"/>
        <v>4</v>
      </c>
      <c r="F260" s="248" t="str">
        <f t="shared" si="231"/>
        <v/>
      </c>
      <c r="G260" s="245">
        <v>43922</v>
      </c>
      <c r="H260" s="251">
        <v>43951</v>
      </c>
      <c r="I260" s="959">
        <f t="shared" si="228"/>
        <v>7.1499999999999994E-2</v>
      </c>
      <c r="J260" s="37">
        <f t="shared" si="208"/>
        <v>0.23806079202387737</v>
      </c>
      <c r="K260" s="1036"/>
      <c r="L260" s="37"/>
      <c r="M260" s="1004">
        <v>0</v>
      </c>
      <c r="N260" s="38">
        <f t="shared" si="239"/>
        <v>0</v>
      </c>
      <c r="O260" s="40">
        <f t="shared" si="239"/>
        <v>0</v>
      </c>
      <c r="P260" s="159">
        <f t="shared" si="234"/>
        <v>0</v>
      </c>
      <c r="Q260" s="38">
        <f t="shared" si="245"/>
        <v>0</v>
      </c>
      <c r="R260" s="40">
        <f t="shared" si="245"/>
        <v>0</v>
      </c>
      <c r="S260" s="38">
        <f t="shared" si="245"/>
        <v>0</v>
      </c>
      <c r="T260" s="38">
        <f t="shared" si="245"/>
        <v>0</v>
      </c>
      <c r="U260" s="38">
        <f t="shared" si="245"/>
        <v>0</v>
      </c>
      <c r="V260" s="159">
        <f t="shared" si="245"/>
        <v>0</v>
      </c>
      <c r="W260" s="38">
        <f t="shared" si="245"/>
        <v>0</v>
      </c>
      <c r="X260" s="39">
        <f t="shared" si="245"/>
        <v>0</v>
      </c>
      <c r="Y260" s="46">
        <v>0</v>
      </c>
      <c r="Z260" s="46">
        <v>0</v>
      </c>
      <c r="AA260" s="47">
        <v>0</v>
      </c>
      <c r="AB260" s="46">
        <v>0</v>
      </c>
      <c r="AC260" s="46">
        <v>0</v>
      </c>
      <c r="AD260" s="47">
        <v>0</v>
      </c>
      <c r="AE260" s="46">
        <v>0</v>
      </c>
      <c r="AF260" s="46">
        <v>0</v>
      </c>
      <c r="AG260" s="47">
        <v>0</v>
      </c>
      <c r="AH260" s="46">
        <v>0</v>
      </c>
      <c r="AI260" s="46">
        <v>0</v>
      </c>
      <c r="AJ260" s="47">
        <v>0</v>
      </c>
      <c r="AK260" s="46">
        <v>0</v>
      </c>
      <c r="AL260" s="46">
        <v>0</v>
      </c>
      <c r="AM260" s="47">
        <v>0</v>
      </c>
      <c r="AN260" s="46">
        <v>0</v>
      </c>
      <c r="AO260" s="46">
        <v>0</v>
      </c>
      <c r="AP260" s="47">
        <v>0</v>
      </c>
      <c r="AQ260" s="46">
        <v>0</v>
      </c>
      <c r="AR260" s="46">
        <v>0</v>
      </c>
      <c r="AS260" s="47">
        <v>0</v>
      </c>
      <c r="AT260" s="46">
        <v>0</v>
      </c>
      <c r="AU260" s="46">
        <v>0</v>
      </c>
      <c r="AV260" s="46">
        <v>0</v>
      </c>
      <c r="AW260" s="1545">
        <v>0</v>
      </c>
      <c r="AX260" s="10">
        <f t="shared" si="232"/>
        <v>22</v>
      </c>
      <c r="AY260" s="42">
        <f>IF(AND($E260=MONTH(Summary!$E$24),$D260=YEAR(Summary!$E$24)),Summary!$E$25,1)*IF(G260="",0,INT((H260-MOD(H260,7)-G260)/7)+1-IF(BA260,IF(WEEKDAY(F260)=7,1,0),0))</f>
        <v>4</v>
      </c>
      <c r="AZ260" s="42">
        <f>IF(AND($E260=MONTH(Summary!$E$24),$D260=YEAR(Summary!$E$24)),Summary!$E$25,1)*IF(G260="",0,INT((H260-MOD(H260-1,7)-G260)/7)+1-IF(BA260,IF(WEEKDAY(F260)=1,1,0),0))</f>
        <v>4</v>
      </c>
      <c r="BA260" s="42">
        <v>0</v>
      </c>
      <c r="BB260" s="10">
        <f>IF(AND($E260=MONTH(Summary!$E$24),$D260=YEAR(Summary!$E$24)),Summary!$E$25,1)*IF(G260="",0,H260-G260+1)</f>
        <v>30</v>
      </c>
      <c r="BC260" s="914">
        <f>Summary!$E$19</f>
        <v>1.4999999999999999E-2</v>
      </c>
      <c r="BD260" s="113">
        <v>15602.4</v>
      </c>
      <c r="BE260" s="171">
        <v>2836.8</v>
      </c>
      <c r="BF260" s="171">
        <v>2836.8</v>
      </c>
      <c r="BG260" s="174"/>
      <c r="BH260" s="1198">
        <v>1</v>
      </c>
      <c r="BI260" s="1198">
        <v>1</v>
      </c>
      <c r="BJ260" s="1198">
        <v>1</v>
      </c>
      <c r="BK260" s="1198">
        <v>1</v>
      </c>
      <c r="BL260" s="95">
        <v>3120.48</v>
      </c>
      <c r="BM260" s="171">
        <v>567.36</v>
      </c>
      <c r="BN260" s="171">
        <v>567.36</v>
      </c>
      <c r="BO260" s="174"/>
      <c r="BP260" s="1198">
        <v>1</v>
      </c>
      <c r="BQ260" s="1199">
        <v>1</v>
      </c>
      <c r="BR260" s="1199">
        <v>1</v>
      </c>
      <c r="BS260" s="1200">
        <v>1</v>
      </c>
      <c r="BT260" s="94">
        <f t="shared" si="209"/>
        <v>21276</v>
      </c>
      <c r="BU260" s="233">
        <f t="shared" si="210"/>
        <v>21276</v>
      </c>
      <c r="BV260" s="92">
        <f t="shared" si="211"/>
        <v>4255.2</v>
      </c>
      <c r="BW260" s="233">
        <f t="shared" si="212"/>
        <v>4255.2</v>
      </c>
      <c r="BX260" s="88">
        <v>20.295687885010267</v>
      </c>
      <c r="BY260" s="90">
        <v>0</v>
      </c>
      <c r="BZ260" s="88">
        <v>0</v>
      </c>
      <c r="CA260" s="88">
        <v>0</v>
      </c>
      <c r="CB260" s="88">
        <v>0</v>
      </c>
      <c r="CC260" s="88">
        <v>0</v>
      </c>
      <c r="CD260" s="88">
        <v>0</v>
      </c>
      <c r="CE260" s="100">
        <v>0</v>
      </c>
      <c r="CF260" s="88">
        <v>0</v>
      </c>
      <c r="CG260" s="88">
        <v>0</v>
      </c>
      <c r="CH260" s="88">
        <v>0</v>
      </c>
      <c r="CI260" s="88">
        <v>0</v>
      </c>
      <c r="CJ260" s="228">
        <v>0</v>
      </c>
      <c r="CK260" s="88">
        <v>0</v>
      </c>
      <c r="CL260" s="88">
        <v>0</v>
      </c>
      <c r="CM260" s="88">
        <v>0</v>
      </c>
      <c r="CN260" s="88">
        <v>0</v>
      </c>
      <c r="CO260" s="88">
        <v>0</v>
      </c>
      <c r="CP260" s="88">
        <v>0</v>
      </c>
      <c r="CQ260" s="229">
        <v>0</v>
      </c>
      <c r="CR260" s="91">
        <v>0</v>
      </c>
      <c r="CS260" s="91">
        <v>0</v>
      </c>
      <c r="CT260" s="91">
        <v>0</v>
      </c>
      <c r="CU260" s="91">
        <v>0</v>
      </c>
      <c r="CV260" s="91">
        <v>0</v>
      </c>
      <c r="CW260" s="91">
        <v>0</v>
      </c>
      <c r="CX260" s="225">
        <v>0</v>
      </c>
      <c r="CY260" s="1265">
        <v>7769.609919999999</v>
      </c>
      <c r="CZ260" s="90">
        <v>0</v>
      </c>
      <c r="DA260" s="88">
        <v>0</v>
      </c>
      <c r="DB260" s="88">
        <v>0</v>
      </c>
      <c r="DC260" s="88">
        <v>0</v>
      </c>
      <c r="DD260" s="88">
        <v>0</v>
      </c>
      <c r="DE260" s="152">
        <v>0</v>
      </c>
      <c r="DF260" s="230">
        <v>0</v>
      </c>
      <c r="DG260" s="38">
        <v>0</v>
      </c>
      <c r="DH260" s="1237">
        <v>0</v>
      </c>
      <c r="DI260" s="956">
        <v>0</v>
      </c>
      <c r="DJ260" s="956">
        <v>0</v>
      </c>
      <c r="DK260" s="956">
        <v>0</v>
      </c>
      <c r="DL260" s="152">
        <v>0</v>
      </c>
      <c r="DM260" s="160">
        <v>0</v>
      </c>
      <c r="DN260" s="160">
        <v>0</v>
      </c>
      <c r="DO260" s="160">
        <v>0</v>
      </c>
      <c r="DP260" s="160">
        <v>0</v>
      </c>
      <c r="DQ260" s="160">
        <v>0</v>
      </c>
      <c r="DR260" s="230">
        <v>0</v>
      </c>
      <c r="DS260" s="88">
        <v>0</v>
      </c>
      <c r="DT260" s="88">
        <v>0</v>
      </c>
      <c r="DU260" s="88">
        <v>0</v>
      </c>
      <c r="DV260" s="88">
        <v>0</v>
      </c>
      <c r="DW260" s="88">
        <v>0</v>
      </c>
      <c r="DX260" s="88">
        <v>0</v>
      </c>
      <c r="DY260" s="88">
        <v>0</v>
      </c>
      <c r="DZ260" s="88">
        <v>0</v>
      </c>
      <c r="EA260" s="88">
        <v>0</v>
      </c>
      <c r="EB260" s="152">
        <v>0</v>
      </c>
      <c r="EC260" s="52">
        <f t="shared" si="213"/>
        <v>0</v>
      </c>
      <c r="ED260" s="52">
        <f t="shared" si="213"/>
        <v>0</v>
      </c>
      <c r="EE260" s="52">
        <f t="shared" si="213"/>
        <v>0</v>
      </c>
      <c r="EF260" s="52">
        <f t="shared" si="186"/>
        <v>0</v>
      </c>
      <c r="EG260" s="52">
        <f t="shared" si="214"/>
        <v>0</v>
      </c>
      <c r="EH260" s="238">
        <v>0</v>
      </c>
      <c r="EI260" s="211">
        <v>0</v>
      </c>
      <c r="EJ260" s="211">
        <v>0</v>
      </c>
      <c r="EK260" s="211">
        <v>0</v>
      </c>
      <c r="EL260" s="217">
        <f>IF(C260&gt;=Summary!$E$26,MAX(0,SUM(EH260:EK260)),0)</f>
        <v>0</v>
      </c>
      <c r="EM260" s="52">
        <f>IF(C260&gt;=Summary!$E$26,DX260*BL260,0)</f>
        <v>0</v>
      </c>
      <c r="EN260" s="52">
        <f>IF(C260&gt;=Summary!$E$26,DY260*BM260,0)</f>
        <v>0</v>
      </c>
      <c r="EO260" s="52">
        <f>IF(C260&gt;=Summary!$E$26,DZ260*BN260,0)</f>
        <v>0</v>
      </c>
      <c r="EP260" s="52">
        <f>IF(C260&gt;=Summary!$E$26,EA260*BO260,0)</f>
        <v>0</v>
      </c>
      <c r="EQ260" s="52">
        <f>IF(C260&gt;=Summary!$E$26,DX260*BL260+DY260*BM260+DZ260*BN260+EA260*BO260,0)</f>
        <v>0</v>
      </c>
      <c r="ER260" s="826">
        <v>0</v>
      </c>
      <c r="ES260" s="278">
        <v>0</v>
      </c>
      <c r="ET260" s="278">
        <v>0</v>
      </c>
      <c r="EU260" s="278">
        <v>0</v>
      </c>
      <c r="EV260" s="212">
        <f>IF(C260&gt;=Summary!$E$26,MAX(0,SUM(ER260:EU260)),0)</f>
        <v>0</v>
      </c>
      <c r="EW260" s="52"/>
      <c r="EX260" s="1049">
        <f t="shared" si="215"/>
        <v>0</v>
      </c>
      <c r="EY260" s="1045" t="str">
        <f t="shared" si="216"/>
        <v/>
      </c>
      <c r="EZ260" s="1684" t="s">
        <v>525</v>
      </c>
      <c r="FA260" s="1046">
        <f t="shared" si="229"/>
        <v>45</v>
      </c>
      <c r="FB260" s="256">
        <f t="shared" si="217"/>
        <v>9751.5</v>
      </c>
      <c r="FC260" s="194">
        <f t="shared" si="218"/>
        <v>2925.45</v>
      </c>
      <c r="FD260" s="194">
        <f t="shared" si="219"/>
        <v>1773</v>
      </c>
      <c r="FE260" s="194">
        <f t="shared" si="220"/>
        <v>531.9</v>
      </c>
      <c r="FF260" s="194">
        <f t="shared" si="221"/>
        <v>1773</v>
      </c>
      <c r="FG260" s="194">
        <f t="shared" si="222"/>
        <v>531.9</v>
      </c>
      <c r="FH260" s="257">
        <f>IF(EZ260="No",IF((OR(MONTH(C260)=5,MONTH(C260)=6,MONTH(C260)=7,MONTH(C260)=8,MONTH(C260)=9)),Summary!$O$15*12*(AX260+AY260+AZ260+BA260)*(1-$BC260),Summary!$O$15*13*(AX260+AY260+AZ260+BA260)*(1-$BC260)+IF(Summary!$O$16="Yes",(CALC!FA260+Summary!$O$15)*6*(AX260+AY260+AZ260+BA260)*(1-$BC260),0)),0)</f>
        <v>0</v>
      </c>
      <c r="FI260" s="1412">
        <f>IF(MONTH(C260)=5,FI259*(IF(Summary!$E$70="no",(1+(Summary!$E$71*0.8)),1+HLOOKUP(YEAR(C260)-1,CCFMODEL!$I$127:$AF$128,2)*0.8)),+FI259)</f>
        <v>42.748689366243212</v>
      </c>
      <c r="FJ260" s="1411">
        <f>IF(MONTH(C260)=5,FJ259*(IF(Summary!$E$70="no",(1+(Summary!$E$71*0.8)),1+HLOOKUP(YEAR(CALC!C260)-1,CCFMODEL!$I$127:$AF$128,2)*0.8)),FJ259)</f>
        <v>37.363027713803127</v>
      </c>
      <c r="FK260" s="832">
        <f t="shared" si="187"/>
        <v>738985.9059019048</v>
      </c>
      <c r="FL260" s="1412">
        <f>IF(MONTH(C260)=5,FL259*(IF(Summary!$E$70="no",(1+(Summary!$E$71*0.8)),1+HLOOKUP(YEAR(CALC!C260)-1,CCFMODEL!$I$127:$AF$128,2)*0.8)),+FL259)</f>
        <v>89.905286334929912</v>
      </c>
      <c r="FM260" s="1411">
        <f>IF(MONTH(C260)=5,FM259*(IF(Summary!$E$70="no",(1+(Summary!$E$71*0.8)),1+HLOOKUP(YEAR(CALC!C260)-1,CCFMODEL!$I$127:$AF$128,2)*0.8)),+FM259)</f>
        <v>42.908976915422976</v>
      </c>
      <c r="FN260" s="832">
        <f t="shared" si="188"/>
        <v>753052.54486567318</v>
      </c>
      <c r="FO260" s="194">
        <f t="shared" si="223"/>
        <v>1492038.4507675781</v>
      </c>
      <c r="FP260" s="263">
        <f t="shared" si="238"/>
        <v>9751.5</v>
      </c>
      <c r="FQ260" s="194">
        <f t="shared" si="238"/>
        <v>2925.45</v>
      </c>
      <c r="FR260" s="194">
        <f t="shared" si="238"/>
        <v>1773</v>
      </c>
      <c r="FS260" s="194">
        <f t="shared" si="238"/>
        <v>531.9</v>
      </c>
      <c r="FT260" s="194">
        <f t="shared" si="238"/>
        <v>1773</v>
      </c>
      <c r="FU260" s="194">
        <f t="shared" si="238"/>
        <v>531.9</v>
      </c>
      <c r="FV260" s="257">
        <f t="shared" si="238"/>
        <v>0</v>
      </c>
      <c r="FW260" s="189">
        <f t="shared" si="192"/>
        <v>0</v>
      </c>
      <c r="FX260" s="189">
        <f t="shared" si="193"/>
        <v>0</v>
      </c>
      <c r="FY260" s="189">
        <f t="shared" si="194"/>
        <v>0</v>
      </c>
      <c r="FZ260" s="258">
        <f t="shared" si="195"/>
        <v>0</v>
      </c>
      <c r="GA260" s="1294">
        <f>(SUM(FP260:FV260)+SUM(GU260:HB260)/(1-Summary!$O$25))*CY260/1000</f>
        <v>229362.38116286395</v>
      </c>
      <c r="GB260" s="1369">
        <f>IF($C260&lt;Summary!$M$81,+Summary!$O$81,VLOOKUP(C260,GasTable,19))</f>
        <v>3.70394805234407</v>
      </c>
      <c r="GC260" s="1370">
        <f>IF(H260&lt;=Summary!$N$84,MIN(GA260,Summary!$O$75*(H260-G260+1)),0)</f>
        <v>0</v>
      </c>
      <c r="GD260" s="1371">
        <f>IF(C260&lt;Summary!$N$84,IF(Summary!$O$75*(H260-G260+1)*0.8&gt;GC260,1,0),0)</f>
        <v>0</v>
      </c>
      <c r="GE260" s="1372">
        <v>0</v>
      </c>
      <c r="GF260" s="1370">
        <f t="shared" si="224"/>
        <v>229362.38116286395</v>
      </c>
      <c r="GG260" s="1371">
        <f>GF260*(IF(Summary!$O$74=1,VLOOKUP($C260,GasTable,16)+Summary!$O$92+Summary!$O$93,VLOOKUP($C260,GasTable,19)+Summary!$O$92+Summary!$O$93))</f>
        <v>861496.12504777336</v>
      </c>
      <c r="GH260" s="1373">
        <v>5555.9220785161051</v>
      </c>
      <c r="GI260" s="1466">
        <v>0</v>
      </c>
      <c r="GJ260" s="1374">
        <f t="shared" si="225"/>
        <v>867052.04712628946</v>
      </c>
      <c r="GK260" s="189">
        <f t="shared" si="196"/>
        <v>29092.270500000002</v>
      </c>
      <c r="GL260" s="266">
        <v>0.52056386463999993</v>
      </c>
      <c r="GM260" s="255">
        <f t="shared" si="197"/>
        <v>0</v>
      </c>
      <c r="GN260" s="189">
        <f>IF(SUM(GU260:HB260)=0,0,IF(Summary!$O$16="Yes",SUM(GX260:HB260),IF(Summary!$O$17="Yes",SUM(GY260:HB260),SUM(GU260:HB260))))</f>
        <v>11805.520499999999</v>
      </c>
      <c r="GO260" s="203">
        <v>4.2976878244237646</v>
      </c>
      <c r="GP260" s="258">
        <f t="shared" si="226"/>
        <v>50736.441713835149</v>
      </c>
      <c r="GQ260" s="189"/>
      <c r="GR260" s="189"/>
      <c r="GS260" s="189"/>
      <c r="GT260" s="189"/>
      <c r="GU260" s="268">
        <v>5646.1184999999996</v>
      </c>
      <c r="GV260" s="189">
        <v>1026.5670000000002</v>
      </c>
      <c r="GW260" s="189">
        <v>1026.5670000000002</v>
      </c>
      <c r="GX260" s="189"/>
      <c r="GY260" s="254">
        <v>3011.2631999999999</v>
      </c>
      <c r="GZ260" s="189">
        <v>547.50239999999997</v>
      </c>
      <c r="HA260" s="189">
        <v>547.50239999999997</v>
      </c>
      <c r="HB260" s="255"/>
      <c r="HC260" s="189">
        <v>11805.520499999999</v>
      </c>
      <c r="HD260" s="189"/>
      <c r="HE260" s="189">
        <v>20274.698249999998</v>
      </c>
      <c r="HF260" s="189">
        <v>524869.34404392669</v>
      </c>
      <c r="HG260" s="189"/>
      <c r="HH260" s="203">
        <v>43.656283881301583</v>
      </c>
      <c r="HI260" s="189">
        <v>885117.98240972834</v>
      </c>
      <c r="HJ260" s="268">
        <f t="shared" si="198"/>
        <v>0</v>
      </c>
      <c r="HK260" s="189">
        <f t="shared" si="199"/>
        <v>0</v>
      </c>
      <c r="HL260" s="189">
        <f t="shared" si="200"/>
        <v>0</v>
      </c>
      <c r="HM260" s="255">
        <f t="shared" si="201"/>
        <v>0</v>
      </c>
      <c r="HN260" s="189">
        <f t="shared" si="202"/>
        <v>0</v>
      </c>
      <c r="HO260" s="203">
        <f t="shared" si="227"/>
        <v>0</v>
      </c>
      <c r="HP260" s="258">
        <f t="shared" si="203"/>
        <v>0</v>
      </c>
      <c r="HQ260" s="203" t="s">
        <v>1092</v>
      </c>
      <c r="HR260" s="268">
        <f t="shared" si="241"/>
        <v>698045.98396091035</v>
      </c>
      <c r="HS260" s="1408">
        <f>IF(HT260=0,IF(OR(SUMIF(CURVES!$AU$6:$AU$283,$HQ260,CURVES!$BQ$6:$BQ$283)=0,COUNTIF(CURVES!$AU$6:$AU$283,$HQ260)=0),0,SUMIF(CURVES!$AU$6:$AU$283,$HQ260,CURVES!$BQ$6:$BQ$283)/COUNTIF(CURVES!$AU$6:$AU$283,$HQ260)),HT260/HR260)</f>
        <v>4.2517540041466839</v>
      </c>
      <c r="HT260" s="255">
        <f t="shared" si="242"/>
        <v>2967919.8073843126</v>
      </c>
      <c r="HU260" s="268">
        <f t="shared" si="243"/>
        <v>0</v>
      </c>
      <c r="HV260" s="1408" t="e">
        <f>IF(HW260=0,0,HW260/Summary!$O$79/HU260)</f>
        <v>#DIV/0!</v>
      </c>
      <c r="HW260" s="255">
        <f t="shared" si="244"/>
        <v>19318.266558424923</v>
      </c>
      <c r="HX260" s="1408">
        <f>IF(OR(SUMIF(CURVES!$AU$6:$AU$283,$HQ260,CURVES!$BQ$6:$BQ$283)=0,COUNTIF(CURVES!$AU$6:$AU$283,$HQ260)=0),0,SUMIF(CURVES!$AU$6:$AU$283,$HQ260,CURVES!$BQ$6:$BQ$283)/COUNTIF(CURVES!$AU$6:$AU$283,$HQ260))</f>
        <v>4.689703154696967</v>
      </c>
      <c r="HY260" s="1408">
        <f>IF(OR(SUMIF(CURVES!$AU$6:$AU$283,$HQ260,CURVES!$BR$6:$BR$283)=0,COUNTIF(CURVES!$AU$6:$AU$283,$HQ260)=0),0,SUMIF(CURVES!$AU$6:$AU$283,$HQ260,CURVES!$BR$6:$BR$283)/COUNTIF(CURVES!$AU$6:$AU$283,$HQ260))</f>
        <v>3.6438574254178118</v>
      </c>
      <c r="HZ260"/>
      <c r="IA260" s="203"/>
      <c r="IB260" s="203"/>
      <c r="IC260" s="203"/>
      <c r="ID260" s="203"/>
      <c r="IE260" s="203"/>
      <c r="IF260" s="203"/>
      <c r="IG260" s="203"/>
      <c r="IH260" s="203"/>
      <c r="II260" s="203"/>
      <c r="IJ260" s="203"/>
      <c r="IK260" s="203"/>
      <c r="IL260" s="821"/>
      <c r="IM260" s="820"/>
      <c r="IN260" s="820"/>
      <c r="IR260" s="223"/>
    </row>
    <row r="261" spans="1:252" ht="13.8" thickBot="1">
      <c r="A261" t="str">
        <f t="shared" si="204"/>
        <v>2020Q2</v>
      </c>
      <c r="B261">
        <f t="shared" si="205"/>
        <v>2020</v>
      </c>
      <c r="C261" s="49">
        <f t="shared" si="206"/>
        <v>43952</v>
      </c>
      <c r="D261" s="115">
        <f t="shared" si="207"/>
        <v>2020</v>
      </c>
      <c r="E261" s="10">
        <f t="shared" si="230"/>
        <v>5</v>
      </c>
      <c r="F261" s="248">
        <f t="shared" si="231"/>
        <v>43976</v>
      </c>
      <c r="G261" s="245">
        <v>43952</v>
      </c>
      <c r="H261" s="251">
        <v>43982</v>
      </c>
      <c r="I261" s="959">
        <f t="shared" si="228"/>
        <v>7.1499999999999994E-2</v>
      </c>
      <c r="J261" s="37">
        <f t="shared" si="208"/>
        <v>0.23664558005592007</v>
      </c>
      <c r="K261" s="1036"/>
      <c r="L261" s="37"/>
      <c r="M261" s="1004">
        <v>0</v>
      </c>
      <c r="N261" s="38">
        <f t="shared" si="239"/>
        <v>0</v>
      </c>
      <c r="O261" s="40">
        <f t="shared" si="239"/>
        <v>0</v>
      </c>
      <c r="P261" s="159">
        <f t="shared" si="234"/>
        <v>0</v>
      </c>
      <c r="Q261" s="38">
        <f t="shared" si="245"/>
        <v>0</v>
      </c>
      <c r="R261" s="40">
        <f t="shared" si="245"/>
        <v>0</v>
      </c>
      <c r="S261" s="38">
        <f t="shared" si="245"/>
        <v>0</v>
      </c>
      <c r="T261" s="38">
        <f t="shared" si="245"/>
        <v>0</v>
      </c>
      <c r="U261" s="38">
        <f t="shared" si="245"/>
        <v>0</v>
      </c>
      <c r="V261" s="159">
        <f t="shared" si="245"/>
        <v>0</v>
      </c>
      <c r="W261" s="38">
        <f t="shared" si="245"/>
        <v>0</v>
      </c>
      <c r="X261" s="39">
        <f t="shared" si="245"/>
        <v>0</v>
      </c>
      <c r="Y261" s="46">
        <v>0</v>
      </c>
      <c r="Z261" s="46">
        <v>0</v>
      </c>
      <c r="AA261" s="47">
        <v>0</v>
      </c>
      <c r="AB261" s="46">
        <v>0</v>
      </c>
      <c r="AC261" s="46">
        <v>0</v>
      </c>
      <c r="AD261" s="47">
        <v>0</v>
      </c>
      <c r="AE261" s="46">
        <v>0</v>
      </c>
      <c r="AF261" s="46">
        <v>0</v>
      </c>
      <c r="AG261" s="47">
        <v>0</v>
      </c>
      <c r="AH261" s="46">
        <v>0</v>
      </c>
      <c r="AI261" s="46">
        <v>0</v>
      </c>
      <c r="AJ261" s="47">
        <v>0</v>
      </c>
      <c r="AK261" s="46">
        <v>0</v>
      </c>
      <c r="AL261" s="46">
        <v>0</v>
      </c>
      <c r="AM261" s="47">
        <v>0</v>
      </c>
      <c r="AN261" s="46">
        <v>0</v>
      </c>
      <c r="AO261" s="46">
        <v>0</v>
      </c>
      <c r="AP261" s="47">
        <v>0</v>
      </c>
      <c r="AQ261" s="46">
        <v>0</v>
      </c>
      <c r="AR261" s="46">
        <v>0</v>
      </c>
      <c r="AS261" s="47">
        <v>0</v>
      </c>
      <c r="AT261" s="46">
        <v>0</v>
      </c>
      <c r="AU261" s="46">
        <v>0</v>
      </c>
      <c r="AV261" s="46">
        <v>0</v>
      </c>
      <c r="AW261" s="1545">
        <v>0</v>
      </c>
      <c r="AX261" s="10">
        <f t="shared" si="232"/>
        <v>20</v>
      </c>
      <c r="AY261" s="42">
        <f>IF(AND($E261=MONTH(Summary!$E$24),$D261=YEAR(Summary!$E$24)),Summary!$E$25,1)*IF(G261="",0,INT((H261-MOD(H261,7)-G261)/7)+1-IF(BA261,IF(WEEKDAY(F261)=7,1,0),0))</f>
        <v>5</v>
      </c>
      <c r="AZ261" s="42">
        <f>IF(AND($E261=MONTH(Summary!$E$24),$D261=YEAR(Summary!$E$24)),Summary!$E$25,1)*IF(G261="",0,INT((H261-MOD(H261-1,7)-G261)/7)+1-IF(BA261,IF(WEEKDAY(F261)=1,1,0),0))</f>
        <v>5</v>
      </c>
      <c r="BA261" s="42">
        <v>1</v>
      </c>
      <c r="BB261" s="10">
        <f>IF(AND($E261=MONTH(Summary!$E$24),$D261=YEAR(Summary!$E$24)),Summary!$E$25,1)*IF(G261="",0,H261-G261+1)</f>
        <v>31</v>
      </c>
      <c r="BC261" s="914">
        <f>Summary!$E$19</f>
        <v>1.4999999999999999E-2</v>
      </c>
      <c r="BD261" s="113">
        <v>14184</v>
      </c>
      <c r="BE261" s="171">
        <v>3546</v>
      </c>
      <c r="BF261" s="171">
        <v>4255.2</v>
      </c>
      <c r="BG261" s="174"/>
      <c r="BH261" s="1198">
        <v>1</v>
      </c>
      <c r="BI261" s="1198">
        <v>1</v>
      </c>
      <c r="BJ261" s="1198">
        <v>1</v>
      </c>
      <c r="BK261" s="1198">
        <v>1</v>
      </c>
      <c r="BL261" s="95">
        <v>2836.8</v>
      </c>
      <c r="BM261" s="171">
        <v>709.2</v>
      </c>
      <c r="BN261" s="171">
        <v>851.04</v>
      </c>
      <c r="BO261" s="174"/>
      <c r="BP261" s="1198">
        <v>1</v>
      </c>
      <c r="BQ261" s="1199">
        <v>1</v>
      </c>
      <c r="BR261" s="1199">
        <v>1</v>
      </c>
      <c r="BS261" s="1200">
        <v>1</v>
      </c>
      <c r="BT261" s="94">
        <f t="shared" si="209"/>
        <v>21985.200000000001</v>
      </c>
      <c r="BU261" s="233">
        <f t="shared" si="210"/>
        <v>21985.200000000001</v>
      </c>
      <c r="BV261" s="92">
        <f t="shared" si="211"/>
        <v>4397.04</v>
      </c>
      <c r="BW261" s="233">
        <f t="shared" si="212"/>
        <v>4397.04</v>
      </c>
      <c r="BX261" s="88">
        <v>20.377823408624231</v>
      </c>
      <c r="BY261" s="90">
        <v>0</v>
      </c>
      <c r="BZ261" s="88">
        <v>0</v>
      </c>
      <c r="CA261" s="88">
        <v>0</v>
      </c>
      <c r="CB261" s="88">
        <v>0</v>
      </c>
      <c r="CC261" s="88">
        <v>0</v>
      </c>
      <c r="CD261" s="88">
        <v>0</v>
      </c>
      <c r="CE261" s="100">
        <v>0</v>
      </c>
      <c r="CF261" s="88">
        <v>0</v>
      </c>
      <c r="CG261" s="88">
        <v>0</v>
      </c>
      <c r="CH261" s="88">
        <v>0</v>
      </c>
      <c r="CI261" s="88">
        <v>0</v>
      </c>
      <c r="CJ261" s="228">
        <v>0</v>
      </c>
      <c r="CK261" s="88">
        <v>0</v>
      </c>
      <c r="CL261" s="88">
        <v>0</v>
      </c>
      <c r="CM261" s="88">
        <v>0</v>
      </c>
      <c r="CN261" s="88">
        <v>0</v>
      </c>
      <c r="CO261" s="88">
        <v>0</v>
      </c>
      <c r="CP261" s="88">
        <v>0</v>
      </c>
      <c r="CQ261" s="229">
        <v>0</v>
      </c>
      <c r="CR261" s="91">
        <v>0</v>
      </c>
      <c r="CS261" s="91">
        <v>0</v>
      </c>
      <c r="CT261" s="91">
        <v>0</v>
      </c>
      <c r="CU261" s="91">
        <v>0</v>
      </c>
      <c r="CV261" s="91">
        <v>0</v>
      </c>
      <c r="CW261" s="91">
        <v>0</v>
      </c>
      <c r="CX261" s="225">
        <v>0</v>
      </c>
      <c r="CY261" s="1265">
        <v>7771.6408800000008</v>
      </c>
      <c r="CZ261" s="90">
        <v>0</v>
      </c>
      <c r="DA261" s="88">
        <v>0</v>
      </c>
      <c r="DB261" s="88">
        <v>0</v>
      </c>
      <c r="DC261" s="88">
        <v>0</v>
      </c>
      <c r="DD261" s="88">
        <v>0</v>
      </c>
      <c r="DE261" s="152">
        <v>0</v>
      </c>
      <c r="DF261" s="230">
        <v>0</v>
      </c>
      <c r="DG261" s="38">
        <v>0</v>
      </c>
      <c r="DH261" s="1237">
        <v>0</v>
      </c>
      <c r="DI261" s="956">
        <v>0</v>
      </c>
      <c r="DJ261" s="956">
        <v>0</v>
      </c>
      <c r="DK261" s="956">
        <v>0</v>
      </c>
      <c r="DL261" s="152">
        <v>0</v>
      </c>
      <c r="DM261" s="160">
        <v>0</v>
      </c>
      <c r="DN261" s="160">
        <v>0</v>
      </c>
      <c r="DO261" s="160">
        <v>0</v>
      </c>
      <c r="DP261" s="160">
        <v>0</v>
      </c>
      <c r="DQ261" s="160">
        <v>0</v>
      </c>
      <c r="DR261" s="230">
        <v>0</v>
      </c>
      <c r="DS261" s="88">
        <v>0</v>
      </c>
      <c r="DT261" s="88">
        <v>0</v>
      </c>
      <c r="DU261" s="88">
        <v>0</v>
      </c>
      <c r="DV261" s="88">
        <v>0</v>
      </c>
      <c r="DW261" s="88">
        <v>0</v>
      </c>
      <c r="DX261" s="88">
        <v>0</v>
      </c>
      <c r="DY261" s="88">
        <v>0</v>
      </c>
      <c r="DZ261" s="88">
        <v>0</v>
      </c>
      <c r="EA261" s="88">
        <v>0</v>
      </c>
      <c r="EB261" s="152">
        <v>0</v>
      </c>
      <c r="EC261" s="52">
        <f t="shared" si="213"/>
        <v>0</v>
      </c>
      <c r="ED261" s="52">
        <f t="shared" si="213"/>
        <v>0</v>
      </c>
      <c r="EE261" s="52">
        <f t="shared" si="213"/>
        <v>0</v>
      </c>
      <c r="EF261" s="52">
        <f t="shared" si="186"/>
        <v>0</v>
      </c>
      <c r="EG261" s="52">
        <f t="shared" si="214"/>
        <v>0</v>
      </c>
      <c r="EH261" s="238">
        <v>0</v>
      </c>
      <c r="EI261" s="211">
        <v>0</v>
      </c>
      <c r="EJ261" s="211">
        <v>0</v>
      </c>
      <c r="EK261" s="211">
        <v>0</v>
      </c>
      <c r="EL261" s="217">
        <f>IF(C261&gt;=Summary!$E$26,MAX(0,SUM(EH261:EK261)),0)</f>
        <v>0</v>
      </c>
      <c r="EM261" s="52">
        <f>IF(C261&gt;=Summary!$E$26,DX261*BL261,0)</f>
        <v>0</v>
      </c>
      <c r="EN261" s="52">
        <f>IF(C261&gt;=Summary!$E$26,DY261*BM261,0)</f>
        <v>0</v>
      </c>
      <c r="EO261" s="52">
        <f>IF(C261&gt;=Summary!$E$26,DZ261*BN261,0)</f>
        <v>0</v>
      </c>
      <c r="EP261" s="52">
        <f>IF(C261&gt;=Summary!$E$26,EA261*BO261,0)</f>
        <v>0</v>
      </c>
      <c r="EQ261" s="52">
        <f>IF(C261&gt;=Summary!$E$26,DX261*BL261+DY261*BM261+DZ261*BN261+EA261*BO261,0)</f>
        <v>0</v>
      </c>
      <c r="ER261" s="826">
        <v>0</v>
      </c>
      <c r="ES261" s="278">
        <v>0</v>
      </c>
      <c r="ET261" s="278">
        <v>0</v>
      </c>
      <c r="EU261" s="278">
        <v>0</v>
      </c>
      <c r="EV261" s="212">
        <f>IF(C261&gt;=Summary!$E$26,MAX(0,SUM(ER261:EU261)),0)</f>
        <v>0</v>
      </c>
      <c r="EW261" s="52"/>
      <c r="EX261" s="1049">
        <f t="shared" si="215"/>
        <v>0</v>
      </c>
      <c r="EY261" s="1045" t="str">
        <f t="shared" si="216"/>
        <v/>
      </c>
      <c r="EZ261" s="1684" t="s">
        <v>525</v>
      </c>
      <c r="FA261" s="1046">
        <f t="shared" si="229"/>
        <v>45</v>
      </c>
      <c r="FB261" s="256">
        <f t="shared" si="217"/>
        <v>10638</v>
      </c>
      <c r="FC261" s="194">
        <f t="shared" si="218"/>
        <v>0</v>
      </c>
      <c r="FD261" s="194">
        <f t="shared" si="219"/>
        <v>2659.5</v>
      </c>
      <c r="FE261" s="194">
        <f t="shared" si="220"/>
        <v>0</v>
      </c>
      <c r="FF261" s="194">
        <f t="shared" si="221"/>
        <v>3191.4</v>
      </c>
      <c r="FG261" s="194">
        <f t="shared" si="222"/>
        <v>0</v>
      </c>
      <c r="FH261" s="257">
        <f>IF(EZ261="No",IF((OR(MONTH(C261)=5,MONTH(C261)=6,MONTH(C261)=7,MONTH(C261)=8,MONTH(C261)=9)),Summary!$O$15*12*(AX261+AY261+AZ261+BA261)*(1-$BC261),Summary!$O$15*13*(AX261+AY261+AZ261+BA261)*(1-$BC261)+IF(Summary!$O$16="Yes",(CALC!FA261+Summary!$O$15)*6*(AX261+AY261+AZ261+BA261)*(1-$BC261),0)),0)</f>
        <v>0</v>
      </c>
      <c r="FI261" s="1412">
        <f>IF(MONTH(C261)=5,FI260*(IF(Summary!$E$70="no",(1+(Summary!$E$71*0.8)),1+HLOOKUP(YEAR(C261)-1,CCFMODEL!$I$127:$AF$128,2)*0.8)),+FI260)</f>
        <v>43.774657911033053</v>
      </c>
      <c r="FJ261" s="1411">
        <f>IF(MONTH(C261)=5,FJ260*(IF(Summary!$E$70="no",(1+(Summary!$E$71*0.8)),1+HLOOKUP(YEAR(CALC!C261)-1,CCFMODEL!$I$127:$AF$128,2)*0.8)),FJ260)</f>
        <v>38.259740378934403</v>
      </c>
      <c r="FK261" s="832">
        <f t="shared" si="187"/>
        <v>721795.95682923298</v>
      </c>
      <c r="FL261" s="1412">
        <f>IF(MONTH(C261)=5,FL260*(IF(Summary!$E$70="no",(1+(Summary!$E$71*0.8)),1+HLOOKUP(YEAR(CALC!C261)-1,CCFMODEL!$I$127:$AF$128,2)*0.8)),+FL260)</f>
        <v>92.063013206968236</v>
      </c>
      <c r="FM261" s="1411">
        <f>IF(MONTH(C261)=5,FM260*(IF(Summary!$E$70="no",(1+(Summary!$E$71*0.8)),1+HLOOKUP(YEAR(CALC!C261)-1,CCFMODEL!$I$127:$AF$128,2)*0.8)),+FM260)</f>
        <v>43.938792361393126</v>
      </c>
      <c r="FN261" s="832">
        <f t="shared" si="188"/>
        <v>1541134.8410846482</v>
      </c>
      <c r="FO261" s="194">
        <f t="shared" si="223"/>
        <v>2262930.797913881</v>
      </c>
      <c r="FP261" s="263">
        <f t="shared" si="238"/>
        <v>10638</v>
      </c>
      <c r="FQ261" s="194">
        <f t="shared" si="238"/>
        <v>0</v>
      </c>
      <c r="FR261" s="194">
        <f t="shared" si="238"/>
        <v>2659.5</v>
      </c>
      <c r="FS261" s="194">
        <f t="shared" si="238"/>
        <v>0</v>
      </c>
      <c r="FT261" s="194">
        <f t="shared" si="238"/>
        <v>3191.4</v>
      </c>
      <c r="FU261" s="194">
        <f t="shared" si="238"/>
        <v>0</v>
      </c>
      <c r="FV261" s="257">
        <f t="shared" si="238"/>
        <v>0</v>
      </c>
      <c r="FW261" s="189">
        <f t="shared" si="192"/>
        <v>0</v>
      </c>
      <c r="FX261" s="189">
        <f t="shared" si="193"/>
        <v>0</v>
      </c>
      <c r="FY261" s="189">
        <f t="shared" si="194"/>
        <v>0</v>
      </c>
      <c r="FZ261" s="258">
        <f t="shared" si="195"/>
        <v>0</v>
      </c>
      <c r="GA261" s="1294">
        <f>(SUM(FP261:FV261)+SUM(GU261:HB261)/(1-Summary!$O$25))*CY261/1000</f>
        <v>205033.29488997126</v>
      </c>
      <c r="GB261" s="1369">
        <f>IF($C261&lt;Summary!$M$81,+Summary!$O$81,VLOOKUP(C261,GasTable,19))</f>
        <v>3.6760140218912607</v>
      </c>
      <c r="GC261" s="1370">
        <f>IF(H261&lt;=Summary!$N$84,MIN(GA261,Summary!$O$75*(H261-G261+1)),0)</f>
        <v>0</v>
      </c>
      <c r="GD261" s="1371">
        <f>IF(C261&lt;Summary!$N$84,IF(Summary!$O$75*(H261-G261+1)*0.8&gt;GC261,1,0),0)</f>
        <v>0</v>
      </c>
      <c r="GE261" s="1372">
        <v>0</v>
      </c>
      <c r="GF261" s="1370">
        <f t="shared" si="224"/>
        <v>205033.29488997126</v>
      </c>
      <c r="GG261" s="1371">
        <f>GF261*(IF(Summary!$O$74=1,VLOOKUP($C261,GasTable,16)+Summary!$O$92+Summary!$O$93,VLOOKUP($C261,GasTable,19)+Summary!$O$92+Summary!$O$93))</f>
        <v>764387.50163386774</v>
      </c>
      <c r="GH261" s="1373">
        <v>5697.8217339314542</v>
      </c>
      <c r="GI261" s="1466">
        <v>0</v>
      </c>
      <c r="GJ261" s="1374">
        <f t="shared" si="225"/>
        <v>770085.32336779917</v>
      </c>
      <c r="GK261" s="189">
        <f t="shared" si="196"/>
        <v>26035.973099999999</v>
      </c>
      <c r="GL261" s="266">
        <v>0.52069993896000011</v>
      </c>
      <c r="GM261" s="255">
        <f t="shared" si="197"/>
        <v>0</v>
      </c>
      <c r="GN261" s="189">
        <f>IF(SUM(GU261:HB261)=0,0,IF(Summary!$O$16="Yes",SUM(GX261:HB261),IF(Summary!$O$17="Yes",SUM(GY261:HB261),SUM(GU261:HB261))))</f>
        <v>9547.0731000000014</v>
      </c>
      <c r="GO261" s="203">
        <v>4.2976878244237646</v>
      </c>
      <c r="GP261" s="258">
        <f t="shared" si="226"/>
        <v>41030.339820753652</v>
      </c>
      <c r="GQ261" s="189"/>
      <c r="GR261" s="189"/>
      <c r="GS261" s="189"/>
      <c r="GT261" s="189"/>
      <c r="GU261" s="268">
        <v>3421.89</v>
      </c>
      <c r="GV261" s="189">
        <v>855.47249999999997</v>
      </c>
      <c r="GW261" s="189">
        <v>1026.5669999999998</v>
      </c>
      <c r="GX261" s="189"/>
      <c r="GY261" s="254">
        <v>2737.5120000000002</v>
      </c>
      <c r="GZ261" s="189">
        <v>684.37800000000004</v>
      </c>
      <c r="HA261" s="189">
        <v>821.25359999999989</v>
      </c>
      <c r="HB261" s="255"/>
      <c r="HC261" s="189">
        <v>9547.0731000000014</v>
      </c>
      <c r="HD261" s="189"/>
      <c r="HE261" s="189">
        <v>22276.503900000003</v>
      </c>
      <c r="HF261" s="189">
        <v>443936.71825013455</v>
      </c>
      <c r="HG261" s="189"/>
      <c r="HH261" s="203">
        <v>47.113318409819016</v>
      </c>
      <c r="HI261" s="189">
        <v>1049520.0212982753</v>
      </c>
      <c r="HJ261" s="268">
        <f t="shared" si="198"/>
        <v>0</v>
      </c>
      <c r="HK261" s="189">
        <f t="shared" si="199"/>
        <v>0</v>
      </c>
      <c r="HL261" s="189">
        <f t="shared" si="200"/>
        <v>0</v>
      </c>
      <c r="HM261" s="255">
        <f t="shared" si="201"/>
        <v>0</v>
      </c>
      <c r="HN261" s="189">
        <f t="shared" si="202"/>
        <v>0</v>
      </c>
      <c r="HO261" s="203">
        <f t="shared" si="227"/>
        <v>0</v>
      </c>
      <c r="HP261" s="258">
        <f t="shared" si="203"/>
        <v>0</v>
      </c>
      <c r="HQ261" s="203" t="s">
        <v>1093</v>
      </c>
      <c r="HR261" s="268">
        <f t="shared" si="241"/>
        <v>683410.664944296</v>
      </c>
      <c r="HS261" s="1408">
        <f>IF(HT261=0,IF(OR(SUMIF(CURVES!$AU$6:$AU$283,$HQ261,CURVES!$BQ$6:$BQ$283)=0,COUNTIF(CURVES!$AU$6:$AU$283,$HQ261)=0),0,SUMIF(CURVES!$AU$6:$AU$283,$HQ261,CURVES!$BQ$6:$BQ$283)/COUNTIF(CURVES!$AU$6:$AU$283,$HQ261)),HT261/HR261)</f>
        <v>3.9275979881521614</v>
      </c>
      <c r="HT261" s="255">
        <f t="shared" si="242"/>
        <v>2684162.3527169479</v>
      </c>
      <c r="HU261" s="268">
        <f t="shared" si="243"/>
        <v>0</v>
      </c>
      <c r="HV261" s="1408" t="e">
        <f>IF(HW261=0,0,HW261/Summary!$O$79/HU261)</f>
        <v>#DIV/0!</v>
      </c>
      <c r="HW261" s="255">
        <f t="shared" si="244"/>
        <v>17439.95443284935</v>
      </c>
      <c r="HX261" s="1408">
        <f>IF(OR(SUMIF(CURVES!$AU$6:$AU$283,$HQ261,CURVES!$BQ$6:$BQ$283)=0,COUNTIF(CURVES!$AU$6:$AU$283,$HQ261)=0),0,SUMIF(CURVES!$AU$6:$AU$283,$HQ261,CURVES!$BQ$6:$BQ$283)/COUNTIF(CURVES!$AU$6:$AU$283,$HQ261))</f>
        <v>4.5035677734506514</v>
      </c>
      <c r="HY261" s="1408">
        <f>IF(OR(SUMIF(CURVES!$AU$6:$AU$283,$HQ261,CURVES!$BR$6:$BR$283)=0,COUNTIF(CURVES!$AU$6:$AU$283,$HQ261)=0),0,SUMIF(CURVES!$AU$6:$AU$283,$HQ261,CURVES!$BR$6:$BR$283)/COUNTIF(CURVES!$AU$6:$AU$283,$HQ261))</f>
        <v>3.6704717762457064</v>
      </c>
      <c r="HZ261"/>
      <c r="IA261" s="203"/>
      <c r="IB261" s="203"/>
      <c r="IC261" s="203"/>
      <c r="ID261" s="203"/>
      <c r="IE261" s="203"/>
      <c r="IF261" s="203"/>
      <c r="IG261" s="203"/>
      <c r="IH261" s="203"/>
      <c r="II261" s="203"/>
      <c r="IJ261" s="203"/>
      <c r="IK261" s="203"/>
      <c r="IL261" s="821"/>
      <c r="IM261" s="820"/>
      <c r="IN261" s="820"/>
      <c r="IR261" s="223"/>
    </row>
    <row r="262" spans="1:252" ht="13.8" thickBot="1">
      <c r="A262" t="str">
        <f t="shared" si="204"/>
        <v>2020Q2</v>
      </c>
      <c r="B262">
        <f t="shared" si="205"/>
        <v>2020</v>
      </c>
      <c r="C262" s="49">
        <f t="shared" si="206"/>
        <v>43983</v>
      </c>
      <c r="D262" s="115">
        <f t="shared" si="207"/>
        <v>2020</v>
      </c>
      <c r="E262" s="10">
        <f t="shared" si="230"/>
        <v>6</v>
      </c>
      <c r="F262" s="248" t="str">
        <f t="shared" si="231"/>
        <v/>
      </c>
      <c r="G262" s="245">
        <v>43983</v>
      </c>
      <c r="H262" s="251">
        <v>44012</v>
      </c>
      <c r="I262" s="959">
        <f t="shared" si="228"/>
        <v>7.1499999999999994E-2</v>
      </c>
      <c r="J262" s="37">
        <f t="shared" si="208"/>
        <v>0.23528403097419692</v>
      </c>
      <c r="K262" s="1036"/>
      <c r="L262" s="37"/>
      <c r="M262" s="1004">
        <v>0</v>
      </c>
      <c r="N262" s="38">
        <f t="shared" si="239"/>
        <v>0</v>
      </c>
      <c r="O262" s="40">
        <f t="shared" si="239"/>
        <v>0</v>
      </c>
      <c r="P262" s="159">
        <f t="shared" si="234"/>
        <v>0</v>
      </c>
      <c r="Q262" s="38">
        <f t="shared" si="245"/>
        <v>0</v>
      </c>
      <c r="R262" s="40">
        <f t="shared" si="245"/>
        <v>0</v>
      </c>
      <c r="S262" s="38">
        <f t="shared" si="245"/>
        <v>0</v>
      </c>
      <c r="T262" s="38">
        <f t="shared" si="245"/>
        <v>0</v>
      </c>
      <c r="U262" s="38">
        <f t="shared" si="245"/>
        <v>0</v>
      </c>
      <c r="V262" s="159">
        <f t="shared" si="245"/>
        <v>0</v>
      </c>
      <c r="W262" s="38">
        <f t="shared" si="245"/>
        <v>0</v>
      </c>
      <c r="X262" s="39">
        <f t="shared" si="245"/>
        <v>0</v>
      </c>
      <c r="Y262" s="46">
        <v>0</v>
      </c>
      <c r="Z262" s="46">
        <v>0</v>
      </c>
      <c r="AA262" s="47">
        <v>0</v>
      </c>
      <c r="AB262" s="46">
        <v>0</v>
      </c>
      <c r="AC262" s="46">
        <v>0</v>
      </c>
      <c r="AD262" s="47">
        <v>0</v>
      </c>
      <c r="AE262" s="46">
        <v>0</v>
      </c>
      <c r="AF262" s="46">
        <v>0</v>
      </c>
      <c r="AG262" s="47">
        <v>0</v>
      </c>
      <c r="AH262" s="46">
        <v>0</v>
      </c>
      <c r="AI262" s="46">
        <v>0</v>
      </c>
      <c r="AJ262" s="47">
        <v>0</v>
      </c>
      <c r="AK262" s="46">
        <v>0</v>
      </c>
      <c r="AL262" s="46">
        <v>0</v>
      </c>
      <c r="AM262" s="47">
        <v>0</v>
      </c>
      <c r="AN262" s="46">
        <v>0</v>
      </c>
      <c r="AO262" s="46">
        <v>0</v>
      </c>
      <c r="AP262" s="47">
        <v>0</v>
      </c>
      <c r="AQ262" s="46">
        <v>0</v>
      </c>
      <c r="AR262" s="46">
        <v>0</v>
      </c>
      <c r="AS262" s="47">
        <v>0</v>
      </c>
      <c r="AT262" s="46">
        <v>0</v>
      </c>
      <c r="AU262" s="46">
        <v>0</v>
      </c>
      <c r="AV262" s="46">
        <v>0</v>
      </c>
      <c r="AW262" s="1545">
        <v>0</v>
      </c>
      <c r="AX262" s="10">
        <f t="shared" si="232"/>
        <v>22</v>
      </c>
      <c r="AY262" s="42">
        <f>IF(AND($E262=MONTH(Summary!$E$24),$D262=YEAR(Summary!$E$24)),Summary!$E$25,1)*IF(G262="",0,INT((H262-MOD(H262,7)-G262)/7)+1-IF(BA262,IF(WEEKDAY(F262)=7,1,0),0))</f>
        <v>4</v>
      </c>
      <c r="AZ262" s="42">
        <f>IF(AND($E262=MONTH(Summary!$E$24),$D262=YEAR(Summary!$E$24)),Summary!$E$25,1)*IF(G262="",0,INT((H262-MOD(H262-1,7)-G262)/7)+1-IF(BA262,IF(WEEKDAY(F262)=1,1,0),0))</f>
        <v>4</v>
      </c>
      <c r="BA262" s="42">
        <v>0</v>
      </c>
      <c r="BB262" s="10">
        <f>IF(AND($E262=MONTH(Summary!$E$24),$D262=YEAR(Summary!$E$24)),Summary!$E$25,1)*IF(G262="",0,H262-G262+1)</f>
        <v>30</v>
      </c>
      <c r="BC262" s="914">
        <f>Summary!$E$19</f>
        <v>1.4999999999999999E-2</v>
      </c>
      <c r="BD262" s="113">
        <v>15602.4</v>
      </c>
      <c r="BE262" s="171">
        <v>2836.8</v>
      </c>
      <c r="BF262" s="171">
        <v>2836.8</v>
      </c>
      <c r="BG262" s="174"/>
      <c r="BH262" s="1198">
        <v>1</v>
      </c>
      <c r="BI262" s="1198">
        <v>1</v>
      </c>
      <c r="BJ262" s="1198">
        <v>1</v>
      </c>
      <c r="BK262" s="1198">
        <v>1</v>
      </c>
      <c r="BL262" s="95">
        <v>3120.48</v>
      </c>
      <c r="BM262" s="171">
        <v>567.36</v>
      </c>
      <c r="BN262" s="171">
        <v>567.36</v>
      </c>
      <c r="BO262" s="174"/>
      <c r="BP262" s="1198">
        <v>1</v>
      </c>
      <c r="BQ262" s="1199">
        <v>1</v>
      </c>
      <c r="BR262" s="1199">
        <v>1</v>
      </c>
      <c r="BS262" s="1200">
        <v>1</v>
      </c>
      <c r="BT262" s="94">
        <f t="shared" si="209"/>
        <v>21276</v>
      </c>
      <c r="BU262" s="233">
        <f t="shared" si="210"/>
        <v>21276</v>
      </c>
      <c r="BV262" s="92">
        <f t="shared" si="211"/>
        <v>4255.2</v>
      </c>
      <c r="BW262" s="233">
        <f t="shared" si="212"/>
        <v>4255.2</v>
      </c>
      <c r="BX262" s="88">
        <v>20.462696783025326</v>
      </c>
      <c r="BY262" s="90">
        <v>0</v>
      </c>
      <c r="BZ262" s="88">
        <v>0</v>
      </c>
      <c r="CA262" s="88">
        <v>0</v>
      </c>
      <c r="CB262" s="88">
        <v>0</v>
      </c>
      <c r="CC262" s="88">
        <v>0</v>
      </c>
      <c r="CD262" s="88">
        <v>0</v>
      </c>
      <c r="CE262" s="100">
        <v>0</v>
      </c>
      <c r="CF262" s="88">
        <v>0</v>
      </c>
      <c r="CG262" s="88">
        <v>0</v>
      </c>
      <c r="CH262" s="88">
        <v>0</v>
      </c>
      <c r="CI262" s="88">
        <v>0</v>
      </c>
      <c r="CJ262" s="228">
        <v>0</v>
      </c>
      <c r="CK262" s="88">
        <v>0</v>
      </c>
      <c r="CL262" s="88">
        <v>0</v>
      </c>
      <c r="CM262" s="88">
        <v>0</v>
      </c>
      <c r="CN262" s="88">
        <v>0</v>
      </c>
      <c r="CO262" s="88">
        <v>0</v>
      </c>
      <c r="CP262" s="88">
        <v>0</v>
      </c>
      <c r="CQ262" s="229">
        <v>0</v>
      </c>
      <c r="CR262" s="91">
        <v>0</v>
      </c>
      <c r="CS262" s="91">
        <v>0</v>
      </c>
      <c r="CT262" s="91">
        <v>0</v>
      </c>
      <c r="CU262" s="91">
        <v>0</v>
      </c>
      <c r="CV262" s="91">
        <v>0</v>
      </c>
      <c r="CW262" s="91">
        <v>0</v>
      </c>
      <c r="CX262" s="225">
        <v>0</v>
      </c>
      <c r="CY262" s="1265">
        <v>7773.67184</v>
      </c>
      <c r="CZ262" s="90">
        <v>0</v>
      </c>
      <c r="DA262" s="88">
        <v>0</v>
      </c>
      <c r="DB262" s="88">
        <v>0</v>
      </c>
      <c r="DC262" s="88">
        <v>0</v>
      </c>
      <c r="DD262" s="88">
        <v>0</v>
      </c>
      <c r="DE262" s="152">
        <v>0</v>
      </c>
      <c r="DF262" s="230">
        <v>0</v>
      </c>
      <c r="DG262" s="38">
        <v>0</v>
      </c>
      <c r="DH262" s="1237">
        <v>0</v>
      </c>
      <c r="DI262" s="956">
        <v>0</v>
      </c>
      <c r="DJ262" s="956">
        <v>0</v>
      </c>
      <c r="DK262" s="956">
        <v>0</v>
      </c>
      <c r="DL262" s="152">
        <v>0</v>
      </c>
      <c r="DM262" s="160">
        <v>0</v>
      </c>
      <c r="DN262" s="160">
        <v>0</v>
      </c>
      <c r="DO262" s="160">
        <v>0</v>
      </c>
      <c r="DP262" s="160">
        <v>0</v>
      </c>
      <c r="DQ262" s="160">
        <v>0</v>
      </c>
      <c r="DR262" s="230">
        <v>0</v>
      </c>
      <c r="DS262" s="88">
        <v>0</v>
      </c>
      <c r="DT262" s="88">
        <v>0</v>
      </c>
      <c r="DU262" s="88">
        <v>0</v>
      </c>
      <c r="DV262" s="88">
        <v>0</v>
      </c>
      <c r="DW262" s="88">
        <v>0</v>
      </c>
      <c r="DX262" s="88">
        <v>0</v>
      </c>
      <c r="DY262" s="88">
        <v>0</v>
      </c>
      <c r="DZ262" s="88">
        <v>0</v>
      </c>
      <c r="EA262" s="88">
        <v>0</v>
      </c>
      <c r="EB262" s="152">
        <v>0</v>
      </c>
      <c r="EC262" s="52">
        <f t="shared" si="213"/>
        <v>0</v>
      </c>
      <c r="ED262" s="52">
        <f t="shared" si="213"/>
        <v>0</v>
      </c>
      <c r="EE262" s="52">
        <f t="shared" si="213"/>
        <v>0</v>
      </c>
      <c r="EF262" s="52">
        <f t="shared" si="186"/>
        <v>0</v>
      </c>
      <c r="EG262" s="52">
        <f t="shared" si="214"/>
        <v>0</v>
      </c>
      <c r="EH262" s="238">
        <v>0</v>
      </c>
      <c r="EI262" s="211">
        <v>0</v>
      </c>
      <c r="EJ262" s="211">
        <v>0</v>
      </c>
      <c r="EK262" s="211">
        <v>0</v>
      </c>
      <c r="EL262" s="217">
        <f>IF(C262&gt;=Summary!$E$26,MAX(0,SUM(EH262:EK262)),0)</f>
        <v>0</v>
      </c>
      <c r="EM262" s="52">
        <f>IF(C262&gt;=Summary!$E$26,DX262*BL262,0)</f>
        <v>0</v>
      </c>
      <c r="EN262" s="52">
        <f>IF(C262&gt;=Summary!$E$26,DY262*BM262,0)</f>
        <v>0</v>
      </c>
      <c r="EO262" s="52">
        <f>IF(C262&gt;=Summary!$E$26,DZ262*BN262,0)</f>
        <v>0</v>
      </c>
      <c r="EP262" s="52">
        <f>IF(C262&gt;=Summary!$E$26,EA262*BO262,0)</f>
        <v>0</v>
      </c>
      <c r="EQ262" s="52">
        <f>IF(C262&gt;=Summary!$E$26,DX262*BL262+DY262*BM262+DZ262*BN262+EA262*BO262,0)</f>
        <v>0</v>
      </c>
      <c r="ER262" s="826">
        <v>0</v>
      </c>
      <c r="ES262" s="278">
        <v>0</v>
      </c>
      <c r="ET262" s="278">
        <v>0</v>
      </c>
      <c r="EU262" s="278">
        <v>0</v>
      </c>
      <c r="EV262" s="212">
        <f>IF(C262&gt;=Summary!$E$26,MAX(0,SUM(ER262:EU262)),0)</f>
        <v>0</v>
      </c>
      <c r="EW262" s="52"/>
      <c r="EX262" s="1049">
        <f t="shared" si="215"/>
        <v>0</v>
      </c>
      <c r="EY262" s="1045" t="str">
        <f t="shared" si="216"/>
        <v/>
      </c>
      <c r="EZ262" s="1684" t="s">
        <v>525</v>
      </c>
      <c r="FA262" s="1046">
        <f t="shared" si="229"/>
        <v>45</v>
      </c>
      <c r="FB262" s="256">
        <f t="shared" si="217"/>
        <v>11701.8</v>
      </c>
      <c r="FC262" s="194">
        <f t="shared" si="218"/>
        <v>0</v>
      </c>
      <c r="FD262" s="194">
        <f t="shared" si="219"/>
        <v>2127.6</v>
      </c>
      <c r="FE262" s="194">
        <f t="shared" si="220"/>
        <v>0</v>
      </c>
      <c r="FF262" s="194">
        <f t="shared" si="221"/>
        <v>2127.6</v>
      </c>
      <c r="FG262" s="194">
        <f t="shared" si="222"/>
        <v>0</v>
      </c>
      <c r="FH262" s="257">
        <f>IF(EZ262="No",IF((OR(MONTH(C262)=5,MONTH(C262)=6,MONTH(C262)=7,MONTH(C262)=8,MONTH(C262)=9)),Summary!$O$15*12*(AX262+AY262+AZ262+BA262)*(1-$BC262),Summary!$O$15*13*(AX262+AY262+AZ262+BA262)*(1-$BC262)+IF(Summary!$O$16="Yes",(CALC!FA262+Summary!$O$15)*6*(AX262+AY262+AZ262+BA262)*(1-$BC262),0)),0)</f>
        <v>0</v>
      </c>
      <c r="FI262" s="1412">
        <f>IF(MONTH(C262)=5,FI261*(IF(Summary!$E$70="no",(1+(Summary!$E$71*0.8)),1+HLOOKUP(YEAR(C262)-1,CCFMODEL!$I$127:$AF$128,2)*0.8)),+FI261)</f>
        <v>43.774657911033053</v>
      </c>
      <c r="FJ262" s="1411">
        <f>IF(MONTH(C262)=5,FJ261*(IF(Summary!$E$70="no",(1+(Summary!$E$71*0.8)),1+HLOOKUP(YEAR(CALC!C262)-1,CCFMODEL!$I$127:$AF$128,2)*0.8)),FJ261)</f>
        <v>38.259740378934403</v>
      </c>
      <c r="FK262" s="832">
        <f t="shared" si="187"/>
        <v>698512.21628635447</v>
      </c>
      <c r="FL262" s="1412">
        <f>IF(MONTH(C262)=5,FL261*(IF(Summary!$E$70="no",(1+(Summary!$E$71*0.8)),1+HLOOKUP(YEAR(CALC!C262)-1,CCFMODEL!$I$127:$AF$128,2)*0.8)),+FL261)</f>
        <v>92.063013206968236</v>
      </c>
      <c r="FM262" s="1411">
        <f>IF(MONTH(C262)=5,FM261*(IF(Summary!$E$70="no",(1+(Summary!$E$71*0.8)),1+HLOOKUP(YEAR(CALC!C262)-1,CCFMODEL!$I$127:$AF$128,2)*0.8)),+FM261)</f>
        <v>43.938792361393126</v>
      </c>
      <c r="FN262" s="832">
        <f t="shared" si="188"/>
        <v>1491420.8139528853</v>
      </c>
      <c r="FO262" s="194">
        <f t="shared" si="223"/>
        <v>2189933.0302392398</v>
      </c>
      <c r="FP262" s="263">
        <f t="shared" si="238"/>
        <v>11701.8</v>
      </c>
      <c r="FQ262" s="194">
        <f t="shared" si="238"/>
        <v>0</v>
      </c>
      <c r="FR262" s="194">
        <f t="shared" si="238"/>
        <v>2127.6</v>
      </c>
      <c r="FS262" s="194">
        <f t="shared" si="238"/>
        <v>0</v>
      </c>
      <c r="FT262" s="194">
        <f t="shared" si="238"/>
        <v>2127.6</v>
      </c>
      <c r="FU262" s="194">
        <f t="shared" si="238"/>
        <v>0</v>
      </c>
      <c r="FV262" s="257">
        <f t="shared" si="238"/>
        <v>0</v>
      </c>
      <c r="FW262" s="189">
        <f t="shared" si="192"/>
        <v>0</v>
      </c>
      <c r="FX262" s="189">
        <f t="shared" si="193"/>
        <v>0</v>
      </c>
      <c r="FY262" s="189">
        <f t="shared" si="194"/>
        <v>0</v>
      </c>
      <c r="FZ262" s="258">
        <f t="shared" si="195"/>
        <v>0</v>
      </c>
      <c r="GA262" s="1294">
        <f>(SUM(FP262:FV262)+SUM(GU262:HB262)/(1-Summary!$O$25))*CY262/1000</f>
        <v>198471.17048140796</v>
      </c>
      <c r="GB262" s="1369">
        <f>IF($C262&lt;Summary!$M$81,+Summary!$O$81,VLOOKUP(C262,GasTable,19))</f>
        <v>3.72041814904038</v>
      </c>
      <c r="GC262" s="1370">
        <f>IF(H262&lt;=Summary!$N$84,MIN(GA262,Summary!$O$75*(H262-G262+1)),0)</f>
        <v>0</v>
      </c>
      <c r="GD262" s="1371">
        <f>IF(C262&lt;Summary!$N$84,IF(Summary!$O$75*(H262-G262+1)*0.8&gt;GC262,1,0),0)</f>
        <v>0</v>
      </c>
      <c r="GE262" s="1372">
        <v>0</v>
      </c>
      <c r="GF262" s="1370">
        <f t="shared" si="224"/>
        <v>198471.17048140796</v>
      </c>
      <c r="GG262" s="1371">
        <f>GF262*(IF(Summary!$O$74=1,VLOOKUP($C262,GasTable,16)+Summary!$O$92+Summary!$O$93,VLOOKUP($C262,GasTable,19)+Summary!$O$92+Summary!$O$93))</f>
        <v>748736.09270239878</v>
      </c>
      <c r="GH262" s="1373">
        <v>5580.6272235605702</v>
      </c>
      <c r="GI262" s="1466">
        <v>0</v>
      </c>
      <c r="GJ262" s="1374">
        <f t="shared" si="225"/>
        <v>754316.71992595936</v>
      </c>
      <c r="GK262" s="189">
        <f t="shared" si="196"/>
        <v>25196.103000000006</v>
      </c>
      <c r="GL262" s="266">
        <v>0.52083601327999995</v>
      </c>
      <c r="GM262" s="255">
        <f t="shared" si="197"/>
        <v>0</v>
      </c>
      <c r="GN262" s="189">
        <f>IF(SUM(GU262:HB262)=0,0,IF(Summary!$O$16="Yes",SUM(GX262:HB262),IF(Summary!$O$17="Yes",SUM(GY262:HB262),SUM(GU262:HB262))))</f>
        <v>9239.1029999999992</v>
      </c>
      <c r="GO262" s="203">
        <v>4.2976878244237646</v>
      </c>
      <c r="GP262" s="258">
        <f t="shared" si="226"/>
        <v>39706.780471697071</v>
      </c>
      <c r="GQ262" s="189"/>
      <c r="GR262" s="189"/>
      <c r="GS262" s="189"/>
      <c r="GT262" s="189"/>
      <c r="GU262" s="268">
        <v>3764.0790000000002</v>
      </c>
      <c r="GV262" s="189">
        <v>684.37800000000027</v>
      </c>
      <c r="GW262" s="189">
        <v>684.37800000000027</v>
      </c>
      <c r="GX262" s="189"/>
      <c r="GY262" s="254">
        <v>3011.2631999999999</v>
      </c>
      <c r="GZ262" s="189">
        <v>547.50239999999997</v>
      </c>
      <c r="HA262" s="189">
        <v>547.50239999999997</v>
      </c>
      <c r="HB262" s="255"/>
      <c r="HC262" s="189">
        <v>9239.1029999999992</v>
      </c>
      <c r="HD262" s="189"/>
      <c r="HE262" s="189">
        <v>21557.906999999999</v>
      </c>
      <c r="HF262" s="189">
        <v>432769.17238286871</v>
      </c>
      <c r="HG262" s="189"/>
      <c r="HH262" s="203">
        <v>48.457683445150465</v>
      </c>
      <c r="HI262" s="189">
        <v>1044646.2331459933</v>
      </c>
      <c r="HJ262" s="268">
        <f t="shared" si="198"/>
        <v>0</v>
      </c>
      <c r="HK262" s="189">
        <f t="shared" si="199"/>
        <v>0</v>
      </c>
      <c r="HL262" s="189">
        <f t="shared" si="200"/>
        <v>0</v>
      </c>
      <c r="HM262" s="255">
        <f t="shared" si="201"/>
        <v>0</v>
      </c>
      <c r="HN262" s="189">
        <f t="shared" si="202"/>
        <v>0</v>
      </c>
      <c r="HO262" s="203">
        <f t="shared" si="227"/>
        <v>0</v>
      </c>
      <c r="HP262" s="258">
        <f t="shared" si="203"/>
        <v>0</v>
      </c>
      <c r="HQ262" s="203" t="s">
        <v>1094</v>
      </c>
      <c r="HR262" s="268">
        <f t="shared" si="241"/>
        <v>628897.51117661758</v>
      </c>
      <c r="HS262" s="1408">
        <f>IF(HT262=0,IF(OR(SUMIF(CURVES!$AU$6:$AU$283,$HQ262,CURVES!$BQ$6:$BQ$283)=0,COUNTIF(CURVES!$AU$6:$AU$283,$HQ262)=0),0,SUMIF(CURVES!$AU$6:$AU$283,$HQ262,CURVES!$BQ$6:$BQ$283)/COUNTIF(CURVES!$AU$6:$AU$283,$HQ262)),HT262/HR262)</f>
        <v>3.5706680827846413</v>
      </c>
      <c r="HT262" s="255">
        <f t="shared" si="242"/>
        <v>2245584.2705010455</v>
      </c>
      <c r="HU262" s="268">
        <f t="shared" si="243"/>
        <v>0</v>
      </c>
      <c r="HV262" s="1408" t="e">
        <f>IF(HW262=0,0,HW262/Summary!$O$79/HU262)</f>
        <v>#DIV/0!</v>
      </c>
      <c r="HW262" s="255">
        <f t="shared" si="244"/>
        <v>16008.612987666475</v>
      </c>
      <c r="HX262" s="1408">
        <f>IF(OR(SUMIF(CURVES!$AU$6:$AU$283,$HQ262,CURVES!$BQ$6:$BQ$283)=0,COUNTIF(CURVES!$AU$6:$AU$283,$HQ262)=0),0,SUMIF(CURVES!$AU$6:$AU$283,$HQ262,CURVES!$BQ$6:$BQ$283)/COUNTIF(CURVES!$AU$6:$AU$283,$HQ262))</f>
        <v>4.18672524256288</v>
      </c>
      <c r="HY262" s="1408">
        <f>IF(OR(SUMIF(CURVES!$AU$6:$AU$283,$HQ262,CURVES!$BR$6:$BR$283)=0,COUNTIF(CURVES!$AU$6:$AU$283,$HQ262)=0),0,SUMIF(CURVES!$AU$6:$AU$283,$HQ262,CURVES!$BR$6:$BR$283)/COUNTIF(CURVES!$AU$6:$AU$283,$HQ262))</f>
        <v>3.331539126820577</v>
      </c>
      <c r="HZ262"/>
      <c r="IA262" s="203"/>
      <c r="IB262" s="203"/>
      <c r="IC262" s="203"/>
      <c r="ID262" s="203"/>
      <c r="IE262" s="203"/>
      <c r="IF262" s="203"/>
      <c r="IG262" s="203"/>
      <c r="IH262" s="203"/>
      <c r="II262" s="203"/>
      <c r="IJ262" s="203"/>
      <c r="IK262" s="203"/>
      <c r="IL262" s="821"/>
      <c r="IM262" s="820"/>
      <c r="IN262" s="820"/>
      <c r="IR262" s="223"/>
    </row>
    <row r="263" spans="1:252" ht="13.8" thickBot="1">
      <c r="A263" t="str">
        <f t="shared" si="204"/>
        <v>2020Q3</v>
      </c>
      <c r="B263">
        <f t="shared" si="205"/>
        <v>2020</v>
      </c>
      <c r="C263" s="49">
        <f t="shared" si="206"/>
        <v>44013</v>
      </c>
      <c r="D263" s="115">
        <f t="shared" si="207"/>
        <v>2020</v>
      </c>
      <c r="E263" s="10">
        <f t="shared" si="230"/>
        <v>7</v>
      </c>
      <c r="F263" s="248">
        <f t="shared" si="231"/>
        <v>44016</v>
      </c>
      <c r="G263" s="245">
        <v>44013</v>
      </c>
      <c r="H263" s="251">
        <v>44043</v>
      </c>
      <c r="I263" s="959">
        <f t="shared" si="228"/>
        <v>7.1499999999999994E-2</v>
      </c>
      <c r="J263" s="37">
        <f t="shared" si="208"/>
        <v>0.2338853261573596</v>
      </c>
      <c r="K263" s="1036"/>
      <c r="L263" s="37"/>
      <c r="M263" s="1004">
        <v>0</v>
      </c>
      <c r="N263" s="38">
        <f t="shared" si="239"/>
        <v>0</v>
      </c>
      <c r="O263" s="40">
        <f t="shared" si="239"/>
        <v>0</v>
      </c>
      <c r="P263" s="159">
        <f t="shared" si="234"/>
        <v>0</v>
      </c>
      <c r="Q263" s="38">
        <f t="shared" si="245"/>
        <v>0</v>
      </c>
      <c r="R263" s="40">
        <f t="shared" si="245"/>
        <v>0</v>
      </c>
      <c r="S263" s="38">
        <f t="shared" si="245"/>
        <v>0</v>
      </c>
      <c r="T263" s="38">
        <f t="shared" si="245"/>
        <v>0</v>
      </c>
      <c r="U263" s="38">
        <f t="shared" si="245"/>
        <v>0</v>
      </c>
      <c r="V263" s="159">
        <f t="shared" si="245"/>
        <v>0</v>
      </c>
      <c r="W263" s="38">
        <f t="shared" si="245"/>
        <v>0</v>
      </c>
      <c r="X263" s="39">
        <f t="shared" si="245"/>
        <v>0</v>
      </c>
      <c r="Y263" s="46">
        <v>0</v>
      </c>
      <c r="Z263" s="46">
        <v>0</v>
      </c>
      <c r="AA263" s="47">
        <v>0</v>
      </c>
      <c r="AB263" s="46">
        <v>0</v>
      </c>
      <c r="AC263" s="46">
        <v>0</v>
      </c>
      <c r="AD263" s="47">
        <v>0</v>
      </c>
      <c r="AE263" s="46">
        <v>0</v>
      </c>
      <c r="AF263" s="46">
        <v>0</v>
      </c>
      <c r="AG263" s="47">
        <v>0</v>
      </c>
      <c r="AH263" s="46">
        <v>0</v>
      </c>
      <c r="AI263" s="46">
        <v>0</v>
      </c>
      <c r="AJ263" s="47">
        <v>0</v>
      </c>
      <c r="AK263" s="46">
        <v>0</v>
      </c>
      <c r="AL263" s="46">
        <v>0</v>
      </c>
      <c r="AM263" s="47">
        <v>0</v>
      </c>
      <c r="AN263" s="46">
        <v>0</v>
      </c>
      <c r="AO263" s="46">
        <v>0</v>
      </c>
      <c r="AP263" s="47">
        <v>0</v>
      </c>
      <c r="AQ263" s="46">
        <v>0</v>
      </c>
      <c r="AR263" s="46">
        <v>0</v>
      </c>
      <c r="AS263" s="47">
        <v>0</v>
      </c>
      <c r="AT263" s="46">
        <v>0</v>
      </c>
      <c r="AU263" s="46">
        <v>0</v>
      </c>
      <c r="AV263" s="46">
        <v>0</v>
      </c>
      <c r="AW263" s="1545">
        <v>0</v>
      </c>
      <c r="AX263" s="10">
        <f t="shared" si="232"/>
        <v>23</v>
      </c>
      <c r="AY263" s="42">
        <f>IF(AND($E263=MONTH(Summary!$E$24),$D263=YEAR(Summary!$E$24)),Summary!$E$25,1)*IF(G263="",0,INT((H263-MOD(H263,7)-G263)/7)+1-IF(BA263,IF(WEEKDAY(F263)=7,1,0),0))</f>
        <v>3</v>
      </c>
      <c r="AZ263" s="42">
        <f>IF(AND($E263=MONTH(Summary!$E$24),$D263=YEAR(Summary!$E$24)),Summary!$E$25,1)*IF(G263="",0,INT((H263-MOD(H263-1,7)-G263)/7)+1-IF(BA263,IF(WEEKDAY(F263)=1,1,0),0))</f>
        <v>4</v>
      </c>
      <c r="BA263" s="42">
        <v>1</v>
      </c>
      <c r="BB263" s="10">
        <f>IF(AND($E263=MONTH(Summary!$E$24),$D263=YEAR(Summary!$E$24)),Summary!$E$25,1)*IF(G263="",0,H263-G263+1)</f>
        <v>31</v>
      </c>
      <c r="BC263" s="914">
        <f>Summary!$E$19</f>
        <v>1.4999999999999999E-2</v>
      </c>
      <c r="BD263" s="113">
        <v>16311.6</v>
      </c>
      <c r="BE263" s="171">
        <v>2127.6</v>
      </c>
      <c r="BF263" s="171">
        <v>3546</v>
      </c>
      <c r="BG263" s="174"/>
      <c r="BH263" s="1198">
        <v>1</v>
      </c>
      <c r="BI263" s="1198">
        <v>1</v>
      </c>
      <c r="BJ263" s="1198">
        <v>1</v>
      </c>
      <c r="BK263" s="1198">
        <v>1</v>
      </c>
      <c r="BL263" s="95">
        <v>3262.32</v>
      </c>
      <c r="BM263" s="171">
        <v>425.52</v>
      </c>
      <c r="BN263" s="171">
        <v>709.2</v>
      </c>
      <c r="BO263" s="174"/>
      <c r="BP263" s="1198">
        <v>1</v>
      </c>
      <c r="BQ263" s="1199">
        <v>1</v>
      </c>
      <c r="BR263" s="1199">
        <v>1</v>
      </c>
      <c r="BS263" s="1200">
        <v>1</v>
      </c>
      <c r="BT263" s="94">
        <f t="shared" si="209"/>
        <v>21985.200000000001</v>
      </c>
      <c r="BU263" s="233">
        <f t="shared" si="210"/>
        <v>21985.200000000001</v>
      </c>
      <c r="BV263" s="92">
        <f t="shared" si="211"/>
        <v>4397.04</v>
      </c>
      <c r="BW263" s="233">
        <f t="shared" si="212"/>
        <v>4397.04</v>
      </c>
      <c r="BX263" s="88">
        <v>20.544832306639289</v>
      </c>
      <c r="BY263" s="90">
        <v>0</v>
      </c>
      <c r="BZ263" s="88">
        <v>0</v>
      </c>
      <c r="CA263" s="88">
        <v>0</v>
      </c>
      <c r="CB263" s="88">
        <v>0</v>
      </c>
      <c r="CC263" s="88">
        <v>0</v>
      </c>
      <c r="CD263" s="88">
        <v>0</v>
      </c>
      <c r="CE263" s="100">
        <v>0</v>
      </c>
      <c r="CF263" s="88">
        <v>0</v>
      </c>
      <c r="CG263" s="88">
        <v>0</v>
      </c>
      <c r="CH263" s="88">
        <v>0</v>
      </c>
      <c r="CI263" s="88">
        <v>0</v>
      </c>
      <c r="CJ263" s="228">
        <v>0</v>
      </c>
      <c r="CK263" s="88">
        <v>0</v>
      </c>
      <c r="CL263" s="88">
        <v>0</v>
      </c>
      <c r="CM263" s="88">
        <v>0</v>
      </c>
      <c r="CN263" s="88">
        <v>0</v>
      </c>
      <c r="CO263" s="88">
        <v>0</v>
      </c>
      <c r="CP263" s="88">
        <v>0</v>
      </c>
      <c r="CQ263" s="229">
        <v>0</v>
      </c>
      <c r="CR263" s="91">
        <v>0</v>
      </c>
      <c r="CS263" s="91">
        <v>0</v>
      </c>
      <c r="CT263" s="91">
        <v>0</v>
      </c>
      <c r="CU263" s="91">
        <v>0</v>
      </c>
      <c r="CV263" s="91">
        <v>0</v>
      </c>
      <c r="CW263" s="91">
        <v>0</v>
      </c>
      <c r="CX263" s="225">
        <v>0</v>
      </c>
      <c r="CY263" s="1265">
        <v>7775.7028</v>
      </c>
      <c r="CZ263" s="90">
        <v>0</v>
      </c>
      <c r="DA263" s="88">
        <v>0</v>
      </c>
      <c r="DB263" s="88">
        <v>0</v>
      </c>
      <c r="DC263" s="88">
        <v>0</v>
      </c>
      <c r="DD263" s="88">
        <v>0</v>
      </c>
      <c r="DE263" s="152">
        <v>0</v>
      </c>
      <c r="DF263" s="230">
        <v>0</v>
      </c>
      <c r="DG263" s="38">
        <v>0</v>
      </c>
      <c r="DH263" s="1237">
        <v>0</v>
      </c>
      <c r="DI263" s="956">
        <v>0</v>
      </c>
      <c r="DJ263" s="956">
        <v>0</v>
      </c>
      <c r="DK263" s="956">
        <v>0</v>
      </c>
      <c r="DL263" s="152">
        <v>0</v>
      </c>
      <c r="DM263" s="160">
        <v>0</v>
      </c>
      <c r="DN263" s="160">
        <v>0</v>
      </c>
      <c r="DO263" s="160">
        <v>0</v>
      </c>
      <c r="DP263" s="160">
        <v>0</v>
      </c>
      <c r="DQ263" s="160">
        <v>0</v>
      </c>
      <c r="DR263" s="230">
        <v>0</v>
      </c>
      <c r="DS263" s="88">
        <v>0</v>
      </c>
      <c r="DT263" s="88">
        <v>0</v>
      </c>
      <c r="DU263" s="88">
        <v>0</v>
      </c>
      <c r="DV263" s="88">
        <v>0</v>
      </c>
      <c r="DW263" s="88">
        <v>0</v>
      </c>
      <c r="DX263" s="88">
        <v>0</v>
      </c>
      <c r="DY263" s="88">
        <v>0</v>
      </c>
      <c r="DZ263" s="88">
        <v>0</v>
      </c>
      <c r="EA263" s="88">
        <v>0</v>
      </c>
      <c r="EB263" s="152">
        <v>0</v>
      </c>
      <c r="EC263" s="52">
        <f t="shared" si="213"/>
        <v>0</v>
      </c>
      <c r="ED263" s="52">
        <f t="shared" si="213"/>
        <v>0</v>
      </c>
      <c r="EE263" s="52">
        <f t="shared" si="213"/>
        <v>0</v>
      </c>
      <c r="EF263" s="52">
        <f t="shared" si="186"/>
        <v>0</v>
      </c>
      <c r="EG263" s="52">
        <f t="shared" si="214"/>
        <v>0</v>
      </c>
      <c r="EH263" s="238">
        <v>0</v>
      </c>
      <c r="EI263" s="211">
        <v>0</v>
      </c>
      <c r="EJ263" s="211">
        <v>0</v>
      </c>
      <c r="EK263" s="211">
        <v>0</v>
      </c>
      <c r="EL263" s="217">
        <f>IF(C263&gt;=Summary!$E$26,MAX(0,SUM(EH263:EK263)),0)</f>
        <v>0</v>
      </c>
      <c r="EM263" s="52">
        <f>IF(C263&gt;=Summary!$E$26,DX263*BL263,0)</f>
        <v>0</v>
      </c>
      <c r="EN263" s="52">
        <f>IF(C263&gt;=Summary!$E$26,DY263*BM263,0)</f>
        <v>0</v>
      </c>
      <c r="EO263" s="52">
        <f>IF(C263&gt;=Summary!$E$26,DZ263*BN263,0)</f>
        <v>0</v>
      </c>
      <c r="EP263" s="52">
        <f>IF(C263&gt;=Summary!$E$26,EA263*BO263,0)</f>
        <v>0</v>
      </c>
      <c r="EQ263" s="52">
        <f>IF(C263&gt;=Summary!$E$26,DX263*BL263+DY263*BM263+DZ263*BN263+EA263*BO263,0)</f>
        <v>0</v>
      </c>
      <c r="ER263" s="826">
        <v>0</v>
      </c>
      <c r="ES263" s="278">
        <v>0</v>
      </c>
      <c r="ET263" s="278">
        <v>0</v>
      </c>
      <c r="EU263" s="278">
        <v>0</v>
      </c>
      <c r="EV263" s="212">
        <f>IF(C263&gt;=Summary!$E$26,MAX(0,SUM(ER263:EU263)),0)</f>
        <v>0</v>
      </c>
      <c r="EW263" s="52"/>
      <c r="EX263" s="1049">
        <f t="shared" si="215"/>
        <v>0</v>
      </c>
      <c r="EY263" s="1045" t="str">
        <f t="shared" si="216"/>
        <v/>
      </c>
      <c r="EZ263" s="1684" t="s">
        <v>525</v>
      </c>
      <c r="FA263" s="1046">
        <f t="shared" si="229"/>
        <v>45</v>
      </c>
      <c r="FB263" s="256">
        <f t="shared" si="217"/>
        <v>12233.7</v>
      </c>
      <c r="FC263" s="194">
        <f t="shared" si="218"/>
        <v>0</v>
      </c>
      <c r="FD263" s="194">
        <f t="shared" si="219"/>
        <v>1595.7</v>
      </c>
      <c r="FE263" s="194">
        <f t="shared" si="220"/>
        <v>0</v>
      </c>
      <c r="FF263" s="194">
        <f t="shared" si="221"/>
        <v>2659.5</v>
      </c>
      <c r="FG263" s="194">
        <f t="shared" si="222"/>
        <v>0</v>
      </c>
      <c r="FH263" s="257">
        <f>IF(EZ263="No",IF((OR(MONTH(C263)=5,MONTH(C263)=6,MONTH(C263)=7,MONTH(C263)=8,MONTH(C263)=9)),Summary!$O$15*12*(AX263+AY263+AZ263+BA263)*(1-$BC263),Summary!$O$15*13*(AX263+AY263+AZ263+BA263)*(1-$BC263)+IF(Summary!$O$16="Yes",(CALC!FA263+Summary!$O$15)*6*(AX263+AY263+AZ263+BA263)*(1-$BC263),0)),0)</f>
        <v>0</v>
      </c>
      <c r="FI263" s="1412">
        <f>IF(MONTH(C263)=5,FI262*(IF(Summary!$E$70="no",(1+(Summary!$E$71*0.8)),1+HLOOKUP(YEAR(C263)-1,CCFMODEL!$I$127:$AF$128,2)*0.8)),+FI262)</f>
        <v>43.774657911033053</v>
      </c>
      <c r="FJ263" s="1411">
        <f>IF(MONTH(C263)=5,FJ262*(IF(Summary!$E$70="no",(1+(Summary!$E$71*0.8)),1+HLOOKUP(YEAR(CALC!C263)-1,CCFMODEL!$I$127:$AF$128,2)*0.8)),FJ262)</f>
        <v>38.259740378934403</v>
      </c>
      <c r="FK263" s="832">
        <f t="shared" si="187"/>
        <v>721795.95682923298</v>
      </c>
      <c r="FL263" s="1412">
        <f>IF(MONTH(C263)=5,FL262*(IF(Summary!$E$70="no",(1+(Summary!$E$71*0.8)),1+HLOOKUP(YEAR(CALC!C263)-1,CCFMODEL!$I$127:$AF$128,2)*0.8)),+FL262)</f>
        <v>92.063013206968236</v>
      </c>
      <c r="FM263" s="1411">
        <f>IF(MONTH(C263)=5,FM262*(IF(Summary!$E$70="no",(1+(Summary!$E$71*0.8)),1+HLOOKUP(YEAR(CALC!C263)-1,CCFMODEL!$I$127:$AF$128,2)*0.8)),+FM262)</f>
        <v>43.938792361393126</v>
      </c>
      <c r="FN263" s="832">
        <f t="shared" si="188"/>
        <v>1541134.8410846482</v>
      </c>
      <c r="FO263" s="194">
        <f t="shared" si="223"/>
        <v>2262930.797913881</v>
      </c>
      <c r="FP263" s="263">
        <f t="shared" si="238"/>
        <v>12233.7</v>
      </c>
      <c r="FQ263" s="194">
        <f t="shared" si="238"/>
        <v>0</v>
      </c>
      <c r="FR263" s="194">
        <f t="shared" si="238"/>
        <v>1595.7</v>
      </c>
      <c r="FS263" s="194">
        <f t="shared" si="238"/>
        <v>0</v>
      </c>
      <c r="FT263" s="194">
        <f t="shared" si="238"/>
        <v>2659.5</v>
      </c>
      <c r="FU263" s="194">
        <f t="shared" si="238"/>
        <v>0</v>
      </c>
      <c r="FV263" s="257">
        <f t="shared" si="238"/>
        <v>0</v>
      </c>
      <c r="FW263" s="189">
        <f t="shared" si="192"/>
        <v>0</v>
      </c>
      <c r="FX263" s="189">
        <f t="shared" si="193"/>
        <v>0</v>
      </c>
      <c r="FY263" s="189">
        <f t="shared" si="194"/>
        <v>0</v>
      </c>
      <c r="FZ263" s="258">
        <f t="shared" si="195"/>
        <v>0</v>
      </c>
      <c r="GA263" s="1294">
        <f>(SUM(FP263:FV263)+SUM(GU263:HB263)/(1-Summary!$O$25))*CY263/1000</f>
        <v>205140.45743827199</v>
      </c>
      <c r="GB263" s="1369">
        <f>IF($C263&lt;Summary!$M$81,+Summary!$O$81,VLOOKUP(C263,GasTable,19))</f>
        <v>3.8219710190877305</v>
      </c>
      <c r="GC263" s="1370">
        <f>IF(H263&lt;=Summary!$N$84,MIN(GA263,Summary!$O$75*(H263-G263+1)),0)</f>
        <v>0</v>
      </c>
      <c r="GD263" s="1371">
        <f>IF(C263&lt;Summary!$N$84,IF(Summary!$O$75*(H263-G263+1)*0.8&gt;GC263,1,0),0)</f>
        <v>0</v>
      </c>
      <c r="GE263" s="1372">
        <v>0</v>
      </c>
      <c r="GF263" s="1370">
        <f t="shared" si="224"/>
        <v>205140.45743827199</v>
      </c>
      <c r="GG263" s="1371">
        <f>GF263*(IF(Summary!$O$74=1,VLOOKUP($C263,GasTable,16)+Summary!$O$92+Summary!$O$93,VLOOKUP($C263,GasTable,19)+Summary!$O$92+Summary!$O$93))</f>
        <v>794728.70100400958</v>
      </c>
      <c r="GH263" s="1373">
        <v>5924.0550795859826</v>
      </c>
      <c r="GI263" s="1466">
        <v>0</v>
      </c>
      <c r="GJ263" s="1374">
        <f t="shared" si="225"/>
        <v>800652.75608359557</v>
      </c>
      <c r="GK263" s="189">
        <f t="shared" si="196"/>
        <v>26035.973100000003</v>
      </c>
      <c r="GL263" s="266">
        <v>0.52097208760000002</v>
      </c>
      <c r="GM263" s="255">
        <f t="shared" si="197"/>
        <v>0</v>
      </c>
      <c r="GN263" s="189">
        <f>IF(SUM(GU263:HB263)=0,0,IF(Summary!$O$16="Yes",SUM(GX263:HB263),IF(Summary!$O$17="Yes",SUM(GY263:HB263),SUM(GU263:HB263))))</f>
        <v>9547.0730999999996</v>
      </c>
      <c r="GO263" s="203">
        <v>4.2976878244237646</v>
      </c>
      <c r="GP263" s="258">
        <f t="shared" si="226"/>
        <v>41030.339820753645</v>
      </c>
      <c r="GQ263" s="189"/>
      <c r="GR263" s="189"/>
      <c r="GS263" s="189"/>
      <c r="GT263" s="189"/>
      <c r="GU263" s="268">
        <v>3935.1734999999994</v>
      </c>
      <c r="GV263" s="189">
        <v>513.28349999999989</v>
      </c>
      <c r="GW263" s="189">
        <v>855.47249999999997</v>
      </c>
      <c r="GX263" s="189"/>
      <c r="GY263" s="254">
        <v>3148.1388000000002</v>
      </c>
      <c r="GZ263" s="189">
        <v>410.62679999999995</v>
      </c>
      <c r="HA263" s="189">
        <v>684.37800000000004</v>
      </c>
      <c r="HB263" s="255"/>
      <c r="HC263" s="189">
        <v>9547.0730999999996</v>
      </c>
      <c r="HD263" s="189"/>
      <c r="HE263" s="189">
        <v>22276.5039</v>
      </c>
      <c r="HF263" s="189">
        <v>574363.24406732246</v>
      </c>
      <c r="HG263" s="189"/>
      <c r="HH263" s="203">
        <v>63.709189226232816</v>
      </c>
      <c r="HI263" s="189">
        <v>1419218.0022640133</v>
      </c>
      <c r="HJ263" s="268">
        <f t="shared" si="198"/>
        <v>0</v>
      </c>
      <c r="HK263" s="189">
        <f t="shared" si="199"/>
        <v>0</v>
      </c>
      <c r="HL263" s="189">
        <f t="shared" si="200"/>
        <v>0</v>
      </c>
      <c r="HM263" s="255">
        <f t="shared" si="201"/>
        <v>0</v>
      </c>
      <c r="HN263" s="189">
        <f t="shared" si="202"/>
        <v>0</v>
      </c>
      <c r="HO263" s="203">
        <f t="shared" si="227"/>
        <v>0</v>
      </c>
      <c r="HP263" s="258">
        <f t="shared" si="203"/>
        <v>0</v>
      </c>
      <c r="HQ263" s="203" t="s">
        <v>1095</v>
      </c>
      <c r="HR263" s="268">
        <f t="shared" si="241"/>
        <v>605144.85570789117</v>
      </c>
      <c r="HS263" s="1408">
        <f>IF(HT263=0,IF(OR(SUMIF(CURVES!$AU$6:$AU$283,$HQ263,CURVES!$BQ$6:$BQ$283)=0,COUNTIF(CURVES!$AU$6:$AU$283,$HQ263)=0),0,SUMIF(CURVES!$AU$6:$AU$283,$HQ263,CURVES!$BQ$6:$BQ$283)/COUNTIF(CURVES!$AU$6:$AU$283,$HQ263)),HT263/HR263)</f>
        <v>3.830807201883716</v>
      </c>
      <c r="HT263" s="255">
        <f t="shared" si="242"/>
        <v>2318193.2714286717</v>
      </c>
      <c r="HU263" s="268">
        <f t="shared" si="243"/>
        <v>0</v>
      </c>
      <c r="HV263" s="1408" t="e">
        <f>IF(HW263=0,0,HW263/Summary!$O$79/HU263)</f>
        <v>#DIV/0!</v>
      </c>
      <c r="HW263" s="255">
        <f t="shared" si="244"/>
        <v>17381.932811654042</v>
      </c>
      <c r="HX263" s="1408">
        <f>IF(OR(SUMIF(CURVES!$AU$6:$AU$283,$HQ263,CURVES!$BQ$6:$BQ$283)=0,COUNTIF(CURVES!$AU$6:$AU$283,$HQ263)=0),0,SUMIF(CURVES!$AU$6:$AU$283,$HQ263,CURVES!$BQ$6:$BQ$283)/COUNTIF(CURVES!$AU$6:$AU$283,$HQ263))</f>
        <v>4.3471778501050755</v>
      </c>
      <c r="HY263" s="1408">
        <f>IF(OR(SUMIF(CURVES!$AU$6:$AU$283,$HQ263,CURVES!$BR$6:$BR$283)=0,COUNTIF(CURVES!$AU$6:$AU$283,$HQ263)=0),0,SUMIF(CURVES!$AU$6:$AU$283,$HQ263,CURVES!$BR$6:$BR$283)/COUNTIF(CURVES!$AU$6:$AU$283,$HQ263))</f>
        <v>3.4624372534951107</v>
      </c>
      <c r="HZ263"/>
      <c r="IA263" s="203"/>
      <c r="IB263" s="203"/>
      <c r="IC263" s="203"/>
      <c r="ID263" s="203"/>
      <c r="IE263" s="203"/>
      <c r="IF263" s="203"/>
      <c r="IG263" s="203"/>
      <c r="IH263" s="203"/>
      <c r="II263" s="203"/>
      <c r="IJ263" s="203"/>
      <c r="IK263" s="203"/>
      <c r="IL263" s="821"/>
      <c r="IM263" s="820"/>
      <c r="IN263" s="820"/>
      <c r="IR263" s="223"/>
    </row>
    <row r="264" spans="1:252" ht="13.8" thickBot="1">
      <c r="A264" t="str">
        <f t="shared" si="204"/>
        <v>2020Q3</v>
      </c>
      <c r="B264">
        <f t="shared" si="205"/>
        <v>2020</v>
      </c>
      <c r="C264" s="49">
        <f t="shared" si="206"/>
        <v>44044</v>
      </c>
      <c r="D264" s="115">
        <f t="shared" si="207"/>
        <v>2020</v>
      </c>
      <c r="E264" s="10">
        <f t="shared" si="230"/>
        <v>8</v>
      </c>
      <c r="F264" s="248" t="str">
        <f t="shared" si="231"/>
        <v/>
      </c>
      <c r="G264" s="245">
        <v>44044</v>
      </c>
      <c r="H264" s="251">
        <v>44074</v>
      </c>
      <c r="I264" s="959">
        <f t="shared" si="228"/>
        <v>7.1499999999999994E-2</v>
      </c>
      <c r="J264" s="37">
        <f t="shared" si="208"/>
        <v>0.23249493629142026</v>
      </c>
      <c r="K264" s="1036"/>
      <c r="L264" s="37"/>
      <c r="M264" s="1004">
        <v>0</v>
      </c>
      <c r="N264" s="38">
        <f t="shared" si="239"/>
        <v>0</v>
      </c>
      <c r="O264" s="40">
        <f t="shared" si="239"/>
        <v>0</v>
      </c>
      <c r="P264" s="159">
        <f t="shared" si="234"/>
        <v>0</v>
      </c>
      <c r="Q264" s="38">
        <f t="shared" si="245"/>
        <v>0</v>
      </c>
      <c r="R264" s="40">
        <f t="shared" si="245"/>
        <v>0</v>
      </c>
      <c r="S264" s="38">
        <f t="shared" si="245"/>
        <v>0</v>
      </c>
      <c r="T264" s="38">
        <f t="shared" si="245"/>
        <v>0</v>
      </c>
      <c r="U264" s="38">
        <f t="shared" si="245"/>
        <v>0</v>
      </c>
      <c r="V264" s="159">
        <f t="shared" si="245"/>
        <v>0</v>
      </c>
      <c r="W264" s="38">
        <f t="shared" si="245"/>
        <v>0</v>
      </c>
      <c r="X264" s="39">
        <f t="shared" si="245"/>
        <v>0</v>
      </c>
      <c r="Y264" s="46">
        <v>0</v>
      </c>
      <c r="Z264" s="46">
        <v>0</v>
      </c>
      <c r="AA264" s="47">
        <v>0</v>
      </c>
      <c r="AB264" s="46">
        <v>0</v>
      </c>
      <c r="AC264" s="46">
        <v>0</v>
      </c>
      <c r="AD264" s="47">
        <v>0</v>
      </c>
      <c r="AE264" s="46">
        <v>0</v>
      </c>
      <c r="AF264" s="46">
        <v>0</v>
      </c>
      <c r="AG264" s="47">
        <v>0</v>
      </c>
      <c r="AH264" s="46">
        <v>0</v>
      </c>
      <c r="AI264" s="46">
        <v>0</v>
      </c>
      <c r="AJ264" s="47">
        <v>0</v>
      </c>
      <c r="AK264" s="46">
        <v>0</v>
      </c>
      <c r="AL264" s="46">
        <v>0</v>
      </c>
      <c r="AM264" s="47">
        <v>0</v>
      </c>
      <c r="AN264" s="46">
        <v>0</v>
      </c>
      <c r="AO264" s="46">
        <v>0</v>
      </c>
      <c r="AP264" s="47">
        <v>0</v>
      </c>
      <c r="AQ264" s="46">
        <v>0</v>
      </c>
      <c r="AR264" s="46">
        <v>0</v>
      </c>
      <c r="AS264" s="47">
        <v>0</v>
      </c>
      <c r="AT264" s="46">
        <v>0</v>
      </c>
      <c r="AU264" s="46">
        <v>0</v>
      </c>
      <c r="AV264" s="46">
        <v>0</v>
      </c>
      <c r="AW264" s="1545">
        <v>0</v>
      </c>
      <c r="AX264" s="10">
        <f t="shared" si="232"/>
        <v>21</v>
      </c>
      <c r="AY264" s="42">
        <f>IF(AND($E264=MONTH(Summary!$E$24),$D264=YEAR(Summary!$E$24)),Summary!$E$25,1)*IF(G264="",0,INT((H264-MOD(H264,7)-G264)/7)+1-IF(BA264,IF(WEEKDAY(F264)=7,1,0),0))</f>
        <v>5</v>
      </c>
      <c r="AZ264" s="42">
        <f>IF(AND($E264=MONTH(Summary!$E$24),$D264=YEAR(Summary!$E$24)),Summary!$E$25,1)*IF(G264="",0,INT((H264-MOD(H264-1,7)-G264)/7)+1-IF(BA264,IF(WEEKDAY(F264)=1,1,0),0))</f>
        <v>5</v>
      </c>
      <c r="BA264" s="42">
        <v>0</v>
      </c>
      <c r="BB264" s="10">
        <f>IF(AND($E264=MONTH(Summary!$E$24),$D264=YEAR(Summary!$E$24)),Summary!$E$25,1)*IF(G264="",0,H264-G264+1)</f>
        <v>31</v>
      </c>
      <c r="BC264" s="914">
        <f>Summary!$E$19</f>
        <v>1.4999999999999999E-2</v>
      </c>
      <c r="BD264" s="113">
        <v>14893.2</v>
      </c>
      <c r="BE264" s="171">
        <v>3546</v>
      </c>
      <c r="BF264" s="171">
        <v>3546</v>
      </c>
      <c r="BG264" s="174"/>
      <c r="BH264" s="1198">
        <v>1</v>
      </c>
      <c r="BI264" s="1198">
        <v>1</v>
      </c>
      <c r="BJ264" s="1198">
        <v>1</v>
      </c>
      <c r="BK264" s="1198">
        <v>1</v>
      </c>
      <c r="BL264" s="95">
        <v>2978.64</v>
      </c>
      <c r="BM264" s="171">
        <v>709.2</v>
      </c>
      <c r="BN264" s="171">
        <v>709.2</v>
      </c>
      <c r="BO264" s="174"/>
      <c r="BP264" s="1198">
        <v>1</v>
      </c>
      <c r="BQ264" s="1199">
        <v>1</v>
      </c>
      <c r="BR264" s="1199">
        <v>1</v>
      </c>
      <c r="BS264" s="1200">
        <v>1</v>
      </c>
      <c r="BT264" s="94">
        <f t="shared" si="209"/>
        <v>21985.200000000001</v>
      </c>
      <c r="BU264" s="233">
        <f t="shared" si="210"/>
        <v>21985.200000000001</v>
      </c>
      <c r="BV264" s="92">
        <f t="shared" si="211"/>
        <v>4397.04</v>
      </c>
      <c r="BW264" s="233">
        <f t="shared" si="212"/>
        <v>4397.04</v>
      </c>
      <c r="BX264" s="88">
        <v>20.629705681040384</v>
      </c>
      <c r="BY264" s="90">
        <v>0</v>
      </c>
      <c r="BZ264" s="88">
        <v>0</v>
      </c>
      <c r="CA264" s="88">
        <v>0</v>
      </c>
      <c r="CB264" s="88">
        <v>0</v>
      </c>
      <c r="CC264" s="88">
        <v>0</v>
      </c>
      <c r="CD264" s="88">
        <v>0</v>
      </c>
      <c r="CE264" s="100">
        <v>0</v>
      </c>
      <c r="CF264" s="88">
        <v>0</v>
      </c>
      <c r="CG264" s="88">
        <v>0</v>
      </c>
      <c r="CH264" s="88">
        <v>0</v>
      </c>
      <c r="CI264" s="88">
        <v>0</v>
      </c>
      <c r="CJ264" s="228">
        <v>0</v>
      </c>
      <c r="CK264" s="88">
        <v>0</v>
      </c>
      <c r="CL264" s="88">
        <v>0</v>
      </c>
      <c r="CM264" s="88">
        <v>0</v>
      </c>
      <c r="CN264" s="88">
        <v>0</v>
      </c>
      <c r="CO264" s="88">
        <v>0</v>
      </c>
      <c r="CP264" s="88">
        <v>0</v>
      </c>
      <c r="CQ264" s="229">
        <v>0</v>
      </c>
      <c r="CR264" s="91">
        <v>0</v>
      </c>
      <c r="CS264" s="91">
        <v>0</v>
      </c>
      <c r="CT264" s="91">
        <v>0</v>
      </c>
      <c r="CU264" s="91">
        <v>0</v>
      </c>
      <c r="CV264" s="91">
        <v>0</v>
      </c>
      <c r="CW264" s="91">
        <v>0</v>
      </c>
      <c r="CX264" s="225">
        <v>0</v>
      </c>
      <c r="CY264" s="1265">
        <v>7777.7337600000001</v>
      </c>
      <c r="CZ264" s="90">
        <v>0</v>
      </c>
      <c r="DA264" s="88">
        <v>0</v>
      </c>
      <c r="DB264" s="88">
        <v>0</v>
      </c>
      <c r="DC264" s="88">
        <v>0</v>
      </c>
      <c r="DD264" s="88">
        <v>0</v>
      </c>
      <c r="DE264" s="152">
        <v>0</v>
      </c>
      <c r="DF264" s="230">
        <v>0</v>
      </c>
      <c r="DG264" s="38">
        <v>0</v>
      </c>
      <c r="DH264" s="1237">
        <v>0</v>
      </c>
      <c r="DI264" s="956">
        <v>0</v>
      </c>
      <c r="DJ264" s="956">
        <v>0</v>
      </c>
      <c r="DK264" s="956">
        <v>0</v>
      </c>
      <c r="DL264" s="152">
        <v>0</v>
      </c>
      <c r="DM264" s="160">
        <v>0</v>
      </c>
      <c r="DN264" s="160">
        <v>0</v>
      </c>
      <c r="DO264" s="160">
        <v>0</v>
      </c>
      <c r="DP264" s="160">
        <v>0</v>
      </c>
      <c r="DQ264" s="160">
        <v>0</v>
      </c>
      <c r="DR264" s="230">
        <v>0</v>
      </c>
      <c r="DS264" s="88">
        <v>0</v>
      </c>
      <c r="DT264" s="88">
        <v>0</v>
      </c>
      <c r="DU264" s="88">
        <v>0</v>
      </c>
      <c r="DV264" s="88">
        <v>0</v>
      </c>
      <c r="DW264" s="88">
        <v>0</v>
      </c>
      <c r="DX264" s="88">
        <v>0</v>
      </c>
      <c r="DY264" s="88">
        <v>0</v>
      </c>
      <c r="DZ264" s="88">
        <v>0</v>
      </c>
      <c r="EA264" s="88">
        <v>0</v>
      </c>
      <c r="EB264" s="152">
        <v>0</v>
      </c>
      <c r="EC264" s="52">
        <f t="shared" si="213"/>
        <v>0</v>
      </c>
      <c r="ED264" s="52">
        <f t="shared" si="213"/>
        <v>0</v>
      </c>
      <c r="EE264" s="52">
        <f t="shared" si="213"/>
        <v>0</v>
      </c>
      <c r="EF264" s="52">
        <f t="shared" si="186"/>
        <v>0</v>
      </c>
      <c r="EG264" s="52">
        <f t="shared" si="214"/>
        <v>0</v>
      </c>
      <c r="EH264" s="238">
        <v>0</v>
      </c>
      <c r="EI264" s="211">
        <v>0</v>
      </c>
      <c r="EJ264" s="211">
        <v>0</v>
      </c>
      <c r="EK264" s="211">
        <v>0</v>
      </c>
      <c r="EL264" s="217">
        <f>IF(C264&gt;=Summary!$E$26,MAX(0,SUM(EH264:EK264)),0)</f>
        <v>0</v>
      </c>
      <c r="EM264" s="52">
        <f>IF(C264&gt;=Summary!$E$26,DX264*BL264,0)</f>
        <v>0</v>
      </c>
      <c r="EN264" s="52">
        <f>IF(C264&gt;=Summary!$E$26,DY264*BM264,0)</f>
        <v>0</v>
      </c>
      <c r="EO264" s="52">
        <f>IF(C264&gt;=Summary!$E$26,DZ264*BN264,0)</f>
        <v>0</v>
      </c>
      <c r="EP264" s="52">
        <f>IF(C264&gt;=Summary!$E$26,EA264*BO264,0)</f>
        <v>0</v>
      </c>
      <c r="EQ264" s="52">
        <f>IF(C264&gt;=Summary!$E$26,DX264*BL264+DY264*BM264+DZ264*BN264+EA264*BO264,0)</f>
        <v>0</v>
      </c>
      <c r="ER264" s="826">
        <v>0</v>
      </c>
      <c r="ES264" s="278">
        <v>0</v>
      </c>
      <c r="ET264" s="278">
        <v>0</v>
      </c>
      <c r="EU264" s="278">
        <v>0</v>
      </c>
      <c r="EV264" s="212">
        <f>IF(C264&gt;=Summary!$E$26,MAX(0,SUM(ER264:EU264)),0)</f>
        <v>0</v>
      </c>
      <c r="EW264" s="52"/>
      <c r="EX264" s="1049">
        <f t="shared" si="215"/>
        <v>0</v>
      </c>
      <c r="EY264" s="1045" t="str">
        <f t="shared" si="216"/>
        <v/>
      </c>
      <c r="EZ264" s="1684" t="s">
        <v>525</v>
      </c>
      <c r="FA264" s="1046">
        <f t="shared" si="229"/>
        <v>45</v>
      </c>
      <c r="FB264" s="256">
        <f t="shared" si="217"/>
        <v>11169.9</v>
      </c>
      <c r="FC264" s="194">
        <f t="shared" si="218"/>
        <v>0</v>
      </c>
      <c r="FD264" s="194">
        <f t="shared" si="219"/>
        <v>2659.5</v>
      </c>
      <c r="FE264" s="194">
        <f t="shared" si="220"/>
        <v>0</v>
      </c>
      <c r="FF264" s="194">
        <f t="shared" si="221"/>
        <v>2659.5</v>
      </c>
      <c r="FG264" s="194">
        <f t="shared" si="222"/>
        <v>0</v>
      </c>
      <c r="FH264" s="257">
        <f>IF(EZ264="No",IF((OR(MONTH(C264)=5,MONTH(C264)=6,MONTH(C264)=7,MONTH(C264)=8,MONTH(C264)=9)),Summary!$O$15*12*(AX264+AY264+AZ264+BA264)*(1-$BC264),Summary!$O$15*13*(AX264+AY264+AZ264+BA264)*(1-$BC264)+IF(Summary!$O$16="Yes",(CALC!FA264+Summary!$O$15)*6*(AX264+AY264+AZ264+BA264)*(1-$BC264),0)),0)</f>
        <v>0</v>
      </c>
      <c r="FI264" s="1412">
        <f>IF(MONTH(C264)=5,FI263*(IF(Summary!$E$70="no",(1+(Summary!$E$71*0.8)),1+HLOOKUP(YEAR(C264)-1,CCFMODEL!$I$127:$AF$128,2)*0.8)),+FI263)</f>
        <v>43.774657911033053</v>
      </c>
      <c r="FJ264" s="1411">
        <f>IF(MONTH(C264)=5,FJ263*(IF(Summary!$E$70="no",(1+(Summary!$E$71*0.8)),1+HLOOKUP(YEAR(CALC!C264)-1,CCFMODEL!$I$127:$AF$128,2)*0.8)),FJ263)</f>
        <v>38.259740378934403</v>
      </c>
      <c r="FK264" s="832">
        <f t="shared" si="187"/>
        <v>721795.95682923298</v>
      </c>
      <c r="FL264" s="1412">
        <f>IF(MONTH(C264)=5,FL263*(IF(Summary!$E$70="no",(1+(Summary!$E$71*0.8)),1+HLOOKUP(YEAR(CALC!C264)-1,CCFMODEL!$I$127:$AF$128,2)*0.8)),+FL263)</f>
        <v>92.063013206968236</v>
      </c>
      <c r="FM264" s="1411">
        <f>IF(MONTH(C264)=5,FM263*(IF(Summary!$E$70="no",(1+(Summary!$E$71*0.8)),1+HLOOKUP(YEAR(CALC!C264)-1,CCFMODEL!$I$127:$AF$128,2)*0.8)),+FM263)</f>
        <v>43.938792361393126</v>
      </c>
      <c r="FN264" s="832">
        <f t="shared" si="188"/>
        <v>1541134.8410846482</v>
      </c>
      <c r="FO264" s="194">
        <f t="shared" si="223"/>
        <v>2262930.797913881</v>
      </c>
      <c r="FP264" s="263">
        <f t="shared" si="238"/>
        <v>11169.9</v>
      </c>
      <c r="FQ264" s="194">
        <f t="shared" si="238"/>
        <v>0</v>
      </c>
      <c r="FR264" s="194">
        <f t="shared" si="238"/>
        <v>2659.5</v>
      </c>
      <c r="FS264" s="194">
        <f t="shared" si="238"/>
        <v>0</v>
      </c>
      <c r="FT264" s="194">
        <f t="shared" si="238"/>
        <v>2659.5</v>
      </c>
      <c r="FU264" s="194">
        <f t="shared" si="238"/>
        <v>0</v>
      </c>
      <c r="FV264" s="257">
        <f t="shared" si="238"/>
        <v>0</v>
      </c>
      <c r="FW264" s="189">
        <f t="shared" si="192"/>
        <v>0</v>
      </c>
      <c r="FX264" s="189">
        <f t="shared" si="193"/>
        <v>0</v>
      </c>
      <c r="FY264" s="189">
        <f t="shared" si="194"/>
        <v>0</v>
      </c>
      <c r="FZ264" s="258">
        <f t="shared" si="195"/>
        <v>0</v>
      </c>
      <c r="GA264" s="1294">
        <f>(SUM(FP264:FV264)+SUM(GU264:HB264)/(1-Summary!$O$25))*CY264/1000</f>
        <v>205194.03871242242</v>
      </c>
      <c r="GB264" s="1369">
        <f>IF($C264&lt;Summary!$M$81,+Summary!$O$81,VLOOKUP(C264,GasTable,19))</f>
        <v>3.9661971859070753</v>
      </c>
      <c r="GC264" s="1370">
        <f>IF(H264&lt;=Summary!$N$84,MIN(GA264,Summary!$O$75*(H264-G264+1)),0)</f>
        <v>0</v>
      </c>
      <c r="GD264" s="1371">
        <f>IF(C264&lt;Summary!$N$84,IF(Summary!$O$75*(H264-G264+1)*0.8&gt;GC264,1,0),0)</f>
        <v>0</v>
      </c>
      <c r="GE264" s="1372">
        <v>0</v>
      </c>
      <c r="GF264" s="1370">
        <f t="shared" si="224"/>
        <v>205194.03871242242</v>
      </c>
      <c r="GG264" s="1371">
        <f>GF264*(IF(Summary!$O$74=1,VLOOKUP($C264,GasTable,16)+Summary!$O$92+Summary!$O$93,VLOOKUP($C264,GasTable,19)+Summary!$O$92+Summary!$O$93))</f>
        <v>824530.62832303438</v>
      </c>
      <c r="GH264" s="1373">
        <v>6147.6056381559665</v>
      </c>
      <c r="GI264" s="1466">
        <v>0</v>
      </c>
      <c r="GJ264" s="1374">
        <f t="shared" si="225"/>
        <v>830678.23396119033</v>
      </c>
      <c r="GK264" s="189">
        <f t="shared" si="196"/>
        <v>26035.973100000003</v>
      </c>
      <c r="GL264" s="266">
        <v>0.52110816192000009</v>
      </c>
      <c r="GM264" s="255">
        <f t="shared" si="197"/>
        <v>0</v>
      </c>
      <c r="GN264" s="189">
        <f>IF(SUM(GU264:HB264)=0,0,IF(Summary!$O$16="Yes",SUM(GX264:HB264),IF(Summary!$O$17="Yes",SUM(GY264:HB264),SUM(GU264:HB264))))</f>
        <v>9547.0731000000014</v>
      </c>
      <c r="GO264" s="203">
        <v>4.2976878244237646</v>
      </c>
      <c r="GP264" s="258">
        <f t="shared" si="226"/>
        <v>41030.339820753652</v>
      </c>
      <c r="GQ264" s="189"/>
      <c r="GR264" s="189"/>
      <c r="GS264" s="189"/>
      <c r="GT264" s="189"/>
      <c r="GU264" s="268">
        <v>3592.9845000000009</v>
      </c>
      <c r="GV264" s="189">
        <v>855.47249999999997</v>
      </c>
      <c r="GW264" s="189">
        <v>855.47249999999997</v>
      </c>
      <c r="GX264" s="189"/>
      <c r="GY264" s="254">
        <v>2874.3875999999996</v>
      </c>
      <c r="GZ264" s="189">
        <v>684.37800000000004</v>
      </c>
      <c r="HA264" s="189">
        <v>684.37800000000004</v>
      </c>
      <c r="HB264" s="255"/>
      <c r="HC264" s="189">
        <v>9547.0731000000014</v>
      </c>
      <c r="HD264" s="189"/>
      <c r="HE264" s="189">
        <v>22276.503900000003</v>
      </c>
      <c r="HF264" s="189">
        <v>698636.65854949423</v>
      </c>
      <c r="HG264" s="189"/>
      <c r="HH264" s="203">
        <v>77.049474091728527</v>
      </c>
      <c r="HI264" s="189">
        <v>1716392.9100973397</v>
      </c>
      <c r="HJ264" s="268">
        <f t="shared" si="198"/>
        <v>0</v>
      </c>
      <c r="HK264" s="189">
        <f t="shared" si="199"/>
        <v>0</v>
      </c>
      <c r="HL264" s="189">
        <f t="shared" si="200"/>
        <v>0</v>
      </c>
      <c r="HM264" s="255">
        <f t="shared" si="201"/>
        <v>0</v>
      </c>
      <c r="HN264" s="189">
        <f t="shared" si="202"/>
        <v>0</v>
      </c>
      <c r="HO264" s="203">
        <f t="shared" si="227"/>
        <v>0</v>
      </c>
      <c r="HP264" s="258">
        <f t="shared" si="203"/>
        <v>0</v>
      </c>
      <c r="HQ264" s="203" t="s">
        <v>1096</v>
      </c>
      <c r="HR264" s="268">
        <f t="shared" si="241"/>
        <v>700252.32255616796</v>
      </c>
      <c r="HS264" s="1408">
        <f>IF(HT264=0,IF(OR(SUMIF(CURVES!$AU$6:$AU$283,$HQ264,CURVES!$BQ$6:$BQ$283)=0,COUNTIF(CURVES!$AU$6:$AU$283,$HQ264)=0),0,SUMIF(CURVES!$AU$6:$AU$283,$HQ264,CURVES!$BQ$6:$BQ$283)/COUNTIF(CURVES!$AU$6:$AU$283,$HQ264)),HT264/HR264)</f>
        <v>4.3376454702713483</v>
      </c>
      <c r="HT264" s="255">
        <f t="shared" si="242"/>
        <v>3037446.3149827532</v>
      </c>
      <c r="HU264" s="268">
        <f t="shared" si="243"/>
        <v>0</v>
      </c>
      <c r="HV264" s="1408" t="e">
        <f>IF(HW264=0,0,HW264/Summary!$O$79/HU264)</f>
        <v>#DIV/0!</v>
      </c>
      <c r="HW264" s="255">
        <f t="shared" si="244"/>
        <v>19713.364857368899</v>
      </c>
      <c r="HX264" s="1408">
        <f>IF(OR(SUMIF(CURVES!$AU$6:$AU$283,$HQ264,CURVES!$BQ$6:$BQ$283)=0,COUNTIF(CURVES!$AU$6:$AU$283,$HQ264)=0),0,SUMIF(CURVES!$AU$6:$AU$283,$HQ264,CURVES!$BQ$6:$BQ$283)/COUNTIF(CURVES!$AU$6:$AU$283,$HQ264))</f>
        <v>4.8634001206755775</v>
      </c>
      <c r="HY264" s="1408">
        <f>IF(OR(SUMIF(CURVES!$AU$6:$AU$283,$HQ264,CURVES!$BR$6:$BR$283)=0,COUNTIF(CURVES!$AU$6:$AU$283,$HQ264)=0),0,SUMIF(CURVES!$AU$6:$AU$283,$HQ264,CURVES!$BR$6:$BR$283)/COUNTIF(CURVES!$AU$6:$AU$283,$HQ264))</f>
        <v>3.7476081723217711</v>
      </c>
      <c r="HZ264"/>
      <c r="IA264" s="203"/>
      <c r="IB264" s="203"/>
      <c r="IC264" s="203"/>
      <c r="ID264" s="203"/>
      <c r="IE264" s="203"/>
      <c r="IF264" s="203"/>
      <c r="IG264" s="203"/>
      <c r="IH264" s="203"/>
      <c r="II264" s="203"/>
      <c r="IJ264" s="203"/>
      <c r="IK264" s="203"/>
      <c r="IL264" s="821"/>
      <c r="IM264" s="820"/>
      <c r="IN264" s="820"/>
      <c r="IR264" s="223"/>
    </row>
    <row r="265" spans="1:252" ht="13.8" thickBot="1">
      <c r="A265" t="str">
        <f t="shared" si="204"/>
        <v>2020Q3</v>
      </c>
      <c r="B265">
        <f t="shared" si="205"/>
        <v>2020</v>
      </c>
      <c r="C265" s="49">
        <f t="shared" si="206"/>
        <v>44075</v>
      </c>
      <c r="D265" s="115">
        <f t="shared" si="207"/>
        <v>2020</v>
      </c>
      <c r="E265" s="10">
        <f t="shared" si="230"/>
        <v>9</v>
      </c>
      <c r="F265" s="248">
        <f t="shared" si="231"/>
        <v>44081</v>
      </c>
      <c r="G265" s="245">
        <v>44075</v>
      </c>
      <c r="H265" s="251">
        <v>44104</v>
      </c>
      <c r="I265" s="959">
        <f t="shared" si="228"/>
        <v>7.1499999999999994E-2</v>
      </c>
      <c r="J265" s="37">
        <f t="shared" si="208"/>
        <v>0.23115726809183654</v>
      </c>
      <c r="K265" s="1036"/>
      <c r="L265" s="37"/>
      <c r="M265" s="1004">
        <v>0</v>
      </c>
      <c r="N265" s="38">
        <f t="shared" si="239"/>
        <v>0</v>
      </c>
      <c r="O265" s="40">
        <f t="shared" si="239"/>
        <v>0</v>
      </c>
      <c r="P265" s="159">
        <f t="shared" si="234"/>
        <v>0</v>
      </c>
      <c r="Q265" s="38">
        <f t="shared" si="245"/>
        <v>0</v>
      </c>
      <c r="R265" s="40">
        <f t="shared" si="245"/>
        <v>0</v>
      </c>
      <c r="S265" s="38">
        <f t="shared" si="245"/>
        <v>0</v>
      </c>
      <c r="T265" s="38">
        <f t="shared" si="245"/>
        <v>0</v>
      </c>
      <c r="U265" s="38">
        <f t="shared" si="245"/>
        <v>0</v>
      </c>
      <c r="V265" s="159">
        <f t="shared" si="245"/>
        <v>0</v>
      </c>
      <c r="W265" s="38">
        <f t="shared" si="245"/>
        <v>0</v>
      </c>
      <c r="X265" s="39">
        <f t="shared" si="245"/>
        <v>0</v>
      </c>
      <c r="Y265" s="46">
        <v>0</v>
      </c>
      <c r="Z265" s="46">
        <v>0</v>
      </c>
      <c r="AA265" s="47">
        <v>0</v>
      </c>
      <c r="AB265" s="46">
        <v>0</v>
      </c>
      <c r="AC265" s="46">
        <v>0</v>
      </c>
      <c r="AD265" s="47">
        <v>0</v>
      </c>
      <c r="AE265" s="46">
        <v>0</v>
      </c>
      <c r="AF265" s="46">
        <v>0</v>
      </c>
      <c r="AG265" s="47">
        <v>0</v>
      </c>
      <c r="AH265" s="46">
        <v>0</v>
      </c>
      <c r="AI265" s="46">
        <v>0</v>
      </c>
      <c r="AJ265" s="47">
        <v>0</v>
      </c>
      <c r="AK265" s="46">
        <v>0</v>
      </c>
      <c r="AL265" s="46">
        <v>0</v>
      </c>
      <c r="AM265" s="47">
        <v>0</v>
      </c>
      <c r="AN265" s="46">
        <v>0</v>
      </c>
      <c r="AO265" s="46">
        <v>0</v>
      </c>
      <c r="AP265" s="47">
        <v>0</v>
      </c>
      <c r="AQ265" s="46">
        <v>0</v>
      </c>
      <c r="AR265" s="46">
        <v>0</v>
      </c>
      <c r="AS265" s="47">
        <v>0</v>
      </c>
      <c r="AT265" s="46">
        <v>0</v>
      </c>
      <c r="AU265" s="46">
        <v>0</v>
      </c>
      <c r="AV265" s="46">
        <v>0</v>
      </c>
      <c r="AW265" s="1545">
        <v>0</v>
      </c>
      <c r="AX265" s="10">
        <f t="shared" si="232"/>
        <v>21</v>
      </c>
      <c r="AY265" s="42">
        <f>IF(AND($E265=MONTH(Summary!$E$24),$D265=YEAR(Summary!$E$24)),Summary!$E$25,1)*IF(G265="",0,INT((H265-MOD(H265,7)-G265)/7)+1-IF(BA265,IF(WEEKDAY(F265)=7,1,0),0))</f>
        <v>4</v>
      </c>
      <c r="AZ265" s="42">
        <f>IF(AND($E265=MONTH(Summary!$E$24),$D265=YEAR(Summary!$E$24)),Summary!$E$25,1)*IF(G265="",0,INT((H265-MOD(H265-1,7)-G265)/7)+1-IF(BA265,IF(WEEKDAY(F265)=1,1,0),0))</f>
        <v>4</v>
      </c>
      <c r="BA265" s="42">
        <v>1</v>
      </c>
      <c r="BB265" s="10">
        <f>IF(AND($E265=MONTH(Summary!$E$24),$D265=YEAR(Summary!$E$24)),Summary!$E$25,1)*IF(G265="",0,H265-G265+1)</f>
        <v>30</v>
      </c>
      <c r="BC265" s="914">
        <f>Summary!$E$19</f>
        <v>1.4999999999999999E-2</v>
      </c>
      <c r="BD265" s="113">
        <v>14893.2</v>
      </c>
      <c r="BE265" s="171">
        <v>2836.8</v>
      </c>
      <c r="BF265" s="171">
        <v>3546</v>
      </c>
      <c r="BG265" s="174"/>
      <c r="BH265" s="1198">
        <v>1</v>
      </c>
      <c r="BI265" s="1198">
        <v>1</v>
      </c>
      <c r="BJ265" s="1198">
        <v>1</v>
      </c>
      <c r="BK265" s="1198">
        <v>1</v>
      </c>
      <c r="BL265" s="95">
        <v>2978.64</v>
      </c>
      <c r="BM265" s="171">
        <v>567.36</v>
      </c>
      <c r="BN265" s="171">
        <v>709.2</v>
      </c>
      <c r="BO265" s="174"/>
      <c r="BP265" s="1198">
        <v>1</v>
      </c>
      <c r="BQ265" s="1199">
        <v>1</v>
      </c>
      <c r="BR265" s="1199">
        <v>1</v>
      </c>
      <c r="BS265" s="1200">
        <v>1</v>
      </c>
      <c r="BT265" s="94">
        <f t="shared" si="209"/>
        <v>21276</v>
      </c>
      <c r="BU265" s="233">
        <f t="shared" si="210"/>
        <v>21276</v>
      </c>
      <c r="BV265" s="92">
        <f t="shared" si="211"/>
        <v>4255.2</v>
      </c>
      <c r="BW265" s="233">
        <f t="shared" si="212"/>
        <v>4255.2</v>
      </c>
      <c r="BX265" s="88">
        <v>20.714579055441479</v>
      </c>
      <c r="BY265" s="90">
        <v>0</v>
      </c>
      <c r="BZ265" s="88">
        <v>0</v>
      </c>
      <c r="CA265" s="88">
        <v>0</v>
      </c>
      <c r="CB265" s="88">
        <v>0</v>
      </c>
      <c r="CC265" s="88">
        <v>0</v>
      </c>
      <c r="CD265" s="88">
        <v>0</v>
      </c>
      <c r="CE265" s="100">
        <v>0</v>
      </c>
      <c r="CF265" s="88">
        <v>0</v>
      </c>
      <c r="CG265" s="88">
        <v>0</v>
      </c>
      <c r="CH265" s="88">
        <v>0</v>
      </c>
      <c r="CI265" s="88">
        <v>0</v>
      </c>
      <c r="CJ265" s="228">
        <v>0</v>
      </c>
      <c r="CK265" s="88">
        <v>0</v>
      </c>
      <c r="CL265" s="88">
        <v>0</v>
      </c>
      <c r="CM265" s="88">
        <v>0</v>
      </c>
      <c r="CN265" s="88">
        <v>0</v>
      </c>
      <c r="CO265" s="88">
        <v>0</v>
      </c>
      <c r="CP265" s="88">
        <v>0</v>
      </c>
      <c r="CQ265" s="229">
        <v>0</v>
      </c>
      <c r="CR265" s="91">
        <v>0</v>
      </c>
      <c r="CS265" s="91">
        <v>0</v>
      </c>
      <c r="CT265" s="91">
        <v>0</v>
      </c>
      <c r="CU265" s="91">
        <v>0</v>
      </c>
      <c r="CV265" s="91">
        <v>0</v>
      </c>
      <c r="CW265" s="91">
        <v>0</v>
      </c>
      <c r="CX265" s="225">
        <v>0</v>
      </c>
      <c r="CY265" s="1265">
        <v>7779.7647199999992</v>
      </c>
      <c r="CZ265" s="90">
        <v>0</v>
      </c>
      <c r="DA265" s="88">
        <v>0</v>
      </c>
      <c r="DB265" s="88">
        <v>0</v>
      </c>
      <c r="DC265" s="88">
        <v>0</v>
      </c>
      <c r="DD265" s="88">
        <v>0</v>
      </c>
      <c r="DE265" s="152">
        <v>0</v>
      </c>
      <c r="DF265" s="230">
        <v>0</v>
      </c>
      <c r="DG265" s="38">
        <v>0</v>
      </c>
      <c r="DH265" s="1237">
        <v>0</v>
      </c>
      <c r="DI265" s="956">
        <v>0</v>
      </c>
      <c r="DJ265" s="956">
        <v>0</v>
      </c>
      <c r="DK265" s="956">
        <v>0</v>
      </c>
      <c r="DL265" s="152">
        <v>0</v>
      </c>
      <c r="DM265" s="160">
        <v>0</v>
      </c>
      <c r="DN265" s="160">
        <v>0</v>
      </c>
      <c r="DO265" s="160">
        <v>0</v>
      </c>
      <c r="DP265" s="160">
        <v>0</v>
      </c>
      <c r="DQ265" s="160">
        <v>0</v>
      </c>
      <c r="DR265" s="230">
        <v>0</v>
      </c>
      <c r="DS265" s="88">
        <v>0</v>
      </c>
      <c r="DT265" s="88">
        <v>0</v>
      </c>
      <c r="DU265" s="88">
        <v>0</v>
      </c>
      <c r="DV265" s="88">
        <v>0</v>
      </c>
      <c r="DW265" s="88">
        <v>0</v>
      </c>
      <c r="DX265" s="88">
        <v>0</v>
      </c>
      <c r="DY265" s="88">
        <v>0</v>
      </c>
      <c r="DZ265" s="88">
        <v>0</v>
      </c>
      <c r="EA265" s="88">
        <v>0</v>
      </c>
      <c r="EB265" s="152">
        <v>0</v>
      </c>
      <c r="EC265" s="52">
        <f t="shared" si="213"/>
        <v>0</v>
      </c>
      <c r="ED265" s="52">
        <f t="shared" si="213"/>
        <v>0</v>
      </c>
      <c r="EE265" s="52">
        <f t="shared" si="213"/>
        <v>0</v>
      </c>
      <c r="EF265" s="52">
        <f t="shared" si="186"/>
        <v>0</v>
      </c>
      <c r="EG265" s="52">
        <f t="shared" si="214"/>
        <v>0</v>
      </c>
      <c r="EH265" s="238">
        <v>0</v>
      </c>
      <c r="EI265" s="211">
        <v>0</v>
      </c>
      <c r="EJ265" s="211">
        <v>0</v>
      </c>
      <c r="EK265" s="211">
        <v>0</v>
      </c>
      <c r="EL265" s="217">
        <f>IF(C265&gt;=Summary!$E$26,MAX(0,SUM(EH265:EK265)),0)</f>
        <v>0</v>
      </c>
      <c r="EM265" s="52">
        <f>IF(C265&gt;=Summary!$E$26,DX265*BL265,0)</f>
        <v>0</v>
      </c>
      <c r="EN265" s="52">
        <f>IF(C265&gt;=Summary!$E$26,DY265*BM265,0)</f>
        <v>0</v>
      </c>
      <c r="EO265" s="52">
        <f>IF(C265&gt;=Summary!$E$26,DZ265*BN265,0)</f>
        <v>0</v>
      </c>
      <c r="EP265" s="52">
        <f>IF(C265&gt;=Summary!$E$26,EA265*BO265,0)</f>
        <v>0</v>
      </c>
      <c r="EQ265" s="52">
        <f>IF(C265&gt;=Summary!$E$26,DX265*BL265+DY265*BM265+DZ265*BN265+EA265*BO265,0)</f>
        <v>0</v>
      </c>
      <c r="ER265" s="826">
        <v>0</v>
      </c>
      <c r="ES265" s="278">
        <v>0</v>
      </c>
      <c r="ET265" s="278">
        <v>0</v>
      </c>
      <c r="EU265" s="278">
        <v>0</v>
      </c>
      <c r="EV265" s="212">
        <f>IF(C265&gt;=Summary!$E$26,MAX(0,SUM(ER265:EU265)),0)</f>
        <v>0</v>
      </c>
      <c r="EW265" s="52"/>
      <c r="EX265" s="1049">
        <f t="shared" si="215"/>
        <v>0</v>
      </c>
      <c r="EY265" s="1045" t="str">
        <f t="shared" si="216"/>
        <v/>
      </c>
      <c r="EZ265" s="1684" t="s">
        <v>525</v>
      </c>
      <c r="FA265" s="1046">
        <f t="shared" si="229"/>
        <v>45</v>
      </c>
      <c r="FB265" s="256">
        <f t="shared" si="217"/>
        <v>11169.9</v>
      </c>
      <c r="FC265" s="194">
        <f t="shared" si="218"/>
        <v>0</v>
      </c>
      <c r="FD265" s="194">
        <f t="shared" si="219"/>
        <v>2127.6</v>
      </c>
      <c r="FE265" s="194">
        <f t="shared" si="220"/>
        <v>0</v>
      </c>
      <c r="FF265" s="194">
        <f t="shared" si="221"/>
        <v>2659.5</v>
      </c>
      <c r="FG265" s="194">
        <f t="shared" si="222"/>
        <v>0</v>
      </c>
      <c r="FH265" s="257">
        <f>IF(EZ265="No",IF((OR(MONTH(C265)=5,MONTH(C265)=6,MONTH(C265)=7,MONTH(C265)=8,MONTH(C265)=9)),Summary!$O$15*12*(AX265+AY265+AZ265+BA265)*(1-$BC265),Summary!$O$15*13*(AX265+AY265+AZ265+BA265)*(1-$BC265)+IF(Summary!$O$16="Yes",(CALC!FA265+Summary!$O$15)*6*(AX265+AY265+AZ265+BA265)*(1-$BC265),0)),0)</f>
        <v>0</v>
      </c>
      <c r="FI265" s="1412">
        <f>IF(MONTH(C265)=5,FI264*(IF(Summary!$E$70="no",(1+(Summary!$E$71*0.8)),1+HLOOKUP(YEAR(C265)-1,CCFMODEL!$I$127:$AF$128,2)*0.8)),+FI264)</f>
        <v>43.774657911033053</v>
      </c>
      <c r="FJ265" s="1411">
        <f>IF(MONTH(C265)=5,FJ264*(IF(Summary!$E$70="no",(1+(Summary!$E$71*0.8)),1+HLOOKUP(YEAR(CALC!C265)-1,CCFMODEL!$I$127:$AF$128,2)*0.8)),FJ264)</f>
        <v>38.259740378934403</v>
      </c>
      <c r="FK265" s="832">
        <f t="shared" si="187"/>
        <v>698512.21628635447</v>
      </c>
      <c r="FL265" s="1412">
        <f>IF(MONTH(C265)=5,FL264*(IF(Summary!$E$70="no",(1+(Summary!$E$71*0.8)),1+HLOOKUP(YEAR(CALC!C265)-1,CCFMODEL!$I$127:$AF$128,2)*0.8)),+FL264)</f>
        <v>92.063013206968236</v>
      </c>
      <c r="FM265" s="1411">
        <f>IF(MONTH(C265)=5,FM264*(IF(Summary!$E$70="no",(1+(Summary!$E$71*0.8)),1+HLOOKUP(YEAR(CALC!C265)-1,CCFMODEL!$I$127:$AF$128,2)*0.8)),+FM264)</f>
        <v>43.938792361393126</v>
      </c>
      <c r="FN265" s="832">
        <f t="shared" si="188"/>
        <v>1491420.8139528853</v>
      </c>
      <c r="FO265" s="194">
        <f t="shared" si="223"/>
        <v>2189933.0302392398</v>
      </c>
      <c r="FP265" s="263">
        <f t="shared" si="238"/>
        <v>11169.9</v>
      </c>
      <c r="FQ265" s="194">
        <f t="shared" si="238"/>
        <v>0</v>
      </c>
      <c r="FR265" s="194">
        <f t="shared" si="238"/>
        <v>2127.6</v>
      </c>
      <c r="FS265" s="194">
        <f t="shared" si="238"/>
        <v>0</v>
      </c>
      <c r="FT265" s="194">
        <f t="shared" si="238"/>
        <v>2659.5</v>
      </c>
      <c r="FU265" s="194">
        <f t="shared" si="238"/>
        <v>0</v>
      </c>
      <c r="FV265" s="257">
        <f t="shared" si="238"/>
        <v>0</v>
      </c>
      <c r="FW265" s="189">
        <f t="shared" si="192"/>
        <v>0</v>
      </c>
      <c r="FX265" s="189">
        <f t="shared" si="193"/>
        <v>0</v>
      </c>
      <c r="FY265" s="189">
        <f t="shared" si="194"/>
        <v>0</v>
      </c>
      <c r="FZ265" s="258">
        <f t="shared" si="195"/>
        <v>0</v>
      </c>
      <c r="GA265" s="1294">
        <f>(SUM(FP265:FV265)+SUM(GU265:HB265)/(1-Summary!$O$25))*CY265/1000</f>
        <v>198626.72901926399</v>
      </c>
      <c r="GB265" s="1369">
        <f>IF($C265&lt;Summary!$M$81,+Summary!$O$81,VLOOKUP(C265,GasTable,19))</f>
        <v>4.1379125850213176</v>
      </c>
      <c r="GC265" s="1370">
        <f>IF(H265&lt;=Summary!$N$84,MIN(GA265,Summary!$O$75*(H265-G265+1)),0)</f>
        <v>0</v>
      </c>
      <c r="GD265" s="1371">
        <f>IF(C265&lt;Summary!$N$84,IF(Summary!$O$75*(H265-G265+1)*0.8&gt;GC265,1,0),0)</f>
        <v>0</v>
      </c>
      <c r="GE265" s="1372">
        <v>0</v>
      </c>
      <c r="GF265" s="1370">
        <f t="shared" si="224"/>
        <v>198626.72901926399</v>
      </c>
      <c r="GG265" s="1371">
        <f>GF265*(IF(Summary!$O$74=1,VLOOKUP($C265,GasTable,16)+Summary!$O$92+Summary!$O$93,VLOOKUP($C265,GasTable,19)+Summary!$O$92+Summary!$O$93))</f>
        <v>832248.49431233515</v>
      </c>
      <c r="GH265" s="1373">
        <v>6206.8688775319761</v>
      </c>
      <c r="GI265" s="1466">
        <v>0</v>
      </c>
      <c r="GJ265" s="1374">
        <f t="shared" si="225"/>
        <v>838455.36318986712</v>
      </c>
      <c r="GK265" s="189">
        <f t="shared" si="196"/>
        <v>25196.103000000003</v>
      </c>
      <c r="GL265" s="266">
        <v>0.52124423623999994</v>
      </c>
      <c r="GM265" s="255">
        <f t="shared" si="197"/>
        <v>0</v>
      </c>
      <c r="GN265" s="189">
        <f>IF(SUM(GU265:HB265)=0,0,IF(Summary!$O$16="Yes",SUM(GX265:HB265),IF(Summary!$O$17="Yes",SUM(GY265:HB265),SUM(GU265:HB265))))</f>
        <v>9239.103000000001</v>
      </c>
      <c r="GO265" s="203">
        <v>4.2976878244237646</v>
      </c>
      <c r="GP265" s="258">
        <f t="shared" si="226"/>
        <v>39706.780471697079</v>
      </c>
      <c r="GQ265" s="189"/>
      <c r="GR265" s="189"/>
      <c r="GS265" s="189"/>
      <c r="GT265" s="189"/>
      <c r="GU265" s="268">
        <v>3592.9845000000009</v>
      </c>
      <c r="GV265" s="189">
        <v>684.37800000000027</v>
      </c>
      <c r="GW265" s="189">
        <v>855.47249999999997</v>
      </c>
      <c r="GX265" s="189"/>
      <c r="GY265" s="254">
        <v>2874.3875999999996</v>
      </c>
      <c r="GZ265" s="189">
        <v>547.50239999999997</v>
      </c>
      <c r="HA265" s="189">
        <v>684.37800000000004</v>
      </c>
      <c r="HB265" s="255"/>
      <c r="HC265" s="189">
        <v>9239.103000000001</v>
      </c>
      <c r="HD265" s="189"/>
      <c r="HE265" s="189">
        <v>21557.906999999999</v>
      </c>
      <c r="HF265" s="189">
        <v>597410.61490278516</v>
      </c>
      <c r="HG265" s="189"/>
      <c r="HH265" s="203">
        <v>67.114462224833872</v>
      </c>
      <c r="HI265" s="189">
        <v>1446847.3349979818</v>
      </c>
      <c r="HJ265" s="268">
        <f t="shared" si="198"/>
        <v>0</v>
      </c>
      <c r="HK265" s="189">
        <f t="shared" si="199"/>
        <v>0</v>
      </c>
      <c r="HL265" s="189">
        <f t="shared" si="200"/>
        <v>0</v>
      </c>
      <c r="HM265" s="255">
        <f t="shared" si="201"/>
        <v>0</v>
      </c>
      <c r="HN265" s="189">
        <f t="shared" si="202"/>
        <v>0</v>
      </c>
      <c r="HO265" s="203">
        <f t="shared" si="227"/>
        <v>0</v>
      </c>
      <c r="HP265" s="258">
        <f t="shared" si="203"/>
        <v>0</v>
      </c>
      <c r="HQ265" s="203" t="s">
        <v>1097</v>
      </c>
      <c r="HR265" s="268">
        <f t="shared" si="241"/>
        <v>685569.03965704795</v>
      </c>
      <c r="HS265" s="1408">
        <f>IF(HT265=0,IF(OR(SUMIF(CURVES!$AU$6:$AU$283,$HQ265,CURVES!$BQ$6:$BQ$283)=0,COUNTIF(CURVES!$AU$6:$AU$283,$HQ265)=0),0,SUMIF(CURVES!$AU$6:$AU$283,$HQ265,CURVES!$BQ$6:$BQ$283)/COUNTIF(CURVES!$AU$6:$AU$283,$HQ265)),HT265/HR265)</f>
        <v>4.0215646456817575</v>
      </c>
      <c r="HT265" s="255">
        <f t="shared" si="242"/>
        <v>2757060.2120587789</v>
      </c>
      <c r="HU265" s="268">
        <f t="shared" si="243"/>
        <v>0</v>
      </c>
      <c r="HV265" s="1408" t="e">
        <f>IF(HW265=0,0,HW265/Summary!$O$79/HU265)</f>
        <v>#DIV/0!</v>
      </c>
      <c r="HW265" s="255">
        <f t="shared" si="244"/>
        <v>17862.808879568947</v>
      </c>
      <c r="HX265" s="1408">
        <f>IF(OR(SUMIF(CURVES!$AU$6:$AU$283,$HQ265,CURVES!$BQ$6:$BQ$283)=0,COUNTIF(CURVES!$AU$6:$AU$283,$HQ265)=0),0,SUMIF(CURVES!$AU$6:$AU$283,$HQ265,CURVES!$BQ$6:$BQ$283)/COUNTIF(CURVES!$AU$6:$AU$283,$HQ265))</f>
        <v>4.6654793691051113</v>
      </c>
      <c r="HY265" s="1408">
        <f>IF(OR(SUMIF(CURVES!$AU$6:$AU$283,$HQ265,CURVES!$BR$6:$BR$283)=0,COUNTIF(CURVES!$AU$6:$AU$283,$HQ265)=0),0,SUMIF(CURVES!$AU$6:$AU$283,$HQ265,CURVES!$BR$6:$BR$283)/COUNTIF(CURVES!$AU$6:$AU$283,$HQ265))</f>
        <v>3.7934796823678645</v>
      </c>
      <c r="HZ265"/>
      <c r="IA265" s="203"/>
      <c r="IB265" s="203"/>
      <c r="IC265" s="203"/>
      <c r="ID265" s="203"/>
      <c r="IE265" s="203"/>
      <c r="IF265" s="203"/>
      <c r="IG265" s="203"/>
      <c r="IH265" s="203"/>
      <c r="II265" s="203"/>
      <c r="IJ265" s="203"/>
      <c r="IK265" s="203"/>
      <c r="IL265" s="821"/>
      <c r="IM265" s="820"/>
      <c r="IN265" s="820"/>
      <c r="IR265" s="223"/>
    </row>
    <row r="266" spans="1:252" ht="13.8" thickBot="1">
      <c r="A266" t="str">
        <f t="shared" si="204"/>
        <v>2020Q4</v>
      </c>
      <c r="B266">
        <f t="shared" si="205"/>
        <v>2020</v>
      </c>
      <c r="C266" s="49">
        <f t="shared" si="206"/>
        <v>44105</v>
      </c>
      <c r="D266" s="115">
        <f t="shared" si="207"/>
        <v>2020</v>
      </c>
      <c r="E266" s="10">
        <f t="shared" si="230"/>
        <v>10</v>
      </c>
      <c r="F266" s="248" t="str">
        <f t="shared" si="231"/>
        <v/>
      </c>
      <c r="G266" s="245">
        <v>44105</v>
      </c>
      <c r="H266" s="251">
        <v>44135</v>
      </c>
      <c r="I266" s="959">
        <f t="shared" si="228"/>
        <v>7.1499999999999994E-2</v>
      </c>
      <c r="J266" s="37">
        <f t="shared" si="208"/>
        <v>0.22978309584993684</v>
      </c>
      <c r="K266" s="1036"/>
      <c r="L266" s="37"/>
      <c r="M266" s="1004">
        <v>0</v>
      </c>
      <c r="N266" s="38">
        <f t="shared" si="239"/>
        <v>0</v>
      </c>
      <c r="O266" s="40">
        <f t="shared" si="239"/>
        <v>0</v>
      </c>
      <c r="P266" s="159">
        <f t="shared" si="234"/>
        <v>0</v>
      </c>
      <c r="Q266" s="38">
        <f t="shared" si="245"/>
        <v>0</v>
      </c>
      <c r="R266" s="40">
        <f t="shared" si="245"/>
        <v>0</v>
      </c>
      <c r="S266" s="38">
        <f t="shared" si="245"/>
        <v>0</v>
      </c>
      <c r="T266" s="38">
        <f t="shared" si="245"/>
        <v>0</v>
      </c>
      <c r="U266" s="38">
        <f t="shared" si="245"/>
        <v>0</v>
      </c>
      <c r="V266" s="159">
        <f t="shared" si="245"/>
        <v>0</v>
      </c>
      <c r="W266" s="38">
        <f t="shared" si="245"/>
        <v>0</v>
      </c>
      <c r="X266" s="39">
        <f t="shared" si="245"/>
        <v>0</v>
      </c>
      <c r="Y266" s="46">
        <v>0</v>
      </c>
      <c r="Z266" s="46">
        <v>0</v>
      </c>
      <c r="AA266" s="47">
        <v>0</v>
      </c>
      <c r="AB266" s="46">
        <v>0</v>
      </c>
      <c r="AC266" s="46">
        <v>0</v>
      </c>
      <c r="AD266" s="47">
        <v>0</v>
      </c>
      <c r="AE266" s="46">
        <v>0</v>
      </c>
      <c r="AF266" s="46">
        <v>0</v>
      </c>
      <c r="AG266" s="47">
        <v>0</v>
      </c>
      <c r="AH266" s="46">
        <v>0</v>
      </c>
      <c r="AI266" s="46">
        <v>0</v>
      </c>
      <c r="AJ266" s="47">
        <v>0</v>
      </c>
      <c r="AK266" s="46">
        <v>0</v>
      </c>
      <c r="AL266" s="46">
        <v>0</v>
      </c>
      <c r="AM266" s="47">
        <v>0</v>
      </c>
      <c r="AN266" s="46">
        <v>0</v>
      </c>
      <c r="AO266" s="46">
        <v>0</v>
      </c>
      <c r="AP266" s="47">
        <v>0</v>
      </c>
      <c r="AQ266" s="46">
        <v>0</v>
      </c>
      <c r="AR266" s="46">
        <v>0</v>
      </c>
      <c r="AS266" s="47">
        <v>0</v>
      </c>
      <c r="AT266" s="46">
        <v>0</v>
      </c>
      <c r="AU266" s="46">
        <v>0</v>
      </c>
      <c r="AV266" s="46">
        <v>0</v>
      </c>
      <c r="AW266" s="1545">
        <v>0</v>
      </c>
      <c r="AX266" s="10">
        <f t="shared" si="232"/>
        <v>22</v>
      </c>
      <c r="AY266" s="42">
        <f>IF(AND($E266=MONTH(Summary!$E$24),$D266=YEAR(Summary!$E$24)),Summary!$E$25,1)*IF(G266="",0,INT((H266-MOD(H266,7)-G266)/7)+1-IF(BA266,IF(WEEKDAY(F266)=7,1,0),0))</f>
        <v>5</v>
      </c>
      <c r="AZ266" s="42">
        <f>IF(AND($E266=MONTH(Summary!$E$24),$D266=YEAR(Summary!$E$24)),Summary!$E$25,1)*IF(G266="",0,INT((H266-MOD(H266-1,7)-G266)/7)+1-IF(BA266,IF(WEEKDAY(F266)=1,1,0),0))</f>
        <v>4</v>
      </c>
      <c r="BA266" s="42">
        <v>0</v>
      </c>
      <c r="BB266" s="10">
        <f>IF(AND($E266=MONTH(Summary!$E$24),$D266=YEAR(Summary!$E$24)),Summary!$E$25,1)*IF(G266="",0,H266-G266+1)</f>
        <v>31</v>
      </c>
      <c r="BC266" s="914">
        <f>Summary!$E$19</f>
        <v>1.4999999999999999E-2</v>
      </c>
      <c r="BD266" s="113">
        <v>15602.4</v>
      </c>
      <c r="BE266" s="171">
        <v>3546</v>
      </c>
      <c r="BF266" s="171">
        <v>2836.8</v>
      </c>
      <c r="BG266" s="174"/>
      <c r="BH266" s="1198">
        <v>1</v>
      </c>
      <c r="BI266" s="1198">
        <v>1</v>
      </c>
      <c r="BJ266" s="1198">
        <v>1</v>
      </c>
      <c r="BK266" s="1198">
        <v>1</v>
      </c>
      <c r="BL266" s="95">
        <v>3120.48</v>
      </c>
      <c r="BM266" s="171">
        <v>709.2</v>
      </c>
      <c r="BN266" s="171">
        <v>567.36</v>
      </c>
      <c r="BO266" s="174"/>
      <c r="BP266" s="1198">
        <v>1</v>
      </c>
      <c r="BQ266" s="1199">
        <v>1</v>
      </c>
      <c r="BR266" s="1199">
        <v>1</v>
      </c>
      <c r="BS266" s="1200">
        <v>1</v>
      </c>
      <c r="BT266" s="94">
        <f t="shared" si="209"/>
        <v>21985.200000000001</v>
      </c>
      <c r="BU266" s="233">
        <f t="shared" si="210"/>
        <v>21985.200000000001</v>
      </c>
      <c r="BV266" s="92">
        <f t="shared" si="211"/>
        <v>4397.04</v>
      </c>
      <c r="BW266" s="233">
        <f t="shared" si="212"/>
        <v>4397.04</v>
      </c>
      <c r="BX266" s="88">
        <v>20.79671457905544</v>
      </c>
      <c r="BY266" s="90">
        <v>0</v>
      </c>
      <c r="BZ266" s="88">
        <v>0</v>
      </c>
      <c r="CA266" s="88">
        <v>0</v>
      </c>
      <c r="CB266" s="88">
        <v>0</v>
      </c>
      <c r="CC266" s="88">
        <v>0</v>
      </c>
      <c r="CD266" s="88">
        <v>0</v>
      </c>
      <c r="CE266" s="100">
        <v>0</v>
      </c>
      <c r="CF266" s="88">
        <v>0</v>
      </c>
      <c r="CG266" s="88">
        <v>0</v>
      </c>
      <c r="CH266" s="88">
        <v>0</v>
      </c>
      <c r="CI266" s="88">
        <v>0</v>
      </c>
      <c r="CJ266" s="228">
        <v>0</v>
      </c>
      <c r="CK266" s="88">
        <v>0</v>
      </c>
      <c r="CL266" s="88">
        <v>0</v>
      </c>
      <c r="CM266" s="88">
        <v>0</v>
      </c>
      <c r="CN266" s="88">
        <v>0</v>
      </c>
      <c r="CO266" s="88">
        <v>0</v>
      </c>
      <c r="CP266" s="88">
        <v>0</v>
      </c>
      <c r="CQ266" s="229">
        <v>0</v>
      </c>
      <c r="CR266" s="91">
        <v>0</v>
      </c>
      <c r="CS266" s="91">
        <v>0</v>
      </c>
      <c r="CT266" s="91">
        <v>0</v>
      </c>
      <c r="CU266" s="91">
        <v>0</v>
      </c>
      <c r="CV266" s="91">
        <v>0</v>
      </c>
      <c r="CW266" s="91">
        <v>0</v>
      </c>
      <c r="CX266" s="225">
        <v>0</v>
      </c>
      <c r="CY266" s="1265">
        <v>7781.7956799999993</v>
      </c>
      <c r="CZ266" s="90">
        <v>0</v>
      </c>
      <c r="DA266" s="88">
        <v>0</v>
      </c>
      <c r="DB266" s="88">
        <v>0</v>
      </c>
      <c r="DC266" s="88">
        <v>0</v>
      </c>
      <c r="DD266" s="88">
        <v>0</v>
      </c>
      <c r="DE266" s="152">
        <v>0</v>
      </c>
      <c r="DF266" s="230">
        <v>0</v>
      </c>
      <c r="DG266" s="38">
        <v>0</v>
      </c>
      <c r="DH266" s="1237">
        <v>0</v>
      </c>
      <c r="DI266" s="956">
        <v>0</v>
      </c>
      <c r="DJ266" s="956">
        <v>0</v>
      </c>
      <c r="DK266" s="956">
        <v>0</v>
      </c>
      <c r="DL266" s="152">
        <v>0</v>
      </c>
      <c r="DM266" s="160">
        <v>0</v>
      </c>
      <c r="DN266" s="160">
        <v>0</v>
      </c>
      <c r="DO266" s="160">
        <v>0</v>
      </c>
      <c r="DP266" s="160">
        <v>0</v>
      </c>
      <c r="DQ266" s="160">
        <v>0</v>
      </c>
      <c r="DR266" s="230">
        <v>0</v>
      </c>
      <c r="DS266" s="88">
        <v>0</v>
      </c>
      <c r="DT266" s="88">
        <v>0</v>
      </c>
      <c r="DU266" s="88">
        <v>0</v>
      </c>
      <c r="DV266" s="88">
        <v>0</v>
      </c>
      <c r="DW266" s="88">
        <v>0</v>
      </c>
      <c r="DX266" s="88">
        <v>0</v>
      </c>
      <c r="DY266" s="88">
        <v>0</v>
      </c>
      <c r="DZ266" s="88">
        <v>0</v>
      </c>
      <c r="EA266" s="88">
        <v>0</v>
      </c>
      <c r="EB266" s="152">
        <v>0</v>
      </c>
      <c r="EC266" s="52">
        <f t="shared" si="213"/>
        <v>0</v>
      </c>
      <c r="ED266" s="52">
        <f t="shared" si="213"/>
        <v>0</v>
      </c>
      <c r="EE266" s="52">
        <f t="shared" si="213"/>
        <v>0</v>
      </c>
      <c r="EF266" s="52">
        <f t="shared" si="186"/>
        <v>0</v>
      </c>
      <c r="EG266" s="52">
        <f t="shared" si="214"/>
        <v>0</v>
      </c>
      <c r="EH266" s="238">
        <v>0</v>
      </c>
      <c r="EI266" s="211">
        <v>0</v>
      </c>
      <c r="EJ266" s="211">
        <v>0</v>
      </c>
      <c r="EK266" s="211">
        <v>0</v>
      </c>
      <c r="EL266" s="217">
        <f>IF(C266&gt;=Summary!$E$26,MAX(0,SUM(EH266:EK266)),0)</f>
        <v>0</v>
      </c>
      <c r="EM266" s="52">
        <f>IF(C266&gt;=Summary!$E$26,DX266*BL266,0)</f>
        <v>0</v>
      </c>
      <c r="EN266" s="52">
        <f>IF(C266&gt;=Summary!$E$26,DY266*BM266,0)</f>
        <v>0</v>
      </c>
      <c r="EO266" s="52">
        <f>IF(C266&gt;=Summary!$E$26,DZ266*BN266,0)</f>
        <v>0</v>
      </c>
      <c r="EP266" s="52">
        <f>IF(C266&gt;=Summary!$E$26,EA266*BO266,0)</f>
        <v>0</v>
      </c>
      <c r="EQ266" s="52">
        <f>IF(C266&gt;=Summary!$E$26,DX266*BL266+DY266*BM266+DZ266*BN266+EA266*BO266,0)</f>
        <v>0</v>
      </c>
      <c r="ER266" s="826">
        <v>0</v>
      </c>
      <c r="ES266" s="278">
        <v>0</v>
      </c>
      <c r="ET266" s="278">
        <v>0</v>
      </c>
      <c r="EU266" s="278">
        <v>0</v>
      </c>
      <c r="EV266" s="212">
        <f>IF(C266&gt;=Summary!$E$26,MAX(0,SUM(ER266:EU266)),0)</f>
        <v>0</v>
      </c>
      <c r="EW266" s="52"/>
      <c r="EX266" s="1049">
        <f t="shared" si="215"/>
        <v>0</v>
      </c>
      <c r="EY266" s="1045" t="str">
        <f t="shared" si="216"/>
        <v/>
      </c>
      <c r="EZ266" s="1684" t="s">
        <v>525</v>
      </c>
      <c r="FA266" s="1046">
        <f t="shared" si="229"/>
        <v>45</v>
      </c>
      <c r="FB266" s="256">
        <f t="shared" si="217"/>
        <v>9751.5</v>
      </c>
      <c r="FC266" s="194">
        <f t="shared" si="218"/>
        <v>2925.45</v>
      </c>
      <c r="FD266" s="194">
        <f t="shared" si="219"/>
        <v>2216.25</v>
      </c>
      <c r="FE266" s="194">
        <f t="shared" si="220"/>
        <v>664.875</v>
      </c>
      <c r="FF266" s="194">
        <f t="shared" si="221"/>
        <v>1773</v>
      </c>
      <c r="FG266" s="194">
        <f t="shared" si="222"/>
        <v>531.9</v>
      </c>
      <c r="FH266" s="257">
        <f>IF(EZ266="No",IF((OR(MONTH(C266)=5,MONTH(C266)=6,MONTH(C266)=7,MONTH(C266)=8,MONTH(C266)=9)),Summary!$O$15*12*(AX266+AY266+AZ266+BA266)*(1-$BC266),Summary!$O$15*13*(AX266+AY266+AZ266+BA266)*(1-$BC266)+IF(Summary!$O$16="Yes",(CALC!FA266+Summary!$O$15)*6*(AX266+AY266+AZ266+BA266)*(1-$BC266),0)),0)</f>
        <v>0</v>
      </c>
      <c r="FI266" s="1412">
        <f>IF(MONTH(C266)=5,FI265*(IF(Summary!$E$70="no",(1+(Summary!$E$71*0.8)),1+HLOOKUP(YEAR(C266)-1,CCFMODEL!$I$127:$AF$128,2)*0.8)),+FI265)</f>
        <v>43.774657911033053</v>
      </c>
      <c r="FJ266" s="1411">
        <f>IF(MONTH(C266)=5,FJ265*(IF(Summary!$E$70="no",(1+(Summary!$E$71*0.8)),1+HLOOKUP(YEAR(CALC!C266)-1,CCFMODEL!$I$127:$AF$128,2)*0.8)),FJ265)</f>
        <v>38.259740378934403</v>
      </c>
      <c r="FK266" s="832">
        <f t="shared" si="187"/>
        <v>781945.61989833578</v>
      </c>
      <c r="FL266" s="1412">
        <f>IF(MONTH(C266)=5,FL265*(IF(Summary!$E$70="no",(1+(Summary!$E$71*0.8)),1+HLOOKUP(YEAR(CALC!C266)-1,CCFMODEL!$I$127:$AF$128,2)*0.8)),+FL265)</f>
        <v>92.063013206968236</v>
      </c>
      <c r="FM266" s="1411">
        <f>IF(MONTH(C266)=5,FM265*(IF(Summary!$E$70="no",(1+(Summary!$E$71*0.8)),1+HLOOKUP(YEAR(CALC!C266)-1,CCFMODEL!$I$127:$AF$128,2)*0.8)),+FM265)</f>
        <v>43.938792361393126</v>
      </c>
      <c r="FN266" s="832">
        <f t="shared" si="188"/>
        <v>796829.99947386456</v>
      </c>
      <c r="FO266" s="194">
        <f t="shared" si="223"/>
        <v>1578775.6193722002</v>
      </c>
      <c r="FP266" s="263">
        <f t="shared" si="238"/>
        <v>9751.5</v>
      </c>
      <c r="FQ266" s="194">
        <f t="shared" si="238"/>
        <v>2925.45</v>
      </c>
      <c r="FR266" s="194">
        <f t="shared" si="238"/>
        <v>2216.25</v>
      </c>
      <c r="FS266" s="194">
        <f t="shared" si="238"/>
        <v>664.875</v>
      </c>
      <c r="FT266" s="194">
        <f t="shared" si="238"/>
        <v>1773</v>
      </c>
      <c r="FU266" s="194">
        <f t="shared" si="238"/>
        <v>531.9</v>
      </c>
      <c r="FV266" s="257">
        <f t="shared" si="238"/>
        <v>0</v>
      </c>
      <c r="FW266" s="189">
        <f t="shared" si="192"/>
        <v>0</v>
      </c>
      <c r="FX266" s="189">
        <f t="shared" si="193"/>
        <v>0</v>
      </c>
      <c r="FY266" s="189">
        <f t="shared" si="194"/>
        <v>0</v>
      </c>
      <c r="FZ266" s="258">
        <f t="shared" si="195"/>
        <v>0</v>
      </c>
      <c r="GA266" s="1294">
        <f>(SUM(FP266:FV266)+SUM(GU266:HB266)/(1-Summary!$O$25))*CY266/1000</f>
        <v>237379.51395771123</v>
      </c>
      <c r="GB266" s="1369">
        <f>IF($C266&lt;Summary!$M$81,+Summary!$O$81,VLOOKUP(C266,GasTable,19))</f>
        <v>4.3217990070793197</v>
      </c>
      <c r="GC266" s="1370">
        <f>IF(H266&lt;=Summary!$N$84,MIN(GA266,Summary!$O$75*(H266-G266+1)),0)</f>
        <v>0</v>
      </c>
      <c r="GD266" s="1371">
        <f>IF(C266&lt;Summary!$N$84,IF(Summary!$O$75*(H266-G266+1)*0.8&gt;GC266,1,0),0)</f>
        <v>0</v>
      </c>
      <c r="GE266" s="1372">
        <v>0</v>
      </c>
      <c r="GF266" s="1370">
        <f t="shared" si="224"/>
        <v>237379.51395771123</v>
      </c>
      <c r="GG266" s="1371">
        <f>GF266*(IF(Summary!$O$74=1,VLOOKUP($C266,GasTable,16)+Summary!$O$92+Summary!$O$93,VLOOKUP($C266,GasTable,19)+Summary!$O$92+Summary!$O$93))</f>
        <v>1038274.0204006047</v>
      </c>
      <c r="GH266" s="1373">
        <v>6698.7884609729454</v>
      </c>
      <c r="GI266" s="1466">
        <v>0</v>
      </c>
      <c r="GJ266" s="1374">
        <f t="shared" si="225"/>
        <v>1044972.8088615777</v>
      </c>
      <c r="GK266" s="189">
        <f t="shared" si="196"/>
        <v>30062.012850000006</v>
      </c>
      <c r="GL266" s="266">
        <v>0.52138031056</v>
      </c>
      <c r="GM266" s="255">
        <f t="shared" si="197"/>
        <v>0</v>
      </c>
      <c r="GN266" s="189">
        <f>IF(SUM(GU266:HB266)=0,0,IF(Summary!$O$16="Yes",SUM(GX266:HB266),IF(Summary!$O$17="Yes",SUM(GY266:HB266),SUM(GU266:HB266))))</f>
        <v>12199.037849999999</v>
      </c>
      <c r="GO266" s="203">
        <v>4.2976878244237646</v>
      </c>
      <c r="GP266" s="258">
        <f t="shared" si="226"/>
        <v>52427.656437629652</v>
      </c>
      <c r="GQ266" s="189"/>
      <c r="GR266" s="189"/>
      <c r="GS266" s="189"/>
      <c r="GT266" s="189"/>
      <c r="GU266" s="268">
        <v>5646.1184999999996</v>
      </c>
      <c r="GV266" s="189">
        <v>1283.20875</v>
      </c>
      <c r="GW266" s="189">
        <v>1026.5670000000002</v>
      </c>
      <c r="GX266" s="189"/>
      <c r="GY266" s="254">
        <v>3011.2631999999999</v>
      </c>
      <c r="GZ266" s="189">
        <v>684.37800000000004</v>
      </c>
      <c r="HA266" s="189">
        <v>547.50239999999997</v>
      </c>
      <c r="HB266" s="255"/>
      <c r="HC266" s="189">
        <v>12199.037849999999</v>
      </c>
      <c r="HD266" s="189"/>
      <c r="HE266" s="189">
        <v>20950.521524999996</v>
      </c>
      <c r="HF266" s="189">
        <v>714856.36637009971</v>
      </c>
      <c r="HG266" s="189"/>
      <c r="HH266" s="203">
        <v>57.672570654599511</v>
      </c>
      <c r="HI266" s="189">
        <v>1208270.4329012702</v>
      </c>
      <c r="HJ266" s="268">
        <f t="shared" si="198"/>
        <v>0</v>
      </c>
      <c r="HK266" s="189">
        <f t="shared" si="199"/>
        <v>0</v>
      </c>
      <c r="HL266" s="189">
        <f t="shared" si="200"/>
        <v>0</v>
      </c>
      <c r="HM266" s="255">
        <f t="shared" si="201"/>
        <v>0</v>
      </c>
      <c r="HN266" s="189">
        <f t="shared" si="202"/>
        <v>0</v>
      </c>
      <c r="HO266" s="203">
        <f t="shared" si="227"/>
        <v>0</v>
      </c>
      <c r="HP266" s="258">
        <f t="shared" si="203"/>
        <v>0</v>
      </c>
      <c r="HQ266" s="203" t="s">
        <v>1098</v>
      </c>
      <c r="HR266" s="268">
        <f t="shared" si="241"/>
        <v>630882.17885543033</v>
      </c>
      <c r="HS266" s="1408">
        <f>IF(HT266=0,IF(OR(SUMIF(CURVES!$AU$6:$AU$283,$HQ266,CURVES!$BQ$6:$BQ$283)=0,COUNTIF(CURVES!$AU$6:$AU$283,$HQ266)=0),0,SUMIF(CURVES!$AU$6:$AU$283,$HQ266,CURVES!$BQ$6:$BQ$283)/COUNTIF(CURVES!$AU$6:$AU$283,$HQ266)),HT266/HR266)</f>
        <v>3.6559803521331018</v>
      </c>
      <c r="HT266" s="255">
        <f t="shared" si="242"/>
        <v>2306492.8504063748</v>
      </c>
      <c r="HU266" s="268">
        <f t="shared" si="243"/>
        <v>0</v>
      </c>
      <c r="HV266" s="1408" t="e">
        <f>IF(HW266=0,0,HW266/Summary!$O$79/HU266)</f>
        <v>#DIV/0!</v>
      </c>
      <c r="HW266" s="255">
        <f t="shared" si="244"/>
        <v>16396.762693774501</v>
      </c>
      <c r="HX266" s="1408">
        <f>IF(OR(SUMIF(CURVES!$AU$6:$AU$283,$HQ266,CURVES!$BQ$6:$BQ$283)=0,COUNTIF(CURVES!$AU$6:$AU$283,$HQ266)=0),0,SUMIF(CURVES!$AU$6:$AU$283,$HQ266,CURVES!$BQ$6:$BQ$283)/COUNTIF(CURVES!$AU$6:$AU$283,$HQ266))</f>
        <v>4.3372457628904266</v>
      </c>
      <c r="HY266" s="1408">
        <f>IF(OR(SUMIF(CURVES!$AU$6:$AU$283,$HQ266,CURVES!$BR$6:$BR$283)=0,COUNTIF(CURVES!$AU$6:$AU$283,$HQ266)=0),0,SUMIF(CURVES!$AU$6:$AU$283,$HQ266,CURVES!$BR$6:$BR$283)/COUNTIF(CURVES!$AU$6:$AU$283,$HQ266))</f>
        <v>3.4431884398070962</v>
      </c>
      <c r="HZ266"/>
      <c r="IA266" s="203"/>
      <c r="IB266" s="203"/>
      <c r="IC266" s="203"/>
      <c r="ID266" s="203"/>
      <c r="IE266" s="203"/>
      <c r="IF266" s="203"/>
      <c r="IG266" s="203"/>
      <c r="IH266" s="203"/>
      <c r="II266" s="203"/>
      <c r="IJ266" s="203"/>
      <c r="IK266" s="203"/>
      <c r="IL266" s="821"/>
      <c r="IM266" s="820"/>
      <c r="IN266" s="820"/>
      <c r="IR266" s="223"/>
    </row>
    <row r="267" spans="1:252" ht="13.8" thickBot="1">
      <c r="A267" t="str">
        <f t="shared" si="204"/>
        <v>2020Q4</v>
      </c>
      <c r="B267">
        <f t="shared" si="205"/>
        <v>2020</v>
      </c>
      <c r="C267" s="49">
        <f t="shared" si="206"/>
        <v>44136</v>
      </c>
      <c r="D267" s="115">
        <f t="shared" si="207"/>
        <v>2020</v>
      </c>
      <c r="E267" s="10">
        <f t="shared" si="230"/>
        <v>11</v>
      </c>
      <c r="F267" s="248">
        <f t="shared" si="231"/>
        <v>44161</v>
      </c>
      <c r="G267" s="245">
        <v>44136</v>
      </c>
      <c r="H267" s="251">
        <v>44165</v>
      </c>
      <c r="I267" s="959">
        <f t="shared" si="228"/>
        <v>7.1499999999999994E-2</v>
      </c>
      <c r="J267" s="37">
        <f t="shared" si="208"/>
        <v>0.22846103032445333</v>
      </c>
      <c r="K267" s="1036"/>
      <c r="L267" s="37"/>
      <c r="M267" s="1004">
        <v>0</v>
      </c>
      <c r="N267" s="38">
        <f t="shared" si="239"/>
        <v>0</v>
      </c>
      <c r="O267" s="40">
        <f t="shared" si="239"/>
        <v>0</v>
      </c>
      <c r="P267" s="159">
        <f t="shared" si="234"/>
        <v>0</v>
      </c>
      <c r="Q267" s="38">
        <f t="shared" si="245"/>
        <v>0</v>
      </c>
      <c r="R267" s="40">
        <f t="shared" si="245"/>
        <v>0</v>
      </c>
      <c r="S267" s="38">
        <f t="shared" si="245"/>
        <v>0</v>
      </c>
      <c r="T267" s="38">
        <f t="shared" si="245"/>
        <v>0</v>
      </c>
      <c r="U267" s="38">
        <f t="shared" si="245"/>
        <v>0</v>
      </c>
      <c r="V267" s="159">
        <f t="shared" si="245"/>
        <v>0</v>
      </c>
      <c r="W267" s="38">
        <f t="shared" si="245"/>
        <v>0</v>
      </c>
      <c r="X267" s="39">
        <f t="shared" si="245"/>
        <v>0</v>
      </c>
      <c r="Y267" s="46">
        <v>0</v>
      </c>
      <c r="Z267" s="46">
        <v>0</v>
      </c>
      <c r="AA267" s="47">
        <v>0</v>
      </c>
      <c r="AB267" s="46">
        <v>0</v>
      </c>
      <c r="AC267" s="46">
        <v>0</v>
      </c>
      <c r="AD267" s="47">
        <v>0</v>
      </c>
      <c r="AE267" s="46">
        <v>0</v>
      </c>
      <c r="AF267" s="46">
        <v>0</v>
      </c>
      <c r="AG267" s="47">
        <v>0</v>
      </c>
      <c r="AH267" s="46">
        <v>0</v>
      </c>
      <c r="AI267" s="46">
        <v>0</v>
      </c>
      <c r="AJ267" s="47">
        <v>0</v>
      </c>
      <c r="AK267" s="46">
        <v>0</v>
      </c>
      <c r="AL267" s="46">
        <v>0</v>
      </c>
      <c r="AM267" s="47">
        <v>0</v>
      </c>
      <c r="AN267" s="46">
        <v>0</v>
      </c>
      <c r="AO267" s="46">
        <v>0</v>
      </c>
      <c r="AP267" s="47">
        <v>0</v>
      </c>
      <c r="AQ267" s="46">
        <v>0</v>
      </c>
      <c r="AR267" s="46">
        <v>0</v>
      </c>
      <c r="AS267" s="47">
        <v>0</v>
      </c>
      <c r="AT267" s="46">
        <v>0</v>
      </c>
      <c r="AU267" s="46">
        <v>0</v>
      </c>
      <c r="AV267" s="46">
        <v>0</v>
      </c>
      <c r="AW267" s="1545">
        <v>0</v>
      </c>
      <c r="AX267" s="10">
        <f t="shared" si="232"/>
        <v>20</v>
      </c>
      <c r="AY267" s="42">
        <f>IF(AND($E267=MONTH(Summary!$E$24),$D267=YEAR(Summary!$E$24)),Summary!$E$25,1)*IF(G267="",0,INT((H267-MOD(H267,7)-G267)/7)+1-IF(BA267,IF(WEEKDAY(F267)=7,1,0),0))</f>
        <v>4</v>
      </c>
      <c r="AZ267" s="42">
        <f>IF(AND($E267=MONTH(Summary!$E$24),$D267=YEAR(Summary!$E$24)),Summary!$E$25,1)*IF(G267="",0,INT((H267-MOD(H267-1,7)-G267)/7)+1-IF(BA267,IF(WEEKDAY(F267)=1,1,0),0))</f>
        <v>5</v>
      </c>
      <c r="BA267" s="42">
        <v>1</v>
      </c>
      <c r="BB267" s="10">
        <f>IF(AND($E267=MONTH(Summary!$E$24),$D267=YEAR(Summary!$E$24)),Summary!$E$25,1)*IF(G267="",0,H267-G267+1)</f>
        <v>30</v>
      </c>
      <c r="BC267" s="914">
        <f>Summary!$E$19</f>
        <v>1.4999999999999999E-2</v>
      </c>
      <c r="BD267" s="113">
        <v>14184</v>
      </c>
      <c r="BE267" s="171">
        <v>2836.8</v>
      </c>
      <c r="BF267" s="171">
        <v>4255.2</v>
      </c>
      <c r="BG267" s="174"/>
      <c r="BH267" s="1198">
        <v>1</v>
      </c>
      <c r="BI267" s="1198">
        <v>1</v>
      </c>
      <c r="BJ267" s="1198">
        <v>1</v>
      </c>
      <c r="BK267" s="1198">
        <v>1</v>
      </c>
      <c r="BL267" s="95">
        <v>2836.8</v>
      </c>
      <c r="BM267" s="171">
        <v>567.36</v>
      </c>
      <c r="BN267" s="171">
        <v>851.04</v>
      </c>
      <c r="BO267" s="174"/>
      <c r="BP267" s="1198">
        <v>1</v>
      </c>
      <c r="BQ267" s="1199">
        <v>1</v>
      </c>
      <c r="BR267" s="1199">
        <v>1</v>
      </c>
      <c r="BS267" s="1200">
        <v>1</v>
      </c>
      <c r="BT267" s="94">
        <f t="shared" si="209"/>
        <v>21276</v>
      </c>
      <c r="BU267" s="233">
        <f t="shared" si="210"/>
        <v>21276</v>
      </c>
      <c r="BV267" s="92">
        <f t="shared" si="211"/>
        <v>4255.2000000000007</v>
      </c>
      <c r="BW267" s="233">
        <f t="shared" si="212"/>
        <v>4255.2000000000007</v>
      </c>
      <c r="BX267" s="88">
        <v>20.881587953456538</v>
      </c>
      <c r="BY267" s="90">
        <v>0</v>
      </c>
      <c r="BZ267" s="88">
        <v>0</v>
      </c>
      <c r="CA267" s="88">
        <v>0</v>
      </c>
      <c r="CB267" s="88">
        <v>0</v>
      </c>
      <c r="CC267" s="88">
        <v>0</v>
      </c>
      <c r="CD267" s="88">
        <v>0</v>
      </c>
      <c r="CE267" s="100">
        <v>0</v>
      </c>
      <c r="CF267" s="88">
        <v>0</v>
      </c>
      <c r="CG267" s="88">
        <v>0</v>
      </c>
      <c r="CH267" s="88">
        <v>0</v>
      </c>
      <c r="CI267" s="88">
        <v>0</v>
      </c>
      <c r="CJ267" s="228">
        <v>0</v>
      </c>
      <c r="CK267" s="88">
        <v>0</v>
      </c>
      <c r="CL267" s="88">
        <v>0</v>
      </c>
      <c r="CM267" s="88">
        <v>0</v>
      </c>
      <c r="CN267" s="88">
        <v>0</v>
      </c>
      <c r="CO267" s="88">
        <v>0</v>
      </c>
      <c r="CP267" s="88">
        <v>0</v>
      </c>
      <c r="CQ267" s="229">
        <v>0</v>
      </c>
      <c r="CR267" s="91">
        <v>0</v>
      </c>
      <c r="CS267" s="91">
        <v>0</v>
      </c>
      <c r="CT267" s="91">
        <v>0</v>
      </c>
      <c r="CU267" s="91">
        <v>0</v>
      </c>
      <c r="CV267" s="91">
        <v>0</v>
      </c>
      <c r="CW267" s="91">
        <v>0</v>
      </c>
      <c r="CX267" s="225">
        <v>0</v>
      </c>
      <c r="CY267" s="1265">
        <v>7783.8266400000002</v>
      </c>
      <c r="CZ267" s="90">
        <v>0</v>
      </c>
      <c r="DA267" s="88">
        <v>0</v>
      </c>
      <c r="DB267" s="88">
        <v>0</v>
      </c>
      <c r="DC267" s="88">
        <v>0</v>
      </c>
      <c r="DD267" s="88">
        <v>0</v>
      </c>
      <c r="DE267" s="152">
        <v>0</v>
      </c>
      <c r="DF267" s="230">
        <v>0</v>
      </c>
      <c r="DG267" s="38">
        <v>0</v>
      </c>
      <c r="DH267" s="1237">
        <v>0</v>
      </c>
      <c r="DI267" s="956">
        <v>0</v>
      </c>
      <c r="DJ267" s="956">
        <v>0</v>
      </c>
      <c r="DK267" s="956">
        <v>0</v>
      </c>
      <c r="DL267" s="152">
        <v>0</v>
      </c>
      <c r="DM267" s="160">
        <v>0</v>
      </c>
      <c r="DN267" s="160">
        <v>0</v>
      </c>
      <c r="DO267" s="160">
        <v>0</v>
      </c>
      <c r="DP267" s="160">
        <v>0</v>
      </c>
      <c r="DQ267" s="160">
        <v>0</v>
      </c>
      <c r="DR267" s="230">
        <v>0</v>
      </c>
      <c r="DS267" s="88">
        <v>0</v>
      </c>
      <c r="DT267" s="88">
        <v>0</v>
      </c>
      <c r="DU267" s="88">
        <v>0</v>
      </c>
      <c r="DV267" s="88">
        <v>0</v>
      </c>
      <c r="DW267" s="88">
        <v>0</v>
      </c>
      <c r="DX267" s="88">
        <v>0</v>
      </c>
      <c r="DY267" s="88">
        <v>0</v>
      </c>
      <c r="DZ267" s="88">
        <v>0</v>
      </c>
      <c r="EA267" s="88">
        <v>0</v>
      </c>
      <c r="EB267" s="152">
        <v>0</v>
      </c>
      <c r="EC267" s="52">
        <f t="shared" si="213"/>
        <v>0</v>
      </c>
      <c r="ED267" s="52">
        <f t="shared" si="213"/>
        <v>0</v>
      </c>
      <c r="EE267" s="52">
        <f t="shared" si="213"/>
        <v>0</v>
      </c>
      <c r="EF267" s="52">
        <f t="shared" si="186"/>
        <v>0</v>
      </c>
      <c r="EG267" s="52">
        <f t="shared" si="214"/>
        <v>0</v>
      </c>
      <c r="EH267" s="238">
        <v>0</v>
      </c>
      <c r="EI267" s="211">
        <v>0</v>
      </c>
      <c r="EJ267" s="211">
        <v>0</v>
      </c>
      <c r="EK267" s="211">
        <v>0</v>
      </c>
      <c r="EL267" s="217">
        <f>IF(C267&gt;=Summary!$E$26,MAX(0,SUM(EH267:EK267)),0)</f>
        <v>0</v>
      </c>
      <c r="EM267" s="52">
        <f>IF(C267&gt;=Summary!$E$26,DX267*BL267,0)</f>
        <v>0</v>
      </c>
      <c r="EN267" s="52">
        <f>IF(C267&gt;=Summary!$E$26,DY267*BM267,0)</f>
        <v>0</v>
      </c>
      <c r="EO267" s="52">
        <f>IF(C267&gt;=Summary!$E$26,DZ267*BN267,0)</f>
        <v>0</v>
      </c>
      <c r="EP267" s="52">
        <f>IF(C267&gt;=Summary!$E$26,EA267*BO267,0)</f>
        <v>0</v>
      </c>
      <c r="EQ267" s="52">
        <f>IF(C267&gt;=Summary!$E$26,DX267*BL267+DY267*BM267+DZ267*BN267+EA267*BO267,0)</f>
        <v>0</v>
      </c>
      <c r="ER267" s="826">
        <v>0</v>
      </c>
      <c r="ES267" s="278">
        <v>0</v>
      </c>
      <c r="ET267" s="278">
        <v>0</v>
      </c>
      <c r="EU267" s="278">
        <v>0</v>
      </c>
      <c r="EV267" s="212">
        <f>IF(C267&gt;=Summary!$E$26,MAX(0,SUM(ER267:EU267)),0)</f>
        <v>0</v>
      </c>
      <c r="EW267" s="52"/>
      <c r="EX267" s="1049">
        <f t="shared" si="215"/>
        <v>0</v>
      </c>
      <c r="EY267" s="1045" t="str">
        <f t="shared" si="216"/>
        <v/>
      </c>
      <c r="EZ267" s="1684" t="s">
        <v>525</v>
      </c>
      <c r="FA267" s="1046">
        <f t="shared" si="229"/>
        <v>45</v>
      </c>
      <c r="FB267" s="256">
        <f t="shared" si="217"/>
        <v>8865</v>
      </c>
      <c r="FC267" s="194">
        <f t="shared" si="218"/>
        <v>2659.5</v>
      </c>
      <c r="FD267" s="194">
        <f t="shared" si="219"/>
        <v>1773</v>
      </c>
      <c r="FE267" s="194">
        <f t="shared" si="220"/>
        <v>531.9</v>
      </c>
      <c r="FF267" s="194">
        <f t="shared" si="221"/>
        <v>2659.5</v>
      </c>
      <c r="FG267" s="194">
        <f t="shared" si="222"/>
        <v>797.85</v>
      </c>
      <c r="FH267" s="257">
        <f>IF(EZ267="No",IF((OR(MONTH(C267)=5,MONTH(C267)=6,MONTH(C267)=7,MONTH(C267)=8,MONTH(C267)=9)),Summary!$O$15*12*(AX267+AY267+AZ267+BA267)*(1-$BC267),Summary!$O$15*13*(AX267+AY267+AZ267+BA267)*(1-$BC267)+IF(Summary!$O$16="Yes",(CALC!FA267+Summary!$O$15)*6*(AX267+AY267+AZ267+BA267)*(1-$BC267),0)),0)</f>
        <v>0</v>
      </c>
      <c r="FI267" s="1412">
        <f>IF(MONTH(C267)=5,FI266*(IF(Summary!$E$70="no",(1+(Summary!$E$71*0.8)),1+HLOOKUP(YEAR(C267)-1,CCFMODEL!$I$127:$AF$128,2)*0.8)),+FI266)</f>
        <v>43.774657911033053</v>
      </c>
      <c r="FJ267" s="1411">
        <f>IF(MONTH(C267)=5,FJ266*(IF(Summary!$E$70="no",(1+(Summary!$E$71*0.8)),1+HLOOKUP(YEAR(CALC!C267)-1,CCFMODEL!$I$127:$AF$128,2)*0.8)),FJ266)</f>
        <v>38.259740378934403</v>
      </c>
      <c r="FK267" s="832">
        <f t="shared" si="187"/>
        <v>756721.56764355057</v>
      </c>
      <c r="FL267" s="1412">
        <f>IF(MONTH(C267)=5,FL266*(IF(Summary!$E$70="no",(1+(Summary!$E$71*0.8)),1+HLOOKUP(YEAR(CALC!C267)-1,CCFMODEL!$I$127:$AF$128,2)*0.8)),+FL266)</f>
        <v>92.063013206968236</v>
      </c>
      <c r="FM267" s="1411">
        <f>IF(MONTH(C267)=5,FM266*(IF(Summary!$E$70="no",(1+(Summary!$E$71*0.8)),1+HLOOKUP(YEAR(CALC!C267)-1,CCFMODEL!$I$127:$AF$128,2)*0.8)),+FM266)</f>
        <v>43.938792361393126</v>
      </c>
      <c r="FN267" s="832">
        <f t="shared" si="188"/>
        <v>771125.80594244937</v>
      </c>
      <c r="FO267" s="194">
        <f t="shared" si="223"/>
        <v>1527847.3735859999</v>
      </c>
      <c r="FP267" s="263">
        <f t="shared" si="238"/>
        <v>8865</v>
      </c>
      <c r="FQ267" s="194">
        <f t="shared" si="238"/>
        <v>2659.5</v>
      </c>
      <c r="FR267" s="194">
        <f t="shared" si="238"/>
        <v>1773</v>
      </c>
      <c r="FS267" s="194">
        <f t="shared" si="238"/>
        <v>531.9</v>
      </c>
      <c r="FT267" s="194">
        <f t="shared" si="238"/>
        <v>2659.5</v>
      </c>
      <c r="FU267" s="194">
        <f t="shared" si="238"/>
        <v>797.85</v>
      </c>
      <c r="FV267" s="257">
        <f t="shared" si="238"/>
        <v>0</v>
      </c>
      <c r="FW267" s="189">
        <f t="shared" si="192"/>
        <v>0</v>
      </c>
      <c r="FX267" s="189">
        <f t="shared" si="193"/>
        <v>0</v>
      </c>
      <c r="FY267" s="189">
        <f t="shared" si="194"/>
        <v>0</v>
      </c>
      <c r="FZ267" s="258">
        <f t="shared" si="195"/>
        <v>0</v>
      </c>
      <c r="GA267" s="1294">
        <f>(SUM(FP267:FV267)+SUM(GU267:HB267)/(1-Summary!$O$25))*CY267/1000</f>
        <v>229782.06513478799</v>
      </c>
      <c r="GB267" s="1369">
        <f>IF($C267&lt;Summary!$M$81,+Summary!$O$81,VLOOKUP(C267,GasTable,19))</f>
        <v>4.5031294144693321</v>
      </c>
      <c r="GC267" s="1370">
        <f>IF(H267&lt;=Summary!$N$84,MIN(GA267,Summary!$O$75*(H267-G267+1)),0)</f>
        <v>0</v>
      </c>
      <c r="GD267" s="1371">
        <f>IF(C267&lt;Summary!$N$84,IF(Summary!$O$75*(H267-G267+1)*0.8&gt;GC267,1,0),0)</f>
        <v>0</v>
      </c>
      <c r="GE267" s="1372">
        <v>0</v>
      </c>
      <c r="GF267" s="1370">
        <f t="shared" si="224"/>
        <v>229782.06513478799</v>
      </c>
      <c r="GG267" s="1371">
        <f>GF267*(IF(Summary!$O$74=1,VLOOKUP($C267,GasTable,16)+Summary!$O$92+Summary!$O$93,VLOOKUP($C267,GasTable,19)+Summary!$O$92+Summary!$O$93))</f>
        <v>1046710.0220194943</v>
      </c>
      <c r="GH267" s="1373">
        <v>6754.6941217039985</v>
      </c>
      <c r="GI267" s="1466">
        <v>0</v>
      </c>
      <c r="GJ267" s="1374">
        <f t="shared" si="225"/>
        <v>1053464.7161411983</v>
      </c>
      <c r="GK267" s="189">
        <f t="shared" si="196"/>
        <v>29092.270499999999</v>
      </c>
      <c r="GL267" s="266">
        <v>0.52151638488000007</v>
      </c>
      <c r="GM267" s="255">
        <f t="shared" si="197"/>
        <v>0</v>
      </c>
      <c r="GN267" s="189">
        <f>IF(SUM(GU267:HB267)=0,0,IF(Summary!$O$16="Yes",SUM(GX267:HB267),IF(Summary!$O$17="Yes",SUM(GY267:HB267),SUM(GU267:HB267))))</f>
        <v>11805.520499999999</v>
      </c>
      <c r="GO267" s="203">
        <v>4.2976878244237646</v>
      </c>
      <c r="GP267" s="258">
        <f t="shared" si="226"/>
        <v>50736.441713835149</v>
      </c>
      <c r="GQ267" s="189"/>
      <c r="GR267" s="189"/>
      <c r="GS267" s="189"/>
      <c r="GT267" s="189"/>
      <c r="GU267" s="268">
        <v>5132.835</v>
      </c>
      <c r="GV267" s="189">
        <v>1026.5670000000002</v>
      </c>
      <c r="GW267" s="189">
        <v>1539.8504999999998</v>
      </c>
      <c r="GX267" s="189"/>
      <c r="GY267" s="254">
        <v>2737.5120000000002</v>
      </c>
      <c r="GZ267" s="189">
        <v>547.50239999999997</v>
      </c>
      <c r="HA267" s="189">
        <v>821.25359999999989</v>
      </c>
      <c r="HB267" s="255"/>
      <c r="HC267" s="189">
        <v>11805.520499999999</v>
      </c>
      <c r="HD267" s="189"/>
      <c r="HE267" s="189">
        <v>20274.698249999998</v>
      </c>
      <c r="HF267" s="189">
        <v>692934.34304521722</v>
      </c>
      <c r="HG267" s="189"/>
      <c r="HH267" s="203">
        <v>58.350262148135954</v>
      </c>
      <c r="HI267" s="189">
        <v>1183033.9578618531</v>
      </c>
      <c r="HJ267" s="268">
        <f t="shared" si="198"/>
        <v>0</v>
      </c>
      <c r="HK267" s="189">
        <f t="shared" si="199"/>
        <v>0</v>
      </c>
      <c r="HL267" s="189">
        <f t="shared" si="200"/>
        <v>0</v>
      </c>
      <c r="HM267" s="255">
        <f t="shared" si="201"/>
        <v>0</v>
      </c>
      <c r="HN267" s="189">
        <f t="shared" si="202"/>
        <v>0</v>
      </c>
      <c r="HO267" s="203">
        <f t="shared" si="227"/>
        <v>0</v>
      </c>
      <c r="HP267" s="258">
        <f t="shared" si="203"/>
        <v>0</v>
      </c>
      <c r="HQ267" s="203" t="s">
        <v>1099</v>
      </c>
      <c r="HR267" s="268">
        <f t="shared" si="241"/>
        <v>607053.0404389248</v>
      </c>
      <c r="HS267" s="1408">
        <f>IF(HT267=0,IF(OR(SUMIF(CURVES!$AU$6:$AU$283,$HQ267,CURVES!$BQ$6:$BQ$283)=0,COUNTIF(CURVES!$AU$6:$AU$283,$HQ267)=0),0,SUMIF(CURVES!$AU$6:$AU$283,$HQ267,CURVES!$BQ$6:$BQ$283)/COUNTIF(CURVES!$AU$6:$AU$283,$HQ267)),HT267/HR267)</f>
        <v>3.9224268033390439</v>
      </c>
      <c r="HT267" s="255">
        <f t="shared" si="242"/>
        <v>2381121.1168660992</v>
      </c>
      <c r="HU267" s="268">
        <f t="shared" si="243"/>
        <v>0</v>
      </c>
      <c r="HV267" s="1408" t="e">
        <f>IF(HW267=0,0,HW267/Summary!$O$79/HU267)</f>
        <v>#DIV/0!</v>
      </c>
      <c r="HW267" s="255">
        <f t="shared" si="244"/>
        <v>17803.380448474974</v>
      </c>
      <c r="HX267" s="1408">
        <f>IF(OR(SUMIF(CURVES!$AU$6:$AU$283,$HQ267,CURVES!$BQ$6:$BQ$283)=0,COUNTIF(CURVES!$AU$6:$AU$283,$HQ267)=0),0,SUMIF(CURVES!$AU$6:$AU$283,$HQ267,CURVES!$BQ$6:$BQ$283)/COUNTIF(CURVES!$AU$6:$AU$283,$HQ267))</f>
        <v>4.5034669386036681</v>
      </c>
      <c r="HY267" s="1408">
        <f>IF(OR(SUMIF(CURVES!$AU$6:$AU$283,$HQ267,CURVES!$BR$6:$BR$283)=0,COUNTIF(CURVES!$AU$6:$AU$283,$HQ267)=0),0,SUMIF(CURVES!$AU$6:$AU$283,$HQ267,CURVES!$BR$6:$BR$283)/COUNTIF(CURVES!$AU$6:$AU$283,$HQ267))</f>
        <v>3.5784733334857379</v>
      </c>
      <c r="HZ267"/>
      <c r="IA267" s="203"/>
      <c r="IB267" s="203"/>
      <c r="IC267" s="203"/>
      <c r="ID267" s="203"/>
      <c r="IE267" s="203"/>
      <c r="IF267" s="203"/>
      <c r="IG267" s="203"/>
      <c r="IH267" s="203"/>
      <c r="II267" s="203"/>
      <c r="IJ267" s="203"/>
      <c r="IK267" s="203"/>
      <c r="IL267" s="821"/>
      <c r="IM267" s="820"/>
      <c r="IN267" s="820"/>
      <c r="IR267" s="223"/>
    </row>
    <row r="268" spans="1:252" ht="13.8" thickBot="1">
      <c r="A268" t="str">
        <f t="shared" si="204"/>
        <v>2020Q4</v>
      </c>
      <c r="B268">
        <f t="shared" si="205"/>
        <v>2020</v>
      </c>
      <c r="C268" s="49">
        <f t="shared" si="206"/>
        <v>44166</v>
      </c>
      <c r="D268" s="115">
        <f t="shared" si="207"/>
        <v>2020</v>
      </c>
      <c r="E268" s="10">
        <f t="shared" si="230"/>
        <v>12</v>
      </c>
      <c r="F268" s="248">
        <f t="shared" si="231"/>
        <v>44190</v>
      </c>
      <c r="G268" s="245">
        <v>44166</v>
      </c>
      <c r="H268" s="251">
        <v>44196</v>
      </c>
      <c r="I268" s="959">
        <f t="shared" si="228"/>
        <v>7.1499999999999994E-2</v>
      </c>
      <c r="J268" s="37">
        <f t="shared" si="208"/>
        <v>0.22710288654286584</v>
      </c>
      <c r="K268" s="1036"/>
      <c r="L268" s="37"/>
      <c r="M268" s="1004">
        <v>0</v>
      </c>
      <c r="N268" s="38">
        <f t="shared" si="239"/>
        <v>0</v>
      </c>
      <c r="O268" s="40">
        <f t="shared" si="239"/>
        <v>0</v>
      </c>
      <c r="P268" s="159">
        <f t="shared" si="234"/>
        <v>0</v>
      </c>
      <c r="Q268" s="38">
        <f t="shared" si="245"/>
        <v>0</v>
      </c>
      <c r="R268" s="40">
        <f t="shared" si="245"/>
        <v>0</v>
      </c>
      <c r="S268" s="38">
        <f t="shared" si="245"/>
        <v>0</v>
      </c>
      <c r="T268" s="38">
        <f t="shared" si="245"/>
        <v>0</v>
      </c>
      <c r="U268" s="38">
        <f t="shared" si="245"/>
        <v>0</v>
      </c>
      <c r="V268" s="159">
        <f t="shared" si="245"/>
        <v>0</v>
      </c>
      <c r="W268" s="38">
        <f t="shared" si="245"/>
        <v>0</v>
      </c>
      <c r="X268" s="39">
        <f t="shared" si="245"/>
        <v>0</v>
      </c>
      <c r="Y268" s="46">
        <v>0</v>
      </c>
      <c r="Z268" s="46">
        <v>0</v>
      </c>
      <c r="AA268" s="47">
        <v>0</v>
      </c>
      <c r="AB268" s="46">
        <v>0</v>
      </c>
      <c r="AC268" s="46">
        <v>0</v>
      </c>
      <c r="AD268" s="47">
        <v>0</v>
      </c>
      <c r="AE268" s="46">
        <v>0</v>
      </c>
      <c r="AF268" s="46">
        <v>0</v>
      </c>
      <c r="AG268" s="47">
        <v>0</v>
      </c>
      <c r="AH268" s="46">
        <v>0</v>
      </c>
      <c r="AI268" s="46">
        <v>0</v>
      </c>
      <c r="AJ268" s="47">
        <v>0</v>
      </c>
      <c r="AK268" s="46">
        <v>0</v>
      </c>
      <c r="AL268" s="46">
        <v>0</v>
      </c>
      <c r="AM268" s="47">
        <v>0</v>
      </c>
      <c r="AN268" s="46">
        <v>0</v>
      </c>
      <c r="AO268" s="46">
        <v>0</v>
      </c>
      <c r="AP268" s="47">
        <v>0</v>
      </c>
      <c r="AQ268" s="46">
        <v>0</v>
      </c>
      <c r="AR268" s="46">
        <v>0</v>
      </c>
      <c r="AS268" s="47">
        <v>0</v>
      </c>
      <c r="AT268" s="46">
        <v>0</v>
      </c>
      <c r="AU268" s="46">
        <v>0</v>
      </c>
      <c r="AV268" s="46">
        <v>0</v>
      </c>
      <c r="AW268" s="1545">
        <v>0</v>
      </c>
      <c r="AX268" s="10">
        <f t="shared" si="232"/>
        <v>22</v>
      </c>
      <c r="AY268" s="42">
        <f>IF(AND($E268=MONTH(Summary!$E$24),$D268=YEAR(Summary!$E$24)),Summary!$E$25,1)*IF(G268="",0,INT((H268-MOD(H268,7)-G268)/7)+1-IF(BA268,IF(WEEKDAY(F268)=7,1,0),0))</f>
        <v>4</v>
      </c>
      <c r="AZ268" s="42">
        <f>IF(AND($E268=MONTH(Summary!$E$24),$D268=YEAR(Summary!$E$24)),Summary!$E$25,1)*IF(G268="",0,INT((H268-MOD(H268-1,7)-G268)/7)+1-IF(BA268,IF(WEEKDAY(F268)=1,1,0),0))</f>
        <v>4</v>
      </c>
      <c r="BA268" s="42">
        <v>1</v>
      </c>
      <c r="BB268" s="10">
        <f>IF(AND($E268=MONTH(Summary!$E$24),$D268=YEAR(Summary!$E$24)),Summary!$E$25,1)*IF(G268="",0,H268-G268+1)</f>
        <v>31</v>
      </c>
      <c r="BC268" s="914">
        <f>Summary!$E$19</f>
        <v>1.4999999999999999E-2</v>
      </c>
      <c r="BD268" s="113">
        <v>15602.4</v>
      </c>
      <c r="BE268" s="171">
        <v>2836.8</v>
      </c>
      <c r="BF268" s="171">
        <v>3546</v>
      </c>
      <c r="BG268" s="174"/>
      <c r="BH268" s="1198">
        <v>1</v>
      </c>
      <c r="BI268" s="1198">
        <v>1</v>
      </c>
      <c r="BJ268" s="1198">
        <v>1</v>
      </c>
      <c r="BK268" s="1198">
        <v>1</v>
      </c>
      <c r="BL268" s="95">
        <v>3120.48</v>
      </c>
      <c r="BM268" s="171">
        <v>567.36</v>
      </c>
      <c r="BN268" s="171">
        <v>709.2</v>
      </c>
      <c r="BO268" s="174"/>
      <c r="BP268" s="1198">
        <v>1</v>
      </c>
      <c r="BQ268" s="1199">
        <v>1</v>
      </c>
      <c r="BR268" s="1199">
        <v>1</v>
      </c>
      <c r="BS268" s="1200">
        <v>1</v>
      </c>
      <c r="BT268" s="94">
        <f t="shared" si="209"/>
        <v>21985.200000000001</v>
      </c>
      <c r="BU268" s="233">
        <f t="shared" si="210"/>
        <v>21985.200000000001</v>
      </c>
      <c r="BV268" s="92">
        <f t="shared" si="211"/>
        <v>4397.04</v>
      </c>
      <c r="BW268" s="233">
        <f t="shared" si="212"/>
        <v>4397.04</v>
      </c>
      <c r="BX268" s="88">
        <v>20.963723477070499</v>
      </c>
      <c r="BY268" s="90">
        <v>0</v>
      </c>
      <c r="BZ268" s="88">
        <v>0</v>
      </c>
      <c r="CA268" s="88">
        <v>0</v>
      </c>
      <c r="CB268" s="88">
        <v>0</v>
      </c>
      <c r="CC268" s="88">
        <v>0</v>
      </c>
      <c r="CD268" s="88">
        <v>0</v>
      </c>
      <c r="CE268" s="100">
        <v>0</v>
      </c>
      <c r="CF268" s="88">
        <v>0</v>
      </c>
      <c r="CG268" s="88">
        <v>0</v>
      </c>
      <c r="CH268" s="88">
        <v>0</v>
      </c>
      <c r="CI268" s="88">
        <v>0</v>
      </c>
      <c r="CJ268" s="228">
        <v>0</v>
      </c>
      <c r="CK268" s="88">
        <v>0</v>
      </c>
      <c r="CL268" s="88">
        <v>0</v>
      </c>
      <c r="CM268" s="88">
        <v>0</v>
      </c>
      <c r="CN268" s="88">
        <v>0</v>
      </c>
      <c r="CO268" s="88">
        <v>0</v>
      </c>
      <c r="CP268" s="88">
        <v>0</v>
      </c>
      <c r="CQ268" s="229">
        <v>0</v>
      </c>
      <c r="CR268" s="91">
        <v>0</v>
      </c>
      <c r="CS268" s="91">
        <v>0</v>
      </c>
      <c r="CT268" s="91">
        <v>0</v>
      </c>
      <c r="CU268" s="91">
        <v>0</v>
      </c>
      <c r="CV268" s="91">
        <v>0</v>
      </c>
      <c r="CW268" s="91">
        <v>0</v>
      </c>
      <c r="CX268" s="225">
        <v>0</v>
      </c>
      <c r="CY268" s="1265">
        <v>7785.8576000000003</v>
      </c>
      <c r="CZ268" s="90">
        <v>0</v>
      </c>
      <c r="DA268" s="88">
        <v>0</v>
      </c>
      <c r="DB268" s="88">
        <v>0</v>
      </c>
      <c r="DC268" s="88">
        <v>0</v>
      </c>
      <c r="DD268" s="88">
        <v>0</v>
      </c>
      <c r="DE268" s="152">
        <v>0</v>
      </c>
      <c r="DF268" s="230">
        <v>0</v>
      </c>
      <c r="DG268" s="38">
        <v>0</v>
      </c>
      <c r="DH268" s="1237">
        <v>0</v>
      </c>
      <c r="DI268" s="956">
        <v>0</v>
      </c>
      <c r="DJ268" s="956">
        <v>0</v>
      </c>
      <c r="DK268" s="956">
        <v>0</v>
      </c>
      <c r="DL268" s="152">
        <v>0</v>
      </c>
      <c r="DM268" s="160">
        <v>0</v>
      </c>
      <c r="DN268" s="160">
        <v>0</v>
      </c>
      <c r="DO268" s="160">
        <v>0</v>
      </c>
      <c r="DP268" s="160">
        <v>0</v>
      </c>
      <c r="DQ268" s="160">
        <v>0</v>
      </c>
      <c r="DR268" s="230">
        <v>0</v>
      </c>
      <c r="DS268" s="88">
        <v>0</v>
      </c>
      <c r="DT268" s="88">
        <v>0</v>
      </c>
      <c r="DU268" s="88">
        <v>0</v>
      </c>
      <c r="DV268" s="88">
        <v>0</v>
      </c>
      <c r="DW268" s="88">
        <v>0</v>
      </c>
      <c r="DX268" s="88">
        <v>0</v>
      </c>
      <c r="DY268" s="88">
        <v>0</v>
      </c>
      <c r="DZ268" s="88">
        <v>0</v>
      </c>
      <c r="EA268" s="88">
        <v>0</v>
      </c>
      <c r="EB268" s="152">
        <v>0</v>
      </c>
      <c r="EC268" s="52">
        <f t="shared" si="213"/>
        <v>0</v>
      </c>
      <c r="ED268" s="52">
        <f t="shared" si="213"/>
        <v>0</v>
      </c>
      <c r="EE268" s="52">
        <f t="shared" si="213"/>
        <v>0</v>
      </c>
      <c r="EF268" s="52">
        <f t="shared" si="186"/>
        <v>0</v>
      </c>
      <c r="EG268" s="52">
        <f t="shared" si="214"/>
        <v>0</v>
      </c>
      <c r="EH268" s="238">
        <v>0</v>
      </c>
      <c r="EI268" s="211">
        <v>0</v>
      </c>
      <c r="EJ268" s="211">
        <v>0</v>
      </c>
      <c r="EK268" s="211">
        <v>0</v>
      </c>
      <c r="EL268" s="217">
        <f>IF(C268&gt;=Summary!$E$26,MAX(0,SUM(EH268:EK268)),0)</f>
        <v>0</v>
      </c>
      <c r="EM268" s="52">
        <f>IF(C268&gt;=Summary!$E$26,DX268*BL268,0)</f>
        <v>0</v>
      </c>
      <c r="EN268" s="52">
        <f>IF(C268&gt;=Summary!$E$26,DY268*BM268,0)</f>
        <v>0</v>
      </c>
      <c r="EO268" s="52">
        <f>IF(C268&gt;=Summary!$E$26,DZ268*BN268,0)</f>
        <v>0</v>
      </c>
      <c r="EP268" s="52">
        <f>IF(C268&gt;=Summary!$E$26,EA268*BO268,0)</f>
        <v>0</v>
      </c>
      <c r="EQ268" s="52">
        <f>IF(C268&gt;=Summary!$E$26,DX268*BL268+DY268*BM268+DZ268*BN268+EA268*BO268,0)</f>
        <v>0</v>
      </c>
      <c r="ER268" s="826">
        <v>0</v>
      </c>
      <c r="ES268" s="278">
        <v>0</v>
      </c>
      <c r="ET268" s="278">
        <v>0</v>
      </c>
      <c r="EU268" s="278">
        <v>0</v>
      </c>
      <c r="EV268" s="212">
        <f>IF(C268&gt;=Summary!$E$26,MAX(0,SUM(ER268:EU268)),0)</f>
        <v>0</v>
      </c>
      <c r="EW268" s="52"/>
      <c r="EX268" s="1049">
        <f t="shared" si="215"/>
        <v>0</v>
      </c>
      <c r="EY268" s="1045" t="str">
        <f t="shared" si="216"/>
        <v/>
      </c>
      <c r="EZ268" s="1684" t="s">
        <v>525</v>
      </c>
      <c r="FA268" s="1046">
        <f t="shared" si="229"/>
        <v>45</v>
      </c>
      <c r="FB268" s="256">
        <f t="shared" si="217"/>
        <v>9751.5</v>
      </c>
      <c r="FC268" s="194">
        <f t="shared" si="218"/>
        <v>2925.45</v>
      </c>
      <c r="FD268" s="194">
        <f t="shared" si="219"/>
        <v>1773</v>
      </c>
      <c r="FE268" s="194">
        <f t="shared" si="220"/>
        <v>531.9</v>
      </c>
      <c r="FF268" s="194">
        <f t="shared" si="221"/>
        <v>2216.25</v>
      </c>
      <c r="FG268" s="194">
        <f t="shared" si="222"/>
        <v>664.875</v>
      </c>
      <c r="FH268" s="257">
        <f>IF(EZ268="No",IF((OR(MONTH(C268)=5,MONTH(C268)=6,MONTH(C268)=7,MONTH(C268)=8,MONTH(C268)=9)),Summary!$O$15*12*(AX268+AY268+AZ268+BA268)*(1-$BC268),Summary!$O$15*13*(AX268+AY268+AZ268+BA268)*(1-$BC268)+IF(Summary!$O$16="Yes",(CALC!FA268+Summary!$O$15)*6*(AX268+AY268+AZ268+BA268)*(1-$BC268),0)),0)</f>
        <v>0</v>
      </c>
      <c r="FI268" s="1412">
        <f>IF(MONTH(C268)=5,FI267*(IF(Summary!$E$70="no",(1+(Summary!$E$71*0.8)),1+HLOOKUP(YEAR(C268)-1,CCFMODEL!$I$127:$AF$128,2)*0.8)),+FI267)</f>
        <v>43.774657911033053</v>
      </c>
      <c r="FJ268" s="1411">
        <f>IF(MONTH(C268)=5,FJ267*(IF(Summary!$E$70="no",(1+(Summary!$E$71*0.8)),1+HLOOKUP(YEAR(CALC!C268)-1,CCFMODEL!$I$127:$AF$128,2)*0.8)),FJ267)</f>
        <v>38.259740378934403</v>
      </c>
      <c r="FK268" s="832">
        <f t="shared" si="187"/>
        <v>781945.61989833554</v>
      </c>
      <c r="FL268" s="1412">
        <f>IF(MONTH(C268)=5,FL267*(IF(Summary!$E$70="no",(1+(Summary!$E$71*0.8)),1+HLOOKUP(YEAR(CALC!C268)-1,CCFMODEL!$I$127:$AF$128,2)*0.8)),+FL267)</f>
        <v>92.063013206968236</v>
      </c>
      <c r="FM268" s="1411">
        <f>IF(MONTH(C268)=5,FM267*(IF(Summary!$E$70="no",(1+(Summary!$E$71*0.8)),1+HLOOKUP(YEAR(CALC!C268)-1,CCFMODEL!$I$127:$AF$128,2)*0.8)),+FM267)</f>
        <v>43.938792361393126</v>
      </c>
      <c r="FN268" s="832">
        <f t="shared" si="188"/>
        <v>796829.99947386433</v>
      </c>
      <c r="FO268" s="194">
        <f t="shared" si="223"/>
        <v>1578775.6193721998</v>
      </c>
      <c r="FP268" s="263">
        <f t="shared" si="238"/>
        <v>9751.5</v>
      </c>
      <c r="FQ268" s="194">
        <f t="shared" si="238"/>
        <v>2925.45</v>
      </c>
      <c r="FR268" s="194">
        <f t="shared" si="238"/>
        <v>1773</v>
      </c>
      <c r="FS268" s="194">
        <f t="shared" si="238"/>
        <v>531.9</v>
      </c>
      <c r="FT268" s="194">
        <f t="shared" si="238"/>
        <v>2216.25</v>
      </c>
      <c r="FU268" s="194">
        <f t="shared" si="238"/>
        <v>664.875</v>
      </c>
      <c r="FV268" s="257">
        <f t="shared" si="238"/>
        <v>0</v>
      </c>
      <c r="FW268" s="189">
        <f t="shared" si="192"/>
        <v>0</v>
      </c>
      <c r="FX268" s="189">
        <f t="shared" si="193"/>
        <v>0</v>
      </c>
      <c r="FY268" s="189">
        <f t="shared" si="194"/>
        <v>0</v>
      </c>
      <c r="FZ268" s="258">
        <f t="shared" si="195"/>
        <v>0</v>
      </c>
      <c r="GA268" s="1294">
        <f>(SUM(FP268:FV268)+SUM(GU268:HB268)/(1-Summary!$O$25))*CY268/1000</f>
        <v>237503.42065418398</v>
      </c>
      <c r="GB268" s="1369">
        <f>IF($C268&lt;Summary!$M$81,+Summary!$O$81,VLOOKUP(C268,GasTable,19))</f>
        <v>4.6946704802177877</v>
      </c>
      <c r="GC268" s="1370">
        <f>IF(H268&lt;=Summary!$N$84,MIN(GA268,Summary!$O$75*(H268-G268+1)),0)</f>
        <v>0</v>
      </c>
      <c r="GD268" s="1371">
        <f>IF(C268&lt;Summary!$N$84,IF(Summary!$O$75*(H268-G268+1)*0.8&gt;GC268,1,0),0)</f>
        <v>0</v>
      </c>
      <c r="GE268" s="1372">
        <v>0</v>
      </c>
      <c r="GF268" s="1370">
        <f t="shared" si="224"/>
        <v>237503.42065418398</v>
      </c>
      <c r="GG268" s="1371">
        <f>GF268*(IF(Summary!$O$74=1,VLOOKUP($C268,GasTable,16)+Summary!$O$92+Summary!$O$93,VLOOKUP($C268,GasTable,19)+Summary!$O$92+Summary!$O$93))</f>
        <v>1127374.2261120281</v>
      </c>
      <c r="GH268" s="1373">
        <v>7276.7392443375711</v>
      </c>
      <c r="GI268" s="1466">
        <v>0</v>
      </c>
      <c r="GJ268" s="1374">
        <f t="shared" si="225"/>
        <v>1134650.9653563658</v>
      </c>
      <c r="GK268" s="189">
        <f t="shared" si="196"/>
        <v>30062.012850000003</v>
      </c>
      <c r="GL268" s="266">
        <v>0.52165245920000003</v>
      </c>
      <c r="GM268" s="255">
        <f t="shared" si="197"/>
        <v>0</v>
      </c>
      <c r="GN268" s="189">
        <f>IF(SUM(GU268:HB268)=0,0,IF(Summary!$O$16="Yes",SUM(GX268:HB268),IF(Summary!$O$17="Yes",SUM(GY268:HB268),SUM(GU268:HB268))))</f>
        <v>12199.037849999999</v>
      </c>
      <c r="GO268" s="203">
        <v>4.2976878244237646</v>
      </c>
      <c r="GP268" s="258">
        <f t="shared" si="226"/>
        <v>52427.656437629652</v>
      </c>
      <c r="GQ268" s="189"/>
      <c r="GR268" s="189"/>
      <c r="GS268" s="189"/>
      <c r="GT268" s="189"/>
      <c r="GU268" s="268">
        <v>5646.1184999999996</v>
      </c>
      <c r="GV268" s="189">
        <v>1026.5670000000002</v>
      </c>
      <c r="GW268" s="189">
        <v>1283.20875</v>
      </c>
      <c r="GX268" s="189"/>
      <c r="GY268" s="254">
        <v>3011.2631999999999</v>
      </c>
      <c r="GZ268" s="189">
        <v>547.50239999999997</v>
      </c>
      <c r="HA268" s="189">
        <v>684.37800000000004</v>
      </c>
      <c r="HB268" s="255"/>
      <c r="HC268" s="189">
        <v>12199.037849999999</v>
      </c>
      <c r="HD268" s="189"/>
      <c r="HE268" s="189">
        <v>20950.521524999996</v>
      </c>
      <c r="HF268" s="189">
        <v>744018.02866354398</v>
      </c>
      <c r="HG268" s="189"/>
      <c r="HH268" s="203">
        <v>60.596341233213053</v>
      </c>
      <c r="HI268" s="189">
        <v>1269524.9513426749</v>
      </c>
      <c r="HJ268" s="268">
        <f t="shared" si="198"/>
        <v>0</v>
      </c>
      <c r="HK268" s="189">
        <f t="shared" si="199"/>
        <v>0</v>
      </c>
      <c r="HL268" s="189">
        <f t="shared" si="200"/>
        <v>0</v>
      </c>
      <c r="HM268" s="255">
        <f t="shared" si="201"/>
        <v>0</v>
      </c>
      <c r="HN268" s="189">
        <f t="shared" si="202"/>
        <v>0</v>
      </c>
      <c r="HO268" s="203">
        <f t="shared" si="227"/>
        <v>0</v>
      </c>
      <c r="HP268" s="258">
        <f t="shared" si="203"/>
        <v>0</v>
      </c>
      <c r="HQ268" s="203" t="s">
        <v>1100</v>
      </c>
      <c r="HR268" s="268">
        <f t="shared" si="241"/>
        <v>702458.66115142545</v>
      </c>
      <c r="HS268" s="1408">
        <f>IF(HT268=0,IF(OR(SUMIF(CURVES!$AU$6:$AU$283,$HQ268,CURVES!$BQ$6:$BQ$283)=0,COUNTIF(CURVES!$AU$6:$AU$283,$HQ268)=0),0,SUMIF(CURVES!$AU$6:$AU$283,$HQ268,CURVES!$BQ$6:$BQ$283)/COUNTIF(CURVES!$AU$6:$AU$283,$HQ268)),HT268/HR268)</f>
        <v>4.4415540100351052</v>
      </c>
      <c r="HT268" s="255">
        <f t="shared" si="242"/>
        <v>3120008.0833210051</v>
      </c>
      <c r="HU268" s="268">
        <f t="shared" si="243"/>
        <v>0</v>
      </c>
      <c r="HV268" s="1408" t="e">
        <f>IF(HW268=0,0,HW268/Summary!$O$79/HU268)</f>
        <v>#DIV/0!</v>
      </c>
      <c r="HW268" s="255">
        <f t="shared" si="244"/>
        <v>20191.341105634954</v>
      </c>
      <c r="HX268" s="1408">
        <f>IF(OR(SUMIF(CURVES!$AU$6:$AU$283,$HQ268,CURVES!$BQ$6:$BQ$283)=0,COUNTIF(CURVES!$AU$6:$AU$283,$HQ268)=0),0,SUMIF(CURVES!$AU$6:$AU$283,$HQ268,CURVES!$BQ$6:$BQ$283)/COUNTIF(CURVES!$AU$6:$AU$283,$HQ268))</f>
        <v>5.0382483551102357</v>
      </c>
      <c r="HY268" s="1408">
        <f>IF(OR(SUMIF(CURVES!$AU$6:$AU$283,$HQ268,CURVES!$BR$6:$BR$283)=0,COUNTIF(CURVES!$AU$6:$AU$283,$HQ268)=0),0,SUMIF(CURVES!$AU$6:$AU$283,$HQ268,CURVES!$BR$6:$BR$283)/COUNTIF(CURVES!$AU$6:$AU$283,$HQ268))</f>
        <v>3.8732011375713511</v>
      </c>
      <c r="HZ268"/>
      <c r="IA268" s="203"/>
      <c r="IB268" s="203"/>
      <c r="IC268" s="203"/>
      <c r="ID268" s="203"/>
      <c r="IE268" s="203"/>
      <c r="IF268" s="203"/>
      <c r="IG268" s="203"/>
      <c r="IH268" s="203"/>
      <c r="II268" s="203"/>
      <c r="IJ268" s="203"/>
      <c r="IK268" s="203"/>
      <c r="IL268" s="821"/>
      <c r="IM268" s="820"/>
      <c r="IN268" s="820"/>
      <c r="IR268" s="223"/>
    </row>
    <row r="269" spans="1:252" ht="13.8" thickBot="1">
      <c r="A269" t="str">
        <f t="shared" si="204"/>
        <v>2021Q1</v>
      </c>
      <c r="B269">
        <f t="shared" si="205"/>
        <v>2021</v>
      </c>
      <c r="C269" s="49">
        <f t="shared" si="206"/>
        <v>44197</v>
      </c>
      <c r="D269" s="115">
        <f t="shared" si="207"/>
        <v>2021</v>
      </c>
      <c r="E269" s="10">
        <f t="shared" si="230"/>
        <v>1</v>
      </c>
      <c r="F269" s="248">
        <f t="shared" si="231"/>
        <v>44197</v>
      </c>
      <c r="G269" s="245">
        <v>44197</v>
      </c>
      <c r="H269" s="251">
        <v>44227</v>
      </c>
      <c r="I269" s="959">
        <f t="shared" si="228"/>
        <v>7.1499999999999994E-2</v>
      </c>
      <c r="J269" s="37">
        <f t="shared" si="208"/>
        <v>0.2257528165869494</v>
      </c>
      <c r="K269" s="1036"/>
      <c r="L269" s="37"/>
      <c r="M269" s="1004">
        <v>0</v>
      </c>
      <c r="N269" s="38">
        <f t="shared" ref="N269:O288" si="246">M269</f>
        <v>0</v>
      </c>
      <c r="O269" s="40">
        <f t="shared" si="246"/>
        <v>0</v>
      </c>
      <c r="P269" s="159">
        <f t="shared" si="234"/>
        <v>0</v>
      </c>
      <c r="Q269" s="38">
        <f t="shared" ref="Q269:X278" si="247">P269</f>
        <v>0</v>
      </c>
      <c r="R269" s="40">
        <f t="shared" si="247"/>
        <v>0</v>
      </c>
      <c r="S269" s="38">
        <f t="shared" si="247"/>
        <v>0</v>
      </c>
      <c r="T269" s="38">
        <f t="shared" si="247"/>
        <v>0</v>
      </c>
      <c r="U269" s="38">
        <f t="shared" si="247"/>
        <v>0</v>
      </c>
      <c r="V269" s="159">
        <f t="shared" si="247"/>
        <v>0</v>
      </c>
      <c r="W269" s="38">
        <f t="shared" si="247"/>
        <v>0</v>
      </c>
      <c r="X269" s="39">
        <f t="shared" si="247"/>
        <v>0</v>
      </c>
      <c r="Y269" s="46">
        <v>0</v>
      </c>
      <c r="Z269" s="46">
        <v>0</v>
      </c>
      <c r="AA269" s="47">
        <v>0</v>
      </c>
      <c r="AB269" s="46">
        <v>0</v>
      </c>
      <c r="AC269" s="46">
        <v>0</v>
      </c>
      <c r="AD269" s="47">
        <v>0</v>
      </c>
      <c r="AE269" s="46">
        <v>0</v>
      </c>
      <c r="AF269" s="46">
        <v>0</v>
      </c>
      <c r="AG269" s="47">
        <v>0</v>
      </c>
      <c r="AH269" s="46">
        <v>0</v>
      </c>
      <c r="AI269" s="46">
        <v>0</v>
      </c>
      <c r="AJ269" s="47">
        <v>0</v>
      </c>
      <c r="AK269" s="46">
        <v>0</v>
      </c>
      <c r="AL269" s="46">
        <v>0</v>
      </c>
      <c r="AM269" s="47">
        <v>0</v>
      </c>
      <c r="AN269" s="46">
        <v>0</v>
      </c>
      <c r="AO269" s="46">
        <v>0</v>
      </c>
      <c r="AP269" s="47">
        <v>0</v>
      </c>
      <c r="AQ269" s="46">
        <v>0</v>
      </c>
      <c r="AR269" s="46">
        <v>0</v>
      </c>
      <c r="AS269" s="47">
        <v>0</v>
      </c>
      <c r="AT269" s="46">
        <v>0</v>
      </c>
      <c r="AU269" s="46">
        <v>0</v>
      </c>
      <c r="AV269" s="46">
        <v>0</v>
      </c>
      <c r="AW269" s="1545">
        <v>0</v>
      </c>
      <c r="AX269" s="10">
        <f t="shared" si="232"/>
        <v>20</v>
      </c>
      <c r="AY269" s="42">
        <f>IF(AND($E269=MONTH(Summary!$E$24),$D269=YEAR(Summary!$E$24)),Summary!$E$25,1)*IF(G269="",0,INT((H269-MOD(H269,7)-G269)/7)+1-IF(BA269,IF(WEEKDAY(F269)=7,1,0),0))</f>
        <v>5</v>
      </c>
      <c r="AZ269" s="42">
        <f>IF(AND($E269=MONTH(Summary!$E$24),$D269=YEAR(Summary!$E$24)),Summary!$E$25,1)*IF(G269="",0,INT((H269-MOD(H269-1,7)-G269)/7)+1-IF(BA269,IF(WEEKDAY(F269)=1,1,0),0))</f>
        <v>5</v>
      </c>
      <c r="BA269" s="42">
        <v>1</v>
      </c>
      <c r="BB269" s="10">
        <f>IF(AND($E269=MONTH(Summary!$E$24),$D269=YEAR(Summary!$E$24)),Summary!$E$25,1)*IF(G269="",0,H269-G269+1)</f>
        <v>31</v>
      </c>
      <c r="BC269" s="914">
        <f>Summary!$E$19</f>
        <v>1.4999999999999999E-2</v>
      </c>
      <c r="BD269" s="113">
        <v>14184</v>
      </c>
      <c r="BE269" s="171">
        <v>3546</v>
      </c>
      <c r="BF269" s="171">
        <v>4255.2</v>
      </c>
      <c r="BG269" s="174"/>
      <c r="BH269" s="1198">
        <v>1</v>
      </c>
      <c r="BI269" s="1198">
        <v>1</v>
      </c>
      <c r="BJ269" s="1198">
        <v>1</v>
      </c>
      <c r="BK269" s="1198">
        <v>1</v>
      </c>
      <c r="BL269" s="95">
        <v>2836.8</v>
      </c>
      <c r="BM269" s="171">
        <v>709.2</v>
      </c>
      <c r="BN269" s="171">
        <v>851.04</v>
      </c>
      <c r="BO269" s="174"/>
      <c r="BP269" s="1198">
        <v>1</v>
      </c>
      <c r="BQ269" s="1199">
        <v>1</v>
      </c>
      <c r="BR269" s="1199">
        <v>1</v>
      </c>
      <c r="BS269" s="1200">
        <v>1</v>
      </c>
      <c r="BT269" s="94">
        <f t="shared" si="209"/>
        <v>21985.200000000001</v>
      </c>
      <c r="BU269" s="233">
        <f t="shared" si="210"/>
        <v>21985.200000000001</v>
      </c>
      <c r="BV269" s="92">
        <f t="shared" si="211"/>
        <v>4397.04</v>
      </c>
      <c r="BW269" s="233">
        <f t="shared" si="212"/>
        <v>4397.04</v>
      </c>
      <c r="BX269" s="88">
        <v>21.048596851471594</v>
      </c>
      <c r="BY269" s="90">
        <v>0</v>
      </c>
      <c r="BZ269" s="88">
        <v>0</v>
      </c>
      <c r="CA269" s="88">
        <v>0</v>
      </c>
      <c r="CB269" s="88">
        <v>0</v>
      </c>
      <c r="CC269" s="88">
        <v>0</v>
      </c>
      <c r="CD269" s="88">
        <v>0</v>
      </c>
      <c r="CE269" s="100">
        <v>0</v>
      </c>
      <c r="CF269" s="88">
        <v>0</v>
      </c>
      <c r="CG269" s="88">
        <v>0</v>
      </c>
      <c r="CH269" s="88">
        <v>0</v>
      </c>
      <c r="CI269" s="88">
        <v>0</v>
      </c>
      <c r="CJ269" s="228">
        <v>0</v>
      </c>
      <c r="CK269" s="88">
        <v>0</v>
      </c>
      <c r="CL269" s="88">
        <v>0</v>
      </c>
      <c r="CM269" s="88">
        <v>0</v>
      </c>
      <c r="CN269" s="88">
        <v>0</v>
      </c>
      <c r="CO269" s="88">
        <v>0</v>
      </c>
      <c r="CP269" s="88">
        <v>0</v>
      </c>
      <c r="CQ269" s="229">
        <v>0</v>
      </c>
      <c r="CR269" s="91">
        <v>0</v>
      </c>
      <c r="CS269" s="91">
        <v>0</v>
      </c>
      <c r="CT269" s="91">
        <v>0</v>
      </c>
      <c r="CU269" s="91">
        <v>0</v>
      </c>
      <c r="CV269" s="91">
        <v>0</v>
      </c>
      <c r="CW269" s="91">
        <v>0</v>
      </c>
      <c r="CX269" s="225">
        <v>0</v>
      </c>
      <c r="CY269" s="1265">
        <v>7787.8885600000003</v>
      </c>
      <c r="CZ269" s="90">
        <v>0</v>
      </c>
      <c r="DA269" s="88">
        <v>0</v>
      </c>
      <c r="DB269" s="88">
        <v>0</v>
      </c>
      <c r="DC269" s="88">
        <v>0</v>
      </c>
      <c r="DD269" s="88">
        <v>0</v>
      </c>
      <c r="DE269" s="152">
        <v>0</v>
      </c>
      <c r="DF269" s="230">
        <v>0</v>
      </c>
      <c r="DG269" s="38">
        <v>0</v>
      </c>
      <c r="DH269" s="1237">
        <v>0</v>
      </c>
      <c r="DI269" s="956">
        <v>0</v>
      </c>
      <c r="DJ269" s="956">
        <v>0</v>
      </c>
      <c r="DK269" s="956">
        <v>0</v>
      </c>
      <c r="DL269" s="152">
        <v>0</v>
      </c>
      <c r="DM269" s="160">
        <v>0</v>
      </c>
      <c r="DN269" s="160">
        <v>0</v>
      </c>
      <c r="DO269" s="160">
        <v>0</v>
      </c>
      <c r="DP269" s="160">
        <v>0</v>
      </c>
      <c r="DQ269" s="160">
        <v>0</v>
      </c>
      <c r="DR269" s="230">
        <v>0</v>
      </c>
      <c r="DS269" s="88">
        <v>0</v>
      </c>
      <c r="DT269" s="88">
        <v>0</v>
      </c>
      <c r="DU269" s="88">
        <v>0</v>
      </c>
      <c r="DV269" s="88">
        <v>0</v>
      </c>
      <c r="DW269" s="88">
        <v>0</v>
      </c>
      <c r="DX269" s="88">
        <v>0</v>
      </c>
      <c r="DY269" s="88">
        <v>0</v>
      </c>
      <c r="DZ269" s="88">
        <v>0</v>
      </c>
      <c r="EA269" s="88">
        <v>0</v>
      </c>
      <c r="EB269" s="152">
        <v>0</v>
      </c>
      <c r="EC269" s="52">
        <f t="shared" si="213"/>
        <v>0</v>
      </c>
      <c r="ED269" s="52">
        <f t="shared" si="213"/>
        <v>0</v>
      </c>
      <c r="EE269" s="52">
        <f t="shared" si="213"/>
        <v>0</v>
      </c>
      <c r="EF269" s="52">
        <f t="shared" si="186"/>
        <v>0</v>
      </c>
      <c r="EG269" s="52">
        <f t="shared" si="214"/>
        <v>0</v>
      </c>
      <c r="EH269" s="238">
        <v>0</v>
      </c>
      <c r="EI269" s="211">
        <v>0</v>
      </c>
      <c r="EJ269" s="211">
        <v>0</v>
      </c>
      <c r="EK269" s="211">
        <v>0</v>
      </c>
      <c r="EL269" s="217">
        <f>IF(C269&gt;=Summary!$E$26,MAX(0,SUM(EH269:EK269)),0)</f>
        <v>0</v>
      </c>
      <c r="EM269" s="52">
        <f>IF(C269&gt;=Summary!$E$26,DX269*BL269,0)</f>
        <v>0</v>
      </c>
      <c r="EN269" s="52">
        <f>IF(C269&gt;=Summary!$E$26,DY269*BM269,0)</f>
        <v>0</v>
      </c>
      <c r="EO269" s="52">
        <f>IF(C269&gt;=Summary!$E$26,DZ269*BN269,0)</f>
        <v>0</v>
      </c>
      <c r="EP269" s="52">
        <f>IF(C269&gt;=Summary!$E$26,EA269*BO269,0)</f>
        <v>0</v>
      </c>
      <c r="EQ269" s="52">
        <f>IF(C269&gt;=Summary!$E$26,DX269*BL269+DY269*BM269+DZ269*BN269+EA269*BO269,0)</f>
        <v>0</v>
      </c>
      <c r="ER269" s="826">
        <v>0</v>
      </c>
      <c r="ES269" s="278">
        <v>0</v>
      </c>
      <c r="ET269" s="278">
        <v>0</v>
      </c>
      <c r="EU269" s="278">
        <v>0</v>
      </c>
      <c r="EV269" s="212">
        <f>IF(C269&gt;=Summary!$E$26,MAX(0,SUM(ER269:EU269)),0)</f>
        <v>0</v>
      </c>
      <c r="EW269" s="52"/>
      <c r="EX269" s="1049">
        <f t="shared" si="215"/>
        <v>0</v>
      </c>
      <c r="EY269" s="1045" t="str">
        <f t="shared" si="216"/>
        <v/>
      </c>
      <c r="EZ269" s="1684" t="s">
        <v>525</v>
      </c>
      <c r="FA269" s="1046">
        <f t="shared" si="229"/>
        <v>45</v>
      </c>
      <c r="FB269" s="256">
        <f t="shared" si="217"/>
        <v>8865</v>
      </c>
      <c r="FC269" s="194">
        <f t="shared" si="218"/>
        <v>2659.5</v>
      </c>
      <c r="FD269" s="194">
        <f t="shared" si="219"/>
        <v>2216.25</v>
      </c>
      <c r="FE269" s="194">
        <f t="shared" si="220"/>
        <v>664.875</v>
      </c>
      <c r="FF269" s="194">
        <f t="shared" si="221"/>
        <v>2659.5</v>
      </c>
      <c r="FG269" s="194">
        <f t="shared" si="222"/>
        <v>797.85</v>
      </c>
      <c r="FH269" s="257">
        <f>IF(EZ269="No",IF((OR(MONTH(C269)=5,MONTH(C269)=6,MONTH(C269)=7,MONTH(C269)=8,MONTH(C269)=9)),Summary!$O$15*12*(AX269+AY269+AZ269+BA269)*(1-$BC269),Summary!$O$15*13*(AX269+AY269+AZ269+BA269)*(1-$BC269)+IF(Summary!$O$16="Yes",(CALC!FA269+Summary!$O$15)*6*(AX269+AY269+AZ269+BA269)*(1-$BC269),0)),0)</f>
        <v>0</v>
      </c>
      <c r="FI269" s="1412">
        <f>IF(MONTH(C269)=5,FI268*(IF(Summary!$E$70="no",(1+(Summary!$E$71*0.8)),1+HLOOKUP(YEAR(C269)-1,CCFMODEL!$I$127:$AF$128,2)*0.8)),+FI268)</f>
        <v>43.774657911033053</v>
      </c>
      <c r="FJ269" s="1411">
        <f>IF(MONTH(C269)=5,FJ268*(IF(Summary!$E$70="no",(1+(Summary!$E$71*0.8)),1+HLOOKUP(YEAR(CALC!C269)-1,CCFMODEL!$I$127:$AF$128,2)*0.8)),FJ268)</f>
        <v>38.259740378934403</v>
      </c>
      <c r="FK269" s="832">
        <f t="shared" si="187"/>
        <v>781945.61989833554</v>
      </c>
      <c r="FL269" s="1412">
        <f>IF(MONTH(C269)=5,FL268*(IF(Summary!$E$70="no",(1+(Summary!$E$71*0.8)),1+HLOOKUP(YEAR(CALC!C269)-1,CCFMODEL!$I$127:$AF$128,2)*0.8)),+FL268)</f>
        <v>92.063013206968236</v>
      </c>
      <c r="FM269" s="1411">
        <f>IF(MONTH(C269)=5,FM268*(IF(Summary!$E$70="no",(1+(Summary!$E$71*0.8)),1+HLOOKUP(YEAR(CALC!C269)-1,CCFMODEL!$I$127:$AF$128,2)*0.8)),+FM268)</f>
        <v>43.938792361393126</v>
      </c>
      <c r="FN269" s="832">
        <f t="shared" si="188"/>
        <v>796829.99947386433</v>
      </c>
      <c r="FO269" s="194">
        <f t="shared" si="223"/>
        <v>1578775.6193721998</v>
      </c>
      <c r="FP269" s="263">
        <f t="shared" si="238"/>
        <v>8865</v>
      </c>
      <c r="FQ269" s="194">
        <f t="shared" si="238"/>
        <v>2659.5</v>
      </c>
      <c r="FR269" s="194">
        <f t="shared" si="238"/>
        <v>2216.25</v>
      </c>
      <c r="FS269" s="194">
        <f t="shared" si="238"/>
        <v>664.875</v>
      </c>
      <c r="FT269" s="194">
        <f t="shared" si="238"/>
        <v>2659.5</v>
      </c>
      <c r="FU269" s="194">
        <f t="shared" si="238"/>
        <v>797.85</v>
      </c>
      <c r="FV269" s="257">
        <f t="shared" si="238"/>
        <v>0</v>
      </c>
      <c r="FW269" s="189">
        <f t="shared" si="192"/>
        <v>0</v>
      </c>
      <c r="FX269" s="189">
        <f t="shared" si="193"/>
        <v>0</v>
      </c>
      <c r="FY269" s="189">
        <f t="shared" si="194"/>
        <v>0</v>
      </c>
      <c r="FZ269" s="258">
        <f t="shared" si="195"/>
        <v>0</v>
      </c>
      <c r="GA269" s="1294">
        <f>(SUM(FP269:FV269)+SUM(GU269:HB269)/(1-Summary!$O$25))*CY269/1000</f>
        <v>237565.37400242043</v>
      </c>
      <c r="GB269" s="1369">
        <f>IF($C269&lt;Summary!$M$81,+Summary!$O$81,VLOOKUP(C269,GasTable,19))</f>
        <v>4.4767110867385771</v>
      </c>
      <c r="GC269" s="1370">
        <f>IF(H269&lt;=Summary!$N$84,MIN(GA269,Summary!$O$75*(H269-G269+1)),0)</f>
        <v>0</v>
      </c>
      <c r="GD269" s="1371">
        <f>IF(C269&lt;Summary!$N$84,IF(Summary!$O$75*(H269-G269+1)*0.8&gt;GC269,1,0),0)</f>
        <v>0</v>
      </c>
      <c r="GE269" s="1372">
        <v>0</v>
      </c>
      <c r="GF269" s="1370">
        <f t="shared" si="224"/>
        <v>237565.37400242043</v>
      </c>
      <c r="GG269" s="1371">
        <f>GF269*(IF(Summary!$O$74=1,VLOOKUP($C269,GasTable,16)+Summary!$O$92+Summary!$O$93,VLOOKUP($C269,GasTable,19)+Summary!$O$92+Summary!$O$93))</f>
        <v>1075888.6996073583</v>
      </c>
      <c r="GH269" s="1373">
        <v>6938.9021844447943</v>
      </c>
      <c r="GI269" s="1466">
        <v>0</v>
      </c>
      <c r="GJ269" s="1374">
        <f t="shared" si="225"/>
        <v>1082827.601791803</v>
      </c>
      <c r="GK269" s="189">
        <f t="shared" si="196"/>
        <v>30062.012849999999</v>
      </c>
      <c r="GL269" s="266">
        <v>0.5217885335200001</v>
      </c>
      <c r="GM269" s="255">
        <f t="shared" si="197"/>
        <v>0</v>
      </c>
      <c r="GN269" s="189">
        <f>IF(SUM(GU269:HB269)=0,0,IF(Summary!$O$16="Yes",SUM(GX269:HB269),IF(Summary!$O$17="Yes",SUM(GY269:HB269),SUM(GU269:HB269))))</f>
        <v>12199.037850000001</v>
      </c>
      <c r="GO269" s="203">
        <v>4.4266184591564777</v>
      </c>
      <c r="GP269" s="258">
        <f t="shared" si="226"/>
        <v>54000.486130758552</v>
      </c>
      <c r="GQ269" s="189"/>
      <c r="GR269" s="189"/>
      <c r="GS269" s="189"/>
      <c r="GT269" s="189"/>
      <c r="GU269" s="268">
        <v>5132.835</v>
      </c>
      <c r="GV269" s="189">
        <v>1283.20875</v>
      </c>
      <c r="GW269" s="189">
        <v>1539.8504999999998</v>
      </c>
      <c r="GX269" s="189"/>
      <c r="GY269" s="254">
        <v>2737.5120000000002</v>
      </c>
      <c r="GZ269" s="189">
        <v>684.37800000000004</v>
      </c>
      <c r="HA269" s="189">
        <v>821.25359999999989</v>
      </c>
      <c r="HB269" s="255"/>
      <c r="HC269" s="189">
        <v>12199.037850000001</v>
      </c>
      <c r="HD269" s="189"/>
      <c r="HE269" s="189">
        <v>20950.521525</v>
      </c>
      <c r="HF269" s="189">
        <v>730994.12171050336</v>
      </c>
      <c r="HG269" s="189"/>
      <c r="HH269" s="203">
        <v>59.46341419606388</v>
      </c>
      <c r="HI269" s="189">
        <v>1245789.5390646269</v>
      </c>
      <c r="HJ269" s="268">
        <f t="shared" si="198"/>
        <v>0</v>
      </c>
      <c r="HK269" s="189">
        <f t="shared" si="199"/>
        <v>0</v>
      </c>
      <c r="HL269" s="189">
        <f t="shared" si="200"/>
        <v>0</v>
      </c>
      <c r="HM269" s="255">
        <f t="shared" si="201"/>
        <v>0</v>
      </c>
      <c r="HN269" s="189">
        <f t="shared" si="202"/>
        <v>0</v>
      </c>
      <c r="HO269" s="203">
        <f t="shared" si="227"/>
        <v>0</v>
      </c>
      <c r="HP269" s="258">
        <f t="shared" si="203"/>
        <v>0</v>
      </c>
      <c r="HQ269" s="203" t="s">
        <v>1101</v>
      </c>
      <c r="HR269" s="268">
        <f t="shared" si="241"/>
        <v>695368.83008502005</v>
      </c>
      <c r="HS269" s="1408">
        <f>IF(HT269=0,IF(OR(SUMIF(CURVES!$AU$6:$AU$283,$HQ269,CURVES!$BQ$6:$BQ$283)=0,COUNTIF(CURVES!$AU$6:$AU$283,$HQ269)=0),0,SUMIF(CURVES!$AU$6:$AU$283,$HQ269,CURVES!$BQ$6:$BQ$283)/COUNTIF(CURVES!$AU$6:$AU$283,$HQ269)),HT269/HR269)</f>
        <v>4.1269116555902086</v>
      </c>
      <c r="HT269" s="255">
        <f t="shared" si="242"/>
        <v>2869725.7298119967</v>
      </c>
      <c r="HU269" s="268">
        <f t="shared" si="243"/>
        <v>0</v>
      </c>
      <c r="HV269" s="1408" t="e">
        <f>IF(HW269=0,0,HW269/Summary!$O$79/HU269)</f>
        <v>#DIV/0!</v>
      </c>
      <c r="HW269" s="255">
        <f t="shared" si="244"/>
        <v>18540.616026012685</v>
      </c>
      <c r="HX269" s="1408">
        <f>IF(OR(SUMIF(CURVES!$AU$6:$AU$283,$HQ269,CURVES!$BQ$6:$BQ$283)=0,COUNTIF(CURVES!$AU$6:$AU$283,$HQ269)=0),0,SUMIF(CURVES!$AU$6:$AU$283,$HQ269,CURVES!$BQ$6:$BQ$283)/COUNTIF(CURVES!$AU$6:$AU$283,$HQ269))</f>
        <v>4.856426298776924</v>
      </c>
      <c r="HY269" s="1408">
        <f>IF(OR(SUMIF(CURVES!$AU$6:$AU$283,$HQ269,CURVES!$BR$6:$BR$283)=0,COUNTIF(CURVES!$AU$6:$AU$283,$HQ269)=0),0,SUMIF(CURVES!$AU$6:$AU$283,$HQ269,CURVES!$BR$6:$BR$283)/COUNTIF(CURVES!$AU$6:$AU$283,$HQ269))</f>
        <v>3.9300396259169985</v>
      </c>
      <c r="HZ269"/>
      <c r="IA269" s="203"/>
      <c r="IB269" s="203"/>
      <c r="IC269" s="203"/>
      <c r="ID269" s="203"/>
      <c r="IE269" s="203"/>
      <c r="IF269" s="203"/>
      <c r="IG269" s="203"/>
      <c r="IH269" s="203"/>
      <c r="II269" s="203"/>
      <c r="IJ269" s="203"/>
      <c r="IK269" s="203"/>
      <c r="IL269" s="821"/>
      <c r="IM269" s="820"/>
      <c r="IN269" s="820"/>
      <c r="IQ269" s="188"/>
      <c r="IR269" s="223"/>
    </row>
    <row r="270" spans="1:252" ht="13.8" thickBot="1">
      <c r="A270" t="str">
        <f t="shared" si="204"/>
        <v>2021Q1</v>
      </c>
      <c r="B270">
        <f t="shared" si="205"/>
        <v>2021</v>
      </c>
      <c r="C270" s="49">
        <f t="shared" si="206"/>
        <v>44228</v>
      </c>
      <c r="D270" s="115">
        <f t="shared" si="207"/>
        <v>2021</v>
      </c>
      <c r="E270" s="10">
        <f t="shared" si="230"/>
        <v>2</v>
      </c>
      <c r="F270" s="248" t="str">
        <f t="shared" si="231"/>
        <v/>
      </c>
      <c r="G270" s="245">
        <v>44228</v>
      </c>
      <c r="H270" s="251">
        <v>44255</v>
      </c>
      <c r="I270" s="959">
        <f t="shared" si="228"/>
        <v>7.1499999999999994E-2</v>
      </c>
      <c r="J270" s="37">
        <f t="shared" si="208"/>
        <v>0.22454029825834068</v>
      </c>
      <c r="K270" s="1036"/>
      <c r="L270" s="37"/>
      <c r="M270" s="1004">
        <v>0</v>
      </c>
      <c r="N270" s="38">
        <f t="shared" si="246"/>
        <v>0</v>
      </c>
      <c r="O270" s="40">
        <f t="shared" si="246"/>
        <v>0</v>
      </c>
      <c r="P270" s="159">
        <f t="shared" si="234"/>
        <v>0</v>
      </c>
      <c r="Q270" s="38">
        <f t="shared" si="247"/>
        <v>0</v>
      </c>
      <c r="R270" s="40">
        <f t="shared" si="247"/>
        <v>0</v>
      </c>
      <c r="S270" s="38">
        <f t="shared" si="247"/>
        <v>0</v>
      </c>
      <c r="T270" s="38">
        <f t="shared" si="247"/>
        <v>0</v>
      </c>
      <c r="U270" s="38">
        <f t="shared" si="247"/>
        <v>0</v>
      </c>
      <c r="V270" s="159">
        <f t="shared" si="247"/>
        <v>0</v>
      </c>
      <c r="W270" s="38">
        <f t="shared" si="247"/>
        <v>0</v>
      </c>
      <c r="X270" s="39">
        <f t="shared" si="247"/>
        <v>0</v>
      </c>
      <c r="Y270" s="46">
        <v>0</v>
      </c>
      <c r="Z270" s="46">
        <v>0</v>
      </c>
      <c r="AA270" s="47">
        <v>0</v>
      </c>
      <c r="AB270" s="46">
        <v>0</v>
      </c>
      <c r="AC270" s="46">
        <v>0</v>
      </c>
      <c r="AD270" s="47">
        <v>0</v>
      </c>
      <c r="AE270" s="46">
        <v>0</v>
      </c>
      <c r="AF270" s="46">
        <v>0</v>
      </c>
      <c r="AG270" s="47">
        <v>0</v>
      </c>
      <c r="AH270" s="46">
        <v>0</v>
      </c>
      <c r="AI270" s="46">
        <v>0</v>
      </c>
      <c r="AJ270" s="47">
        <v>0</v>
      </c>
      <c r="AK270" s="46">
        <v>0</v>
      </c>
      <c r="AL270" s="46">
        <v>0</v>
      </c>
      <c r="AM270" s="47">
        <v>0</v>
      </c>
      <c r="AN270" s="46">
        <v>0</v>
      </c>
      <c r="AO270" s="46">
        <v>0</v>
      </c>
      <c r="AP270" s="47">
        <v>0</v>
      </c>
      <c r="AQ270" s="46">
        <v>0</v>
      </c>
      <c r="AR270" s="46">
        <v>0</v>
      </c>
      <c r="AS270" s="47">
        <v>0</v>
      </c>
      <c r="AT270" s="46">
        <v>0</v>
      </c>
      <c r="AU270" s="46">
        <v>0</v>
      </c>
      <c r="AV270" s="46">
        <v>0</v>
      </c>
      <c r="AW270" s="1545">
        <v>0</v>
      </c>
      <c r="AX270" s="10">
        <f t="shared" si="232"/>
        <v>20</v>
      </c>
      <c r="AY270" s="42">
        <f>IF(AND($E270=MONTH(Summary!$E$24),$D270=YEAR(Summary!$E$24)),Summary!$E$25,1)*IF(G270="",0,INT((H270-MOD(H270,7)-G270)/7)+1-IF(BA270,IF(WEEKDAY(F270)=7,1,0),0))</f>
        <v>4</v>
      </c>
      <c r="AZ270" s="42">
        <f>IF(AND($E270=MONTH(Summary!$E$24),$D270=YEAR(Summary!$E$24)),Summary!$E$25,1)*IF(G270="",0,INT((H270-MOD(H270-1,7)-G270)/7)+1-IF(BA270,IF(WEEKDAY(F270)=1,1,0),0))</f>
        <v>4</v>
      </c>
      <c r="BA270" s="42">
        <v>0</v>
      </c>
      <c r="BB270" s="10">
        <f>IF(AND($E270=MONTH(Summary!$E$24),$D270=YEAR(Summary!$E$24)),Summary!$E$25,1)*IF(G270="",0,H270-G270+1)</f>
        <v>28</v>
      </c>
      <c r="BC270" s="914">
        <f>Summary!$E$19</f>
        <v>1.4999999999999999E-2</v>
      </c>
      <c r="BD270" s="113">
        <v>14184</v>
      </c>
      <c r="BE270" s="171">
        <v>2836.8</v>
      </c>
      <c r="BF270" s="171">
        <v>2836.8</v>
      </c>
      <c r="BG270" s="174"/>
      <c r="BH270" s="1198">
        <v>1</v>
      </c>
      <c r="BI270" s="1198">
        <v>1</v>
      </c>
      <c r="BJ270" s="1198">
        <v>1</v>
      </c>
      <c r="BK270" s="1198">
        <v>1</v>
      </c>
      <c r="BL270" s="95">
        <v>2836.8</v>
      </c>
      <c r="BM270" s="171">
        <v>567.36</v>
      </c>
      <c r="BN270" s="171">
        <v>567.36</v>
      </c>
      <c r="BO270" s="174"/>
      <c r="BP270" s="1198">
        <v>1</v>
      </c>
      <c r="BQ270" s="1199">
        <v>1</v>
      </c>
      <c r="BR270" s="1199">
        <v>1</v>
      </c>
      <c r="BS270" s="1200">
        <v>1</v>
      </c>
      <c r="BT270" s="94">
        <f t="shared" si="209"/>
        <v>19857.599999999999</v>
      </c>
      <c r="BU270" s="233">
        <f t="shared" si="210"/>
        <v>19857.599999999999</v>
      </c>
      <c r="BV270" s="92">
        <f t="shared" si="211"/>
        <v>3971.5200000000004</v>
      </c>
      <c r="BW270" s="233">
        <f t="shared" si="212"/>
        <v>3971.5200000000004</v>
      </c>
      <c r="BX270" s="88">
        <v>21.133470225872689</v>
      </c>
      <c r="BY270" s="90">
        <v>0</v>
      </c>
      <c r="BZ270" s="88">
        <v>0</v>
      </c>
      <c r="CA270" s="88">
        <v>0</v>
      </c>
      <c r="CB270" s="88">
        <v>0</v>
      </c>
      <c r="CC270" s="88">
        <v>0</v>
      </c>
      <c r="CD270" s="88">
        <v>0</v>
      </c>
      <c r="CE270" s="100">
        <v>0</v>
      </c>
      <c r="CF270" s="88">
        <v>0</v>
      </c>
      <c r="CG270" s="88">
        <v>0</v>
      </c>
      <c r="CH270" s="88">
        <v>0</v>
      </c>
      <c r="CI270" s="88">
        <v>0</v>
      </c>
      <c r="CJ270" s="228">
        <v>0</v>
      </c>
      <c r="CK270" s="88">
        <v>0</v>
      </c>
      <c r="CL270" s="88">
        <v>0</v>
      </c>
      <c r="CM270" s="88">
        <v>0</v>
      </c>
      <c r="CN270" s="88">
        <v>0</v>
      </c>
      <c r="CO270" s="88">
        <v>0</v>
      </c>
      <c r="CP270" s="88">
        <v>0</v>
      </c>
      <c r="CQ270" s="229">
        <v>0</v>
      </c>
      <c r="CR270" s="91">
        <v>0</v>
      </c>
      <c r="CS270" s="91">
        <v>0</v>
      </c>
      <c r="CT270" s="91">
        <v>0</v>
      </c>
      <c r="CU270" s="91">
        <v>0</v>
      </c>
      <c r="CV270" s="91">
        <v>0</v>
      </c>
      <c r="CW270" s="91">
        <v>0</v>
      </c>
      <c r="CX270" s="225">
        <v>0</v>
      </c>
      <c r="CY270" s="1265">
        <v>7789.9195199999995</v>
      </c>
      <c r="CZ270" s="90">
        <v>0</v>
      </c>
      <c r="DA270" s="88">
        <v>0</v>
      </c>
      <c r="DB270" s="88">
        <v>0</v>
      </c>
      <c r="DC270" s="88">
        <v>0</v>
      </c>
      <c r="DD270" s="88">
        <v>0</v>
      </c>
      <c r="DE270" s="152">
        <v>0</v>
      </c>
      <c r="DF270" s="230">
        <v>0</v>
      </c>
      <c r="DG270" s="38">
        <v>0</v>
      </c>
      <c r="DH270" s="1237">
        <v>0</v>
      </c>
      <c r="DI270" s="956">
        <v>0</v>
      </c>
      <c r="DJ270" s="956">
        <v>0</v>
      </c>
      <c r="DK270" s="956">
        <v>0</v>
      </c>
      <c r="DL270" s="152">
        <v>0</v>
      </c>
      <c r="DM270" s="160">
        <v>0</v>
      </c>
      <c r="DN270" s="160">
        <v>0</v>
      </c>
      <c r="DO270" s="160">
        <v>0</v>
      </c>
      <c r="DP270" s="160">
        <v>0</v>
      </c>
      <c r="DQ270" s="160">
        <v>0</v>
      </c>
      <c r="DR270" s="230">
        <v>0</v>
      </c>
      <c r="DS270" s="88">
        <v>0</v>
      </c>
      <c r="DT270" s="88">
        <v>0</v>
      </c>
      <c r="DU270" s="88">
        <v>0</v>
      </c>
      <c r="DV270" s="88">
        <v>0</v>
      </c>
      <c r="DW270" s="88">
        <v>0</v>
      </c>
      <c r="DX270" s="88">
        <v>0</v>
      </c>
      <c r="DY270" s="88">
        <v>0</v>
      </c>
      <c r="DZ270" s="88">
        <v>0</v>
      </c>
      <c r="EA270" s="88">
        <v>0</v>
      </c>
      <c r="EB270" s="152">
        <v>0</v>
      </c>
      <c r="EC270" s="52">
        <f t="shared" si="213"/>
        <v>0</v>
      </c>
      <c r="ED270" s="52">
        <f t="shared" si="213"/>
        <v>0</v>
      </c>
      <c r="EE270" s="52">
        <f t="shared" si="213"/>
        <v>0</v>
      </c>
      <c r="EF270" s="52">
        <f t="shared" si="186"/>
        <v>0</v>
      </c>
      <c r="EG270" s="52">
        <f t="shared" si="214"/>
        <v>0</v>
      </c>
      <c r="EH270" s="238">
        <v>0</v>
      </c>
      <c r="EI270" s="211">
        <v>0</v>
      </c>
      <c r="EJ270" s="211">
        <v>0</v>
      </c>
      <c r="EK270" s="211">
        <v>0</v>
      </c>
      <c r="EL270" s="217">
        <f>IF(C270&gt;=Summary!$E$26,MAX(0,SUM(EH270:EK270)),0)</f>
        <v>0</v>
      </c>
      <c r="EM270" s="52">
        <f>IF(C270&gt;=Summary!$E$26,DX270*BL270,0)</f>
        <v>0</v>
      </c>
      <c r="EN270" s="52">
        <f>IF(C270&gt;=Summary!$E$26,DY270*BM270,0)</f>
        <v>0</v>
      </c>
      <c r="EO270" s="52">
        <f>IF(C270&gt;=Summary!$E$26,DZ270*BN270,0)</f>
        <v>0</v>
      </c>
      <c r="EP270" s="52">
        <f>IF(C270&gt;=Summary!$E$26,EA270*BO270,0)</f>
        <v>0</v>
      </c>
      <c r="EQ270" s="52">
        <f>IF(C270&gt;=Summary!$E$26,DX270*BL270+DY270*BM270+DZ270*BN270+EA270*BO270,0)</f>
        <v>0</v>
      </c>
      <c r="ER270" s="826">
        <v>0</v>
      </c>
      <c r="ES270" s="278">
        <v>0</v>
      </c>
      <c r="ET270" s="278">
        <v>0</v>
      </c>
      <c r="EU270" s="278">
        <v>0</v>
      </c>
      <c r="EV270" s="212">
        <f>IF(C270&gt;=Summary!$E$26,MAX(0,SUM(ER270:EU270)),0)</f>
        <v>0</v>
      </c>
      <c r="EW270" s="52"/>
      <c r="EX270" s="1049">
        <f t="shared" si="215"/>
        <v>0</v>
      </c>
      <c r="EY270" s="1045" t="str">
        <f t="shared" si="216"/>
        <v/>
      </c>
      <c r="EZ270" s="1684" t="s">
        <v>525</v>
      </c>
      <c r="FA270" s="1046">
        <f t="shared" si="229"/>
        <v>45</v>
      </c>
      <c r="FB270" s="256">
        <f t="shared" si="217"/>
        <v>8865</v>
      </c>
      <c r="FC270" s="194">
        <f t="shared" si="218"/>
        <v>2659.5</v>
      </c>
      <c r="FD270" s="194">
        <f t="shared" si="219"/>
        <v>1773</v>
      </c>
      <c r="FE270" s="194">
        <f t="shared" si="220"/>
        <v>531.9</v>
      </c>
      <c r="FF270" s="194">
        <f t="shared" si="221"/>
        <v>1773</v>
      </c>
      <c r="FG270" s="194">
        <f t="shared" si="222"/>
        <v>531.9</v>
      </c>
      <c r="FH270" s="257">
        <f>IF(EZ270="No",IF((OR(MONTH(C270)=5,MONTH(C270)=6,MONTH(C270)=7,MONTH(C270)=8,MONTH(C270)=9)),Summary!$O$15*12*(AX270+AY270+AZ270+BA270)*(1-$BC270),Summary!$O$15*13*(AX270+AY270+AZ270+BA270)*(1-$BC270)+IF(Summary!$O$16="Yes",(CALC!FA270+Summary!$O$15)*6*(AX270+AY270+AZ270+BA270)*(1-$BC270),0)),0)</f>
        <v>0</v>
      </c>
      <c r="FI270" s="1412">
        <f>IF(MONTH(C270)=5,FI269*(IF(Summary!$E$70="no",(1+(Summary!$E$71*0.8)),1+HLOOKUP(YEAR(C270)-1,CCFMODEL!$I$127:$AF$128,2)*0.8)),+FI269)</f>
        <v>43.774657911033053</v>
      </c>
      <c r="FJ270" s="1411">
        <f>IF(MONTH(C270)=5,FJ269*(IF(Summary!$E$70="no",(1+(Summary!$E$71*0.8)),1+HLOOKUP(YEAR(CALC!C270)-1,CCFMODEL!$I$127:$AF$128,2)*0.8)),FJ269)</f>
        <v>38.259740378934403</v>
      </c>
      <c r="FK270" s="832">
        <f t="shared" si="187"/>
        <v>706273.46313398052</v>
      </c>
      <c r="FL270" s="1412">
        <f>IF(MONTH(C270)=5,FL269*(IF(Summary!$E$70="no",(1+(Summary!$E$71*0.8)),1+HLOOKUP(YEAR(CALC!C270)-1,CCFMODEL!$I$127:$AF$128,2)*0.8)),+FL269)</f>
        <v>92.063013206968236</v>
      </c>
      <c r="FM270" s="1411">
        <f>IF(MONTH(C270)=5,FM269*(IF(Summary!$E$70="no",(1+(Summary!$E$71*0.8)),1+HLOOKUP(YEAR(CALC!C270)-1,CCFMODEL!$I$127:$AF$128,2)*0.8)),+FM269)</f>
        <v>43.938792361393126</v>
      </c>
      <c r="FN270" s="832">
        <f t="shared" si="188"/>
        <v>719717.41887961945</v>
      </c>
      <c r="FO270" s="194">
        <f t="shared" si="223"/>
        <v>1425990.8820135999</v>
      </c>
      <c r="FP270" s="263">
        <f t="shared" si="238"/>
        <v>8865</v>
      </c>
      <c r="FQ270" s="194">
        <f t="shared" si="238"/>
        <v>2659.5</v>
      </c>
      <c r="FR270" s="194">
        <f t="shared" si="238"/>
        <v>1773</v>
      </c>
      <c r="FS270" s="194">
        <f t="shared" si="238"/>
        <v>531.9</v>
      </c>
      <c r="FT270" s="194">
        <f t="shared" si="238"/>
        <v>1773</v>
      </c>
      <c r="FU270" s="194">
        <f t="shared" si="238"/>
        <v>531.9</v>
      </c>
      <c r="FV270" s="257">
        <f t="shared" si="238"/>
        <v>0</v>
      </c>
      <c r="FW270" s="189">
        <f t="shared" si="192"/>
        <v>0</v>
      </c>
      <c r="FX270" s="189">
        <f t="shared" si="193"/>
        <v>0</v>
      </c>
      <c r="FY270" s="189">
        <f t="shared" si="194"/>
        <v>0</v>
      </c>
      <c r="FZ270" s="258">
        <f t="shared" si="195"/>
        <v>0</v>
      </c>
      <c r="GA270" s="1294">
        <f>(SUM(FP270:FV270)+SUM(GU270:HB270)/(1-Summary!$O$25))*CY270/1000</f>
        <v>214631.13438123837</v>
      </c>
      <c r="GB270" s="1369">
        <f>IF($C270&lt;Summary!$M$81,+Summary!$O$81,VLOOKUP(C270,GasTable,19))</f>
        <v>4.134767509007208</v>
      </c>
      <c r="GC270" s="1370">
        <f>IF(H270&lt;=Summary!$N$84,MIN(GA270,Summary!$O$75*(H270-G270+1)),0)</f>
        <v>0</v>
      </c>
      <c r="GD270" s="1371">
        <f>IF(C270&lt;Summary!$N$84,IF(Summary!$O$75*(H270-G270+1)*0.8&gt;GC270,1,0),0)</f>
        <v>0</v>
      </c>
      <c r="GE270" s="1372">
        <v>0</v>
      </c>
      <c r="GF270" s="1370">
        <f t="shared" si="224"/>
        <v>214631.13438123837</v>
      </c>
      <c r="GG270" s="1371">
        <f>GF270*(IF(Summary!$O$74=1,VLOOKUP($C270,GasTable,16)+Summary!$O$92+Summary!$O$93,VLOOKUP($C270,GasTable,19)+Summary!$O$92+Summary!$O$93))</f>
        <v>898632.1229621669</v>
      </c>
      <c r="GH270" s="1373">
        <v>5788.6745126100914</v>
      </c>
      <c r="GI270" s="1466">
        <v>0</v>
      </c>
      <c r="GJ270" s="1374">
        <f t="shared" si="225"/>
        <v>904420.79747477698</v>
      </c>
      <c r="GK270" s="189">
        <f t="shared" si="196"/>
        <v>27152.785799999998</v>
      </c>
      <c r="GL270" s="266">
        <v>0.52192460784000005</v>
      </c>
      <c r="GM270" s="255">
        <f t="shared" si="197"/>
        <v>0</v>
      </c>
      <c r="GN270" s="189">
        <f>IF(SUM(GU270:HB270)=0,0,IF(Summary!$O$16="Yes",SUM(GX270:HB270),IF(Summary!$O$17="Yes",SUM(GY270:HB270),SUM(GU270:HB270))))</f>
        <v>11018.485799999999</v>
      </c>
      <c r="GO270" s="203">
        <v>4.4266184591564777</v>
      </c>
      <c r="GP270" s="258">
        <f t="shared" si="226"/>
        <v>48774.632634233523</v>
      </c>
      <c r="GQ270" s="189"/>
      <c r="GR270" s="189"/>
      <c r="GS270" s="189"/>
      <c r="GT270" s="189"/>
      <c r="GU270" s="268">
        <v>5132.835</v>
      </c>
      <c r="GV270" s="189">
        <v>1026.5670000000002</v>
      </c>
      <c r="GW270" s="189">
        <v>1026.5670000000002</v>
      </c>
      <c r="GX270" s="189"/>
      <c r="GY270" s="254">
        <v>2737.5120000000002</v>
      </c>
      <c r="GZ270" s="189">
        <v>547.50239999999997</v>
      </c>
      <c r="HA270" s="189">
        <v>547.50239999999997</v>
      </c>
      <c r="HB270" s="255"/>
      <c r="HC270" s="189">
        <v>11018.485799999999</v>
      </c>
      <c r="HD270" s="189"/>
      <c r="HE270" s="189">
        <v>18923.051699999996</v>
      </c>
      <c r="HF270" s="189">
        <v>504438.85827909305</v>
      </c>
      <c r="HG270" s="189"/>
      <c r="HH270" s="203">
        <v>45.439343703283434</v>
      </c>
      <c r="HI270" s="189">
        <v>859851.05011130171</v>
      </c>
      <c r="HJ270" s="268">
        <f t="shared" si="198"/>
        <v>0</v>
      </c>
      <c r="HK270" s="189">
        <f t="shared" si="199"/>
        <v>0</v>
      </c>
      <c r="HL270" s="189">
        <f t="shared" si="200"/>
        <v>0</v>
      </c>
      <c r="HM270" s="255">
        <f t="shared" si="201"/>
        <v>0</v>
      </c>
      <c r="HN270" s="189">
        <f t="shared" si="202"/>
        <v>0</v>
      </c>
      <c r="HO270" s="203">
        <f t="shared" si="227"/>
        <v>0</v>
      </c>
      <c r="HP270" s="258">
        <f t="shared" si="203"/>
        <v>0</v>
      </c>
      <c r="HQ270" s="203" t="s">
        <v>1102</v>
      </c>
      <c r="HR270" s="268">
        <f t="shared" si="241"/>
        <v>632866.84653424309</v>
      </c>
      <c r="HS270" s="1408">
        <f>IF(HT270=0,IF(OR(SUMIF(CURVES!$AU$6:$AU$283,$HQ270,CURVES!$BQ$6:$BQ$283)=0,COUNTIF(CURVES!$AU$6:$AU$283,$HQ270)=0),0,SUMIF(CURVES!$AU$6:$AU$283,$HQ270,CURVES!$BQ$6:$BQ$283)/COUNTIF(CURVES!$AU$6:$AU$283,$HQ270)),HT270/HR270)</f>
        <v>3.7521632431658025</v>
      </c>
      <c r="HT270" s="255">
        <f t="shared" si="242"/>
        <v>2374619.7193840398</v>
      </c>
      <c r="HU270" s="268">
        <f t="shared" si="243"/>
        <v>0</v>
      </c>
      <c r="HV270" s="1408" t="e">
        <f>IF(HW270=0,0,HW270/Summary!$O$79/HU270)</f>
        <v>#DIV/0!</v>
      </c>
      <c r="HW270" s="255">
        <f t="shared" si="244"/>
        <v>16834.371036008131</v>
      </c>
      <c r="HX270" s="1408">
        <f>IF(OR(SUMIF(CURVES!$AU$6:$AU$283,$HQ270,CURVES!$BQ$6:$BQ$283)=0,COUNTIF(CURVES!$AU$6:$AU$283,$HQ270)=0),0,SUMIF(CURVES!$AU$6:$AU$283,$HQ270,CURVES!$BQ$6:$BQ$283)/COUNTIF(CURVES!$AU$6:$AU$283,$HQ270))</f>
        <v>4.5147588748634968</v>
      </c>
      <c r="HY270" s="1408">
        <f>IF(OR(SUMIF(CURVES!$AU$6:$AU$283,$HQ270,CURVES!$BR$6:$BR$283)=0,COUNTIF(CURVES!$AU$6:$AU$283,$HQ270)=0),0,SUMIF(CURVES!$AU$6:$AU$283,$HQ270,CURVES!$BR$6:$BR$283)/COUNTIF(CURVES!$AU$6:$AU$283,$HQ270))</f>
        <v>3.5671383903378953</v>
      </c>
      <c r="HZ270"/>
      <c r="IA270" s="203"/>
      <c r="IB270" s="203"/>
      <c r="IC270" s="203"/>
      <c r="ID270" s="203"/>
      <c r="IE270" s="203"/>
      <c r="IF270" s="203"/>
      <c r="IG270" s="203"/>
      <c r="IH270" s="203"/>
      <c r="II270" s="203"/>
      <c r="IJ270" s="203"/>
      <c r="IK270" s="203"/>
      <c r="IL270" s="821"/>
      <c r="IM270" s="820"/>
      <c r="IN270" s="820"/>
      <c r="IR270" s="223"/>
    </row>
    <row r="271" spans="1:252" ht="13.8" thickBot="1">
      <c r="A271" t="str">
        <f t="shared" si="204"/>
        <v>2021Q1</v>
      </c>
      <c r="B271">
        <f t="shared" si="205"/>
        <v>2021</v>
      </c>
      <c r="C271" s="49">
        <f t="shared" si="206"/>
        <v>44256</v>
      </c>
      <c r="D271" s="115">
        <f t="shared" si="207"/>
        <v>2021</v>
      </c>
      <c r="E271" s="10">
        <f t="shared" si="230"/>
        <v>3</v>
      </c>
      <c r="F271" s="248" t="str">
        <f t="shared" si="231"/>
        <v/>
      </c>
      <c r="G271" s="245">
        <v>44256</v>
      </c>
      <c r="H271" s="251">
        <v>44286</v>
      </c>
      <c r="I271" s="959">
        <f t="shared" si="228"/>
        <v>7.1499999999999994E-2</v>
      </c>
      <c r="J271" s="37">
        <f t="shared" si="208"/>
        <v>0.22320546224993146</v>
      </c>
      <c r="K271" s="1036"/>
      <c r="L271" s="37"/>
      <c r="M271" s="1004">
        <v>0</v>
      </c>
      <c r="N271" s="38">
        <f t="shared" si="246"/>
        <v>0</v>
      </c>
      <c r="O271" s="40">
        <f t="shared" si="246"/>
        <v>0</v>
      </c>
      <c r="P271" s="159">
        <f t="shared" si="234"/>
        <v>0</v>
      </c>
      <c r="Q271" s="38">
        <f t="shared" si="247"/>
        <v>0</v>
      </c>
      <c r="R271" s="40">
        <f t="shared" si="247"/>
        <v>0</v>
      </c>
      <c r="S271" s="38">
        <f t="shared" si="247"/>
        <v>0</v>
      </c>
      <c r="T271" s="38">
        <f t="shared" si="247"/>
        <v>0</v>
      </c>
      <c r="U271" s="38">
        <f t="shared" si="247"/>
        <v>0</v>
      </c>
      <c r="V271" s="159">
        <f t="shared" si="247"/>
        <v>0</v>
      </c>
      <c r="W271" s="38">
        <f t="shared" si="247"/>
        <v>0</v>
      </c>
      <c r="X271" s="39">
        <f t="shared" si="247"/>
        <v>0</v>
      </c>
      <c r="Y271" s="46">
        <v>0</v>
      </c>
      <c r="Z271" s="46">
        <v>0</v>
      </c>
      <c r="AA271" s="47">
        <v>0</v>
      </c>
      <c r="AB271" s="46">
        <v>0</v>
      </c>
      <c r="AC271" s="46">
        <v>0</v>
      </c>
      <c r="AD271" s="47">
        <v>0</v>
      </c>
      <c r="AE271" s="46">
        <v>0</v>
      </c>
      <c r="AF271" s="46">
        <v>0</v>
      </c>
      <c r="AG271" s="47">
        <v>0</v>
      </c>
      <c r="AH271" s="46">
        <v>0</v>
      </c>
      <c r="AI271" s="46">
        <v>0</v>
      </c>
      <c r="AJ271" s="47">
        <v>0</v>
      </c>
      <c r="AK271" s="46">
        <v>0</v>
      </c>
      <c r="AL271" s="46">
        <v>0</v>
      </c>
      <c r="AM271" s="47">
        <v>0</v>
      </c>
      <c r="AN271" s="46">
        <v>0</v>
      </c>
      <c r="AO271" s="46">
        <v>0</v>
      </c>
      <c r="AP271" s="47">
        <v>0</v>
      </c>
      <c r="AQ271" s="46">
        <v>0</v>
      </c>
      <c r="AR271" s="46">
        <v>0</v>
      </c>
      <c r="AS271" s="47">
        <v>0</v>
      </c>
      <c r="AT271" s="46">
        <v>0</v>
      </c>
      <c r="AU271" s="46">
        <v>0</v>
      </c>
      <c r="AV271" s="46">
        <v>0</v>
      </c>
      <c r="AW271" s="1545">
        <v>0</v>
      </c>
      <c r="AX271" s="10">
        <f t="shared" si="232"/>
        <v>23</v>
      </c>
      <c r="AY271" s="42">
        <f>IF(AND($E271=MONTH(Summary!$E$24),$D271=YEAR(Summary!$E$24)),Summary!$E$25,1)*IF(G271="",0,INT((H271-MOD(H271,7)-G271)/7)+1-IF(BA271,IF(WEEKDAY(F271)=7,1,0),0))</f>
        <v>4</v>
      </c>
      <c r="AZ271" s="42">
        <f>IF(AND($E271=MONTH(Summary!$E$24),$D271=YEAR(Summary!$E$24)),Summary!$E$25,1)*IF(G271="",0,INT((H271-MOD(H271-1,7)-G271)/7)+1-IF(BA271,IF(WEEKDAY(F271)=1,1,0),0))</f>
        <v>4</v>
      </c>
      <c r="BA271" s="42">
        <v>0</v>
      </c>
      <c r="BB271" s="10">
        <f>IF(AND($E271=MONTH(Summary!$E$24),$D271=YEAR(Summary!$E$24)),Summary!$E$25,1)*IF(G271="",0,H271-G271+1)</f>
        <v>31</v>
      </c>
      <c r="BC271" s="914">
        <f>Summary!$E$19</f>
        <v>1.4999999999999999E-2</v>
      </c>
      <c r="BD271" s="113">
        <v>16311.6</v>
      </c>
      <c r="BE271" s="171">
        <v>2836.8</v>
      </c>
      <c r="BF271" s="171">
        <v>2836.8</v>
      </c>
      <c r="BG271" s="174"/>
      <c r="BH271" s="1198">
        <v>1</v>
      </c>
      <c r="BI271" s="1198">
        <v>1</v>
      </c>
      <c r="BJ271" s="1198">
        <v>1</v>
      </c>
      <c r="BK271" s="1198">
        <v>1</v>
      </c>
      <c r="BL271" s="95">
        <v>3262.32</v>
      </c>
      <c r="BM271" s="171">
        <v>567.36</v>
      </c>
      <c r="BN271" s="171">
        <v>567.36</v>
      </c>
      <c r="BO271" s="174"/>
      <c r="BP271" s="1198">
        <v>1</v>
      </c>
      <c r="BQ271" s="1199">
        <v>1</v>
      </c>
      <c r="BR271" s="1199">
        <v>1</v>
      </c>
      <c r="BS271" s="1200">
        <v>1</v>
      </c>
      <c r="BT271" s="94">
        <f t="shared" si="209"/>
        <v>21985.200000000001</v>
      </c>
      <c r="BU271" s="233">
        <f t="shared" si="210"/>
        <v>21985.200000000001</v>
      </c>
      <c r="BV271" s="92">
        <f t="shared" si="211"/>
        <v>4397.04</v>
      </c>
      <c r="BW271" s="233">
        <f t="shared" si="212"/>
        <v>4397.04</v>
      </c>
      <c r="BX271" s="88">
        <v>21.21013004791239</v>
      </c>
      <c r="BY271" s="90">
        <v>0</v>
      </c>
      <c r="BZ271" s="88">
        <v>0</v>
      </c>
      <c r="CA271" s="88">
        <v>0</v>
      </c>
      <c r="CB271" s="88">
        <v>0</v>
      </c>
      <c r="CC271" s="88">
        <v>0</v>
      </c>
      <c r="CD271" s="88">
        <v>0</v>
      </c>
      <c r="CE271" s="100">
        <v>0</v>
      </c>
      <c r="CF271" s="88">
        <v>0</v>
      </c>
      <c r="CG271" s="88">
        <v>0</v>
      </c>
      <c r="CH271" s="88">
        <v>0</v>
      </c>
      <c r="CI271" s="88">
        <v>0</v>
      </c>
      <c r="CJ271" s="228">
        <v>0</v>
      </c>
      <c r="CK271" s="88">
        <v>0</v>
      </c>
      <c r="CL271" s="88">
        <v>0</v>
      </c>
      <c r="CM271" s="88">
        <v>0</v>
      </c>
      <c r="CN271" s="88">
        <v>0</v>
      </c>
      <c r="CO271" s="88">
        <v>0</v>
      </c>
      <c r="CP271" s="88">
        <v>0</v>
      </c>
      <c r="CQ271" s="229">
        <v>0</v>
      </c>
      <c r="CR271" s="91">
        <v>0</v>
      </c>
      <c r="CS271" s="91">
        <v>0</v>
      </c>
      <c r="CT271" s="91">
        <v>0</v>
      </c>
      <c r="CU271" s="91">
        <v>0</v>
      </c>
      <c r="CV271" s="91">
        <v>0</v>
      </c>
      <c r="CW271" s="91">
        <v>0</v>
      </c>
      <c r="CX271" s="225">
        <v>0</v>
      </c>
      <c r="CY271" s="1265">
        <v>7791.9504799999995</v>
      </c>
      <c r="CZ271" s="90">
        <v>0</v>
      </c>
      <c r="DA271" s="88">
        <v>0</v>
      </c>
      <c r="DB271" s="88">
        <v>0</v>
      </c>
      <c r="DC271" s="88">
        <v>0</v>
      </c>
      <c r="DD271" s="88">
        <v>0</v>
      </c>
      <c r="DE271" s="152">
        <v>0</v>
      </c>
      <c r="DF271" s="230">
        <v>0</v>
      </c>
      <c r="DG271" s="38">
        <v>0</v>
      </c>
      <c r="DH271" s="1237">
        <v>0</v>
      </c>
      <c r="DI271" s="956">
        <v>0</v>
      </c>
      <c r="DJ271" s="956">
        <v>0</v>
      </c>
      <c r="DK271" s="956">
        <v>0</v>
      </c>
      <c r="DL271" s="152">
        <v>0</v>
      </c>
      <c r="DM271" s="160">
        <v>0</v>
      </c>
      <c r="DN271" s="160">
        <v>0</v>
      </c>
      <c r="DO271" s="160">
        <v>0</v>
      </c>
      <c r="DP271" s="160">
        <v>0</v>
      </c>
      <c r="DQ271" s="160">
        <v>0</v>
      </c>
      <c r="DR271" s="230">
        <v>0</v>
      </c>
      <c r="DS271" s="88">
        <v>0</v>
      </c>
      <c r="DT271" s="88">
        <v>0</v>
      </c>
      <c r="DU271" s="88">
        <v>0</v>
      </c>
      <c r="DV271" s="88">
        <v>0</v>
      </c>
      <c r="DW271" s="88">
        <v>0</v>
      </c>
      <c r="DX271" s="88">
        <v>0</v>
      </c>
      <c r="DY271" s="88">
        <v>0</v>
      </c>
      <c r="DZ271" s="88">
        <v>0</v>
      </c>
      <c r="EA271" s="88">
        <v>0</v>
      </c>
      <c r="EB271" s="152">
        <v>0</v>
      </c>
      <c r="EC271" s="52">
        <f t="shared" si="213"/>
        <v>0</v>
      </c>
      <c r="ED271" s="52">
        <f t="shared" si="213"/>
        <v>0</v>
      </c>
      <c r="EE271" s="52">
        <f t="shared" si="213"/>
        <v>0</v>
      </c>
      <c r="EF271" s="52">
        <f t="shared" si="186"/>
        <v>0</v>
      </c>
      <c r="EG271" s="52">
        <f t="shared" si="214"/>
        <v>0</v>
      </c>
      <c r="EH271" s="238">
        <v>0</v>
      </c>
      <c r="EI271" s="211">
        <v>0</v>
      </c>
      <c r="EJ271" s="211">
        <v>0</v>
      </c>
      <c r="EK271" s="211">
        <v>0</v>
      </c>
      <c r="EL271" s="217">
        <f>IF(C271&gt;=Summary!$E$26,MAX(0,SUM(EH271:EK271)),0)</f>
        <v>0</v>
      </c>
      <c r="EM271" s="52">
        <f>IF(C271&gt;=Summary!$E$26,DX271*BL271,0)</f>
        <v>0</v>
      </c>
      <c r="EN271" s="52">
        <f>IF(C271&gt;=Summary!$E$26,DY271*BM271,0)</f>
        <v>0</v>
      </c>
      <c r="EO271" s="52">
        <f>IF(C271&gt;=Summary!$E$26,DZ271*BN271,0)</f>
        <v>0</v>
      </c>
      <c r="EP271" s="52">
        <f>IF(C271&gt;=Summary!$E$26,EA271*BO271,0)</f>
        <v>0</v>
      </c>
      <c r="EQ271" s="52">
        <f>IF(C271&gt;=Summary!$E$26,DX271*BL271+DY271*BM271+DZ271*BN271+EA271*BO271,0)</f>
        <v>0</v>
      </c>
      <c r="ER271" s="826">
        <v>0</v>
      </c>
      <c r="ES271" s="278">
        <v>0</v>
      </c>
      <c r="ET271" s="278">
        <v>0</v>
      </c>
      <c r="EU271" s="278">
        <v>0</v>
      </c>
      <c r="EV271" s="212">
        <f>IF(C271&gt;=Summary!$E$26,MAX(0,SUM(ER271:EU271)),0)</f>
        <v>0</v>
      </c>
      <c r="EW271" s="52"/>
      <c r="EX271" s="1049">
        <f t="shared" si="215"/>
        <v>0</v>
      </c>
      <c r="EY271" s="1045" t="str">
        <f t="shared" si="216"/>
        <v/>
      </c>
      <c r="EZ271" s="1684" t="s">
        <v>525</v>
      </c>
      <c r="FA271" s="1046">
        <f t="shared" si="229"/>
        <v>45</v>
      </c>
      <c r="FB271" s="256">
        <f t="shared" si="217"/>
        <v>10194.75</v>
      </c>
      <c r="FC271" s="194">
        <f t="shared" si="218"/>
        <v>3058.4250000000002</v>
      </c>
      <c r="FD271" s="194">
        <f t="shared" si="219"/>
        <v>1773</v>
      </c>
      <c r="FE271" s="194">
        <f t="shared" si="220"/>
        <v>531.9</v>
      </c>
      <c r="FF271" s="194">
        <f t="shared" si="221"/>
        <v>1773</v>
      </c>
      <c r="FG271" s="194">
        <f t="shared" si="222"/>
        <v>531.9</v>
      </c>
      <c r="FH271" s="257">
        <f>IF(EZ271="No",IF((OR(MONTH(C271)=5,MONTH(C271)=6,MONTH(C271)=7,MONTH(C271)=8,MONTH(C271)=9)),Summary!$O$15*12*(AX271+AY271+AZ271+BA271)*(1-$BC271),Summary!$O$15*13*(AX271+AY271+AZ271+BA271)*(1-$BC271)+IF(Summary!$O$16="Yes",(CALC!FA271+Summary!$O$15)*6*(AX271+AY271+AZ271+BA271)*(1-$BC271),0)),0)</f>
        <v>0</v>
      </c>
      <c r="FI271" s="1412">
        <f>IF(MONTH(C271)=5,FI270*(IF(Summary!$E$70="no",(1+(Summary!$E$71*0.8)),1+HLOOKUP(YEAR(C271)-1,CCFMODEL!$I$127:$AF$128,2)*0.8)),+FI270)</f>
        <v>43.774657911033053</v>
      </c>
      <c r="FJ271" s="1411">
        <f>IF(MONTH(C271)=5,FJ270*(IF(Summary!$E$70="no",(1+(Summary!$E$71*0.8)),1+HLOOKUP(YEAR(CALC!C271)-1,CCFMODEL!$I$127:$AF$128,2)*0.8)),FJ270)</f>
        <v>38.259740378934403</v>
      </c>
      <c r="FK271" s="832">
        <f t="shared" si="187"/>
        <v>781945.61989833554</v>
      </c>
      <c r="FL271" s="1412">
        <f>IF(MONTH(C271)=5,FL270*(IF(Summary!$E$70="no",(1+(Summary!$E$71*0.8)),1+HLOOKUP(YEAR(CALC!C271)-1,CCFMODEL!$I$127:$AF$128,2)*0.8)),+FL270)</f>
        <v>92.063013206968236</v>
      </c>
      <c r="FM271" s="1411">
        <f>IF(MONTH(C271)=5,FM270*(IF(Summary!$E$70="no",(1+(Summary!$E$71*0.8)),1+HLOOKUP(YEAR(CALC!C271)-1,CCFMODEL!$I$127:$AF$128,2)*0.8)),+FM270)</f>
        <v>43.938792361393126</v>
      </c>
      <c r="FN271" s="832">
        <f t="shared" si="188"/>
        <v>796829.99947386433</v>
      </c>
      <c r="FO271" s="194">
        <f t="shared" si="223"/>
        <v>1578775.6193721998</v>
      </c>
      <c r="FP271" s="263">
        <f t="shared" si="238"/>
        <v>10194.75</v>
      </c>
      <c r="FQ271" s="194">
        <f t="shared" si="238"/>
        <v>3058.4250000000002</v>
      </c>
      <c r="FR271" s="194">
        <f t="shared" si="238"/>
        <v>1773</v>
      </c>
      <c r="FS271" s="194">
        <f t="shared" si="238"/>
        <v>531.9</v>
      </c>
      <c r="FT271" s="194">
        <f t="shared" si="238"/>
        <v>1773</v>
      </c>
      <c r="FU271" s="194">
        <f t="shared" si="238"/>
        <v>531.9</v>
      </c>
      <c r="FV271" s="257">
        <f t="shared" si="238"/>
        <v>0</v>
      </c>
      <c r="FW271" s="189">
        <f t="shared" si="192"/>
        <v>0</v>
      </c>
      <c r="FX271" s="189">
        <f t="shared" si="193"/>
        <v>0</v>
      </c>
      <c r="FY271" s="189">
        <f t="shared" si="194"/>
        <v>0</v>
      </c>
      <c r="FZ271" s="258">
        <f t="shared" si="195"/>
        <v>0</v>
      </c>
      <c r="GA271" s="1294">
        <f>(SUM(FP271:FV271)+SUM(GU271:HB271)/(1-Summary!$O$25))*CY271/1000</f>
        <v>237689.28069889316</v>
      </c>
      <c r="GB271" s="1369">
        <f>IF($C271&lt;Summary!$M$81,+Summary!$O$81,VLOOKUP(C271,GasTable,19))</f>
        <v>3.9127989511282024</v>
      </c>
      <c r="GC271" s="1370">
        <f>IF(H271&lt;=Summary!$N$84,MIN(GA271,Summary!$O$75*(H271-G271+1)),0)</f>
        <v>0</v>
      </c>
      <c r="GD271" s="1371">
        <f>IF(C271&lt;Summary!$N$84,IF(Summary!$O$75*(H271-G271+1)*0.8&gt;GC271,1,0),0)</f>
        <v>0</v>
      </c>
      <c r="GE271" s="1372">
        <v>0</v>
      </c>
      <c r="GF271" s="1370">
        <f t="shared" si="224"/>
        <v>237689.28069889316</v>
      </c>
      <c r="GG271" s="1371">
        <f>GF271*(IF(Summary!$O$74=1,VLOOKUP($C271,GasTable,16)+Summary!$O$92+Summary!$O$93,VLOOKUP($C271,GasTable,19)+Summary!$O$92+Summary!$O$93))</f>
        <v>942413.9797374584</v>
      </c>
      <c r="GH271" s="1373">
        <v>6064.838374248714</v>
      </c>
      <c r="GI271" s="1466">
        <v>0</v>
      </c>
      <c r="GJ271" s="1374">
        <f t="shared" si="225"/>
        <v>948478.81811170711</v>
      </c>
      <c r="GK271" s="189">
        <f t="shared" si="196"/>
        <v>30062.012849999999</v>
      </c>
      <c r="GL271" s="266">
        <v>0.5220606821599999</v>
      </c>
      <c r="GM271" s="255">
        <f t="shared" si="197"/>
        <v>0</v>
      </c>
      <c r="GN271" s="189">
        <f>IF(SUM(GU271:HB271)=0,0,IF(Summary!$O$16="Yes",SUM(GX271:HB271),IF(Summary!$O$17="Yes",SUM(GY271:HB271),SUM(GU271:HB271))))</f>
        <v>12199.037849999999</v>
      </c>
      <c r="GO271" s="203">
        <v>4.4266184591564777</v>
      </c>
      <c r="GP271" s="258">
        <f t="shared" si="226"/>
        <v>54000.486130758545</v>
      </c>
      <c r="GQ271" s="189"/>
      <c r="GR271" s="189"/>
      <c r="GS271" s="189"/>
      <c r="GT271" s="189"/>
      <c r="GU271" s="268">
        <v>5902.7602500000003</v>
      </c>
      <c r="GV271" s="189">
        <v>1026.5670000000002</v>
      </c>
      <c r="GW271" s="189">
        <v>1026.5670000000002</v>
      </c>
      <c r="GX271" s="189"/>
      <c r="GY271" s="254">
        <v>3148.1388000000002</v>
      </c>
      <c r="GZ271" s="189">
        <v>547.50239999999997</v>
      </c>
      <c r="HA271" s="189">
        <v>547.50239999999997</v>
      </c>
      <c r="HB271" s="255"/>
      <c r="HC271" s="189">
        <v>12199.037849999999</v>
      </c>
      <c r="HD271" s="189"/>
      <c r="HE271" s="189">
        <v>20950.521524999996</v>
      </c>
      <c r="HF271" s="189">
        <v>545846.12240355264</v>
      </c>
      <c r="HG271" s="189"/>
      <c r="HH271" s="203">
        <v>44.010730226302861</v>
      </c>
      <c r="HI271" s="189">
        <v>922047.75093712611</v>
      </c>
      <c r="HJ271" s="268">
        <f t="shared" si="198"/>
        <v>0</v>
      </c>
      <c r="HK271" s="189">
        <f t="shared" si="199"/>
        <v>0</v>
      </c>
      <c r="HL271" s="189">
        <f t="shared" si="200"/>
        <v>0</v>
      </c>
      <c r="HM271" s="255">
        <f t="shared" si="201"/>
        <v>0</v>
      </c>
      <c r="HN271" s="189">
        <f t="shared" si="202"/>
        <v>0</v>
      </c>
      <c r="HO271" s="203">
        <f t="shared" si="227"/>
        <v>0</v>
      </c>
      <c r="HP271" s="258">
        <f t="shared" si="203"/>
        <v>0</v>
      </c>
      <c r="HQ271" s="203" t="s">
        <v>1103</v>
      </c>
      <c r="HR271" s="268">
        <f t="shared" si="241"/>
        <v>608961.22516995843</v>
      </c>
      <c r="HS271" s="1408">
        <f>IF(HT271=0,IF(OR(SUMIF(CURVES!$AU$6:$AU$283,$HQ271,CURVES!$BQ$6:$BQ$283)=0,COUNTIF(CURVES!$AU$6:$AU$283,$HQ271)=0),0,SUMIF(CURVES!$AU$6:$AU$283,$HQ271,CURVES!$BQ$6:$BQ$283)/COUNTIF(CURVES!$AU$6:$AU$283,$HQ271)),HT271/HR271)</f>
        <v>4.0257207229494361</v>
      </c>
      <c r="HT271" s="255">
        <f t="shared" si="242"/>
        <v>2451507.8236393793</v>
      </c>
      <c r="HU271" s="268">
        <f t="shared" si="243"/>
        <v>0</v>
      </c>
      <c r="HV271" s="1408" t="e">
        <f>IF(HW271=0,0,HW271/Summary!$O$79/HU271)</f>
        <v>#DIV/0!</v>
      </c>
      <c r="HW271" s="255">
        <f t="shared" si="244"/>
        <v>18278.529595273925</v>
      </c>
      <c r="HX271" s="1408">
        <f>IF(OR(SUMIF(CURVES!$AU$6:$AU$283,$HQ271,CURVES!$BQ$6:$BQ$283)=0,COUNTIF(CURVES!$AU$6:$AU$283,$HQ271)=0),0,SUMIF(CURVES!$AU$6:$AU$283,$HQ271,CURVES!$BQ$6:$BQ$283)/COUNTIF(CURVES!$AU$6:$AU$283,$HQ271))</f>
        <v>4.687783086371744</v>
      </c>
      <c r="HY271" s="1408">
        <f>IF(OR(SUMIF(CURVES!$AU$6:$AU$283,$HQ271,CURVES!$BR$6:$BR$283)=0,COUNTIF(CURVES!$AU$6:$AU$283,$HQ271)=0),0,SUMIF(CURVES!$AU$6:$AU$283,$HQ271,CURVES!$BR$6:$BR$283)/COUNTIF(CURVES!$AU$6:$AU$283,$HQ271))</f>
        <v>3.7072933502856866</v>
      </c>
      <c r="HZ271"/>
      <c r="IA271" s="203"/>
      <c r="IB271" s="203"/>
      <c r="IC271" s="203"/>
      <c r="ID271" s="203"/>
      <c r="IE271" s="203"/>
      <c r="IF271" s="203"/>
      <c r="IG271" s="203"/>
      <c r="IH271" s="203"/>
      <c r="II271" s="203"/>
      <c r="IJ271" s="203"/>
      <c r="IK271" s="203"/>
      <c r="IL271" s="821"/>
      <c r="IM271" s="820"/>
      <c r="IN271" s="820"/>
      <c r="IR271" s="223"/>
    </row>
    <row r="272" spans="1:252" ht="13.8" thickBot="1">
      <c r="A272" t="str">
        <f t="shared" si="204"/>
        <v>2021Q2</v>
      </c>
      <c r="B272">
        <f t="shared" si="205"/>
        <v>2021</v>
      </c>
      <c r="C272" s="49">
        <f t="shared" si="206"/>
        <v>44287</v>
      </c>
      <c r="D272" s="115">
        <f t="shared" si="207"/>
        <v>2021</v>
      </c>
      <c r="E272" s="10">
        <f t="shared" si="230"/>
        <v>4</v>
      </c>
      <c r="F272" s="248" t="str">
        <f t="shared" si="231"/>
        <v/>
      </c>
      <c r="G272" s="245">
        <v>44287</v>
      </c>
      <c r="H272" s="251">
        <v>44316</v>
      </c>
      <c r="I272" s="959">
        <f t="shared" si="228"/>
        <v>7.1499999999999994E-2</v>
      </c>
      <c r="J272" s="37">
        <f t="shared" si="208"/>
        <v>0.22192124138220953</v>
      </c>
      <c r="K272" s="1036"/>
      <c r="L272" s="37"/>
      <c r="M272" s="1004">
        <v>0</v>
      </c>
      <c r="N272" s="38">
        <f t="shared" si="246"/>
        <v>0</v>
      </c>
      <c r="O272" s="40">
        <f t="shared" si="246"/>
        <v>0</v>
      </c>
      <c r="P272" s="159">
        <f t="shared" si="234"/>
        <v>0</v>
      </c>
      <c r="Q272" s="38">
        <f t="shared" si="247"/>
        <v>0</v>
      </c>
      <c r="R272" s="40">
        <f t="shared" si="247"/>
        <v>0</v>
      </c>
      <c r="S272" s="38">
        <f t="shared" si="247"/>
        <v>0</v>
      </c>
      <c r="T272" s="38">
        <f t="shared" si="247"/>
        <v>0</v>
      </c>
      <c r="U272" s="38">
        <f t="shared" si="247"/>
        <v>0</v>
      </c>
      <c r="V272" s="159">
        <f t="shared" si="247"/>
        <v>0</v>
      </c>
      <c r="W272" s="38">
        <f t="shared" si="247"/>
        <v>0</v>
      </c>
      <c r="X272" s="39">
        <f t="shared" si="247"/>
        <v>0</v>
      </c>
      <c r="Y272" s="46">
        <v>0</v>
      </c>
      <c r="Z272" s="46">
        <v>0</v>
      </c>
      <c r="AA272" s="47">
        <v>0</v>
      </c>
      <c r="AB272" s="46">
        <v>0</v>
      </c>
      <c r="AC272" s="46">
        <v>0</v>
      </c>
      <c r="AD272" s="47">
        <v>0</v>
      </c>
      <c r="AE272" s="46">
        <v>0</v>
      </c>
      <c r="AF272" s="46">
        <v>0</v>
      </c>
      <c r="AG272" s="47">
        <v>0</v>
      </c>
      <c r="AH272" s="46">
        <v>0</v>
      </c>
      <c r="AI272" s="46">
        <v>0</v>
      </c>
      <c r="AJ272" s="47">
        <v>0</v>
      </c>
      <c r="AK272" s="46">
        <v>0</v>
      </c>
      <c r="AL272" s="46">
        <v>0</v>
      </c>
      <c r="AM272" s="47">
        <v>0</v>
      </c>
      <c r="AN272" s="46">
        <v>0</v>
      </c>
      <c r="AO272" s="46">
        <v>0</v>
      </c>
      <c r="AP272" s="47">
        <v>0</v>
      </c>
      <c r="AQ272" s="46">
        <v>0</v>
      </c>
      <c r="AR272" s="46">
        <v>0</v>
      </c>
      <c r="AS272" s="47">
        <v>0</v>
      </c>
      <c r="AT272" s="46">
        <v>0</v>
      </c>
      <c r="AU272" s="46">
        <v>0</v>
      </c>
      <c r="AV272" s="46">
        <v>0</v>
      </c>
      <c r="AW272" s="1545">
        <v>0</v>
      </c>
      <c r="AX272" s="10">
        <f t="shared" si="232"/>
        <v>22</v>
      </c>
      <c r="AY272" s="42">
        <f>IF(AND($E272=MONTH(Summary!$E$24),$D272=YEAR(Summary!$E$24)),Summary!$E$25,1)*IF(G272="",0,INT((H272-MOD(H272,7)-G272)/7)+1-IF(BA272,IF(WEEKDAY(F272)=7,1,0),0))</f>
        <v>4</v>
      </c>
      <c r="AZ272" s="42">
        <f>IF(AND($E272=MONTH(Summary!$E$24),$D272=YEAR(Summary!$E$24)),Summary!$E$25,1)*IF(G272="",0,INT((H272-MOD(H272-1,7)-G272)/7)+1-IF(BA272,IF(WEEKDAY(F272)=1,1,0),0))</f>
        <v>4</v>
      </c>
      <c r="BA272" s="42">
        <v>0</v>
      </c>
      <c r="BB272" s="10">
        <f>IF(AND($E272=MONTH(Summary!$E$24),$D272=YEAR(Summary!$E$24)),Summary!$E$25,1)*IF(G272="",0,H272-G272+1)</f>
        <v>30</v>
      </c>
      <c r="BC272" s="914">
        <f>Summary!$E$19</f>
        <v>1.4999999999999999E-2</v>
      </c>
      <c r="BD272" s="113">
        <v>15602.4</v>
      </c>
      <c r="BE272" s="171">
        <v>2836.8</v>
      </c>
      <c r="BF272" s="171">
        <v>2836.8</v>
      </c>
      <c r="BG272" s="174"/>
      <c r="BH272" s="1198">
        <v>1</v>
      </c>
      <c r="BI272" s="1198">
        <v>1</v>
      </c>
      <c r="BJ272" s="1198">
        <v>1</v>
      </c>
      <c r="BK272" s="1198">
        <v>1</v>
      </c>
      <c r="BL272" s="95">
        <v>3120.48</v>
      </c>
      <c r="BM272" s="171">
        <v>567.36</v>
      </c>
      <c r="BN272" s="171">
        <v>567.36</v>
      </c>
      <c r="BO272" s="174"/>
      <c r="BP272" s="1198">
        <v>1</v>
      </c>
      <c r="BQ272" s="1199">
        <v>1</v>
      </c>
      <c r="BR272" s="1199">
        <v>1</v>
      </c>
      <c r="BS272" s="1200">
        <v>1</v>
      </c>
      <c r="BT272" s="94">
        <f t="shared" si="209"/>
        <v>21276</v>
      </c>
      <c r="BU272" s="233">
        <f t="shared" si="210"/>
        <v>21276</v>
      </c>
      <c r="BV272" s="92">
        <f t="shared" si="211"/>
        <v>4255.2</v>
      </c>
      <c r="BW272" s="233">
        <f t="shared" si="212"/>
        <v>4255.2</v>
      </c>
      <c r="BX272" s="88">
        <v>21.295003422313485</v>
      </c>
      <c r="BY272" s="90">
        <v>0</v>
      </c>
      <c r="BZ272" s="88">
        <v>0</v>
      </c>
      <c r="CA272" s="88">
        <v>0</v>
      </c>
      <c r="CB272" s="88">
        <v>0</v>
      </c>
      <c r="CC272" s="88">
        <v>0</v>
      </c>
      <c r="CD272" s="88">
        <v>0</v>
      </c>
      <c r="CE272" s="100">
        <v>0</v>
      </c>
      <c r="CF272" s="88">
        <v>0</v>
      </c>
      <c r="CG272" s="88">
        <v>0</v>
      </c>
      <c r="CH272" s="88">
        <v>0</v>
      </c>
      <c r="CI272" s="88">
        <v>0</v>
      </c>
      <c r="CJ272" s="228">
        <v>0</v>
      </c>
      <c r="CK272" s="88">
        <v>0</v>
      </c>
      <c r="CL272" s="88">
        <v>0</v>
      </c>
      <c r="CM272" s="88">
        <v>0</v>
      </c>
      <c r="CN272" s="88">
        <v>0</v>
      </c>
      <c r="CO272" s="88">
        <v>0</v>
      </c>
      <c r="CP272" s="88">
        <v>0</v>
      </c>
      <c r="CQ272" s="229">
        <v>0</v>
      </c>
      <c r="CR272" s="91">
        <v>0</v>
      </c>
      <c r="CS272" s="91">
        <v>0</v>
      </c>
      <c r="CT272" s="91">
        <v>0</v>
      </c>
      <c r="CU272" s="91">
        <v>0</v>
      </c>
      <c r="CV272" s="91">
        <v>0</v>
      </c>
      <c r="CW272" s="91">
        <v>0</v>
      </c>
      <c r="CX272" s="225">
        <v>0</v>
      </c>
      <c r="CY272" s="1265">
        <v>7793.9814400000005</v>
      </c>
      <c r="CZ272" s="90">
        <v>0</v>
      </c>
      <c r="DA272" s="88">
        <v>0</v>
      </c>
      <c r="DB272" s="88">
        <v>0</v>
      </c>
      <c r="DC272" s="88">
        <v>0</v>
      </c>
      <c r="DD272" s="88">
        <v>0</v>
      </c>
      <c r="DE272" s="152">
        <v>0</v>
      </c>
      <c r="DF272" s="230">
        <v>0</v>
      </c>
      <c r="DG272" s="38">
        <v>0</v>
      </c>
      <c r="DH272" s="1237">
        <v>0</v>
      </c>
      <c r="DI272" s="956">
        <v>0</v>
      </c>
      <c r="DJ272" s="956">
        <v>0</v>
      </c>
      <c r="DK272" s="956">
        <v>0</v>
      </c>
      <c r="DL272" s="152">
        <v>0</v>
      </c>
      <c r="DM272" s="160">
        <v>0</v>
      </c>
      <c r="DN272" s="160">
        <v>0</v>
      </c>
      <c r="DO272" s="160">
        <v>0</v>
      </c>
      <c r="DP272" s="160">
        <v>0</v>
      </c>
      <c r="DQ272" s="160">
        <v>0</v>
      </c>
      <c r="DR272" s="230">
        <v>0</v>
      </c>
      <c r="DS272" s="88">
        <v>0</v>
      </c>
      <c r="DT272" s="88">
        <v>0</v>
      </c>
      <c r="DU272" s="88">
        <v>0</v>
      </c>
      <c r="DV272" s="88">
        <v>0</v>
      </c>
      <c r="DW272" s="88">
        <v>0</v>
      </c>
      <c r="DX272" s="88">
        <v>0</v>
      </c>
      <c r="DY272" s="88">
        <v>0</v>
      </c>
      <c r="DZ272" s="88">
        <v>0</v>
      </c>
      <c r="EA272" s="88">
        <v>0</v>
      </c>
      <c r="EB272" s="152">
        <v>0</v>
      </c>
      <c r="EC272" s="52">
        <f t="shared" si="213"/>
        <v>0</v>
      </c>
      <c r="ED272" s="52">
        <f t="shared" si="213"/>
        <v>0</v>
      </c>
      <c r="EE272" s="52">
        <f t="shared" si="213"/>
        <v>0</v>
      </c>
      <c r="EF272" s="52">
        <f t="shared" si="186"/>
        <v>0</v>
      </c>
      <c r="EG272" s="52">
        <f t="shared" si="214"/>
        <v>0</v>
      </c>
      <c r="EH272" s="238">
        <v>0</v>
      </c>
      <c r="EI272" s="211">
        <v>0</v>
      </c>
      <c r="EJ272" s="211">
        <v>0</v>
      </c>
      <c r="EK272" s="211">
        <v>0</v>
      </c>
      <c r="EL272" s="217">
        <f>IF(C272&gt;=Summary!$E$26,MAX(0,SUM(EH272:EK272)),0)</f>
        <v>0</v>
      </c>
      <c r="EM272" s="52">
        <f>IF(C272&gt;=Summary!$E$26,DX272*BL272,0)</f>
        <v>0</v>
      </c>
      <c r="EN272" s="52">
        <f>IF(C272&gt;=Summary!$E$26,DY272*BM272,0)</f>
        <v>0</v>
      </c>
      <c r="EO272" s="52">
        <f>IF(C272&gt;=Summary!$E$26,DZ272*BN272,0)</f>
        <v>0</v>
      </c>
      <c r="EP272" s="52">
        <f>IF(C272&gt;=Summary!$E$26,EA272*BO272,0)</f>
        <v>0</v>
      </c>
      <c r="EQ272" s="52">
        <f>IF(C272&gt;=Summary!$E$26,DX272*BL272+DY272*BM272+DZ272*BN272+EA272*BO272,0)</f>
        <v>0</v>
      </c>
      <c r="ER272" s="826">
        <v>0</v>
      </c>
      <c r="ES272" s="278">
        <v>0</v>
      </c>
      <c r="ET272" s="278">
        <v>0</v>
      </c>
      <c r="EU272" s="278">
        <v>0</v>
      </c>
      <c r="EV272" s="212">
        <f>IF(C272&gt;=Summary!$E$26,MAX(0,SUM(ER272:EU272)),0)</f>
        <v>0</v>
      </c>
      <c r="EW272" s="52"/>
      <c r="EX272" s="1049">
        <f t="shared" si="215"/>
        <v>0</v>
      </c>
      <c r="EY272" s="1045" t="str">
        <f t="shared" si="216"/>
        <v/>
      </c>
      <c r="EZ272" s="1684" t="s">
        <v>525</v>
      </c>
      <c r="FA272" s="1046">
        <f t="shared" si="229"/>
        <v>45</v>
      </c>
      <c r="FB272" s="256">
        <f t="shared" si="217"/>
        <v>9751.5</v>
      </c>
      <c r="FC272" s="194">
        <f t="shared" si="218"/>
        <v>2925.45</v>
      </c>
      <c r="FD272" s="194">
        <f t="shared" si="219"/>
        <v>1773</v>
      </c>
      <c r="FE272" s="194">
        <f t="shared" si="220"/>
        <v>531.9</v>
      </c>
      <c r="FF272" s="194">
        <f t="shared" si="221"/>
        <v>1773</v>
      </c>
      <c r="FG272" s="194">
        <f t="shared" si="222"/>
        <v>531.9</v>
      </c>
      <c r="FH272" s="257">
        <f>IF(EZ272="No",IF((OR(MONTH(C272)=5,MONTH(C272)=6,MONTH(C272)=7,MONTH(C272)=8,MONTH(C272)=9)),Summary!$O$15*12*(AX272+AY272+AZ272+BA272)*(1-$BC272),Summary!$O$15*13*(AX272+AY272+AZ272+BA272)*(1-$BC272)+IF(Summary!$O$16="Yes",(CALC!FA272+Summary!$O$15)*6*(AX272+AY272+AZ272+BA272)*(1-$BC272),0)),0)</f>
        <v>0</v>
      </c>
      <c r="FI272" s="1412">
        <f>IF(MONTH(C272)=5,FI271*(IF(Summary!$E$70="no",(1+(Summary!$E$71*0.8)),1+HLOOKUP(YEAR(C272)-1,CCFMODEL!$I$127:$AF$128,2)*0.8)),+FI271)</f>
        <v>43.774657911033053</v>
      </c>
      <c r="FJ272" s="1411">
        <f>IF(MONTH(C272)=5,FJ271*(IF(Summary!$E$70="no",(1+(Summary!$E$71*0.8)),1+HLOOKUP(YEAR(CALC!C272)-1,CCFMODEL!$I$127:$AF$128,2)*0.8)),FJ271)</f>
        <v>38.259740378934403</v>
      </c>
      <c r="FK272" s="832">
        <f t="shared" si="187"/>
        <v>756721.56764355057</v>
      </c>
      <c r="FL272" s="1412">
        <f>IF(MONTH(C272)=5,FL271*(IF(Summary!$E$70="no",(1+(Summary!$E$71*0.8)),1+HLOOKUP(YEAR(CALC!C272)-1,CCFMODEL!$I$127:$AF$128,2)*0.8)),+FL271)</f>
        <v>92.063013206968236</v>
      </c>
      <c r="FM272" s="1411">
        <f>IF(MONTH(C272)=5,FM271*(IF(Summary!$E$70="no",(1+(Summary!$E$71*0.8)),1+HLOOKUP(YEAR(CALC!C272)-1,CCFMODEL!$I$127:$AF$128,2)*0.8)),+FM271)</f>
        <v>43.938792361393126</v>
      </c>
      <c r="FN272" s="832">
        <f t="shared" si="188"/>
        <v>771125.80594244937</v>
      </c>
      <c r="FO272" s="194">
        <f t="shared" si="223"/>
        <v>1527847.3735859999</v>
      </c>
      <c r="FP272" s="263">
        <f t="shared" si="238"/>
        <v>9751.5</v>
      </c>
      <c r="FQ272" s="194">
        <f t="shared" si="238"/>
        <v>2925.45</v>
      </c>
      <c r="FR272" s="194">
        <f t="shared" si="238"/>
        <v>1773</v>
      </c>
      <c r="FS272" s="194">
        <f t="shared" si="238"/>
        <v>531.9</v>
      </c>
      <c r="FT272" s="194">
        <f t="shared" si="238"/>
        <v>1773</v>
      </c>
      <c r="FU272" s="194">
        <f t="shared" si="238"/>
        <v>531.9</v>
      </c>
      <c r="FV272" s="257">
        <f t="shared" si="238"/>
        <v>0</v>
      </c>
      <c r="FW272" s="189">
        <f t="shared" si="192"/>
        <v>0</v>
      </c>
      <c r="FX272" s="189">
        <f t="shared" si="193"/>
        <v>0</v>
      </c>
      <c r="FY272" s="189">
        <f t="shared" si="194"/>
        <v>0</v>
      </c>
      <c r="FZ272" s="258">
        <f t="shared" si="195"/>
        <v>0</v>
      </c>
      <c r="GA272" s="1294">
        <f>(SUM(FP272:FV272)+SUM(GU272:HB272)/(1-Summary!$O$25))*CY272/1000</f>
        <v>230081.83940044799</v>
      </c>
      <c r="GB272" s="1369">
        <f>IF($C272&lt;Summary!$M$81,+Summary!$O$81,VLOOKUP(C272,GasTable,19))</f>
        <v>3.7954121893553179</v>
      </c>
      <c r="GC272" s="1370">
        <f>IF(H272&lt;=Summary!$N$84,MIN(GA272,Summary!$O$75*(H272-G272+1)),0)</f>
        <v>0</v>
      </c>
      <c r="GD272" s="1371">
        <f>IF(C272&lt;Summary!$N$84,IF(Summary!$O$75*(H272-G272+1)*0.8&gt;GC272,1,0),0)</f>
        <v>0</v>
      </c>
      <c r="GE272" s="1372">
        <v>0</v>
      </c>
      <c r="GF272" s="1370">
        <f t="shared" si="224"/>
        <v>230081.83940044799</v>
      </c>
      <c r="GG272" s="1371">
        <f>GF272*(IF(Summary!$O$74=1,VLOOKUP($C272,GasTable,16)+Summary!$O$92+Summary!$O$93,VLOOKUP($C272,GasTable,19)+Summary!$O$92+Summary!$O$93))</f>
        <v>885242.6816425164</v>
      </c>
      <c r="GH272" s="1373">
        <v>5693.1182840329766</v>
      </c>
      <c r="GI272" s="1466">
        <v>0</v>
      </c>
      <c r="GJ272" s="1374">
        <f t="shared" si="225"/>
        <v>890935.79992654943</v>
      </c>
      <c r="GK272" s="189">
        <f t="shared" si="196"/>
        <v>29092.270500000002</v>
      </c>
      <c r="GL272" s="266">
        <v>0.52219675648000008</v>
      </c>
      <c r="GM272" s="255">
        <f t="shared" si="197"/>
        <v>0</v>
      </c>
      <c r="GN272" s="189">
        <f>IF(SUM(GU272:HB272)=0,0,IF(Summary!$O$16="Yes",SUM(GX272:HB272),IF(Summary!$O$17="Yes",SUM(GY272:HB272),SUM(GU272:HB272))))</f>
        <v>11805.520499999999</v>
      </c>
      <c r="GO272" s="203">
        <v>4.4266184591564777</v>
      </c>
      <c r="GP272" s="258">
        <f t="shared" si="226"/>
        <v>52258.534965250205</v>
      </c>
      <c r="GQ272" s="189"/>
      <c r="GR272" s="189"/>
      <c r="GS272" s="189"/>
      <c r="GT272" s="189"/>
      <c r="GU272" s="268">
        <v>5646.1184999999996</v>
      </c>
      <c r="GV272" s="189">
        <v>1026.5670000000002</v>
      </c>
      <c r="GW272" s="189">
        <v>1026.5670000000002</v>
      </c>
      <c r="GX272" s="189"/>
      <c r="GY272" s="254">
        <v>3011.2631999999999</v>
      </c>
      <c r="GZ272" s="189">
        <v>547.50239999999997</v>
      </c>
      <c r="HA272" s="189">
        <v>547.50239999999997</v>
      </c>
      <c r="HB272" s="255"/>
      <c r="HC272" s="189">
        <v>11805.520499999999</v>
      </c>
      <c r="HD272" s="189"/>
      <c r="HE272" s="189">
        <v>20274.698249999998</v>
      </c>
      <c r="HF272" s="189">
        <v>522099.01238198124</v>
      </c>
      <c r="HG272" s="189"/>
      <c r="HH272" s="203">
        <v>43.425860087548593</v>
      </c>
      <c r="HI272" s="189">
        <v>880446.20952176617</v>
      </c>
      <c r="HJ272" s="268">
        <f t="shared" si="198"/>
        <v>0</v>
      </c>
      <c r="HK272" s="189">
        <f t="shared" si="199"/>
        <v>0</v>
      </c>
      <c r="HL272" s="189">
        <f t="shared" si="200"/>
        <v>0</v>
      </c>
      <c r="HM272" s="255">
        <f t="shared" si="201"/>
        <v>0</v>
      </c>
      <c r="HN272" s="189">
        <f t="shared" si="202"/>
        <v>0</v>
      </c>
      <c r="HO272" s="203">
        <f t="shared" si="227"/>
        <v>0</v>
      </c>
      <c r="HP272" s="258">
        <f t="shared" si="203"/>
        <v>0</v>
      </c>
      <c r="HQ272" s="203" t="s">
        <v>1104</v>
      </c>
      <c r="HR272" s="268">
        <f t="shared" si="241"/>
        <v>704664.99974668317</v>
      </c>
      <c r="HS272" s="1408">
        <f>IF(HT272=0,IF(OR(SUMIF(CURVES!$AU$6:$AU$283,$HQ272,CURVES!$BQ$6:$BQ$283)=0,COUNTIF(CURVES!$AU$6:$AU$283,$HQ272)=0),0,SUMIF(CURVES!$AU$6:$AU$283,$HQ272,CURVES!$BQ$6:$BQ$283)/COUNTIF(CURVES!$AU$6:$AU$283,$HQ272)),HT272/HR272)</f>
        <v>4.5587027448318329</v>
      </c>
      <c r="HT272" s="255">
        <f t="shared" si="242"/>
        <v>3212358.2685321271</v>
      </c>
      <c r="HU272" s="268">
        <f t="shared" si="243"/>
        <v>0</v>
      </c>
      <c r="HV272" s="1408" t="e">
        <f>IF(HW272=0,0,HW272/Summary!$O$79/HU272)</f>
        <v>#DIV/0!</v>
      </c>
      <c r="HW272" s="255">
        <f t="shared" si="244"/>
        <v>20730.221827014517</v>
      </c>
      <c r="HX272" s="1408">
        <f>IF(OR(SUMIF(CURVES!$AU$6:$AU$283,$HQ272,CURVES!$BQ$6:$BQ$283)=0,COUNTIF(CURVES!$AU$6:$AU$283,$HQ272)=0),0,SUMIF(CURVES!$AU$6:$AU$283,$HQ272,CURVES!$BQ$6:$BQ$283)/COUNTIF(CURVES!$AU$6:$AU$283,$HQ272))</f>
        <v>5.2444518292275992</v>
      </c>
      <c r="HY272" s="1408">
        <f>IF(OR(SUMIF(CURVES!$AU$6:$AU$283,$HQ272,CURVES!$BR$6:$BR$283)=0,COUNTIF(CURVES!$AU$6:$AU$283,$HQ272)=0),0,SUMIF(CURVES!$AU$6:$AU$283,$HQ272,CURVES!$BR$6:$BR$283)/COUNTIF(CURVES!$AU$6:$AU$283,$HQ272))</f>
        <v>4.0126309416005199</v>
      </c>
      <c r="HZ272"/>
      <c r="IA272" s="203"/>
      <c r="IB272" s="203"/>
      <c r="IC272" s="203"/>
      <c r="ID272" s="203"/>
      <c r="IE272" s="203"/>
      <c r="IF272" s="203"/>
      <c r="IG272" s="203"/>
      <c r="IH272" s="203"/>
      <c r="II272" s="203"/>
      <c r="IJ272" s="203"/>
      <c r="IK272" s="203"/>
      <c r="IL272" s="821"/>
      <c r="IM272" s="820"/>
      <c r="IN272" s="820"/>
      <c r="IR272" s="223"/>
    </row>
    <row r="273" spans="1:252" ht="13.8" thickBot="1">
      <c r="A273" t="str">
        <f t="shared" si="204"/>
        <v>2021Q2</v>
      </c>
      <c r="B273">
        <f t="shared" si="205"/>
        <v>2021</v>
      </c>
      <c r="C273" s="49">
        <f t="shared" si="206"/>
        <v>44317</v>
      </c>
      <c r="D273" s="115">
        <f t="shared" si="207"/>
        <v>2021</v>
      </c>
      <c r="E273" s="10">
        <f t="shared" si="230"/>
        <v>5</v>
      </c>
      <c r="F273" s="248">
        <f t="shared" si="231"/>
        <v>44347</v>
      </c>
      <c r="G273" s="245">
        <v>44317</v>
      </c>
      <c r="H273" s="251">
        <v>44347</v>
      </c>
      <c r="I273" s="959">
        <f t="shared" si="228"/>
        <v>7.1499999999999994E-2</v>
      </c>
      <c r="J273" s="37">
        <f t="shared" si="208"/>
        <v>0.22060197501298512</v>
      </c>
      <c r="K273" s="1036"/>
      <c r="L273" s="37"/>
      <c r="M273" s="1004">
        <v>0</v>
      </c>
      <c r="N273" s="38">
        <f t="shared" si="246"/>
        <v>0</v>
      </c>
      <c r="O273" s="40">
        <f t="shared" si="246"/>
        <v>0</v>
      </c>
      <c r="P273" s="159">
        <f t="shared" si="234"/>
        <v>0</v>
      </c>
      <c r="Q273" s="38">
        <f t="shared" si="247"/>
        <v>0</v>
      </c>
      <c r="R273" s="40">
        <f t="shared" si="247"/>
        <v>0</v>
      </c>
      <c r="S273" s="38">
        <f t="shared" si="247"/>
        <v>0</v>
      </c>
      <c r="T273" s="38">
        <f t="shared" si="247"/>
        <v>0</v>
      </c>
      <c r="U273" s="38">
        <f t="shared" si="247"/>
        <v>0</v>
      </c>
      <c r="V273" s="159">
        <f t="shared" si="247"/>
        <v>0</v>
      </c>
      <c r="W273" s="38">
        <f t="shared" si="247"/>
        <v>0</v>
      </c>
      <c r="X273" s="39">
        <f t="shared" si="247"/>
        <v>0</v>
      </c>
      <c r="Y273" s="46">
        <v>0</v>
      </c>
      <c r="Z273" s="46">
        <v>0</v>
      </c>
      <c r="AA273" s="47">
        <v>0</v>
      </c>
      <c r="AB273" s="46">
        <v>0</v>
      </c>
      <c r="AC273" s="46">
        <v>0</v>
      </c>
      <c r="AD273" s="47">
        <v>0</v>
      </c>
      <c r="AE273" s="46">
        <v>0</v>
      </c>
      <c r="AF273" s="46">
        <v>0</v>
      </c>
      <c r="AG273" s="47">
        <v>0</v>
      </c>
      <c r="AH273" s="46">
        <v>0</v>
      </c>
      <c r="AI273" s="46">
        <v>0</v>
      </c>
      <c r="AJ273" s="47">
        <v>0</v>
      </c>
      <c r="AK273" s="46">
        <v>0</v>
      </c>
      <c r="AL273" s="46">
        <v>0</v>
      </c>
      <c r="AM273" s="47">
        <v>0</v>
      </c>
      <c r="AN273" s="46">
        <v>0</v>
      </c>
      <c r="AO273" s="46">
        <v>0</v>
      </c>
      <c r="AP273" s="47">
        <v>0</v>
      </c>
      <c r="AQ273" s="46">
        <v>0</v>
      </c>
      <c r="AR273" s="46">
        <v>0</v>
      </c>
      <c r="AS273" s="47">
        <v>0</v>
      </c>
      <c r="AT273" s="46">
        <v>0</v>
      </c>
      <c r="AU273" s="46">
        <v>0</v>
      </c>
      <c r="AV273" s="46">
        <v>0</v>
      </c>
      <c r="AW273" s="1545">
        <v>0</v>
      </c>
      <c r="AX273" s="10">
        <f t="shared" si="232"/>
        <v>20</v>
      </c>
      <c r="AY273" s="42">
        <f>IF(AND($E273=MONTH(Summary!$E$24),$D273=YEAR(Summary!$E$24)),Summary!$E$25,1)*IF(G273="",0,INT((H273-MOD(H273,7)-G273)/7)+1-IF(BA273,IF(WEEKDAY(F273)=7,1,0),0))</f>
        <v>5</v>
      </c>
      <c r="AZ273" s="42">
        <f>IF(AND($E273=MONTH(Summary!$E$24),$D273=YEAR(Summary!$E$24)),Summary!$E$25,1)*IF(G273="",0,INT((H273-MOD(H273-1,7)-G273)/7)+1-IF(BA273,IF(WEEKDAY(F273)=1,1,0),0))</f>
        <v>5</v>
      </c>
      <c r="BA273" s="42">
        <v>1</v>
      </c>
      <c r="BB273" s="10">
        <f>IF(AND($E273=MONTH(Summary!$E$24),$D273=YEAR(Summary!$E$24)),Summary!$E$25,1)*IF(G273="",0,H273-G273+1)</f>
        <v>31</v>
      </c>
      <c r="BC273" s="914">
        <f>Summary!$E$19</f>
        <v>1.4999999999999999E-2</v>
      </c>
      <c r="BD273" s="113">
        <v>14184</v>
      </c>
      <c r="BE273" s="171">
        <v>3546</v>
      </c>
      <c r="BF273" s="171">
        <v>4255.2</v>
      </c>
      <c r="BG273" s="174"/>
      <c r="BH273" s="1198">
        <v>1</v>
      </c>
      <c r="BI273" s="1198">
        <v>1</v>
      </c>
      <c r="BJ273" s="1198">
        <v>1</v>
      </c>
      <c r="BK273" s="1198">
        <v>1</v>
      </c>
      <c r="BL273" s="95">
        <v>2836.8</v>
      </c>
      <c r="BM273" s="171">
        <v>709.2</v>
      </c>
      <c r="BN273" s="171">
        <v>851.04</v>
      </c>
      <c r="BO273" s="174"/>
      <c r="BP273" s="1198">
        <v>1</v>
      </c>
      <c r="BQ273" s="1199">
        <v>1</v>
      </c>
      <c r="BR273" s="1199">
        <v>1</v>
      </c>
      <c r="BS273" s="1200">
        <v>1</v>
      </c>
      <c r="BT273" s="94">
        <f t="shared" si="209"/>
        <v>21985.200000000001</v>
      </c>
      <c r="BU273" s="233">
        <f t="shared" si="210"/>
        <v>21985.200000000001</v>
      </c>
      <c r="BV273" s="92">
        <f t="shared" si="211"/>
        <v>4397.04</v>
      </c>
      <c r="BW273" s="233">
        <f t="shared" si="212"/>
        <v>4397.04</v>
      </c>
      <c r="BX273" s="88">
        <v>21.377138945927445</v>
      </c>
      <c r="BY273" s="90">
        <v>0</v>
      </c>
      <c r="BZ273" s="88">
        <v>0</v>
      </c>
      <c r="CA273" s="88">
        <v>0</v>
      </c>
      <c r="CB273" s="88">
        <v>0</v>
      </c>
      <c r="CC273" s="88">
        <v>0</v>
      </c>
      <c r="CD273" s="88">
        <v>0</v>
      </c>
      <c r="CE273" s="100">
        <v>0</v>
      </c>
      <c r="CF273" s="88">
        <v>0</v>
      </c>
      <c r="CG273" s="88">
        <v>0</v>
      </c>
      <c r="CH273" s="88">
        <v>0</v>
      </c>
      <c r="CI273" s="88">
        <v>0</v>
      </c>
      <c r="CJ273" s="228">
        <v>0</v>
      </c>
      <c r="CK273" s="88">
        <v>0</v>
      </c>
      <c r="CL273" s="88">
        <v>0</v>
      </c>
      <c r="CM273" s="88">
        <v>0</v>
      </c>
      <c r="CN273" s="88">
        <v>0</v>
      </c>
      <c r="CO273" s="88">
        <v>0</v>
      </c>
      <c r="CP273" s="88">
        <v>0</v>
      </c>
      <c r="CQ273" s="229">
        <v>0</v>
      </c>
      <c r="CR273" s="91">
        <v>0</v>
      </c>
      <c r="CS273" s="91">
        <v>0</v>
      </c>
      <c r="CT273" s="91">
        <v>0</v>
      </c>
      <c r="CU273" s="91">
        <v>0</v>
      </c>
      <c r="CV273" s="91">
        <v>0</v>
      </c>
      <c r="CW273" s="91">
        <v>0</v>
      </c>
      <c r="CX273" s="225">
        <v>0</v>
      </c>
      <c r="CY273" s="1265">
        <v>7796.0124000000005</v>
      </c>
      <c r="CZ273" s="90">
        <v>0</v>
      </c>
      <c r="DA273" s="88">
        <v>0</v>
      </c>
      <c r="DB273" s="88">
        <v>0</v>
      </c>
      <c r="DC273" s="88">
        <v>0</v>
      </c>
      <c r="DD273" s="88">
        <v>0</v>
      </c>
      <c r="DE273" s="152">
        <v>0</v>
      </c>
      <c r="DF273" s="230">
        <v>0</v>
      </c>
      <c r="DG273" s="38">
        <v>0</v>
      </c>
      <c r="DH273" s="1237">
        <v>0</v>
      </c>
      <c r="DI273" s="956">
        <v>0</v>
      </c>
      <c r="DJ273" s="956">
        <v>0</v>
      </c>
      <c r="DK273" s="956">
        <v>0</v>
      </c>
      <c r="DL273" s="152">
        <v>0</v>
      </c>
      <c r="DM273" s="160">
        <v>0</v>
      </c>
      <c r="DN273" s="160">
        <v>0</v>
      </c>
      <c r="DO273" s="160">
        <v>0</v>
      </c>
      <c r="DP273" s="160">
        <v>0</v>
      </c>
      <c r="DQ273" s="160">
        <v>0</v>
      </c>
      <c r="DR273" s="230">
        <v>0</v>
      </c>
      <c r="DS273" s="88">
        <v>0</v>
      </c>
      <c r="DT273" s="88">
        <v>0</v>
      </c>
      <c r="DU273" s="88">
        <v>0</v>
      </c>
      <c r="DV273" s="88">
        <v>0</v>
      </c>
      <c r="DW273" s="88">
        <v>0</v>
      </c>
      <c r="DX273" s="88">
        <v>0</v>
      </c>
      <c r="DY273" s="88">
        <v>0</v>
      </c>
      <c r="DZ273" s="88">
        <v>0</v>
      </c>
      <c r="EA273" s="88">
        <v>0</v>
      </c>
      <c r="EB273" s="152">
        <v>0</v>
      </c>
      <c r="EC273" s="52">
        <f t="shared" si="213"/>
        <v>0</v>
      </c>
      <c r="ED273" s="52">
        <f t="shared" si="213"/>
        <v>0</v>
      </c>
      <c r="EE273" s="52">
        <f t="shared" si="213"/>
        <v>0</v>
      </c>
      <c r="EF273" s="52">
        <f t="shared" si="213"/>
        <v>0</v>
      </c>
      <c r="EG273" s="52">
        <f t="shared" si="214"/>
        <v>0</v>
      </c>
      <c r="EH273" s="238">
        <v>0</v>
      </c>
      <c r="EI273" s="211">
        <v>0</v>
      </c>
      <c r="EJ273" s="211">
        <v>0</v>
      </c>
      <c r="EK273" s="211">
        <v>0</v>
      </c>
      <c r="EL273" s="217">
        <f>IF(C273&gt;=Summary!$E$26,MAX(0,SUM(EH273:EK273)),0)</f>
        <v>0</v>
      </c>
      <c r="EM273" s="52">
        <f>IF(C273&gt;=Summary!$E$26,DX273*BL273,0)</f>
        <v>0</v>
      </c>
      <c r="EN273" s="52">
        <f>IF(C273&gt;=Summary!$E$26,DY273*BM273,0)</f>
        <v>0</v>
      </c>
      <c r="EO273" s="52">
        <f>IF(C273&gt;=Summary!$E$26,DZ273*BN273,0)</f>
        <v>0</v>
      </c>
      <c r="EP273" s="52">
        <f>IF(C273&gt;=Summary!$E$26,EA273*BO273,0)</f>
        <v>0</v>
      </c>
      <c r="EQ273" s="52">
        <f>IF(C273&gt;=Summary!$E$26,DX273*BL273+DY273*BM273+DZ273*BN273+EA273*BO273,0)</f>
        <v>0</v>
      </c>
      <c r="ER273" s="826">
        <v>0</v>
      </c>
      <c r="ES273" s="278">
        <v>0</v>
      </c>
      <c r="ET273" s="278">
        <v>0</v>
      </c>
      <c r="EU273" s="278">
        <v>0</v>
      </c>
      <c r="EV273" s="212">
        <f>IF(C273&gt;=Summary!$E$26,MAX(0,SUM(ER273:EU273)),0)</f>
        <v>0</v>
      </c>
      <c r="EW273" s="52"/>
      <c r="EX273" s="1049">
        <f t="shared" si="215"/>
        <v>0</v>
      </c>
      <c r="EY273" s="1045" t="str">
        <f t="shared" si="216"/>
        <v/>
      </c>
      <c r="EZ273" s="1684" t="s">
        <v>525</v>
      </c>
      <c r="FA273" s="1046">
        <f t="shared" si="229"/>
        <v>45</v>
      </c>
      <c r="FB273" s="256">
        <f t="shared" si="217"/>
        <v>10638</v>
      </c>
      <c r="FC273" s="194">
        <f t="shared" si="218"/>
        <v>0</v>
      </c>
      <c r="FD273" s="194">
        <f t="shared" si="219"/>
        <v>2659.5</v>
      </c>
      <c r="FE273" s="194">
        <f t="shared" si="220"/>
        <v>0</v>
      </c>
      <c r="FF273" s="194">
        <f t="shared" si="221"/>
        <v>3191.4</v>
      </c>
      <c r="FG273" s="194">
        <f t="shared" si="222"/>
        <v>0</v>
      </c>
      <c r="FH273" s="257">
        <f>IF(EZ273="No",IF((OR(MONTH(C273)=5,MONTH(C273)=6,MONTH(C273)=7,MONTH(C273)=8,MONTH(C273)=9)),Summary!$O$15*12*(AX273+AY273+AZ273+BA273)*(1-$BC273),Summary!$O$15*13*(AX273+AY273+AZ273+BA273)*(1-$BC273)+IF(Summary!$O$16="Yes",(CALC!FA273+Summary!$O$15)*6*(AX273+AY273+AZ273+BA273)*(1-$BC273),0)),0)</f>
        <v>0</v>
      </c>
      <c r="FI273" s="1412">
        <f>IF(MONTH(C273)=5,FI272*(IF(Summary!$E$70="no",(1+(Summary!$E$71*0.8)),1+HLOOKUP(YEAR(C273)-1,CCFMODEL!$I$127:$AF$128,2)*0.8)),+FI272)</f>
        <v>44.825249700897849</v>
      </c>
      <c r="FJ273" s="1411">
        <f>IF(MONTH(C273)=5,FJ272*(IF(Summary!$E$70="no",(1+(Summary!$E$71*0.8)),1+HLOOKUP(YEAR(CALC!C273)-1,CCFMODEL!$I$127:$AF$128,2)*0.8)),FJ272)</f>
        <v>39.177974148028831</v>
      </c>
      <c r="FK273" s="832">
        <f t="shared" ref="FK273:FK336" si="248">SUM(FB273:FG273)*FI273+FH273*FJ273</f>
        <v>739119.05979313457</v>
      </c>
      <c r="FL273" s="1412">
        <f>IF(MONTH(C273)=5,FL272*(IF(Summary!$E$70="no",(1+(Summary!$E$71*0.8)),1+HLOOKUP(YEAR(CALC!C273)-1,CCFMODEL!$I$127:$AF$128,2)*0.8)),+FL272)</f>
        <v>94.272525523935471</v>
      </c>
      <c r="FM273" s="1411">
        <f>IF(MONTH(C273)=5,FM272*(IF(Summary!$E$70="no",(1+(Summary!$E$71*0.8)),1+HLOOKUP(YEAR(CALC!C273)-1,CCFMODEL!$I$127:$AF$128,2)*0.8)),+FM272)</f>
        <v>44.993323378066563</v>
      </c>
      <c r="FN273" s="832">
        <f t="shared" ref="FN273:FN336" si="249">IF((OR(MONTH(C273)=5,MONTH(C273)=6,MONTH(C273)=7,MONTH(C273)=8,MONTH(C273)=9)),SUM(FB273:FG273)/(1-BC273)*FL273,SUM(FB273:FG273)/(1-BC273)*FM273)</f>
        <v>1578122.0772706799</v>
      </c>
      <c r="FO273" s="194">
        <f t="shared" si="223"/>
        <v>2317241.1370638143</v>
      </c>
      <c r="FP273" s="263">
        <f t="shared" si="238"/>
        <v>10638</v>
      </c>
      <c r="FQ273" s="194">
        <f t="shared" si="238"/>
        <v>0</v>
      </c>
      <c r="FR273" s="194">
        <f t="shared" si="238"/>
        <v>2659.5</v>
      </c>
      <c r="FS273" s="194">
        <f t="shared" si="238"/>
        <v>0</v>
      </c>
      <c r="FT273" s="194">
        <f t="shared" si="238"/>
        <v>3191.4</v>
      </c>
      <c r="FU273" s="194">
        <f t="shared" si="238"/>
        <v>0</v>
      </c>
      <c r="FV273" s="257">
        <f t="shared" si="238"/>
        <v>0</v>
      </c>
      <c r="FW273" s="189">
        <f t="shared" ref="FW273:FW292" si="250">IF(ER273&gt;0,MIN(FB273-FP273,BL273),0)</f>
        <v>0</v>
      </c>
      <c r="FX273" s="189">
        <f t="shared" ref="FX273:FX292" si="251">IF(ES273&gt;0,MIN(FD273-FR273,BM273),0)</f>
        <v>0</v>
      </c>
      <c r="FY273" s="189">
        <f t="shared" ref="FY273:FY292" si="252">IF(ET273&gt;0,MIN(FF273-FT273,BN273),0)</f>
        <v>0</v>
      </c>
      <c r="FZ273" s="258">
        <f t="shared" ref="FZ273:FZ292" si="253">IF(EU273&gt;0,MIN(FH273-FV273,BO273),0)</f>
        <v>0</v>
      </c>
      <c r="GA273" s="1294">
        <f>(SUM(FP273:FV273)+SUM(GU273:HB273)/(1-Summary!$O$25))*CY273/1000</f>
        <v>205676.27017977604</v>
      </c>
      <c r="GB273" s="1369">
        <f>IF($C273&lt;Summary!$M$81,+Summary!$O$81,VLOOKUP(C273,GasTable,19))</f>
        <v>3.7667883646741598</v>
      </c>
      <c r="GC273" s="1370">
        <f>IF(H273&lt;=Summary!$N$84,MIN(GA273,Summary!$O$75*(H273-G273+1)),0)</f>
        <v>0</v>
      </c>
      <c r="GD273" s="1371">
        <f>IF(C273&lt;Summary!$N$84,IF(Summary!$O$75*(H273-G273+1)*0.8&gt;GC273,1,0),0)</f>
        <v>0</v>
      </c>
      <c r="GE273" s="1372">
        <v>0</v>
      </c>
      <c r="GF273" s="1370">
        <f t="shared" si="224"/>
        <v>205676.27017977604</v>
      </c>
      <c r="GG273" s="1371">
        <f>GF273*(IF(Summary!$O$74=1,VLOOKUP($C273,GasTable,16)+Summary!$O$92+Summary!$O$93,VLOOKUP($C273,GasTable,19)+Summary!$O$92+Summary!$O$93))</f>
        <v>785454.71507912548</v>
      </c>
      <c r="GH273" s="1373">
        <v>5838.5219652449478</v>
      </c>
      <c r="GI273" s="1466">
        <v>0</v>
      </c>
      <c r="GJ273" s="1374">
        <f t="shared" si="225"/>
        <v>791293.23704437038</v>
      </c>
      <c r="GK273" s="189">
        <f t="shared" ref="GK273:GK292" si="254">SUM(FP273:FV273,GU273:GX273,GY273:HB273)</f>
        <v>26035.973099999999</v>
      </c>
      <c r="GL273" s="266">
        <v>0.52233283080000004</v>
      </c>
      <c r="GM273" s="255">
        <f t="shared" ref="GM273:GM292" si="255">IF(GK273&gt;GC273/(CY273/1000),GC273/(CY273/1000),+GK273)*GL273</f>
        <v>0</v>
      </c>
      <c r="GN273" s="189">
        <f>IF(SUM(GU273:HB273)=0,0,IF(Summary!$O$16="Yes",SUM(GX273:HB273),IF(Summary!$O$17="Yes",SUM(GY273:HB273),SUM(GU273:HB273))))</f>
        <v>9547.0731000000014</v>
      </c>
      <c r="GO273" s="203">
        <v>4.4266184591564777</v>
      </c>
      <c r="GP273" s="258">
        <f t="shared" si="226"/>
        <v>42261.250015376259</v>
      </c>
      <c r="GQ273" s="189"/>
      <c r="GR273" s="189"/>
      <c r="GS273" s="189"/>
      <c r="GT273" s="189"/>
      <c r="GU273" s="268">
        <v>3421.89</v>
      </c>
      <c r="GV273" s="189">
        <v>855.47249999999997</v>
      </c>
      <c r="GW273" s="189">
        <v>1026.5669999999998</v>
      </c>
      <c r="GX273" s="189"/>
      <c r="GY273" s="254">
        <v>2737.5120000000002</v>
      </c>
      <c r="GZ273" s="189">
        <v>684.37800000000004</v>
      </c>
      <c r="HA273" s="189">
        <v>821.25359999999989</v>
      </c>
      <c r="HB273" s="255"/>
      <c r="HC273" s="189">
        <v>9547.0731000000014</v>
      </c>
      <c r="HD273" s="189"/>
      <c r="HE273" s="189">
        <v>22276.503900000003</v>
      </c>
      <c r="HF273" s="189">
        <v>463067.205548828</v>
      </c>
      <c r="HG273" s="189"/>
      <c r="HH273" s="203">
        <v>49.143564393956126</v>
      </c>
      <c r="HI273" s="189">
        <v>1094746.803881865</v>
      </c>
      <c r="HJ273" s="268">
        <f t="shared" ref="HJ273:HJ292" si="256">MAX(FB273-FP273-FW273,0)</f>
        <v>0</v>
      </c>
      <c r="HK273" s="189">
        <f t="shared" ref="HK273:HK292" si="257">MAX(FD273-FR273-FX273,0)</f>
        <v>0</v>
      </c>
      <c r="HL273" s="189">
        <f t="shared" ref="HL273:HL292" si="258">MAX(FF273-FT273-FY273,0)</f>
        <v>0</v>
      </c>
      <c r="HM273" s="255">
        <f t="shared" ref="HM273:HM292" si="259">MAX(FH273-FV273-FZ273,0)</f>
        <v>0</v>
      </c>
      <c r="HN273" s="189">
        <f t="shared" ref="HN273:HN336" si="260">SUM(HJ273:HM273)</f>
        <v>0</v>
      </c>
      <c r="HO273" s="203">
        <f t="shared" si="227"/>
        <v>0</v>
      </c>
      <c r="HP273" s="258">
        <f t="shared" ref="HP273:HP292" si="261">(HJ273*CE273+HK273*CF273+HL273*CG273+HM273*CH273)</f>
        <v>0</v>
      </c>
      <c r="HQ273" s="203" t="s">
        <v>1105</v>
      </c>
      <c r="HR273" s="268">
        <f t="shared" si="241"/>
        <v>689885.78908255196</v>
      </c>
      <c r="HS273" s="1408">
        <f>IF(HT273=0,IF(OR(SUMIF(CURVES!$AU$6:$AU$283,$HQ273,CURVES!$BQ$6:$BQ$283)=0,COUNTIF(CURVES!$AU$6:$AU$283,$HQ273)=0),0,SUMIF(CURVES!$AU$6:$AU$283,$HQ273,CURVES!$BQ$6:$BQ$283)/COUNTIF(CURVES!$AU$6:$AU$283,$HQ273)),HT273/HR273)</f>
        <v>4.2281415974462728</v>
      </c>
      <c r="HT273" s="255">
        <f t="shared" si="242"/>
        <v>2916934.8023069836</v>
      </c>
      <c r="HU273" s="268">
        <f t="shared" si="243"/>
        <v>0</v>
      </c>
      <c r="HV273" s="1408" t="e">
        <f>IF(HW273=0,0,HW273/Summary!$O$79/HU273)</f>
        <v>#DIV/0!</v>
      </c>
      <c r="HW273" s="255">
        <f t="shared" si="244"/>
        <v>18792.4150713036</v>
      </c>
      <c r="HX273" s="1408">
        <f>IF(OR(SUMIF(CURVES!$AU$6:$AU$283,$HQ273,CURVES!$BQ$6:$BQ$283)=0,COUNTIF(CURVES!$AU$6:$AU$283,$HQ273)=0),0,SUMIF(CURVES!$AU$6:$AU$283,$HQ273,CURVES!$BQ$6:$BQ$283)/COUNTIF(CURVES!$AU$6:$AU$283,$HQ273))</f>
        <v>5.0553138852980348</v>
      </c>
      <c r="HY273" s="1408">
        <f>IF(OR(SUMIF(CURVES!$AU$6:$AU$283,$HQ273,CURVES!$BR$6:$BR$283)=0,COUNTIF(CURVES!$AU$6:$AU$283,$HQ273)=0),0,SUMIF(CURVES!$AU$6:$AU$283,$HQ273,CURVES!$BR$6:$BR$283)/COUNTIF(CURVES!$AU$6:$AU$283,$HQ273))</f>
        <v>4.0716468712072835</v>
      </c>
      <c r="HZ273"/>
      <c r="IA273" s="203"/>
      <c r="IB273" s="203"/>
      <c r="IC273" s="203"/>
      <c r="ID273" s="203"/>
      <c r="IE273" s="203"/>
      <c r="IF273" s="203"/>
      <c r="IG273" s="203"/>
      <c r="IH273" s="203"/>
      <c r="II273" s="203"/>
      <c r="IJ273" s="203"/>
      <c r="IK273" s="203"/>
      <c r="IL273" s="821"/>
      <c r="IM273" s="820"/>
      <c r="IN273" s="820"/>
      <c r="IR273" s="223"/>
    </row>
    <row r="274" spans="1:252" ht="13.8" thickBot="1">
      <c r="A274" t="str">
        <f t="shared" ref="A274:A292" si="262">+D274&amp;"Q"&amp;ROUNDUP(E274/3,0)</f>
        <v>2021Q2</v>
      </c>
      <c r="B274">
        <f t="shared" ref="B274:B292" si="263">YEAR(C274)</f>
        <v>2021</v>
      </c>
      <c r="C274" s="49">
        <f t="shared" ref="C274:C293" si="264">EOMONTH(C273,0)+1</f>
        <v>44348</v>
      </c>
      <c r="D274" s="115">
        <f t="shared" ref="D274:D292" si="265">+YEAR(C274)</f>
        <v>2021</v>
      </c>
      <c r="E274" s="10">
        <f t="shared" si="230"/>
        <v>6</v>
      </c>
      <c r="F274" s="248" t="str">
        <f t="shared" si="231"/>
        <v/>
      </c>
      <c r="G274" s="245">
        <v>44348</v>
      </c>
      <c r="H274" s="251">
        <v>44377</v>
      </c>
      <c r="I274" s="959">
        <f t="shared" si="228"/>
        <v>7.1499999999999994E-2</v>
      </c>
      <c r="J274" s="37">
        <f t="shared" ref="J274:J292" si="266">(1+I274/2)^(-2*(DATE(D275,E275,20)-$H$7)/365.25)</f>
        <v>0.21933273340520074</v>
      </c>
      <c r="K274" s="1036"/>
      <c r="L274" s="37"/>
      <c r="M274" s="1004">
        <v>0</v>
      </c>
      <c r="N274" s="38">
        <f t="shared" si="246"/>
        <v>0</v>
      </c>
      <c r="O274" s="40">
        <f t="shared" si="246"/>
        <v>0</v>
      </c>
      <c r="P274" s="159">
        <f t="shared" si="234"/>
        <v>0</v>
      </c>
      <c r="Q274" s="38">
        <f t="shared" si="247"/>
        <v>0</v>
      </c>
      <c r="R274" s="40">
        <f t="shared" si="247"/>
        <v>0</v>
      </c>
      <c r="S274" s="38">
        <f t="shared" si="247"/>
        <v>0</v>
      </c>
      <c r="T274" s="38">
        <f t="shared" si="247"/>
        <v>0</v>
      </c>
      <c r="U274" s="38">
        <f t="shared" si="247"/>
        <v>0</v>
      </c>
      <c r="V274" s="159">
        <f t="shared" si="247"/>
        <v>0</v>
      </c>
      <c r="W274" s="38">
        <f t="shared" si="247"/>
        <v>0</v>
      </c>
      <c r="X274" s="39">
        <f t="shared" si="247"/>
        <v>0</v>
      </c>
      <c r="Y274" s="46">
        <v>0</v>
      </c>
      <c r="Z274" s="46">
        <v>0</v>
      </c>
      <c r="AA274" s="47">
        <v>0</v>
      </c>
      <c r="AB274" s="46">
        <v>0</v>
      </c>
      <c r="AC274" s="46">
        <v>0</v>
      </c>
      <c r="AD274" s="47">
        <v>0</v>
      </c>
      <c r="AE274" s="46">
        <v>0</v>
      </c>
      <c r="AF274" s="46">
        <v>0</v>
      </c>
      <c r="AG274" s="47">
        <v>0</v>
      </c>
      <c r="AH274" s="46">
        <v>0</v>
      </c>
      <c r="AI274" s="46">
        <v>0</v>
      </c>
      <c r="AJ274" s="47">
        <v>0</v>
      </c>
      <c r="AK274" s="46">
        <v>0</v>
      </c>
      <c r="AL274" s="46">
        <v>0</v>
      </c>
      <c r="AM274" s="47">
        <v>0</v>
      </c>
      <c r="AN274" s="46">
        <v>0</v>
      </c>
      <c r="AO274" s="46">
        <v>0</v>
      </c>
      <c r="AP274" s="47">
        <v>0</v>
      </c>
      <c r="AQ274" s="46">
        <v>0</v>
      </c>
      <c r="AR274" s="46">
        <v>0</v>
      </c>
      <c r="AS274" s="47">
        <v>0</v>
      </c>
      <c r="AT274" s="46">
        <v>0</v>
      </c>
      <c r="AU274" s="46">
        <v>0</v>
      </c>
      <c r="AV274" s="46">
        <v>0</v>
      </c>
      <c r="AW274" s="1545">
        <v>0</v>
      </c>
      <c r="AX274" s="10">
        <f t="shared" si="232"/>
        <v>22</v>
      </c>
      <c r="AY274" s="42">
        <f>IF(AND($E274=MONTH(Summary!$E$24),$D274=YEAR(Summary!$E$24)),Summary!$E$25,1)*IF(G274="",0,INT((H274-MOD(H274,7)-G274)/7)+1-IF(BA274,IF(WEEKDAY(F274)=7,1,0),0))</f>
        <v>4</v>
      </c>
      <c r="AZ274" s="42">
        <f>IF(AND($E274=MONTH(Summary!$E$24),$D274=YEAR(Summary!$E$24)),Summary!$E$25,1)*IF(G274="",0,INT((H274-MOD(H274-1,7)-G274)/7)+1-IF(BA274,IF(WEEKDAY(F274)=1,1,0),0))</f>
        <v>4</v>
      </c>
      <c r="BA274" s="42">
        <v>0</v>
      </c>
      <c r="BB274" s="10">
        <f>IF(AND($E274=MONTH(Summary!$E$24),$D274=YEAR(Summary!$E$24)),Summary!$E$25,1)*IF(G274="",0,H274-G274+1)</f>
        <v>30</v>
      </c>
      <c r="BC274" s="914">
        <f>Summary!$E$19</f>
        <v>1.4999999999999999E-2</v>
      </c>
      <c r="BD274" s="113">
        <v>15602.4</v>
      </c>
      <c r="BE274" s="171">
        <v>2836.8</v>
      </c>
      <c r="BF274" s="171">
        <v>2836.8</v>
      </c>
      <c r="BG274" s="174"/>
      <c r="BH274" s="1198">
        <v>1</v>
      </c>
      <c r="BI274" s="1198">
        <v>1</v>
      </c>
      <c r="BJ274" s="1198">
        <v>1</v>
      </c>
      <c r="BK274" s="1198">
        <v>1</v>
      </c>
      <c r="BL274" s="95">
        <v>3120.48</v>
      </c>
      <c r="BM274" s="171">
        <v>567.36</v>
      </c>
      <c r="BN274" s="171">
        <v>567.36</v>
      </c>
      <c r="BO274" s="174"/>
      <c r="BP274" s="1198">
        <v>1</v>
      </c>
      <c r="BQ274" s="1199">
        <v>1</v>
      </c>
      <c r="BR274" s="1199">
        <v>1</v>
      </c>
      <c r="BS274" s="1200">
        <v>1</v>
      </c>
      <c r="BT274" s="94">
        <f t="shared" ref="BT274:BT292" si="267">SUM(BD274:BF274)</f>
        <v>21276</v>
      </c>
      <c r="BU274" s="233">
        <f t="shared" ref="BU274:BU292" si="268">SUM(BD274:BG274)</f>
        <v>21276</v>
      </c>
      <c r="BV274" s="92">
        <f t="shared" ref="BV274:BV292" si="269">SUM(BL274:BN274)</f>
        <v>4255.2</v>
      </c>
      <c r="BW274" s="233">
        <f t="shared" ref="BW274:BW292" si="270">SUM(BL274:BO274)</f>
        <v>4255.2</v>
      </c>
      <c r="BX274" s="88">
        <v>21.462012320328544</v>
      </c>
      <c r="BY274" s="90">
        <v>0</v>
      </c>
      <c r="BZ274" s="88">
        <v>0</v>
      </c>
      <c r="CA274" s="88">
        <v>0</v>
      </c>
      <c r="CB274" s="88">
        <v>0</v>
      </c>
      <c r="CC274" s="88">
        <v>0</v>
      </c>
      <c r="CD274" s="88">
        <v>0</v>
      </c>
      <c r="CE274" s="100">
        <v>0</v>
      </c>
      <c r="CF274" s="88">
        <v>0</v>
      </c>
      <c r="CG274" s="88">
        <v>0</v>
      </c>
      <c r="CH274" s="88">
        <v>0</v>
      </c>
      <c r="CI274" s="88">
        <v>0</v>
      </c>
      <c r="CJ274" s="228">
        <v>0</v>
      </c>
      <c r="CK274" s="88">
        <v>0</v>
      </c>
      <c r="CL274" s="88">
        <v>0</v>
      </c>
      <c r="CM274" s="88">
        <v>0</v>
      </c>
      <c r="CN274" s="88">
        <v>0</v>
      </c>
      <c r="CO274" s="88">
        <v>0</v>
      </c>
      <c r="CP274" s="88">
        <v>0</v>
      </c>
      <c r="CQ274" s="229">
        <v>0</v>
      </c>
      <c r="CR274" s="91">
        <v>0</v>
      </c>
      <c r="CS274" s="91">
        <v>0</v>
      </c>
      <c r="CT274" s="91">
        <v>0</v>
      </c>
      <c r="CU274" s="91">
        <v>0</v>
      </c>
      <c r="CV274" s="91">
        <v>0</v>
      </c>
      <c r="CW274" s="91">
        <v>0</v>
      </c>
      <c r="CX274" s="225">
        <v>0</v>
      </c>
      <c r="CY274" s="1265">
        <v>7798.0433599999997</v>
      </c>
      <c r="CZ274" s="90">
        <v>0</v>
      </c>
      <c r="DA274" s="88">
        <v>0</v>
      </c>
      <c r="DB274" s="88">
        <v>0</v>
      </c>
      <c r="DC274" s="88">
        <v>0</v>
      </c>
      <c r="DD274" s="88">
        <v>0</v>
      </c>
      <c r="DE274" s="152">
        <v>0</v>
      </c>
      <c r="DF274" s="230">
        <v>0</v>
      </c>
      <c r="DG274" s="38">
        <v>0</v>
      </c>
      <c r="DH274" s="1237">
        <v>0</v>
      </c>
      <c r="DI274" s="956">
        <v>0</v>
      </c>
      <c r="DJ274" s="956">
        <v>0</v>
      </c>
      <c r="DK274" s="956">
        <v>0</v>
      </c>
      <c r="DL274" s="152">
        <v>0</v>
      </c>
      <c r="DM274" s="160">
        <v>0</v>
      </c>
      <c r="DN274" s="160">
        <v>0</v>
      </c>
      <c r="DO274" s="160">
        <v>0</v>
      </c>
      <c r="DP274" s="160">
        <v>0</v>
      </c>
      <c r="DQ274" s="160">
        <v>0</v>
      </c>
      <c r="DR274" s="230">
        <v>0</v>
      </c>
      <c r="DS274" s="88">
        <v>0</v>
      </c>
      <c r="DT274" s="88">
        <v>0</v>
      </c>
      <c r="DU274" s="88">
        <v>0</v>
      </c>
      <c r="DV274" s="88">
        <v>0</v>
      </c>
      <c r="DW274" s="88">
        <v>0</v>
      </c>
      <c r="DX274" s="88">
        <v>0</v>
      </c>
      <c r="DY274" s="88">
        <v>0</v>
      </c>
      <c r="DZ274" s="88">
        <v>0</v>
      </c>
      <c r="EA274" s="88">
        <v>0</v>
      </c>
      <c r="EB274" s="152">
        <v>0</v>
      </c>
      <c r="EC274" s="52">
        <f t="shared" ref="EC274:EF292" si="271">DS274*BD274</f>
        <v>0</v>
      </c>
      <c r="ED274" s="52">
        <f t="shared" si="271"/>
        <v>0</v>
      </c>
      <c r="EE274" s="52">
        <f t="shared" si="271"/>
        <v>0</v>
      </c>
      <c r="EF274" s="52">
        <f t="shared" si="271"/>
        <v>0</v>
      </c>
      <c r="EG274" s="52">
        <f t="shared" ref="EG274:EG292" si="272">DS274*BD274+DT274*BE274+DU274*BF274+DV274*BG274</f>
        <v>0</v>
      </c>
      <c r="EH274" s="238">
        <v>0</v>
      </c>
      <c r="EI274" s="211">
        <v>0</v>
      </c>
      <c r="EJ274" s="211">
        <v>0</v>
      </c>
      <c r="EK274" s="211">
        <v>0</v>
      </c>
      <c r="EL274" s="217">
        <f>IF(C274&gt;=Summary!$E$26,MAX(0,SUM(EH274:EK274)),0)</f>
        <v>0</v>
      </c>
      <c r="EM274" s="52">
        <f>IF(C274&gt;=Summary!$E$26,DX274*BL274,0)</f>
        <v>0</v>
      </c>
      <c r="EN274" s="52">
        <f>IF(C274&gt;=Summary!$E$26,DY274*BM274,0)</f>
        <v>0</v>
      </c>
      <c r="EO274" s="52">
        <f>IF(C274&gt;=Summary!$E$26,DZ274*BN274,0)</f>
        <v>0</v>
      </c>
      <c r="EP274" s="52">
        <f>IF(C274&gt;=Summary!$E$26,EA274*BO274,0)</f>
        <v>0</v>
      </c>
      <c r="EQ274" s="52">
        <f>IF(C274&gt;=Summary!$E$26,DX274*BL274+DY274*BM274+DZ274*BN274+EA274*BO274,0)</f>
        <v>0</v>
      </c>
      <c r="ER274" s="826">
        <v>0</v>
      </c>
      <c r="ES274" s="278">
        <v>0</v>
      </c>
      <c r="ET274" s="278">
        <v>0</v>
      </c>
      <c r="EU274" s="278">
        <v>0</v>
      </c>
      <c r="EV274" s="212">
        <f>IF(C274&gt;=Summary!$E$26,MAX(0,SUM(ER274:EU274)),0)</f>
        <v>0</v>
      </c>
      <c r="EW274" s="52"/>
      <c r="EX274" s="1049">
        <f t="shared" ref="EX274:EX292" si="273">(EQ274-EV274)+IF(EZ274="Yes",(EG274-EL274),0)</f>
        <v>0</v>
      </c>
      <c r="EY274" s="1045" t="str">
        <f t="shared" ref="EY274:EY292" si="274">IF(EX274,EX274/EQ274,"")</f>
        <v/>
      </c>
      <c r="EZ274" s="1684" t="s">
        <v>525</v>
      </c>
      <c r="FA274" s="1046">
        <f t="shared" si="229"/>
        <v>45</v>
      </c>
      <c r="FB274" s="256">
        <f t="shared" ref="FB274:FB292" si="275">IF(EZ274="No",IF((OR(MONTH(C274)=5,MONTH(C274)=6,MONTH(C274)=7,MONTH(C274)=8,MONTH(C274)=9)),$FA274*12*AX274*(1-$BC274),$FA274*10*AX274*(1-$BC274)),0)</f>
        <v>11701.8</v>
      </c>
      <c r="FC274" s="194">
        <f t="shared" ref="FC274:FC292" si="276">IF(EZ274="No",IF((OR(MONTH(C274)=5,MONTH(C274)=6,MONTH(C274)=7,MONTH(C274)=8,MONTH(C274)=9)),0,$FA274*3*AX274*(1-$BC274)),0)</f>
        <v>0</v>
      </c>
      <c r="FD274" s="194">
        <f t="shared" ref="FD274:FD292" si="277">IF(EZ274="No",IF((OR(MONTH(C274)=5,MONTH(C274)=6,MONTH(C274)=7,MONTH(C274)=8,MONTH(C274)=9)),$FA274*12*AY274*(1-$BC274),$FA274*10*AY274*(1-$BC274)),0)</f>
        <v>2127.6</v>
      </c>
      <c r="FE274" s="194">
        <f t="shared" ref="FE274:FE292" si="278">IF(EZ274="No",IF((OR(MONTH(C274)=5,MONTH(C274)=6,MONTH(C274)=7,MONTH(C274)=8,MONTH(C274)=9)),0,$FA274*3*AY274*(1-$BC274)),0)</f>
        <v>0</v>
      </c>
      <c r="FF274" s="194">
        <f t="shared" ref="FF274:FF292" si="279">IF(EZ274="No",IF((OR(MONTH(C274)=5,MONTH(C274)=6,MONTH(C274)=7,MONTH(C274)=8,MONTH(C274)=9)),$FA274*12*(AZ274+BA274)*(1-$BC274),$FA274*10*(AZ274+BA274)*(1-$BC274)),0)</f>
        <v>2127.6</v>
      </c>
      <c r="FG274" s="194">
        <f t="shared" ref="FG274:FG292" si="280">IF(EZ274="No",IF((OR(MONTH(C274)=5,MONTH(C274)=6,MONTH(C274)=7,MONTH(C274)=8,MONTH(C274)=9)),0,$FA274*3*(AZ274+BA274)*(1-$BC274)),0)</f>
        <v>0</v>
      </c>
      <c r="FH274" s="257">
        <f>IF(EZ274="No",IF((OR(MONTH(C274)=5,MONTH(C274)=6,MONTH(C274)=7,MONTH(C274)=8,MONTH(C274)=9)),Summary!$O$15*12*(AX274+AY274+AZ274+BA274)*(1-$BC274),Summary!$O$15*13*(AX274+AY274+AZ274+BA274)*(1-$BC274)+IF(Summary!$O$16="Yes",(CALC!FA274+Summary!$O$15)*6*(AX274+AY274+AZ274+BA274)*(1-$BC274),0)),0)</f>
        <v>0</v>
      </c>
      <c r="FI274" s="1412">
        <f>IF(MONTH(C274)=5,FI273*(IF(Summary!$E$70="no",(1+(Summary!$E$71*0.8)),1+HLOOKUP(YEAR(C274)-1,CCFMODEL!$I$127:$AF$128,2)*0.8)),+FI273)</f>
        <v>44.825249700897849</v>
      </c>
      <c r="FJ274" s="1411">
        <f>IF(MONTH(C274)=5,FJ273*(IF(Summary!$E$70="no",(1+(Summary!$E$71*0.8)),1+HLOOKUP(YEAR(CALC!C274)-1,CCFMODEL!$I$127:$AF$128,2)*0.8)),FJ273)</f>
        <v>39.177974148028831</v>
      </c>
      <c r="FK274" s="832">
        <f t="shared" si="248"/>
        <v>715276.50947722699</v>
      </c>
      <c r="FL274" s="1412">
        <f>IF(MONTH(C274)=5,FL273*(IF(Summary!$E$70="no",(1+(Summary!$E$71*0.8)),1+HLOOKUP(YEAR(CALC!C274)-1,CCFMODEL!$I$127:$AF$128,2)*0.8)),+FL273)</f>
        <v>94.272525523935471</v>
      </c>
      <c r="FM274" s="1411">
        <f>IF(MONTH(C274)=5,FM273*(IF(Summary!$E$70="no",(1+(Summary!$E$71*0.8)),1+HLOOKUP(YEAR(CALC!C274)-1,CCFMODEL!$I$127:$AF$128,2)*0.8)),+FM273)</f>
        <v>44.993323378066563</v>
      </c>
      <c r="FN274" s="832">
        <f t="shared" si="249"/>
        <v>1527214.9134877545</v>
      </c>
      <c r="FO274" s="194">
        <f t="shared" ref="FO274:FO292" si="281">FK274+FN274</f>
        <v>2242491.4229649818</v>
      </c>
      <c r="FP274" s="263">
        <f t="shared" si="238"/>
        <v>11701.8</v>
      </c>
      <c r="FQ274" s="194">
        <f t="shared" si="238"/>
        <v>0</v>
      </c>
      <c r="FR274" s="194">
        <f t="shared" si="238"/>
        <v>2127.6</v>
      </c>
      <c r="FS274" s="194">
        <f t="shared" si="238"/>
        <v>0</v>
      </c>
      <c r="FT274" s="194">
        <f t="shared" si="238"/>
        <v>2127.6</v>
      </c>
      <c r="FU274" s="194">
        <f t="shared" si="238"/>
        <v>0</v>
      </c>
      <c r="FV274" s="257">
        <f t="shared" si="238"/>
        <v>0</v>
      </c>
      <c r="FW274" s="189">
        <f t="shared" si="250"/>
        <v>0</v>
      </c>
      <c r="FX274" s="189">
        <f t="shared" si="251"/>
        <v>0</v>
      </c>
      <c r="FY274" s="189">
        <f t="shared" si="252"/>
        <v>0</v>
      </c>
      <c r="FZ274" s="258">
        <f t="shared" si="253"/>
        <v>0</v>
      </c>
      <c r="GA274" s="1294">
        <f>(SUM(FP274:FV274)+SUM(GU274:HB274)/(1-Summary!$O$25))*CY274/1000</f>
        <v>199093.40463283195</v>
      </c>
      <c r="GB274" s="1369">
        <f>IF($C274&lt;Summary!$M$81,+Summary!$O$81,VLOOKUP(C274,GasTable,19))</f>
        <v>3.8122889934782811</v>
      </c>
      <c r="GC274" s="1370">
        <f>IF(H274&lt;=Summary!$N$84,MIN(GA274,Summary!$O$75*(H274-G274+1)),0)</f>
        <v>0</v>
      </c>
      <c r="GD274" s="1371">
        <f>IF(C274&lt;Summary!$N$84,IF(Summary!$O$75*(H274-G274+1)*0.8&gt;GC274,1,0),0)</f>
        <v>0</v>
      </c>
      <c r="GE274" s="1372">
        <v>0</v>
      </c>
      <c r="GF274" s="1370">
        <f t="shared" ref="GF274:GF292" si="282">ABS(MIN(0,GC274-$GA274))</f>
        <v>199093.40463283195</v>
      </c>
      <c r="GG274" s="1371">
        <f>GF274*(IF(Summary!$O$74=1,VLOOKUP($C274,GasTable,16)+Summary!$O$92+Summary!$O$93,VLOOKUP($C274,GasTable,19)+Summary!$O$92+Summary!$O$93))</f>
        <v>769374.36153723358</v>
      </c>
      <c r="GH274" s="1373">
        <v>5718.4334902174214</v>
      </c>
      <c r="GI274" s="1466">
        <v>0</v>
      </c>
      <c r="GJ274" s="1374">
        <f t="shared" ref="GJ274:GJ292" si="283">+GB274*GC274+GE274+GG274+GH274-GI274</f>
        <v>775092.79502745101</v>
      </c>
      <c r="GK274" s="189">
        <f t="shared" si="254"/>
        <v>25196.103000000006</v>
      </c>
      <c r="GL274" s="266">
        <v>0.52246890511999999</v>
      </c>
      <c r="GM274" s="255">
        <f t="shared" si="255"/>
        <v>0</v>
      </c>
      <c r="GN274" s="189">
        <f>IF(SUM(GU274:HB274)=0,0,IF(Summary!$O$16="Yes",SUM(GX274:HB274),IF(Summary!$O$17="Yes",SUM(GY274:HB274),SUM(GU274:HB274))))</f>
        <v>9239.1029999999992</v>
      </c>
      <c r="GO274" s="203">
        <v>4.4266184591564777</v>
      </c>
      <c r="GP274" s="258">
        <f t="shared" ref="GP274:GP292" si="284">GN274*GO274</f>
        <v>40897.983885847985</v>
      </c>
      <c r="GQ274" s="189"/>
      <c r="GR274" s="189"/>
      <c r="GS274" s="189"/>
      <c r="GT274" s="189"/>
      <c r="GU274" s="268">
        <v>3764.0790000000002</v>
      </c>
      <c r="GV274" s="189">
        <v>684.37800000000027</v>
      </c>
      <c r="GW274" s="189">
        <v>684.37800000000027</v>
      </c>
      <c r="GX274" s="189"/>
      <c r="GY274" s="254">
        <v>3011.2631999999999</v>
      </c>
      <c r="GZ274" s="189">
        <v>547.50239999999997</v>
      </c>
      <c r="HA274" s="189">
        <v>547.50239999999997</v>
      </c>
      <c r="HB274" s="255"/>
      <c r="HC274" s="189">
        <v>9239.1029999999992</v>
      </c>
      <c r="HD274" s="189"/>
      <c r="HE274" s="189">
        <v>21557.906999999999</v>
      </c>
      <c r="HF274" s="189">
        <v>448804.32867952064</v>
      </c>
      <c r="HG274" s="189"/>
      <c r="HH274" s="203">
        <v>50.253159133814449</v>
      </c>
      <c r="HI274" s="189">
        <v>1083352.9310629724</v>
      </c>
      <c r="HJ274" s="268">
        <f t="shared" si="256"/>
        <v>0</v>
      </c>
      <c r="HK274" s="189">
        <f t="shared" si="257"/>
        <v>0</v>
      </c>
      <c r="HL274" s="189">
        <f t="shared" si="258"/>
        <v>0</v>
      </c>
      <c r="HM274" s="255">
        <f t="shared" si="259"/>
        <v>0</v>
      </c>
      <c r="HN274" s="189">
        <f t="shared" si="260"/>
        <v>0</v>
      </c>
      <c r="HO274" s="203">
        <f t="shared" ref="HO274:HO292" si="285">IF(ISERROR(+HP274/HN274),0,+HP274/HN274)</f>
        <v>0</v>
      </c>
      <c r="HP274" s="258">
        <f t="shared" si="261"/>
        <v>0</v>
      </c>
      <c r="HQ274" s="203" t="s">
        <v>1106</v>
      </c>
      <c r="HR274" s="268">
        <f t="shared" si="241"/>
        <v>634851.51421305595</v>
      </c>
      <c r="HS274" s="1408">
        <f>IF(HT274=0,IF(OR(SUMIF(CURVES!$AU$6:$AU$283,$HQ274,CURVES!$BQ$6:$BQ$283)=0,COUNTIF(CURVES!$AU$6:$AU$283,$HQ274)=0),0,SUMIF(CURVES!$AU$6:$AU$283,$HQ274,CURVES!$BQ$6:$BQ$283)/COUNTIF(CURVES!$AU$6:$AU$283,$HQ274)),HT274/HR274)</f>
        <v>3.843531445748412</v>
      </c>
      <c r="HT274" s="255">
        <f t="shared" si="242"/>
        <v>2440071.7582588755</v>
      </c>
      <c r="HU274" s="268">
        <f t="shared" si="243"/>
        <v>0</v>
      </c>
      <c r="HV274" s="1408" t="e">
        <f>IF(HW274=0,0,HW274/Summary!$O$79/HU274)</f>
        <v>#DIV/0!</v>
      </c>
      <c r="HW274" s="255">
        <f t="shared" si="244"/>
        <v>17250.073739495347</v>
      </c>
      <c r="HX274" s="1408">
        <f>IF(OR(SUMIF(CURVES!$AU$6:$AU$283,$HQ274,CURVES!$BQ$6:$BQ$283)=0,COUNTIF(CURVES!$AU$6:$AU$283,$HQ274)=0),0,SUMIF(CURVES!$AU$6:$AU$283,$HQ274,CURVES!$BQ$6:$BQ$283)/COUNTIF(CURVES!$AU$6:$AU$283,$HQ274))</f>
        <v>4.6996539893167943</v>
      </c>
      <c r="HY274" s="1408">
        <f>IF(OR(SUMIF(CURVES!$AU$6:$AU$283,$HQ274,CURVES!$BR$6:$BR$283)=0,COUNTIF(CURVES!$AU$6:$AU$283,$HQ274)=0),0,SUMIF(CURVES!$AU$6:$AU$283,$HQ274,CURVES!$BR$6:$BR$283)/COUNTIF(CURVES!$AU$6:$AU$283,$HQ274))</f>
        <v>3.6956695729992171</v>
      </c>
      <c r="HZ274"/>
      <c r="IA274" s="203"/>
      <c r="IB274" s="203"/>
      <c r="IC274" s="203"/>
      <c r="ID274" s="203"/>
      <c r="IE274" s="203"/>
      <c r="IF274" s="203"/>
      <c r="IG274" s="203"/>
      <c r="IH274" s="203"/>
      <c r="II274" s="203"/>
      <c r="IJ274" s="203"/>
      <c r="IK274" s="203"/>
      <c r="IL274" s="821"/>
      <c r="IM274" s="820"/>
      <c r="IN274" s="820"/>
      <c r="IR274" s="223"/>
    </row>
    <row r="275" spans="1:252" ht="13.8" thickBot="1">
      <c r="A275" t="str">
        <f t="shared" si="262"/>
        <v>2021Q3</v>
      </c>
      <c r="B275">
        <f t="shared" si="263"/>
        <v>2021</v>
      </c>
      <c r="C275" s="49">
        <f t="shared" si="264"/>
        <v>44378</v>
      </c>
      <c r="D275" s="115">
        <f t="shared" si="265"/>
        <v>2021</v>
      </c>
      <c r="E275" s="10">
        <f t="shared" si="230"/>
        <v>7</v>
      </c>
      <c r="F275" s="248">
        <f t="shared" si="231"/>
        <v>44382</v>
      </c>
      <c r="G275" s="245">
        <v>44378</v>
      </c>
      <c r="H275" s="251">
        <v>44408</v>
      </c>
      <c r="I275" s="959">
        <f t="shared" ref="I275:I292" si="286">I274</f>
        <v>7.1499999999999994E-2</v>
      </c>
      <c r="J275" s="37">
        <f t="shared" si="266"/>
        <v>0.21802885506958344</v>
      </c>
      <c r="K275" s="1036"/>
      <c r="L275" s="37"/>
      <c r="M275" s="1004">
        <v>0</v>
      </c>
      <c r="N275" s="38">
        <f t="shared" si="246"/>
        <v>0</v>
      </c>
      <c r="O275" s="40">
        <f t="shared" si="246"/>
        <v>0</v>
      </c>
      <c r="P275" s="159">
        <f t="shared" si="234"/>
        <v>0</v>
      </c>
      <c r="Q275" s="38">
        <f t="shared" si="247"/>
        <v>0</v>
      </c>
      <c r="R275" s="40">
        <f t="shared" si="247"/>
        <v>0</v>
      </c>
      <c r="S275" s="38">
        <f t="shared" si="247"/>
        <v>0</v>
      </c>
      <c r="T275" s="38">
        <f t="shared" si="247"/>
        <v>0</v>
      </c>
      <c r="U275" s="38">
        <f t="shared" si="247"/>
        <v>0</v>
      </c>
      <c r="V275" s="159">
        <f t="shared" si="247"/>
        <v>0</v>
      </c>
      <c r="W275" s="38">
        <f t="shared" si="247"/>
        <v>0</v>
      </c>
      <c r="X275" s="39">
        <f t="shared" si="247"/>
        <v>0</v>
      </c>
      <c r="Y275" s="46">
        <v>0</v>
      </c>
      <c r="Z275" s="46">
        <v>0</v>
      </c>
      <c r="AA275" s="47">
        <v>0</v>
      </c>
      <c r="AB275" s="46">
        <v>0</v>
      </c>
      <c r="AC275" s="46">
        <v>0</v>
      </c>
      <c r="AD275" s="47">
        <v>0</v>
      </c>
      <c r="AE275" s="46">
        <v>0</v>
      </c>
      <c r="AF275" s="46">
        <v>0</v>
      </c>
      <c r="AG275" s="47">
        <v>0</v>
      </c>
      <c r="AH275" s="46">
        <v>0</v>
      </c>
      <c r="AI275" s="46">
        <v>0</v>
      </c>
      <c r="AJ275" s="47">
        <v>0</v>
      </c>
      <c r="AK275" s="46">
        <v>0</v>
      </c>
      <c r="AL275" s="46">
        <v>0</v>
      </c>
      <c r="AM275" s="47">
        <v>0</v>
      </c>
      <c r="AN275" s="46">
        <v>0</v>
      </c>
      <c r="AO275" s="46">
        <v>0</v>
      </c>
      <c r="AP275" s="47">
        <v>0</v>
      </c>
      <c r="AQ275" s="46">
        <v>0</v>
      </c>
      <c r="AR275" s="46">
        <v>0</v>
      </c>
      <c r="AS275" s="47">
        <v>0</v>
      </c>
      <c r="AT275" s="46">
        <v>0</v>
      </c>
      <c r="AU275" s="46">
        <v>0</v>
      </c>
      <c r="AV275" s="46">
        <v>0</v>
      </c>
      <c r="AW275" s="1545">
        <v>0</v>
      </c>
      <c r="AX275" s="10">
        <f t="shared" si="232"/>
        <v>21</v>
      </c>
      <c r="AY275" s="42">
        <f>IF(AND($E275=MONTH(Summary!$E$24),$D275=YEAR(Summary!$E$24)),Summary!$E$25,1)*IF(G275="",0,INT((H275-MOD(H275,7)-G275)/7)+1-IF(BA275,IF(WEEKDAY(F275)=7,1,0),0))</f>
        <v>5</v>
      </c>
      <c r="AZ275" s="42">
        <f>IF(AND($E275=MONTH(Summary!$E$24),$D275=YEAR(Summary!$E$24)),Summary!$E$25,1)*IF(G275="",0,INT((H275-MOD(H275-1,7)-G275)/7)+1-IF(BA275,IF(WEEKDAY(F275)=1,1,0),0))</f>
        <v>4</v>
      </c>
      <c r="BA275" s="42">
        <v>1</v>
      </c>
      <c r="BB275" s="10">
        <f>IF(AND($E275=MONTH(Summary!$E$24),$D275=YEAR(Summary!$E$24)),Summary!$E$25,1)*IF(G275="",0,H275-G275+1)</f>
        <v>31</v>
      </c>
      <c r="BC275" s="914">
        <f>Summary!$E$19</f>
        <v>1.4999999999999999E-2</v>
      </c>
      <c r="BD275" s="113">
        <v>14893.2</v>
      </c>
      <c r="BE275" s="171">
        <v>3546</v>
      </c>
      <c r="BF275" s="171">
        <v>3546</v>
      </c>
      <c r="BG275" s="174"/>
      <c r="BH275" s="1198">
        <v>1</v>
      </c>
      <c r="BI275" s="1198">
        <v>1</v>
      </c>
      <c r="BJ275" s="1198">
        <v>1</v>
      </c>
      <c r="BK275" s="1198">
        <v>1</v>
      </c>
      <c r="BL275" s="95">
        <v>2978.64</v>
      </c>
      <c r="BM275" s="171">
        <v>709.2</v>
      </c>
      <c r="BN275" s="171">
        <v>709.2</v>
      </c>
      <c r="BO275" s="174"/>
      <c r="BP275" s="1198">
        <v>1</v>
      </c>
      <c r="BQ275" s="1199">
        <v>1</v>
      </c>
      <c r="BR275" s="1199">
        <v>1</v>
      </c>
      <c r="BS275" s="1200">
        <v>1</v>
      </c>
      <c r="BT275" s="94">
        <f t="shared" si="267"/>
        <v>21985.200000000001</v>
      </c>
      <c r="BU275" s="233">
        <f t="shared" si="268"/>
        <v>21985.200000000001</v>
      </c>
      <c r="BV275" s="92">
        <f t="shared" si="269"/>
        <v>4397.04</v>
      </c>
      <c r="BW275" s="233">
        <f t="shared" si="270"/>
        <v>4397.04</v>
      </c>
      <c r="BX275" s="88">
        <v>21.544147843942504</v>
      </c>
      <c r="BY275" s="90">
        <v>0</v>
      </c>
      <c r="BZ275" s="88">
        <v>0</v>
      </c>
      <c r="CA275" s="88">
        <v>0</v>
      </c>
      <c r="CB275" s="88">
        <v>0</v>
      </c>
      <c r="CC275" s="88">
        <v>0</v>
      </c>
      <c r="CD275" s="88">
        <v>0</v>
      </c>
      <c r="CE275" s="100">
        <v>0</v>
      </c>
      <c r="CF275" s="88">
        <v>0</v>
      </c>
      <c r="CG275" s="88">
        <v>0</v>
      </c>
      <c r="CH275" s="88">
        <v>0</v>
      </c>
      <c r="CI275" s="88">
        <v>0</v>
      </c>
      <c r="CJ275" s="228">
        <v>0</v>
      </c>
      <c r="CK275" s="88">
        <v>0</v>
      </c>
      <c r="CL275" s="88">
        <v>0</v>
      </c>
      <c r="CM275" s="88">
        <v>0</v>
      </c>
      <c r="CN275" s="88">
        <v>0</v>
      </c>
      <c r="CO275" s="88">
        <v>0</v>
      </c>
      <c r="CP275" s="88">
        <v>0</v>
      </c>
      <c r="CQ275" s="229">
        <v>0</v>
      </c>
      <c r="CR275" s="91">
        <v>0</v>
      </c>
      <c r="CS275" s="91">
        <v>0</v>
      </c>
      <c r="CT275" s="91">
        <v>0</v>
      </c>
      <c r="CU275" s="91">
        <v>0</v>
      </c>
      <c r="CV275" s="91">
        <v>0</v>
      </c>
      <c r="CW275" s="91">
        <v>0</v>
      </c>
      <c r="CX275" s="225">
        <v>0</v>
      </c>
      <c r="CY275" s="1265">
        <v>7800.0743199999997</v>
      </c>
      <c r="CZ275" s="90">
        <v>0</v>
      </c>
      <c r="DA275" s="88">
        <v>0</v>
      </c>
      <c r="DB275" s="88">
        <v>0</v>
      </c>
      <c r="DC275" s="88">
        <v>0</v>
      </c>
      <c r="DD275" s="88">
        <v>0</v>
      </c>
      <c r="DE275" s="152">
        <v>0</v>
      </c>
      <c r="DF275" s="230">
        <v>0</v>
      </c>
      <c r="DG275" s="38">
        <v>0</v>
      </c>
      <c r="DH275" s="1237">
        <v>0</v>
      </c>
      <c r="DI275" s="956">
        <v>0</v>
      </c>
      <c r="DJ275" s="956">
        <v>0</v>
      </c>
      <c r="DK275" s="956">
        <v>0</v>
      </c>
      <c r="DL275" s="152">
        <v>0</v>
      </c>
      <c r="DM275" s="160">
        <v>0</v>
      </c>
      <c r="DN275" s="160">
        <v>0</v>
      </c>
      <c r="DO275" s="160">
        <v>0</v>
      </c>
      <c r="DP275" s="160">
        <v>0</v>
      </c>
      <c r="DQ275" s="160">
        <v>0</v>
      </c>
      <c r="DR275" s="230">
        <v>0</v>
      </c>
      <c r="DS275" s="88">
        <v>0</v>
      </c>
      <c r="DT275" s="88">
        <v>0</v>
      </c>
      <c r="DU275" s="88">
        <v>0</v>
      </c>
      <c r="DV275" s="88">
        <v>0</v>
      </c>
      <c r="DW275" s="88">
        <v>0</v>
      </c>
      <c r="DX275" s="88">
        <v>0</v>
      </c>
      <c r="DY275" s="88">
        <v>0</v>
      </c>
      <c r="DZ275" s="88">
        <v>0</v>
      </c>
      <c r="EA275" s="88">
        <v>0</v>
      </c>
      <c r="EB275" s="152">
        <v>0</v>
      </c>
      <c r="EC275" s="52">
        <f t="shared" si="271"/>
        <v>0</v>
      </c>
      <c r="ED275" s="52">
        <f t="shared" si="271"/>
        <v>0</v>
      </c>
      <c r="EE275" s="52">
        <f t="shared" si="271"/>
        <v>0</v>
      </c>
      <c r="EF275" s="52">
        <f t="shared" si="271"/>
        <v>0</v>
      </c>
      <c r="EG275" s="52">
        <f t="shared" si="272"/>
        <v>0</v>
      </c>
      <c r="EH275" s="238">
        <v>0</v>
      </c>
      <c r="EI275" s="211">
        <v>0</v>
      </c>
      <c r="EJ275" s="211">
        <v>0</v>
      </c>
      <c r="EK275" s="211">
        <v>0</v>
      </c>
      <c r="EL275" s="217">
        <f>IF(C275&gt;=Summary!$E$26,MAX(0,SUM(EH275:EK275)),0)</f>
        <v>0</v>
      </c>
      <c r="EM275" s="52">
        <f>IF(C275&gt;=Summary!$E$26,DX275*BL275,0)</f>
        <v>0</v>
      </c>
      <c r="EN275" s="52">
        <f>IF(C275&gt;=Summary!$E$26,DY275*BM275,0)</f>
        <v>0</v>
      </c>
      <c r="EO275" s="52">
        <f>IF(C275&gt;=Summary!$E$26,DZ275*BN275,0)</f>
        <v>0</v>
      </c>
      <c r="EP275" s="52">
        <f>IF(C275&gt;=Summary!$E$26,EA275*BO275,0)</f>
        <v>0</v>
      </c>
      <c r="EQ275" s="52">
        <f>IF(C275&gt;=Summary!$E$26,DX275*BL275+DY275*BM275+DZ275*BN275+EA275*BO275,0)</f>
        <v>0</v>
      </c>
      <c r="ER275" s="826">
        <v>0</v>
      </c>
      <c r="ES275" s="278">
        <v>0</v>
      </c>
      <c r="ET275" s="278">
        <v>0</v>
      </c>
      <c r="EU275" s="278">
        <v>0</v>
      </c>
      <c r="EV275" s="212">
        <f>IF(C275&gt;=Summary!$E$26,MAX(0,SUM(ER275:EU275)),0)</f>
        <v>0</v>
      </c>
      <c r="EW275" s="52"/>
      <c r="EX275" s="1049">
        <f t="shared" si="273"/>
        <v>0</v>
      </c>
      <c r="EY275" s="1045" t="str">
        <f t="shared" si="274"/>
        <v/>
      </c>
      <c r="EZ275" s="1684" t="s">
        <v>525</v>
      </c>
      <c r="FA275" s="1046">
        <f t="shared" ref="FA275:FA292" si="287">FA274</f>
        <v>45</v>
      </c>
      <c r="FB275" s="256">
        <f t="shared" si="275"/>
        <v>11169.9</v>
      </c>
      <c r="FC275" s="194">
        <f t="shared" si="276"/>
        <v>0</v>
      </c>
      <c r="FD275" s="194">
        <f t="shared" si="277"/>
        <v>2659.5</v>
      </c>
      <c r="FE275" s="194">
        <f t="shared" si="278"/>
        <v>0</v>
      </c>
      <c r="FF275" s="194">
        <f t="shared" si="279"/>
        <v>2659.5</v>
      </c>
      <c r="FG275" s="194">
        <f t="shared" si="280"/>
        <v>0</v>
      </c>
      <c r="FH275" s="257">
        <f>IF(EZ275="No",IF((OR(MONTH(C275)=5,MONTH(C275)=6,MONTH(C275)=7,MONTH(C275)=8,MONTH(C275)=9)),Summary!$O$15*12*(AX275+AY275+AZ275+BA275)*(1-$BC275),Summary!$O$15*13*(AX275+AY275+AZ275+BA275)*(1-$BC275)+IF(Summary!$O$16="Yes",(CALC!FA275+Summary!$O$15)*6*(AX275+AY275+AZ275+BA275)*(1-$BC275),0)),0)</f>
        <v>0</v>
      </c>
      <c r="FI275" s="1412">
        <f>IF(MONTH(C275)=5,FI274*(IF(Summary!$E$70="no",(1+(Summary!$E$71*0.8)),1+HLOOKUP(YEAR(C275)-1,CCFMODEL!$I$127:$AF$128,2)*0.8)),+FI274)</f>
        <v>44.825249700897849</v>
      </c>
      <c r="FJ275" s="1411">
        <f>IF(MONTH(C275)=5,FJ274*(IF(Summary!$E$70="no",(1+(Summary!$E$71*0.8)),1+HLOOKUP(YEAR(CALC!C275)-1,CCFMODEL!$I$127:$AF$128,2)*0.8)),FJ274)</f>
        <v>39.177974148028831</v>
      </c>
      <c r="FK275" s="832">
        <f t="shared" si="248"/>
        <v>739119.05979313457</v>
      </c>
      <c r="FL275" s="1412">
        <f>IF(MONTH(C275)=5,FL274*(IF(Summary!$E$70="no",(1+(Summary!$E$71*0.8)),1+HLOOKUP(YEAR(CALC!C275)-1,CCFMODEL!$I$127:$AF$128,2)*0.8)),+FL274)</f>
        <v>94.272525523935471</v>
      </c>
      <c r="FM275" s="1411">
        <f>IF(MONTH(C275)=5,FM274*(IF(Summary!$E$70="no",(1+(Summary!$E$71*0.8)),1+HLOOKUP(YEAR(CALC!C275)-1,CCFMODEL!$I$127:$AF$128,2)*0.8)),+FM274)</f>
        <v>44.993323378066563</v>
      </c>
      <c r="FN275" s="832">
        <f t="shared" si="249"/>
        <v>1578122.0772706799</v>
      </c>
      <c r="FO275" s="194">
        <f t="shared" si="281"/>
        <v>2317241.1370638143</v>
      </c>
      <c r="FP275" s="263">
        <f t="shared" si="238"/>
        <v>11169.9</v>
      </c>
      <c r="FQ275" s="194">
        <f t="shared" si="238"/>
        <v>0</v>
      </c>
      <c r="FR275" s="194">
        <f t="shared" si="238"/>
        <v>2659.5</v>
      </c>
      <c r="FS275" s="194">
        <f t="shared" si="238"/>
        <v>0</v>
      </c>
      <c r="FT275" s="194">
        <f t="shared" si="238"/>
        <v>2659.5</v>
      </c>
      <c r="FU275" s="194">
        <f t="shared" si="238"/>
        <v>0</v>
      </c>
      <c r="FV275" s="257">
        <f t="shared" si="238"/>
        <v>0</v>
      </c>
      <c r="FW275" s="189">
        <f t="shared" si="250"/>
        <v>0</v>
      </c>
      <c r="FX275" s="189">
        <f t="shared" si="251"/>
        <v>0</v>
      </c>
      <c r="FY275" s="189">
        <f t="shared" si="252"/>
        <v>0</v>
      </c>
      <c r="FZ275" s="258">
        <f t="shared" si="253"/>
        <v>0</v>
      </c>
      <c r="GA275" s="1294">
        <f>(SUM(FP275:FV275)+SUM(GU275:HB275)/(1-Summary!$O$25))*CY275/1000</f>
        <v>205783.43272807685</v>
      </c>
      <c r="GB275" s="1369">
        <f>IF($C275&lt;Summary!$M$81,+Summary!$O$81,VLOOKUP(C275,GasTable,19))</f>
        <v>3.9163495783986875</v>
      </c>
      <c r="GC275" s="1370">
        <f>IF(H275&lt;=Summary!$N$84,MIN(GA275,Summary!$O$75*(H275-G275+1)),0)</f>
        <v>0</v>
      </c>
      <c r="GD275" s="1371">
        <f>IF(C275&lt;Summary!$N$84,IF(Summary!$O$75*(H275-G275+1)*0.8&gt;GC275,1,0),0)</f>
        <v>0</v>
      </c>
      <c r="GE275" s="1372">
        <v>0</v>
      </c>
      <c r="GF275" s="1370">
        <f t="shared" si="282"/>
        <v>205783.43272807685</v>
      </c>
      <c r="GG275" s="1371">
        <f>GF275*(IF(Summary!$O$74=1,VLOOKUP($C275,GasTable,16)+Summary!$O$92+Summary!$O$93,VLOOKUP($C275,GasTable,19)+Summary!$O$92+Summary!$O$93))</f>
        <v>816641.1768511713</v>
      </c>
      <c r="GH275" s="1373">
        <v>6070.3418465179657</v>
      </c>
      <c r="GI275" s="1466">
        <v>0</v>
      </c>
      <c r="GJ275" s="1374">
        <f t="shared" si="283"/>
        <v>822711.51869768929</v>
      </c>
      <c r="GK275" s="189">
        <f t="shared" si="254"/>
        <v>26035.973100000003</v>
      </c>
      <c r="GL275" s="266">
        <v>0.52260497943999995</v>
      </c>
      <c r="GM275" s="255">
        <f t="shared" si="255"/>
        <v>0</v>
      </c>
      <c r="GN275" s="189">
        <f>IF(SUM(GU275:HB275)=0,0,IF(Summary!$O$16="Yes",SUM(GX275:HB275),IF(Summary!$O$17="Yes",SUM(GY275:HB275),SUM(GU275:HB275))))</f>
        <v>9547.0731000000014</v>
      </c>
      <c r="GO275" s="203">
        <v>4.4266184591564777</v>
      </c>
      <c r="GP275" s="258">
        <f t="shared" si="284"/>
        <v>42261.250015376259</v>
      </c>
      <c r="GQ275" s="189"/>
      <c r="GR275" s="189"/>
      <c r="GS275" s="189"/>
      <c r="GT275" s="189"/>
      <c r="GU275" s="268">
        <v>3592.9845000000009</v>
      </c>
      <c r="GV275" s="189">
        <v>855.47249999999997</v>
      </c>
      <c r="GW275" s="189">
        <v>855.47249999999997</v>
      </c>
      <c r="GX275" s="189"/>
      <c r="GY275" s="254">
        <v>2874.3875999999996</v>
      </c>
      <c r="GZ275" s="189">
        <v>684.37800000000004</v>
      </c>
      <c r="HA275" s="189">
        <v>684.37800000000004</v>
      </c>
      <c r="HB275" s="255"/>
      <c r="HC275" s="189">
        <v>9547.0731000000014</v>
      </c>
      <c r="HD275" s="189"/>
      <c r="HE275" s="189">
        <v>22276.503900000003</v>
      </c>
      <c r="HF275" s="189">
        <v>585769.21009342221</v>
      </c>
      <c r="HG275" s="189"/>
      <c r="HH275" s="203">
        <v>64.974355225921315</v>
      </c>
      <c r="HI275" s="189">
        <v>1447401.4775902219</v>
      </c>
      <c r="HJ275" s="268">
        <f t="shared" si="256"/>
        <v>0</v>
      </c>
      <c r="HK275" s="189">
        <f t="shared" si="257"/>
        <v>0</v>
      </c>
      <c r="HL275" s="189">
        <f t="shared" si="258"/>
        <v>0</v>
      </c>
      <c r="HM275" s="255">
        <f t="shared" si="259"/>
        <v>0</v>
      </c>
      <c r="HN275" s="189">
        <f t="shared" si="260"/>
        <v>0</v>
      </c>
      <c r="HO275" s="203">
        <f t="shared" si="285"/>
        <v>0</v>
      </c>
      <c r="HP275" s="258">
        <f t="shared" si="261"/>
        <v>0</v>
      </c>
      <c r="HQ275" s="203" t="s">
        <v>1107</v>
      </c>
      <c r="HR275" s="268">
        <f t="shared" si="241"/>
        <v>610869.40990099206</v>
      </c>
      <c r="HS275" s="1408">
        <f>IF(HT275=0,IF(OR(SUMIF(CURVES!$AU$6:$AU$283,$HQ275,CURVES!$BQ$6:$BQ$283)=0,COUNTIF(CURVES!$AU$6:$AU$283,$HQ275)=0),0,SUMIF(CURVES!$AU$6:$AU$283,$HQ275,CURVES!$BQ$6:$BQ$283)/COUNTIF(CURVES!$AU$6:$AU$283,$HQ275)),HT275/HR275)</f>
        <v>4.1238439852219138</v>
      </c>
      <c r="HT275" s="255">
        <f t="shared" si="242"/>
        <v>2519130.141776266</v>
      </c>
      <c r="HU275" s="268">
        <f t="shared" si="243"/>
        <v>0</v>
      </c>
      <c r="HV275" s="1408" t="e">
        <f>IF(HW275=0,0,HW275/Summary!$O$79/HU275)</f>
        <v>#DIV/0!</v>
      </c>
      <c r="HW275" s="255">
        <f t="shared" si="244"/>
        <v>18729.893899427232</v>
      </c>
      <c r="HX275" s="1408">
        <f>IF(OR(SUMIF(CURVES!$AU$6:$AU$283,$HQ275,CURVES!$BQ$6:$BQ$283)=0,COUNTIF(CURVES!$AU$6:$AU$283,$HQ275)=0),0,SUMIF(CURVES!$AU$6:$AU$283,$HQ275,CURVES!$BQ$6:$BQ$283)/COUNTIF(CURVES!$AU$6:$AU$283,$HQ275))</f>
        <v>4.8797641454517029</v>
      </c>
      <c r="HY275" s="1408">
        <f>IF(OR(SUMIF(CURVES!$AU$6:$AU$283,$HQ275,CURVES!$BR$6:$BR$283)=0,COUNTIF(CURVES!$AU$6:$AU$283,$HQ275)=0),0,SUMIF(CURVES!$AU$6:$AU$283,$HQ275,CURVES!$BR$6:$BR$283)/COUNTIF(CURVES!$AU$6:$AU$283,$HQ275))</f>
        <v>3.8408745985140573</v>
      </c>
      <c r="HZ275"/>
      <c r="IA275" s="203"/>
      <c r="IB275" s="203"/>
      <c r="IC275" s="203"/>
      <c r="ID275" s="203"/>
      <c r="IE275" s="203"/>
      <c r="IF275" s="203"/>
      <c r="IG275" s="203"/>
      <c r="IH275" s="203"/>
      <c r="II275" s="203"/>
      <c r="IJ275" s="203"/>
      <c r="IK275" s="203"/>
      <c r="IL275" s="821"/>
      <c r="IM275" s="820"/>
      <c r="IN275" s="820"/>
      <c r="IR275" s="223"/>
    </row>
    <row r="276" spans="1:252" ht="13.8" thickBot="1">
      <c r="A276" t="str">
        <f t="shared" si="262"/>
        <v>2021Q3</v>
      </c>
      <c r="B276">
        <f t="shared" si="263"/>
        <v>2021</v>
      </c>
      <c r="C276" s="49">
        <f t="shared" si="264"/>
        <v>44409</v>
      </c>
      <c r="D276" s="115">
        <f t="shared" si="265"/>
        <v>2021</v>
      </c>
      <c r="E276" s="10">
        <f t="shared" ref="E276:E292" si="288">MONTH(C276)</f>
        <v>8</v>
      </c>
      <c r="F276" s="248" t="str">
        <f t="shared" ref="F276:F292" si="289">IF(G276="","",Holiday(D276,E276))</f>
        <v/>
      </c>
      <c r="G276" s="245">
        <v>44409</v>
      </c>
      <c r="H276" s="251">
        <v>44439</v>
      </c>
      <c r="I276" s="959">
        <f t="shared" si="286"/>
        <v>7.1499999999999994E-2</v>
      </c>
      <c r="J276" s="37">
        <f t="shared" si="266"/>
        <v>0.21673272796511031</v>
      </c>
      <c r="K276" s="1036"/>
      <c r="L276" s="37"/>
      <c r="M276" s="1004">
        <v>0</v>
      </c>
      <c r="N276" s="38">
        <f t="shared" si="246"/>
        <v>0</v>
      </c>
      <c r="O276" s="40">
        <f t="shared" si="246"/>
        <v>0</v>
      </c>
      <c r="P276" s="159">
        <f t="shared" si="234"/>
        <v>0</v>
      </c>
      <c r="Q276" s="38">
        <f t="shared" si="247"/>
        <v>0</v>
      </c>
      <c r="R276" s="40">
        <f t="shared" si="247"/>
        <v>0</v>
      </c>
      <c r="S276" s="38">
        <f t="shared" si="247"/>
        <v>0</v>
      </c>
      <c r="T276" s="38">
        <f t="shared" si="247"/>
        <v>0</v>
      </c>
      <c r="U276" s="38">
        <f t="shared" si="247"/>
        <v>0</v>
      </c>
      <c r="V276" s="159">
        <f t="shared" si="247"/>
        <v>0</v>
      </c>
      <c r="W276" s="38">
        <f t="shared" si="247"/>
        <v>0</v>
      </c>
      <c r="X276" s="39">
        <f t="shared" si="247"/>
        <v>0</v>
      </c>
      <c r="Y276" s="46">
        <v>0</v>
      </c>
      <c r="Z276" s="46">
        <v>0</v>
      </c>
      <c r="AA276" s="47">
        <v>0</v>
      </c>
      <c r="AB276" s="46">
        <v>0</v>
      </c>
      <c r="AC276" s="46">
        <v>0</v>
      </c>
      <c r="AD276" s="47">
        <v>0</v>
      </c>
      <c r="AE276" s="46">
        <v>0</v>
      </c>
      <c r="AF276" s="46">
        <v>0</v>
      </c>
      <c r="AG276" s="47">
        <v>0</v>
      </c>
      <c r="AH276" s="46">
        <v>0</v>
      </c>
      <c r="AI276" s="46">
        <v>0</v>
      </c>
      <c r="AJ276" s="47">
        <v>0</v>
      </c>
      <c r="AK276" s="46">
        <v>0</v>
      </c>
      <c r="AL276" s="46">
        <v>0</v>
      </c>
      <c r="AM276" s="47">
        <v>0</v>
      </c>
      <c r="AN276" s="46">
        <v>0</v>
      </c>
      <c r="AO276" s="46">
        <v>0</v>
      </c>
      <c r="AP276" s="47">
        <v>0</v>
      </c>
      <c r="AQ276" s="46">
        <v>0</v>
      </c>
      <c r="AR276" s="46">
        <v>0</v>
      </c>
      <c r="AS276" s="47">
        <v>0</v>
      </c>
      <c r="AT276" s="46">
        <v>0</v>
      </c>
      <c r="AU276" s="46">
        <v>0</v>
      </c>
      <c r="AV276" s="46">
        <v>0</v>
      </c>
      <c r="AW276" s="1545">
        <v>0</v>
      </c>
      <c r="AX276" s="10">
        <f t="shared" ref="AX276:AX292" si="290">BB276-SUM(AY276:BA276)</f>
        <v>22</v>
      </c>
      <c r="AY276" s="42">
        <f>IF(AND($E276=MONTH(Summary!$E$24),$D276=YEAR(Summary!$E$24)),Summary!$E$25,1)*IF(G276="",0,INT((H276-MOD(H276,7)-G276)/7)+1-IF(BA276,IF(WEEKDAY(F276)=7,1,0),0))</f>
        <v>4</v>
      </c>
      <c r="AZ276" s="42">
        <f>IF(AND($E276=MONTH(Summary!$E$24),$D276=YEAR(Summary!$E$24)),Summary!$E$25,1)*IF(G276="",0,INT((H276-MOD(H276-1,7)-G276)/7)+1-IF(BA276,IF(WEEKDAY(F276)=1,1,0),0))</f>
        <v>5</v>
      </c>
      <c r="BA276" s="42">
        <v>0</v>
      </c>
      <c r="BB276" s="10">
        <f>IF(AND($E276=MONTH(Summary!$E$24),$D276=YEAR(Summary!$E$24)),Summary!$E$25,1)*IF(G276="",0,H276-G276+1)</f>
        <v>31</v>
      </c>
      <c r="BC276" s="914">
        <f>Summary!$E$19</f>
        <v>1.4999999999999999E-2</v>
      </c>
      <c r="BD276" s="113">
        <v>15602.4</v>
      </c>
      <c r="BE276" s="171">
        <v>2836.8</v>
      </c>
      <c r="BF276" s="171">
        <v>3546</v>
      </c>
      <c r="BG276" s="174"/>
      <c r="BH276" s="1198">
        <v>1</v>
      </c>
      <c r="BI276" s="1198">
        <v>1</v>
      </c>
      <c r="BJ276" s="1198">
        <v>1</v>
      </c>
      <c r="BK276" s="1198">
        <v>1</v>
      </c>
      <c r="BL276" s="95">
        <v>3120.48</v>
      </c>
      <c r="BM276" s="171">
        <v>567.36</v>
      </c>
      <c r="BN276" s="171">
        <v>709.2</v>
      </c>
      <c r="BO276" s="174"/>
      <c r="BP276" s="1198">
        <v>1</v>
      </c>
      <c r="BQ276" s="1199">
        <v>1</v>
      </c>
      <c r="BR276" s="1199">
        <v>1</v>
      </c>
      <c r="BS276" s="1200">
        <v>1</v>
      </c>
      <c r="BT276" s="94">
        <f t="shared" si="267"/>
        <v>21985.200000000001</v>
      </c>
      <c r="BU276" s="233">
        <f t="shared" si="268"/>
        <v>21985.200000000001</v>
      </c>
      <c r="BV276" s="92">
        <f t="shared" si="269"/>
        <v>4397.04</v>
      </c>
      <c r="BW276" s="233">
        <f t="shared" si="270"/>
        <v>4397.04</v>
      </c>
      <c r="BX276" s="88">
        <v>21.629021218343599</v>
      </c>
      <c r="BY276" s="90">
        <v>0</v>
      </c>
      <c r="BZ276" s="88">
        <v>0</v>
      </c>
      <c r="CA276" s="88">
        <v>0</v>
      </c>
      <c r="CB276" s="88">
        <v>0</v>
      </c>
      <c r="CC276" s="88">
        <v>0</v>
      </c>
      <c r="CD276" s="88">
        <v>0</v>
      </c>
      <c r="CE276" s="100">
        <v>0</v>
      </c>
      <c r="CF276" s="88">
        <v>0</v>
      </c>
      <c r="CG276" s="88">
        <v>0</v>
      </c>
      <c r="CH276" s="88">
        <v>0</v>
      </c>
      <c r="CI276" s="88">
        <v>0</v>
      </c>
      <c r="CJ276" s="228">
        <v>0</v>
      </c>
      <c r="CK276" s="88">
        <v>0</v>
      </c>
      <c r="CL276" s="88">
        <v>0</v>
      </c>
      <c r="CM276" s="88">
        <v>0</v>
      </c>
      <c r="CN276" s="88">
        <v>0</v>
      </c>
      <c r="CO276" s="88">
        <v>0</v>
      </c>
      <c r="CP276" s="88">
        <v>0</v>
      </c>
      <c r="CQ276" s="229">
        <v>0</v>
      </c>
      <c r="CR276" s="91">
        <v>0</v>
      </c>
      <c r="CS276" s="91">
        <v>0</v>
      </c>
      <c r="CT276" s="91">
        <v>0</v>
      </c>
      <c r="CU276" s="91">
        <v>0</v>
      </c>
      <c r="CV276" s="91">
        <v>0</v>
      </c>
      <c r="CW276" s="91">
        <v>0</v>
      </c>
      <c r="CX276" s="225">
        <v>0</v>
      </c>
      <c r="CY276" s="1265">
        <v>7802.1052799999998</v>
      </c>
      <c r="CZ276" s="90">
        <v>0</v>
      </c>
      <c r="DA276" s="88">
        <v>0</v>
      </c>
      <c r="DB276" s="88">
        <v>0</v>
      </c>
      <c r="DC276" s="88">
        <v>0</v>
      </c>
      <c r="DD276" s="88">
        <v>0</v>
      </c>
      <c r="DE276" s="152">
        <v>0</v>
      </c>
      <c r="DF276" s="230">
        <v>0</v>
      </c>
      <c r="DG276" s="38">
        <v>0</v>
      </c>
      <c r="DH276" s="1237">
        <v>0</v>
      </c>
      <c r="DI276" s="956">
        <v>0</v>
      </c>
      <c r="DJ276" s="956">
        <v>0</v>
      </c>
      <c r="DK276" s="956">
        <v>0</v>
      </c>
      <c r="DL276" s="152">
        <v>0</v>
      </c>
      <c r="DM276" s="160">
        <v>0</v>
      </c>
      <c r="DN276" s="160">
        <v>0</v>
      </c>
      <c r="DO276" s="160">
        <v>0</v>
      </c>
      <c r="DP276" s="160">
        <v>0</v>
      </c>
      <c r="DQ276" s="160">
        <v>0</v>
      </c>
      <c r="DR276" s="230">
        <v>0</v>
      </c>
      <c r="DS276" s="88">
        <v>0</v>
      </c>
      <c r="DT276" s="88">
        <v>0</v>
      </c>
      <c r="DU276" s="88">
        <v>0</v>
      </c>
      <c r="DV276" s="88">
        <v>0</v>
      </c>
      <c r="DW276" s="88">
        <v>0</v>
      </c>
      <c r="DX276" s="88">
        <v>0</v>
      </c>
      <c r="DY276" s="88">
        <v>0</v>
      </c>
      <c r="DZ276" s="88">
        <v>0</v>
      </c>
      <c r="EA276" s="88">
        <v>0</v>
      </c>
      <c r="EB276" s="152">
        <v>0</v>
      </c>
      <c r="EC276" s="52">
        <f t="shared" si="271"/>
        <v>0</v>
      </c>
      <c r="ED276" s="52">
        <f t="shared" si="271"/>
        <v>0</v>
      </c>
      <c r="EE276" s="52">
        <f t="shared" si="271"/>
        <v>0</v>
      </c>
      <c r="EF276" s="52">
        <f t="shared" si="271"/>
        <v>0</v>
      </c>
      <c r="EG276" s="52">
        <f t="shared" si="272"/>
        <v>0</v>
      </c>
      <c r="EH276" s="238">
        <v>0</v>
      </c>
      <c r="EI276" s="211">
        <v>0</v>
      </c>
      <c r="EJ276" s="211">
        <v>0</v>
      </c>
      <c r="EK276" s="211">
        <v>0</v>
      </c>
      <c r="EL276" s="217">
        <f>IF(C276&gt;=Summary!$E$26,MAX(0,SUM(EH276:EK276)),0)</f>
        <v>0</v>
      </c>
      <c r="EM276" s="52">
        <f>IF(C276&gt;=Summary!$E$26,DX276*BL276,0)</f>
        <v>0</v>
      </c>
      <c r="EN276" s="52">
        <f>IF(C276&gt;=Summary!$E$26,DY276*BM276,0)</f>
        <v>0</v>
      </c>
      <c r="EO276" s="52">
        <f>IF(C276&gt;=Summary!$E$26,DZ276*BN276,0)</f>
        <v>0</v>
      </c>
      <c r="EP276" s="52">
        <f>IF(C276&gt;=Summary!$E$26,EA276*BO276,0)</f>
        <v>0</v>
      </c>
      <c r="EQ276" s="52">
        <f>IF(C276&gt;=Summary!$E$26,DX276*BL276+DY276*BM276+DZ276*BN276+EA276*BO276,0)</f>
        <v>0</v>
      </c>
      <c r="ER276" s="826">
        <v>0</v>
      </c>
      <c r="ES276" s="278">
        <v>0</v>
      </c>
      <c r="ET276" s="278">
        <v>0</v>
      </c>
      <c r="EU276" s="278">
        <v>0</v>
      </c>
      <c r="EV276" s="212">
        <f>IF(C276&gt;=Summary!$E$26,MAX(0,SUM(ER276:EU276)),0)</f>
        <v>0</v>
      </c>
      <c r="EW276" s="52"/>
      <c r="EX276" s="1049">
        <f t="shared" si="273"/>
        <v>0</v>
      </c>
      <c r="EY276" s="1045" t="str">
        <f t="shared" si="274"/>
        <v/>
      </c>
      <c r="EZ276" s="1684" t="s">
        <v>525</v>
      </c>
      <c r="FA276" s="1046">
        <f t="shared" si="287"/>
        <v>45</v>
      </c>
      <c r="FB276" s="256">
        <f t="shared" si="275"/>
        <v>11701.8</v>
      </c>
      <c r="FC276" s="194">
        <f t="shared" si="276"/>
        <v>0</v>
      </c>
      <c r="FD276" s="194">
        <f t="shared" si="277"/>
        <v>2127.6</v>
      </c>
      <c r="FE276" s="194">
        <f t="shared" si="278"/>
        <v>0</v>
      </c>
      <c r="FF276" s="194">
        <f t="shared" si="279"/>
        <v>2659.5</v>
      </c>
      <c r="FG276" s="194">
        <f t="shared" si="280"/>
        <v>0</v>
      </c>
      <c r="FH276" s="257">
        <f>IF(EZ276="No",IF((OR(MONTH(C276)=5,MONTH(C276)=6,MONTH(C276)=7,MONTH(C276)=8,MONTH(C276)=9)),Summary!$O$15*12*(AX276+AY276+AZ276+BA276)*(1-$BC276),Summary!$O$15*13*(AX276+AY276+AZ276+BA276)*(1-$BC276)+IF(Summary!$O$16="Yes",(CALC!FA276+Summary!$O$15)*6*(AX276+AY276+AZ276+BA276)*(1-$BC276),0)),0)</f>
        <v>0</v>
      </c>
      <c r="FI276" s="1412">
        <f>IF(MONTH(C276)=5,FI275*(IF(Summary!$E$70="no",(1+(Summary!$E$71*0.8)),1+HLOOKUP(YEAR(C276)-1,CCFMODEL!$I$127:$AF$128,2)*0.8)),+FI275)</f>
        <v>44.825249700897849</v>
      </c>
      <c r="FJ276" s="1411">
        <f>IF(MONTH(C276)=5,FJ275*(IF(Summary!$E$70="no",(1+(Summary!$E$71*0.8)),1+HLOOKUP(YEAR(CALC!C276)-1,CCFMODEL!$I$127:$AF$128,2)*0.8)),FJ275)</f>
        <v>39.177974148028831</v>
      </c>
      <c r="FK276" s="832">
        <f t="shared" si="248"/>
        <v>739119.05979313457</v>
      </c>
      <c r="FL276" s="1412">
        <f>IF(MONTH(C276)=5,FL275*(IF(Summary!$E$70="no",(1+(Summary!$E$71*0.8)),1+HLOOKUP(YEAR(CALC!C276)-1,CCFMODEL!$I$127:$AF$128,2)*0.8)),+FL275)</f>
        <v>94.272525523935471</v>
      </c>
      <c r="FM276" s="1411">
        <f>IF(MONTH(C276)=5,FM275*(IF(Summary!$E$70="no",(1+(Summary!$E$71*0.8)),1+HLOOKUP(YEAR(CALC!C276)-1,CCFMODEL!$I$127:$AF$128,2)*0.8)),+FM275)</f>
        <v>44.993323378066563</v>
      </c>
      <c r="FN276" s="832">
        <f t="shared" si="249"/>
        <v>1578122.0772706799</v>
      </c>
      <c r="FO276" s="194">
        <f t="shared" si="281"/>
        <v>2317241.1370638143</v>
      </c>
      <c r="FP276" s="263">
        <f t="shared" si="238"/>
        <v>11701.8</v>
      </c>
      <c r="FQ276" s="194">
        <f t="shared" si="238"/>
        <v>0</v>
      </c>
      <c r="FR276" s="194">
        <f t="shared" si="238"/>
        <v>2127.6</v>
      </c>
      <c r="FS276" s="194">
        <f t="shared" si="238"/>
        <v>0</v>
      </c>
      <c r="FT276" s="194">
        <f t="shared" si="238"/>
        <v>2659.5</v>
      </c>
      <c r="FU276" s="194">
        <f t="shared" si="238"/>
        <v>0</v>
      </c>
      <c r="FV276" s="257">
        <f t="shared" si="238"/>
        <v>0</v>
      </c>
      <c r="FW276" s="189">
        <f t="shared" si="250"/>
        <v>0</v>
      </c>
      <c r="FX276" s="189">
        <f t="shared" si="251"/>
        <v>0</v>
      </c>
      <c r="FY276" s="189">
        <f t="shared" si="252"/>
        <v>0</v>
      </c>
      <c r="FZ276" s="258">
        <f t="shared" si="253"/>
        <v>0</v>
      </c>
      <c r="GA276" s="1294">
        <f>(SUM(FP276:FV276)+SUM(GU276:HB276)/(1-Summary!$O$25))*CY276/1000</f>
        <v>205837.01400222722</v>
      </c>
      <c r="GB276" s="1369">
        <f>IF($C276&lt;Summary!$M$81,+Summary!$O$81,VLOOKUP(C276,GasTable,19))</f>
        <v>4.0641372211610394</v>
      </c>
      <c r="GC276" s="1370">
        <f>IF(H276&lt;=Summary!$N$84,MIN(GA276,Summary!$O$75*(H276-G276+1)),0)</f>
        <v>0</v>
      </c>
      <c r="GD276" s="1371">
        <f>IF(C276&lt;Summary!$N$84,IF(Summary!$O$75*(H276-G276+1)*0.8&gt;GC276,1,0),0)</f>
        <v>0</v>
      </c>
      <c r="GE276" s="1372">
        <v>0</v>
      </c>
      <c r="GF276" s="1370">
        <f t="shared" si="282"/>
        <v>205837.01400222722</v>
      </c>
      <c r="GG276" s="1371">
        <f>GF276*(IF(Summary!$O$74=1,VLOOKUP($C276,GasTable,16)+Summary!$O$92+Summary!$O$93,VLOOKUP($C276,GasTable,19)+Summary!$O$92+Summary!$O$93))</f>
        <v>847273.97852861381</v>
      </c>
      <c r="GH276" s="1373">
        <v>6299.4126927996112</v>
      </c>
      <c r="GI276" s="1466">
        <v>0</v>
      </c>
      <c r="GJ276" s="1374">
        <f t="shared" si="283"/>
        <v>853573.39122141339</v>
      </c>
      <c r="GK276" s="189">
        <f t="shared" si="254"/>
        <v>26035.973100000007</v>
      </c>
      <c r="GL276" s="266">
        <v>0.52274105376000002</v>
      </c>
      <c r="GM276" s="255">
        <f t="shared" si="255"/>
        <v>0</v>
      </c>
      <c r="GN276" s="189">
        <f>IF(SUM(GU276:HB276)=0,0,IF(Summary!$O$16="Yes",SUM(GX276:HB276),IF(Summary!$O$17="Yes",SUM(GY276:HB276),SUM(GU276:HB276))))</f>
        <v>9547.0730999999996</v>
      </c>
      <c r="GO276" s="203">
        <v>4.4266184591564777</v>
      </c>
      <c r="GP276" s="258">
        <f t="shared" si="284"/>
        <v>42261.250015376252</v>
      </c>
      <c r="GQ276" s="189"/>
      <c r="GR276" s="189"/>
      <c r="GS276" s="189"/>
      <c r="GT276" s="189"/>
      <c r="GU276" s="268">
        <v>3764.0790000000002</v>
      </c>
      <c r="GV276" s="189">
        <v>684.37800000000027</v>
      </c>
      <c r="GW276" s="189">
        <v>855.47249999999997</v>
      </c>
      <c r="GX276" s="189"/>
      <c r="GY276" s="254">
        <v>3011.2631999999999</v>
      </c>
      <c r="GZ276" s="189">
        <v>547.50239999999997</v>
      </c>
      <c r="HA276" s="189">
        <v>684.37800000000004</v>
      </c>
      <c r="HB276" s="255"/>
      <c r="HC276" s="189">
        <v>9547.0730999999996</v>
      </c>
      <c r="HD276" s="189"/>
      <c r="HE276" s="189">
        <v>22276.5039</v>
      </c>
      <c r="HF276" s="189">
        <v>712352.86458808812</v>
      </c>
      <c r="HG276" s="189"/>
      <c r="HH276" s="203">
        <v>78.562172357521831</v>
      </c>
      <c r="HI276" s="189">
        <v>1750090.5389148071</v>
      </c>
      <c r="HJ276" s="268">
        <f t="shared" si="256"/>
        <v>0</v>
      </c>
      <c r="HK276" s="189">
        <f t="shared" si="257"/>
        <v>0</v>
      </c>
      <c r="HL276" s="189">
        <f t="shared" si="258"/>
        <v>0</v>
      </c>
      <c r="HM276" s="255">
        <f t="shared" si="259"/>
        <v>0</v>
      </c>
      <c r="HN276" s="189">
        <f t="shared" si="260"/>
        <v>0</v>
      </c>
      <c r="HO276" s="203">
        <f t="shared" si="285"/>
        <v>0</v>
      </c>
      <c r="HP276" s="258">
        <f t="shared" si="261"/>
        <v>0</v>
      </c>
      <c r="HQ276" s="203" t="s">
        <v>1108</v>
      </c>
      <c r="HR276" s="268">
        <f t="shared" si="241"/>
        <v>706871.33834194078</v>
      </c>
      <c r="HS276" s="1408">
        <f>IF(HT276=0,IF(OR(SUMIF(CURVES!$AU$6:$AU$283,$HQ276,CURVES!$BQ$6:$BQ$283)=0,COUNTIF(CURVES!$AU$6:$AU$283,$HQ276)=0),0,SUMIF(CURVES!$AU$6:$AU$283,$HQ276,CURVES!$BQ$6:$BQ$283)/COUNTIF(CURVES!$AU$6:$AU$283,$HQ276)),HT276/HR276)</f>
        <v>4.6699872814197461</v>
      </c>
      <c r="HT276" s="255">
        <f t="shared" si="242"/>
        <v>3301080.1596570173</v>
      </c>
      <c r="HU276" s="268">
        <f t="shared" si="243"/>
        <v>0</v>
      </c>
      <c r="HV276" s="1408" t="e">
        <f>IF(HW276=0,0,HW276/Summary!$O$79/HU276)</f>
        <v>#DIV/0!</v>
      </c>
      <c r="HW276" s="255">
        <f t="shared" si="244"/>
        <v>21242.127453838755</v>
      </c>
      <c r="HX276" s="1408">
        <f>IF(OR(SUMIF(CURVES!$AU$6:$AU$283,$HQ276,CURVES!$BQ$6:$BQ$283)=0,COUNTIF(CURVES!$AU$6:$AU$283,$HQ276)=0),0,SUMIF(CURVES!$AU$6:$AU$283,$HQ276,CURVES!$BQ$6:$BQ$283)/COUNTIF(CURVES!$AU$6:$AU$283,$HQ276))</f>
        <v>5.4592304138843843</v>
      </c>
      <c r="HY276" s="1408">
        <f>IF(OR(SUMIF(CURVES!$AU$6:$AU$283,$HQ276,CURVES!$BR$6:$BR$283)=0,COUNTIF(CURVES!$AU$6:$AU$283,$HQ276)=0),0,SUMIF(CURVES!$AU$6:$AU$283,$HQ276,CURVES!$BR$6:$BR$283)/COUNTIF(CURVES!$AU$6:$AU$283,$HQ276))</f>
        <v>4.1572141183856726</v>
      </c>
      <c r="HZ276"/>
      <c r="IA276" s="203"/>
      <c r="IB276" s="203"/>
      <c r="IC276" s="203"/>
      <c r="ID276" s="203"/>
      <c r="IE276" s="203"/>
      <c r="IF276" s="203"/>
      <c r="IG276" s="203"/>
      <c r="IH276" s="203"/>
      <c r="II276" s="203"/>
      <c r="IJ276" s="203"/>
      <c r="IK276" s="203"/>
      <c r="IL276" s="821"/>
      <c r="IM276" s="820"/>
      <c r="IN276" s="820"/>
      <c r="IR276" s="223"/>
    </row>
    <row r="277" spans="1:252" ht="13.8" thickBot="1">
      <c r="A277" t="str">
        <f t="shared" si="262"/>
        <v>2021Q3</v>
      </c>
      <c r="B277">
        <f t="shared" si="263"/>
        <v>2021</v>
      </c>
      <c r="C277" s="49">
        <f t="shared" si="264"/>
        <v>44440</v>
      </c>
      <c r="D277" s="115">
        <f t="shared" si="265"/>
        <v>2021</v>
      </c>
      <c r="E277" s="10">
        <f t="shared" si="288"/>
        <v>9</v>
      </c>
      <c r="F277" s="248">
        <f t="shared" si="289"/>
        <v>44445</v>
      </c>
      <c r="G277" s="245">
        <v>44440</v>
      </c>
      <c r="H277" s="251">
        <v>44469</v>
      </c>
      <c r="I277" s="959">
        <f t="shared" si="286"/>
        <v>7.1499999999999994E-2</v>
      </c>
      <c r="J277" s="37">
        <f t="shared" si="266"/>
        <v>0.21548574821306712</v>
      </c>
      <c r="K277" s="1036"/>
      <c r="L277" s="37"/>
      <c r="M277" s="1004">
        <v>0</v>
      </c>
      <c r="N277" s="38">
        <f t="shared" si="246"/>
        <v>0</v>
      </c>
      <c r="O277" s="40">
        <f t="shared" si="246"/>
        <v>0</v>
      </c>
      <c r="P277" s="159">
        <f t="shared" si="234"/>
        <v>0</v>
      </c>
      <c r="Q277" s="38">
        <f t="shared" si="247"/>
        <v>0</v>
      </c>
      <c r="R277" s="40">
        <f t="shared" si="247"/>
        <v>0</v>
      </c>
      <c r="S277" s="38">
        <f t="shared" si="247"/>
        <v>0</v>
      </c>
      <c r="T277" s="38">
        <f t="shared" si="247"/>
        <v>0</v>
      </c>
      <c r="U277" s="38">
        <f t="shared" si="247"/>
        <v>0</v>
      </c>
      <c r="V277" s="159">
        <f t="shared" si="247"/>
        <v>0</v>
      </c>
      <c r="W277" s="38">
        <f t="shared" si="247"/>
        <v>0</v>
      </c>
      <c r="X277" s="39">
        <f t="shared" si="247"/>
        <v>0</v>
      </c>
      <c r="Y277" s="46">
        <v>0</v>
      </c>
      <c r="Z277" s="46">
        <v>0</v>
      </c>
      <c r="AA277" s="47">
        <v>0</v>
      </c>
      <c r="AB277" s="46">
        <v>0</v>
      </c>
      <c r="AC277" s="46">
        <v>0</v>
      </c>
      <c r="AD277" s="47">
        <v>0</v>
      </c>
      <c r="AE277" s="46">
        <v>0</v>
      </c>
      <c r="AF277" s="46">
        <v>0</v>
      </c>
      <c r="AG277" s="47">
        <v>0</v>
      </c>
      <c r="AH277" s="46">
        <v>0</v>
      </c>
      <c r="AI277" s="46">
        <v>0</v>
      </c>
      <c r="AJ277" s="47">
        <v>0</v>
      </c>
      <c r="AK277" s="46">
        <v>0</v>
      </c>
      <c r="AL277" s="46">
        <v>0</v>
      </c>
      <c r="AM277" s="47">
        <v>0</v>
      </c>
      <c r="AN277" s="46">
        <v>0</v>
      </c>
      <c r="AO277" s="46">
        <v>0</v>
      </c>
      <c r="AP277" s="47">
        <v>0</v>
      </c>
      <c r="AQ277" s="46">
        <v>0</v>
      </c>
      <c r="AR277" s="46">
        <v>0</v>
      </c>
      <c r="AS277" s="47">
        <v>0</v>
      </c>
      <c r="AT277" s="46">
        <v>0</v>
      </c>
      <c r="AU277" s="46">
        <v>0</v>
      </c>
      <c r="AV277" s="46">
        <v>0</v>
      </c>
      <c r="AW277" s="1545">
        <v>0</v>
      </c>
      <c r="AX277" s="10">
        <f t="shared" si="290"/>
        <v>21</v>
      </c>
      <c r="AY277" s="42">
        <f>IF(AND($E277=MONTH(Summary!$E$24),$D277=YEAR(Summary!$E$24)),Summary!$E$25,1)*IF(G277="",0,INT((H277-MOD(H277,7)-G277)/7)+1-IF(BA277,IF(WEEKDAY(F277)=7,1,0),0))</f>
        <v>4</v>
      </c>
      <c r="AZ277" s="42">
        <f>IF(AND($E277=MONTH(Summary!$E$24),$D277=YEAR(Summary!$E$24)),Summary!$E$25,1)*IF(G277="",0,INT((H277-MOD(H277-1,7)-G277)/7)+1-IF(BA277,IF(WEEKDAY(F277)=1,1,0),0))</f>
        <v>4</v>
      </c>
      <c r="BA277" s="42">
        <v>1</v>
      </c>
      <c r="BB277" s="10">
        <f>IF(AND($E277=MONTH(Summary!$E$24),$D277=YEAR(Summary!$E$24)),Summary!$E$25,1)*IF(G277="",0,H277-G277+1)</f>
        <v>30</v>
      </c>
      <c r="BC277" s="914">
        <f>Summary!$E$19</f>
        <v>1.4999999999999999E-2</v>
      </c>
      <c r="BD277" s="113">
        <v>14893.2</v>
      </c>
      <c r="BE277" s="171">
        <v>2836.8</v>
      </c>
      <c r="BF277" s="171">
        <v>3546</v>
      </c>
      <c r="BG277" s="174"/>
      <c r="BH277" s="1198">
        <v>1</v>
      </c>
      <c r="BI277" s="1198">
        <v>1</v>
      </c>
      <c r="BJ277" s="1198">
        <v>1</v>
      </c>
      <c r="BK277" s="1198">
        <v>1</v>
      </c>
      <c r="BL277" s="95">
        <v>2978.64</v>
      </c>
      <c r="BM277" s="171">
        <v>567.36</v>
      </c>
      <c r="BN277" s="171">
        <v>709.2</v>
      </c>
      <c r="BO277" s="174"/>
      <c r="BP277" s="1198">
        <v>1</v>
      </c>
      <c r="BQ277" s="1199">
        <v>1</v>
      </c>
      <c r="BR277" s="1199">
        <v>1</v>
      </c>
      <c r="BS277" s="1200">
        <v>1</v>
      </c>
      <c r="BT277" s="94">
        <f t="shared" si="267"/>
        <v>21276</v>
      </c>
      <c r="BU277" s="233">
        <f t="shared" si="268"/>
        <v>21276</v>
      </c>
      <c r="BV277" s="92">
        <f t="shared" si="269"/>
        <v>4255.2</v>
      </c>
      <c r="BW277" s="233">
        <f t="shared" si="270"/>
        <v>4255.2</v>
      </c>
      <c r="BX277" s="88">
        <v>21.713894592744694</v>
      </c>
      <c r="BY277" s="90">
        <v>0</v>
      </c>
      <c r="BZ277" s="88">
        <v>0</v>
      </c>
      <c r="CA277" s="88">
        <v>0</v>
      </c>
      <c r="CB277" s="88">
        <v>0</v>
      </c>
      <c r="CC277" s="88">
        <v>0</v>
      </c>
      <c r="CD277" s="88">
        <v>0</v>
      </c>
      <c r="CE277" s="100">
        <v>0</v>
      </c>
      <c r="CF277" s="88">
        <v>0</v>
      </c>
      <c r="CG277" s="88">
        <v>0</v>
      </c>
      <c r="CH277" s="88">
        <v>0</v>
      </c>
      <c r="CI277" s="88">
        <v>0</v>
      </c>
      <c r="CJ277" s="228">
        <v>0</v>
      </c>
      <c r="CK277" s="88">
        <v>0</v>
      </c>
      <c r="CL277" s="88">
        <v>0</v>
      </c>
      <c r="CM277" s="88">
        <v>0</v>
      </c>
      <c r="CN277" s="88">
        <v>0</v>
      </c>
      <c r="CO277" s="88">
        <v>0</v>
      </c>
      <c r="CP277" s="88">
        <v>0</v>
      </c>
      <c r="CQ277" s="229">
        <v>0</v>
      </c>
      <c r="CR277" s="91">
        <v>0</v>
      </c>
      <c r="CS277" s="91">
        <v>0</v>
      </c>
      <c r="CT277" s="91">
        <v>0</v>
      </c>
      <c r="CU277" s="91">
        <v>0</v>
      </c>
      <c r="CV277" s="91">
        <v>0</v>
      </c>
      <c r="CW277" s="91">
        <v>0</v>
      </c>
      <c r="CX277" s="225">
        <v>0</v>
      </c>
      <c r="CY277" s="1265">
        <v>7804.1362400000007</v>
      </c>
      <c r="CZ277" s="90">
        <v>0</v>
      </c>
      <c r="DA277" s="88">
        <v>0</v>
      </c>
      <c r="DB277" s="88">
        <v>0</v>
      </c>
      <c r="DC277" s="88">
        <v>0</v>
      </c>
      <c r="DD277" s="88">
        <v>0</v>
      </c>
      <c r="DE277" s="152">
        <v>0</v>
      </c>
      <c r="DF277" s="230">
        <v>0</v>
      </c>
      <c r="DG277" s="38">
        <v>0</v>
      </c>
      <c r="DH277" s="1237">
        <v>0</v>
      </c>
      <c r="DI277" s="956">
        <v>0</v>
      </c>
      <c r="DJ277" s="956">
        <v>0</v>
      </c>
      <c r="DK277" s="956">
        <v>0</v>
      </c>
      <c r="DL277" s="152">
        <v>0</v>
      </c>
      <c r="DM277" s="160">
        <v>0</v>
      </c>
      <c r="DN277" s="160">
        <v>0</v>
      </c>
      <c r="DO277" s="160">
        <v>0</v>
      </c>
      <c r="DP277" s="160">
        <v>0</v>
      </c>
      <c r="DQ277" s="160">
        <v>0</v>
      </c>
      <c r="DR277" s="230">
        <v>0</v>
      </c>
      <c r="DS277" s="88">
        <v>0</v>
      </c>
      <c r="DT277" s="88">
        <v>0</v>
      </c>
      <c r="DU277" s="88">
        <v>0</v>
      </c>
      <c r="DV277" s="88">
        <v>0</v>
      </c>
      <c r="DW277" s="88">
        <v>0</v>
      </c>
      <c r="DX277" s="88">
        <v>0</v>
      </c>
      <c r="DY277" s="88">
        <v>0</v>
      </c>
      <c r="DZ277" s="88">
        <v>0</v>
      </c>
      <c r="EA277" s="88">
        <v>0</v>
      </c>
      <c r="EB277" s="152">
        <v>0</v>
      </c>
      <c r="EC277" s="52">
        <f t="shared" si="271"/>
        <v>0</v>
      </c>
      <c r="ED277" s="52">
        <f t="shared" si="271"/>
        <v>0</v>
      </c>
      <c r="EE277" s="52">
        <f t="shared" si="271"/>
        <v>0</v>
      </c>
      <c r="EF277" s="52">
        <f t="shared" si="271"/>
        <v>0</v>
      </c>
      <c r="EG277" s="52">
        <f t="shared" si="272"/>
        <v>0</v>
      </c>
      <c r="EH277" s="238">
        <v>0</v>
      </c>
      <c r="EI277" s="211">
        <v>0</v>
      </c>
      <c r="EJ277" s="211">
        <v>0</v>
      </c>
      <c r="EK277" s="211">
        <v>0</v>
      </c>
      <c r="EL277" s="217">
        <f>IF(C277&gt;=Summary!$E$26,MAX(0,SUM(EH277:EK277)),0)</f>
        <v>0</v>
      </c>
      <c r="EM277" s="52">
        <f>IF(C277&gt;=Summary!$E$26,DX277*BL277,0)</f>
        <v>0</v>
      </c>
      <c r="EN277" s="52">
        <f>IF(C277&gt;=Summary!$E$26,DY277*BM277,0)</f>
        <v>0</v>
      </c>
      <c r="EO277" s="52">
        <f>IF(C277&gt;=Summary!$E$26,DZ277*BN277,0)</f>
        <v>0</v>
      </c>
      <c r="EP277" s="52">
        <f>IF(C277&gt;=Summary!$E$26,EA277*BO277,0)</f>
        <v>0</v>
      </c>
      <c r="EQ277" s="52">
        <f>IF(C277&gt;=Summary!$E$26,DX277*BL277+DY277*BM277+DZ277*BN277+EA277*BO277,0)</f>
        <v>0</v>
      </c>
      <c r="ER277" s="826">
        <v>0</v>
      </c>
      <c r="ES277" s="278">
        <v>0</v>
      </c>
      <c r="ET277" s="278">
        <v>0</v>
      </c>
      <c r="EU277" s="278">
        <v>0</v>
      </c>
      <c r="EV277" s="212">
        <f>IF(C277&gt;=Summary!$E$26,MAX(0,SUM(ER277:EU277)),0)</f>
        <v>0</v>
      </c>
      <c r="EW277" s="52"/>
      <c r="EX277" s="1049">
        <f t="shared" si="273"/>
        <v>0</v>
      </c>
      <c r="EY277" s="1045" t="str">
        <f t="shared" si="274"/>
        <v/>
      </c>
      <c r="EZ277" s="1684" t="s">
        <v>525</v>
      </c>
      <c r="FA277" s="1046">
        <f t="shared" si="287"/>
        <v>45</v>
      </c>
      <c r="FB277" s="256">
        <f t="shared" si="275"/>
        <v>11169.9</v>
      </c>
      <c r="FC277" s="194">
        <f t="shared" si="276"/>
        <v>0</v>
      </c>
      <c r="FD277" s="194">
        <f t="shared" si="277"/>
        <v>2127.6</v>
      </c>
      <c r="FE277" s="194">
        <f t="shared" si="278"/>
        <v>0</v>
      </c>
      <c r="FF277" s="194">
        <f t="shared" si="279"/>
        <v>2659.5</v>
      </c>
      <c r="FG277" s="194">
        <f t="shared" si="280"/>
        <v>0</v>
      </c>
      <c r="FH277" s="257">
        <f>IF(EZ277="No",IF((OR(MONTH(C277)=5,MONTH(C277)=6,MONTH(C277)=7,MONTH(C277)=8,MONTH(C277)=9)),Summary!$O$15*12*(AX277+AY277+AZ277+BA277)*(1-$BC277),Summary!$O$15*13*(AX277+AY277+AZ277+BA277)*(1-$BC277)+IF(Summary!$O$16="Yes",(CALC!FA277+Summary!$O$15)*6*(AX277+AY277+AZ277+BA277)*(1-$BC277),0)),0)</f>
        <v>0</v>
      </c>
      <c r="FI277" s="1412">
        <f>IF(MONTH(C277)=5,FI276*(IF(Summary!$E$70="no",(1+(Summary!$E$71*0.8)),1+HLOOKUP(YEAR(C277)-1,CCFMODEL!$I$127:$AF$128,2)*0.8)),+FI276)</f>
        <v>44.825249700897849</v>
      </c>
      <c r="FJ277" s="1411">
        <f>IF(MONTH(C277)=5,FJ276*(IF(Summary!$E$70="no",(1+(Summary!$E$71*0.8)),1+HLOOKUP(YEAR(CALC!C277)-1,CCFMODEL!$I$127:$AF$128,2)*0.8)),FJ276)</f>
        <v>39.177974148028831</v>
      </c>
      <c r="FK277" s="832">
        <f t="shared" si="248"/>
        <v>715276.50947722699</v>
      </c>
      <c r="FL277" s="1412">
        <f>IF(MONTH(C277)=5,FL276*(IF(Summary!$E$70="no",(1+(Summary!$E$71*0.8)),1+HLOOKUP(YEAR(CALC!C277)-1,CCFMODEL!$I$127:$AF$128,2)*0.8)),+FL276)</f>
        <v>94.272525523935471</v>
      </c>
      <c r="FM277" s="1411">
        <f>IF(MONTH(C277)=5,FM276*(IF(Summary!$E$70="no",(1+(Summary!$E$71*0.8)),1+HLOOKUP(YEAR(CALC!C277)-1,CCFMODEL!$I$127:$AF$128,2)*0.8)),+FM276)</f>
        <v>44.993323378066563</v>
      </c>
      <c r="FN277" s="832">
        <f t="shared" si="249"/>
        <v>1527214.9134877545</v>
      </c>
      <c r="FO277" s="194">
        <f t="shared" si="281"/>
        <v>2242491.4229649818</v>
      </c>
      <c r="FP277" s="263">
        <f t="shared" si="238"/>
        <v>11169.9</v>
      </c>
      <c r="FQ277" s="194">
        <f t="shared" si="238"/>
        <v>0</v>
      </c>
      <c r="FR277" s="194">
        <f t="shared" si="238"/>
        <v>2127.6</v>
      </c>
      <c r="FS277" s="194">
        <f t="shared" ref="FS277:FV292" si="291">FE277</f>
        <v>0</v>
      </c>
      <c r="FT277" s="194">
        <f t="shared" si="291"/>
        <v>2659.5</v>
      </c>
      <c r="FU277" s="194">
        <f t="shared" si="291"/>
        <v>0</v>
      </c>
      <c r="FV277" s="257">
        <f t="shared" si="291"/>
        <v>0</v>
      </c>
      <c r="FW277" s="189">
        <f t="shared" si="250"/>
        <v>0</v>
      </c>
      <c r="FX277" s="189">
        <f t="shared" si="251"/>
        <v>0</v>
      </c>
      <c r="FY277" s="189">
        <f t="shared" si="252"/>
        <v>0</v>
      </c>
      <c r="FZ277" s="258">
        <f t="shared" si="253"/>
        <v>0</v>
      </c>
      <c r="GA277" s="1294">
        <f>(SUM(FP277:FV277)+SUM(GU277:HB277)/(1-Summary!$O$25))*CY277/1000</f>
        <v>199248.96317068805</v>
      </c>
      <c r="GB277" s="1369">
        <f>IF($C277&lt;Summary!$M$81,+Summary!$O$81,VLOOKUP(C277,GasTable,19))</f>
        <v>4.2400929067397701</v>
      </c>
      <c r="GC277" s="1370">
        <f>IF(H277&lt;=Summary!$N$84,MIN(GA277,Summary!$O$75*(H277-G277+1)),0)</f>
        <v>0</v>
      </c>
      <c r="GD277" s="1371">
        <f>IF(C277&lt;Summary!$N$84,IF(Summary!$O$75*(H277-G277+1)*0.8&gt;GC277,1,0),0)</f>
        <v>0</v>
      </c>
      <c r="GE277" s="1372">
        <v>0</v>
      </c>
      <c r="GF277" s="1370">
        <f t="shared" si="282"/>
        <v>199248.96317068805</v>
      </c>
      <c r="GG277" s="1371">
        <f>GF277*(IF(Summary!$O$74=1,VLOOKUP($C277,GasTable,16)+Summary!$O$92+Summary!$O$93,VLOOKUP($C277,GasTable,19)+Summary!$O$92+Summary!$O$93))</f>
        <v>855214.98639648093</v>
      </c>
      <c r="GH277" s="1373">
        <v>6360.1393601096552</v>
      </c>
      <c r="GI277" s="1466">
        <v>0</v>
      </c>
      <c r="GJ277" s="1374">
        <f t="shared" si="283"/>
        <v>861575.12575659063</v>
      </c>
      <c r="GK277" s="189">
        <f t="shared" si="254"/>
        <v>25196.103000000003</v>
      </c>
      <c r="GL277" s="266">
        <v>0.52287712808000009</v>
      </c>
      <c r="GM277" s="255">
        <f t="shared" si="255"/>
        <v>0</v>
      </c>
      <c r="GN277" s="189">
        <f>IF(SUM(GU277:HB277)=0,0,IF(Summary!$O$16="Yes",SUM(GX277:HB277),IF(Summary!$O$17="Yes",SUM(GY277:HB277),SUM(GU277:HB277))))</f>
        <v>9239.103000000001</v>
      </c>
      <c r="GO277" s="203">
        <v>4.4266184591564777</v>
      </c>
      <c r="GP277" s="258">
        <f t="shared" si="284"/>
        <v>40897.983885847992</v>
      </c>
      <c r="GQ277" s="189"/>
      <c r="GR277" s="189"/>
      <c r="GS277" s="189"/>
      <c r="GT277" s="189"/>
      <c r="GU277" s="268">
        <v>3592.9845000000009</v>
      </c>
      <c r="GV277" s="189">
        <v>684.37800000000027</v>
      </c>
      <c r="GW277" s="189">
        <v>855.47249999999997</v>
      </c>
      <c r="GX277" s="189"/>
      <c r="GY277" s="254">
        <v>2874.3875999999996</v>
      </c>
      <c r="GZ277" s="189">
        <v>547.50239999999997</v>
      </c>
      <c r="HA277" s="189">
        <v>684.37800000000004</v>
      </c>
      <c r="HB277" s="255"/>
      <c r="HC277" s="189">
        <v>9239.103000000001</v>
      </c>
      <c r="HD277" s="189"/>
      <c r="HE277" s="189">
        <v>21557.906999999999</v>
      </c>
      <c r="HF277" s="189">
        <v>621771.80213157064</v>
      </c>
      <c r="HG277" s="189"/>
      <c r="HH277" s="203">
        <v>69.851253201144999</v>
      </c>
      <c r="HI277" s="189">
        <v>1505846.8203437361</v>
      </c>
      <c r="HJ277" s="268">
        <f t="shared" si="256"/>
        <v>0</v>
      </c>
      <c r="HK277" s="189">
        <f t="shared" si="257"/>
        <v>0</v>
      </c>
      <c r="HL277" s="189">
        <f t="shared" si="258"/>
        <v>0</v>
      </c>
      <c r="HM277" s="255">
        <f t="shared" si="259"/>
        <v>0</v>
      </c>
      <c r="HN277" s="189">
        <f t="shared" si="260"/>
        <v>0</v>
      </c>
      <c r="HO277" s="203">
        <f t="shared" si="285"/>
        <v>0</v>
      </c>
      <c r="HP277" s="258">
        <f t="shared" si="261"/>
        <v>0</v>
      </c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 s="203"/>
      <c r="IE277" s="203"/>
      <c r="IF277" s="203"/>
      <c r="IG277" s="203"/>
      <c r="IH277" s="203"/>
      <c r="II277" s="203"/>
      <c r="IJ277" s="203"/>
      <c r="IK277" s="203"/>
      <c r="IL277" s="821"/>
      <c r="IM277" s="820"/>
      <c r="IN277" s="820"/>
      <c r="IR277" s="223"/>
    </row>
    <row r="278" spans="1:252" ht="13.8" thickBot="1">
      <c r="A278" t="str">
        <f t="shared" si="262"/>
        <v>2021Q4</v>
      </c>
      <c r="B278">
        <f t="shared" si="263"/>
        <v>2021</v>
      </c>
      <c r="C278" s="49">
        <f t="shared" si="264"/>
        <v>44470</v>
      </c>
      <c r="D278" s="115">
        <f t="shared" si="265"/>
        <v>2021</v>
      </c>
      <c r="E278" s="10">
        <f t="shared" si="288"/>
        <v>10</v>
      </c>
      <c r="F278" s="248" t="str">
        <f t="shared" si="289"/>
        <v/>
      </c>
      <c r="G278" s="245">
        <v>44470</v>
      </c>
      <c r="H278" s="251">
        <v>44500</v>
      </c>
      <c r="I278" s="959">
        <f t="shared" si="286"/>
        <v>7.1499999999999994E-2</v>
      </c>
      <c r="J278" s="37">
        <f t="shared" si="266"/>
        <v>0.21420473924387584</v>
      </c>
      <c r="K278" s="1036"/>
      <c r="L278" s="37"/>
      <c r="M278" s="1004">
        <v>0</v>
      </c>
      <c r="N278" s="38">
        <f t="shared" si="246"/>
        <v>0</v>
      </c>
      <c r="O278" s="40">
        <f t="shared" si="246"/>
        <v>0</v>
      </c>
      <c r="P278" s="159">
        <f t="shared" si="234"/>
        <v>0</v>
      </c>
      <c r="Q278" s="38">
        <f t="shared" si="247"/>
        <v>0</v>
      </c>
      <c r="R278" s="40">
        <f t="shared" si="247"/>
        <v>0</v>
      </c>
      <c r="S278" s="38">
        <f t="shared" si="247"/>
        <v>0</v>
      </c>
      <c r="T278" s="38">
        <f t="shared" si="247"/>
        <v>0</v>
      </c>
      <c r="U278" s="38">
        <f t="shared" si="247"/>
        <v>0</v>
      </c>
      <c r="V278" s="159">
        <f t="shared" si="247"/>
        <v>0</v>
      </c>
      <c r="W278" s="38">
        <f t="shared" si="247"/>
        <v>0</v>
      </c>
      <c r="X278" s="39">
        <f t="shared" si="247"/>
        <v>0</v>
      </c>
      <c r="Y278" s="46">
        <v>0</v>
      </c>
      <c r="Z278" s="46">
        <v>0</v>
      </c>
      <c r="AA278" s="47">
        <v>0</v>
      </c>
      <c r="AB278" s="46">
        <v>0</v>
      </c>
      <c r="AC278" s="46">
        <v>0</v>
      </c>
      <c r="AD278" s="47">
        <v>0</v>
      </c>
      <c r="AE278" s="46">
        <v>0</v>
      </c>
      <c r="AF278" s="46">
        <v>0</v>
      </c>
      <c r="AG278" s="47">
        <v>0</v>
      </c>
      <c r="AH278" s="46">
        <v>0</v>
      </c>
      <c r="AI278" s="46">
        <v>0</v>
      </c>
      <c r="AJ278" s="47">
        <v>0</v>
      </c>
      <c r="AK278" s="46">
        <v>0</v>
      </c>
      <c r="AL278" s="46">
        <v>0</v>
      </c>
      <c r="AM278" s="47">
        <v>0</v>
      </c>
      <c r="AN278" s="46">
        <v>0</v>
      </c>
      <c r="AO278" s="46">
        <v>0</v>
      </c>
      <c r="AP278" s="47">
        <v>0</v>
      </c>
      <c r="AQ278" s="46">
        <v>0</v>
      </c>
      <c r="AR278" s="46">
        <v>0</v>
      </c>
      <c r="AS278" s="47">
        <v>0</v>
      </c>
      <c r="AT278" s="46">
        <v>0</v>
      </c>
      <c r="AU278" s="46">
        <v>0</v>
      </c>
      <c r="AV278" s="46">
        <v>0</v>
      </c>
      <c r="AW278" s="1545">
        <v>0</v>
      </c>
      <c r="AX278" s="10">
        <f t="shared" si="290"/>
        <v>21</v>
      </c>
      <c r="AY278" s="42">
        <f>IF(AND($E278=MONTH(Summary!$E$24),$D278=YEAR(Summary!$E$24)),Summary!$E$25,1)*IF(G278="",0,INT((H278-MOD(H278,7)-G278)/7)+1-IF(BA278,IF(WEEKDAY(F278)=7,1,0),0))</f>
        <v>5</v>
      </c>
      <c r="AZ278" s="42">
        <f>IF(AND($E278=MONTH(Summary!$E$24),$D278=YEAR(Summary!$E$24)),Summary!$E$25,1)*IF(G278="",0,INT((H278-MOD(H278-1,7)-G278)/7)+1-IF(BA278,IF(WEEKDAY(F278)=1,1,0),0))</f>
        <v>5</v>
      </c>
      <c r="BA278" s="42">
        <v>0</v>
      </c>
      <c r="BB278" s="10">
        <f>IF(AND($E278=MONTH(Summary!$E$24),$D278=YEAR(Summary!$E$24)),Summary!$E$25,1)*IF(G278="",0,H278-G278+1)</f>
        <v>31</v>
      </c>
      <c r="BC278" s="914">
        <f>Summary!$E$19</f>
        <v>1.4999999999999999E-2</v>
      </c>
      <c r="BD278" s="113">
        <v>14893.2</v>
      </c>
      <c r="BE278" s="171">
        <v>3546</v>
      </c>
      <c r="BF278" s="171">
        <v>3546</v>
      </c>
      <c r="BG278" s="174"/>
      <c r="BH278" s="1198">
        <v>1</v>
      </c>
      <c r="BI278" s="1198">
        <v>1</v>
      </c>
      <c r="BJ278" s="1198">
        <v>1</v>
      </c>
      <c r="BK278" s="1198">
        <v>1</v>
      </c>
      <c r="BL278" s="95">
        <v>2978.64</v>
      </c>
      <c r="BM278" s="171">
        <v>709.2</v>
      </c>
      <c r="BN278" s="171">
        <v>709.2</v>
      </c>
      <c r="BO278" s="174"/>
      <c r="BP278" s="1198">
        <v>1</v>
      </c>
      <c r="BQ278" s="1199">
        <v>1</v>
      </c>
      <c r="BR278" s="1199">
        <v>1</v>
      </c>
      <c r="BS278" s="1200">
        <v>1</v>
      </c>
      <c r="BT278" s="94">
        <f t="shared" si="267"/>
        <v>21985.200000000001</v>
      </c>
      <c r="BU278" s="233">
        <f t="shared" si="268"/>
        <v>21985.200000000001</v>
      </c>
      <c r="BV278" s="92">
        <f t="shared" si="269"/>
        <v>4397.04</v>
      </c>
      <c r="BW278" s="233">
        <f t="shared" si="270"/>
        <v>4397.04</v>
      </c>
      <c r="BX278" s="88">
        <v>21.796030116358658</v>
      </c>
      <c r="BY278" s="90">
        <v>0</v>
      </c>
      <c r="BZ278" s="88">
        <v>0</v>
      </c>
      <c r="CA278" s="88">
        <v>0</v>
      </c>
      <c r="CB278" s="88">
        <v>0</v>
      </c>
      <c r="CC278" s="88">
        <v>0</v>
      </c>
      <c r="CD278" s="88">
        <v>0</v>
      </c>
      <c r="CE278" s="100">
        <v>0</v>
      </c>
      <c r="CF278" s="88">
        <v>0</v>
      </c>
      <c r="CG278" s="88">
        <v>0</v>
      </c>
      <c r="CH278" s="88">
        <v>0</v>
      </c>
      <c r="CI278" s="88">
        <v>0</v>
      </c>
      <c r="CJ278" s="228">
        <v>0</v>
      </c>
      <c r="CK278" s="88">
        <v>0</v>
      </c>
      <c r="CL278" s="88">
        <v>0</v>
      </c>
      <c r="CM278" s="88">
        <v>0</v>
      </c>
      <c r="CN278" s="88">
        <v>0</v>
      </c>
      <c r="CO278" s="88">
        <v>0</v>
      </c>
      <c r="CP278" s="88">
        <v>0</v>
      </c>
      <c r="CQ278" s="229">
        <v>0</v>
      </c>
      <c r="CR278" s="91">
        <v>0</v>
      </c>
      <c r="CS278" s="91">
        <v>0</v>
      </c>
      <c r="CT278" s="91">
        <v>0</v>
      </c>
      <c r="CU278" s="91">
        <v>0</v>
      </c>
      <c r="CV278" s="91">
        <v>0</v>
      </c>
      <c r="CW278" s="91">
        <v>0</v>
      </c>
      <c r="CX278" s="225">
        <v>0</v>
      </c>
      <c r="CY278" s="1265">
        <v>7806.1672000000008</v>
      </c>
      <c r="CZ278" s="90">
        <v>0</v>
      </c>
      <c r="DA278" s="88">
        <v>0</v>
      </c>
      <c r="DB278" s="88">
        <v>0</v>
      </c>
      <c r="DC278" s="88">
        <v>0</v>
      </c>
      <c r="DD278" s="88">
        <v>0</v>
      </c>
      <c r="DE278" s="152">
        <v>0</v>
      </c>
      <c r="DF278" s="230">
        <v>0</v>
      </c>
      <c r="DG278" s="38">
        <v>0</v>
      </c>
      <c r="DH278" s="1237">
        <v>0</v>
      </c>
      <c r="DI278" s="956">
        <v>0</v>
      </c>
      <c r="DJ278" s="956">
        <v>0</v>
      </c>
      <c r="DK278" s="956">
        <v>0</v>
      </c>
      <c r="DL278" s="152">
        <v>0</v>
      </c>
      <c r="DM278" s="160">
        <v>0</v>
      </c>
      <c r="DN278" s="160">
        <v>0</v>
      </c>
      <c r="DO278" s="160">
        <v>0</v>
      </c>
      <c r="DP278" s="160">
        <v>0</v>
      </c>
      <c r="DQ278" s="160">
        <v>0</v>
      </c>
      <c r="DR278" s="230">
        <v>0</v>
      </c>
      <c r="DS278" s="88">
        <v>0</v>
      </c>
      <c r="DT278" s="88">
        <v>0</v>
      </c>
      <c r="DU278" s="88">
        <v>0</v>
      </c>
      <c r="DV278" s="88">
        <v>0</v>
      </c>
      <c r="DW278" s="88">
        <v>0</v>
      </c>
      <c r="DX278" s="88">
        <v>0</v>
      </c>
      <c r="DY278" s="88">
        <v>0</v>
      </c>
      <c r="DZ278" s="88">
        <v>0</v>
      </c>
      <c r="EA278" s="88">
        <v>0</v>
      </c>
      <c r="EB278" s="152">
        <v>0</v>
      </c>
      <c r="EC278" s="52">
        <f t="shared" si="271"/>
        <v>0</v>
      </c>
      <c r="ED278" s="52">
        <f t="shared" si="271"/>
        <v>0</v>
      </c>
      <c r="EE278" s="52">
        <f t="shared" si="271"/>
        <v>0</v>
      </c>
      <c r="EF278" s="52">
        <f t="shared" si="271"/>
        <v>0</v>
      </c>
      <c r="EG278" s="52">
        <f t="shared" si="272"/>
        <v>0</v>
      </c>
      <c r="EH278" s="238">
        <v>0</v>
      </c>
      <c r="EI278" s="211">
        <v>0</v>
      </c>
      <c r="EJ278" s="211">
        <v>0</v>
      </c>
      <c r="EK278" s="211">
        <v>0</v>
      </c>
      <c r="EL278" s="217">
        <f>IF(C278&gt;=Summary!$E$26,MAX(0,SUM(EH278:EK278)),0)</f>
        <v>0</v>
      </c>
      <c r="EM278" s="52">
        <f>IF(C278&gt;=Summary!$E$26,DX278*BL278,0)</f>
        <v>0</v>
      </c>
      <c r="EN278" s="52">
        <f>IF(C278&gt;=Summary!$E$26,DY278*BM278,0)</f>
        <v>0</v>
      </c>
      <c r="EO278" s="52">
        <f>IF(C278&gt;=Summary!$E$26,DZ278*BN278,0)</f>
        <v>0</v>
      </c>
      <c r="EP278" s="52">
        <f>IF(C278&gt;=Summary!$E$26,EA278*BO278,0)</f>
        <v>0</v>
      </c>
      <c r="EQ278" s="52">
        <f>IF(C278&gt;=Summary!$E$26,DX278*BL278+DY278*BM278+DZ278*BN278+EA278*BO278,0)</f>
        <v>0</v>
      </c>
      <c r="ER278" s="826">
        <v>0</v>
      </c>
      <c r="ES278" s="278">
        <v>0</v>
      </c>
      <c r="ET278" s="278">
        <v>0</v>
      </c>
      <c r="EU278" s="278">
        <v>0</v>
      </c>
      <c r="EV278" s="212">
        <f>IF(C278&gt;=Summary!$E$26,MAX(0,SUM(ER278:EU278)),0)</f>
        <v>0</v>
      </c>
      <c r="EW278" s="52"/>
      <c r="EX278" s="1049">
        <f t="shared" si="273"/>
        <v>0</v>
      </c>
      <c r="EY278" s="1045" t="str">
        <f t="shared" si="274"/>
        <v/>
      </c>
      <c r="EZ278" s="1684" t="s">
        <v>525</v>
      </c>
      <c r="FA278" s="1046">
        <f t="shared" si="287"/>
        <v>45</v>
      </c>
      <c r="FB278" s="256">
        <f t="shared" si="275"/>
        <v>9308.25</v>
      </c>
      <c r="FC278" s="194">
        <f t="shared" si="276"/>
        <v>2792.4749999999999</v>
      </c>
      <c r="FD278" s="194">
        <f t="shared" si="277"/>
        <v>2216.25</v>
      </c>
      <c r="FE278" s="194">
        <f t="shared" si="278"/>
        <v>664.875</v>
      </c>
      <c r="FF278" s="194">
        <f t="shared" si="279"/>
        <v>2216.25</v>
      </c>
      <c r="FG278" s="194">
        <f t="shared" si="280"/>
        <v>664.875</v>
      </c>
      <c r="FH278" s="257">
        <f>IF(EZ278="No",IF((OR(MONTH(C278)=5,MONTH(C278)=6,MONTH(C278)=7,MONTH(C278)=8,MONTH(C278)=9)),Summary!$O$15*12*(AX278+AY278+AZ278+BA278)*(1-$BC278),Summary!$O$15*13*(AX278+AY278+AZ278+BA278)*(1-$BC278)+IF(Summary!$O$16="Yes",(CALC!FA278+Summary!$O$15)*6*(AX278+AY278+AZ278+BA278)*(1-$BC278),0)),0)</f>
        <v>0</v>
      </c>
      <c r="FI278" s="1412">
        <f>IF(MONTH(C278)=5,FI277*(IF(Summary!$E$70="no",(1+(Summary!$E$71*0.8)),1+HLOOKUP(YEAR(C278)-1,CCFMODEL!$I$127:$AF$128,2)*0.8)),+FI277)</f>
        <v>44.825249700897849</v>
      </c>
      <c r="FJ278" s="1411">
        <f>IF(MONTH(C278)=5,FJ277*(IF(Summary!$E$70="no",(1+(Summary!$E$71*0.8)),1+HLOOKUP(YEAR(CALC!C278)-1,CCFMODEL!$I$127:$AF$128,2)*0.8)),FJ277)</f>
        <v>39.177974148028831</v>
      </c>
      <c r="FK278" s="832">
        <f t="shared" si="248"/>
        <v>800712.31477589568</v>
      </c>
      <c r="FL278" s="1412">
        <f>IF(MONTH(C278)=5,FL277*(IF(Summary!$E$70="no",(1+(Summary!$E$71*0.8)),1+HLOOKUP(YEAR(CALC!C278)-1,CCFMODEL!$I$127:$AF$128,2)*0.8)),+FL277)</f>
        <v>94.272525523935471</v>
      </c>
      <c r="FM278" s="1411">
        <f>IF(MONTH(C278)=5,FM277*(IF(Summary!$E$70="no",(1+(Summary!$E$71*0.8)),1+HLOOKUP(YEAR(CALC!C278)-1,CCFMODEL!$I$127:$AF$128,2)*0.8)),+FM277)</f>
        <v>44.993323378066563</v>
      </c>
      <c r="FN278" s="832">
        <f t="shared" si="249"/>
        <v>815953.91946123715</v>
      </c>
      <c r="FO278" s="194">
        <f t="shared" si="281"/>
        <v>1616666.2342371328</v>
      </c>
      <c r="FP278" s="263">
        <f t="shared" ref="FP278:FR292" si="292">FB278</f>
        <v>9308.25</v>
      </c>
      <c r="FQ278" s="194">
        <f t="shared" si="292"/>
        <v>2792.4749999999999</v>
      </c>
      <c r="FR278" s="194">
        <f t="shared" si="292"/>
        <v>2216.25</v>
      </c>
      <c r="FS278" s="194">
        <f t="shared" si="291"/>
        <v>664.875</v>
      </c>
      <c r="FT278" s="194">
        <f t="shared" si="291"/>
        <v>2216.25</v>
      </c>
      <c r="FU278" s="194">
        <f t="shared" si="291"/>
        <v>664.875</v>
      </c>
      <c r="FV278" s="257">
        <f t="shared" si="291"/>
        <v>0</v>
      </c>
      <c r="FW278" s="189">
        <f t="shared" si="250"/>
        <v>0</v>
      </c>
      <c r="FX278" s="189">
        <f t="shared" si="251"/>
        <v>0</v>
      </c>
      <c r="FY278" s="189">
        <f t="shared" si="252"/>
        <v>0</v>
      </c>
      <c r="FZ278" s="258">
        <f t="shared" si="253"/>
        <v>0</v>
      </c>
      <c r="GA278" s="1294">
        <f>(SUM(FP278:FV278)+SUM(GU278:HB278)/(1-Summary!$O$25))*CY278/1000</f>
        <v>238122.95413654801</v>
      </c>
      <c r="GB278" s="1369">
        <f>IF($C278&lt;Summary!$M$81,+Summary!$O$81,VLOOKUP(C278,GasTable,19))</f>
        <v>4.4285201627036317</v>
      </c>
      <c r="GC278" s="1370">
        <f>IF(H278&lt;=Summary!$N$84,MIN(GA278,Summary!$O$75*(H278-G278+1)),0)</f>
        <v>0</v>
      </c>
      <c r="GD278" s="1371">
        <f>IF(C278&lt;Summary!$N$84,IF(Summary!$O$75*(H278-G278+1)*0.8&gt;GC278,1,0),0)</f>
        <v>0</v>
      </c>
      <c r="GE278" s="1372">
        <v>0</v>
      </c>
      <c r="GF278" s="1370">
        <f t="shared" si="282"/>
        <v>238122.95413654801</v>
      </c>
      <c r="GG278" s="1371">
        <f>GF278*(IF(Summary!$O$74=1,VLOOKUP($C278,GasTable,16)+Summary!$O$92+Summary!$O$93,VLOOKUP($C278,GasTable,19)+Summary!$O$92+Summary!$O$93))</f>
        <v>1066938.5095067692</v>
      </c>
      <c r="GH278" s="1373">
        <v>6864.2062521906291</v>
      </c>
      <c r="GI278" s="1466">
        <v>0</v>
      </c>
      <c r="GJ278" s="1374">
        <f t="shared" si="283"/>
        <v>1073802.7157589598</v>
      </c>
      <c r="GK278" s="189">
        <f t="shared" si="254"/>
        <v>30062.012850000003</v>
      </c>
      <c r="GL278" s="266">
        <v>0.52301320240000004</v>
      </c>
      <c r="GM278" s="255">
        <f t="shared" si="255"/>
        <v>0</v>
      </c>
      <c r="GN278" s="189">
        <f>IF(SUM(GU278:HB278)=0,0,IF(Summary!$O$16="Yes",SUM(GX278:HB278),IF(Summary!$O$17="Yes",SUM(GY278:HB278),SUM(GU278:HB278))))</f>
        <v>12199.037850000001</v>
      </c>
      <c r="GO278" s="203">
        <v>4.4266184591564777</v>
      </c>
      <c r="GP278" s="258">
        <f t="shared" si="284"/>
        <v>54000.486130758552</v>
      </c>
      <c r="GQ278" s="189"/>
      <c r="GR278" s="189"/>
      <c r="GS278" s="189"/>
      <c r="GT278" s="189"/>
      <c r="GU278" s="268">
        <v>5389.4767500000007</v>
      </c>
      <c r="GV278" s="189">
        <v>1283.20875</v>
      </c>
      <c r="GW278" s="189">
        <v>1283.20875</v>
      </c>
      <c r="GX278" s="189"/>
      <c r="GY278" s="254">
        <v>2874.3875999999996</v>
      </c>
      <c r="GZ278" s="189">
        <v>684.37800000000004</v>
      </c>
      <c r="HA278" s="189">
        <v>684.37800000000004</v>
      </c>
      <c r="HB278" s="255"/>
      <c r="HC278" s="189">
        <v>12199.037850000001</v>
      </c>
      <c r="HD278" s="189"/>
      <c r="HE278" s="189">
        <v>20950.521525</v>
      </c>
      <c r="HF278" s="189">
        <v>737387.74185469723</v>
      </c>
      <c r="HG278" s="189"/>
      <c r="HH278" s="203">
        <v>59.490337699438292</v>
      </c>
      <c r="HI278" s="189">
        <v>1246353.6005016009</v>
      </c>
      <c r="HJ278" s="268">
        <f t="shared" si="256"/>
        <v>0</v>
      </c>
      <c r="HK278" s="189">
        <f t="shared" si="257"/>
        <v>0</v>
      </c>
      <c r="HL278" s="189">
        <f t="shared" si="258"/>
        <v>0</v>
      </c>
      <c r="HM278" s="255">
        <f t="shared" si="259"/>
        <v>0</v>
      </c>
      <c r="HN278" s="189">
        <f t="shared" si="260"/>
        <v>0</v>
      </c>
      <c r="HO278" s="203">
        <f t="shared" si="285"/>
        <v>0</v>
      </c>
      <c r="HP278" s="258">
        <f t="shared" si="261"/>
        <v>0</v>
      </c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 s="203"/>
      <c r="IE278" s="203"/>
      <c r="IF278" s="203"/>
      <c r="IG278" s="203"/>
      <c r="IH278" s="203"/>
      <c r="II278" s="203"/>
      <c r="IJ278" s="203"/>
      <c r="IK278" s="203"/>
      <c r="IL278" s="821"/>
      <c r="IM278" s="820"/>
      <c r="IN278" s="820"/>
      <c r="IR278" s="223"/>
    </row>
    <row r="279" spans="1:252" ht="13.8" thickBot="1">
      <c r="A279" t="str">
        <f t="shared" si="262"/>
        <v>2021Q4</v>
      </c>
      <c r="B279">
        <f t="shared" si="263"/>
        <v>2021</v>
      </c>
      <c r="C279" s="49">
        <f t="shared" si="264"/>
        <v>44501</v>
      </c>
      <c r="D279" s="115">
        <f t="shared" si="265"/>
        <v>2021</v>
      </c>
      <c r="E279" s="10">
        <f t="shared" si="288"/>
        <v>11</v>
      </c>
      <c r="F279" s="248">
        <f t="shared" si="289"/>
        <v>44525</v>
      </c>
      <c r="G279" s="245">
        <v>44501</v>
      </c>
      <c r="H279" s="251">
        <v>44530</v>
      </c>
      <c r="I279" s="959">
        <f t="shared" si="286"/>
        <v>7.1499999999999994E-2</v>
      </c>
      <c r="J279" s="37">
        <f t="shared" si="266"/>
        <v>0.2129723043682728</v>
      </c>
      <c r="K279" s="1036"/>
      <c r="L279" s="37"/>
      <c r="M279" s="1004">
        <v>0</v>
      </c>
      <c r="N279" s="38">
        <f t="shared" si="246"/>
        <v>0</v>
      </c>
      <c r="O279" s="40">
        <f t="shared" si="246"/>
        <v>0</v>
      </c>
      <c r="P279" s="159">
        <f t="shared" si="234"/>
        <v>0</v>
      </c>
      <c r="Q279" s="38">
        <f t="shared" ref="Q279:X288" si="293">P279</f>
        <v>0</v>
      </c>
      <c r="R279" s="40">
        <f t="shared" si="293"/>
        <v>0</v>
      </c>
      <c r="S279" s="38">
        <f t="shared" si="293"/>
        <v>0</v>
      </c>
      <c r="T279" s="38">
        <f t="shared" si="293"/>
        <v>0</v>
      </c>
      <c r="U279" s="38">
        <f t="shared" si="293"/>
        <v>0</v>
      </c>
      <c r="V279" s="159">
        <f t="shared" si="293"/>
        <v>0</v>
      </c>
      <c r="W279" s="38">
        <f t="shared" si="293"/>
        <v>0</v>
      </c>
      <c r="X279" s="39">
        <f t="shared" si="293"/>
        <v>0</v>
      </c>
      <c r="Y279" s="46">
        <v>0</v>
      </c>
      <c r="Z279" s="46">
        <v>0</v>
      </c>
      <c r="AA279" s="47">
        <v>0</v>
      </c>
      <c r="AB279" s="46">
        <v>0</v>
      </c>
      <c r="AC279" s="46">
        <v>0</v>
      </c>
      <c r="AD279" s="47">
        <v>0</v>
      </c>
      <c r="AE279" s="46">
        <v>0</v>
      </c>
      <c r="AF279" s="46">
        <v>0</v>
      </c>
      <c r="AG279" s="47">
        <v>0</v>
      </c>
      <c r="AH279" s="46">
        <v>0</v>
      </c>
      <c r="AI279" s="46">
        <v>0</v>
      </c>
      <c r="AJ279" s="47">
        <v>0</v>
      </c>
      <c r="AK279" s="46">
        <v>0</v>
      </c>
      <c r="AL279" s="46">
        <v>0</v>
      </c>
      <c r="AM279" s="47">
        <v>0</v>
      </c>
      <c r="AN279" s="46">
        <v>0</v>
      </c>
      <c r="AO279" s="46">
        <v>0</v>
      </c>
      <c r="AP279" s="47">
        <v>0</v>
      </c>
      <c r="AQ279" s="46">
        <v>0</v>
      </c>
      <c r="AR279" s="46">
        <v>0</v>
      </c>
      <c r="AS279" s="47">
        <v>0</v>
      </c>
      <c r="AT279" s="46">
        <v>0</v>
      </c>
      <c r="AU279" s="46">
        <v>0</v>
      </c>
      <c r="AV279" s="46">
        <v>0</v>
      </c>
      <c r="AW279" s="1545">
        <v>0</v>
      </c>
      <c r="AX279" s="10">
        <f t="shared" si="290"/>
        <v>21</v>
      </c>
      <c r="AY279" s="42">
        <f>IF(AND($E279=MONTH(Summary!$E$24),$D279=YEAR(Summary!$E$24)),Summary!$E$25,1)*IF(G279="",0,INT((H279-MOD(H279,7)-G279)/7)+1-IF(BA279,IF(WEEKDAY(F279)=7,1,0),0))</f>
        <v>4</v>
      </c>
      <c r="AZ279" s="42">
        <f>IF(AND($E279=MONTH(Summary!$E$24),$D279=YEAR(Summary!$E$24)),Summary!$E$25,1)*IF(G279="",0,INT((H279-MOD(H279-1,7)-G279)/7)+1-IF(BA279,IF(WEEKDAY(F279)=1,1,0),0))</f>
        <v>4</v>
      </c>
      <c r="BA279" s="42">
        <v>1</v>
      </c>
      <c r="BB279" s="10">
        <f>IF(AND($E279=MONTH(Summary!$E$24),$D279=YEAR(Summary!$E$24)),Summary!$E$25,1)*IF(G279="",0,H279-G279+1)</f>
        <v>30</v>
      </c>
      <c r="BC279" s="914">
        <f>Summary!$E$19</f>
        <v>1.4999999999999999E-2</v>
      </c>
      <c r="BD279" s="113">
        <v>14893.2</v>
      </c>
      <c r="BE279" s="171">
        <v>2836.8</v>
      </c>
      <c r="BF279" s="171">
        <v>3546</v>
      </c>
      <c r="BG279" s="174"/>
      <c r="BH279" s="1198">
        <v>1</v>
      </c>
      <c r="BI279" s="1198">
        <v>1</v>
      </c>
      <c r="BJ279" s="1198">
        <v>1</v>
      </c>
      <c r="BK279" s="1198">
        <v>1</v>
      </c>
      <c r="BL279" s="95">
        <v>2978.64</v>
      </c>
      <c r="BM279" s="171">
        <v>567.36</v>
      </c>
      <c r="BN279" s="171">
        <v>709.2</v>
      </c>
      <c r="BO279" s="174"/>
      <c r="BP279" s="1198">
        <v>1</v>
      </c>
      <c r="BQ279" s="1199">
        <v>1</v>
      </c>
      <c r="BR279" s="1199">
        <v>1</v>
      </c>
      <c r="BS279" s="1200">
        <v>1</v>
      </c>
      <c r="BT279" s="94">
        <f t="shared" si="267"/>
        <v>21276</v>
      </c>
      <c r="BU279" s="233">
        <f t="shared" si="268"/>
        <v>21276</v>
      </c>
      <c r="BV279" s="92">
        <f t="shared" si="269"/>
        <v>4255.2</v>
      </c>
      <c r="BW279" s="233">
        <f t="shared" si="270"/>
        <v>4255.2</v>
      </c>
      <c r="BX279" s="88">
        <v>21.880903490759753</v>
      </c>
      <c r="BY279" s="90">
        <v>0</v>
      </c>
      <c r="BZ279" s="88">
        <v>0</v>
      </c>
      <c r="CA279" s="88">
        <v>0</v>
      </c>
      <c r="CB279" s="88">
        <v>0</v>
      </c>
      <c r="CC279" s="88">
        <v>0</v>
      </c>
      <c r="CD279" s="88">
        <v>0</v>
      </c>
      <c r="CE279" s="100">
        <v>0</v>
      </c>
      <c r="CF279" s="88">
        <v>0</v>
      </c>
      <c r="CG279" s="88">
        <v>0</v>
      </c>
      <c r="CH279" s="88">
        <v>0</v>
      </c>
      <c r="CI279" s="88">
        <v>0</v>
      </c>
      <c r="CJ279" s="228">
        <v>0</v>
      </c>
      <c r="CK279" s="88">
        <v>0</v>
      </c>
      <c r="CL279" s="88">
        <v>0</v>
      </c>
      <c r="CM279" s="88">
        <v>0</v>
      </c>
      <c r="CN279" s="88">
        <v>0</v>
      </c>
      <c r="CO279" s="88">
        <v>0</v>
      </c>
      <c r="CP279" s="88">
        <v>0</v>
      </c>
      <c r="CQ279" s="229">
        <v>0</v>
      </c>
      <c r="CR279" s="91">
        <v>0</v>
      </c>
      <c r="CS279" s="91">
        <v>0</v>
      </c>
      <c r="CT279" s="91">
        <v>0</v>
      </c>
      <c r="CU279" s="91">
        <v>0</v>
      </c>
      <c r="CV279" s="91">
        <v>0</v>
      </c>
      <c r="CW279" s="91">
        <v>0</v>
      </c>
      <c r="CX279" s="225">
        <v>0</v>
      </c>
      <c r="CY279" s="1265">
        <v>7808.1981599999999</v>
      </c>
      <c r="CZ279" s="90">
        <v>0</v>
      </c>
      <c r="DA279" s="88">
        <v>0</v>
      </c>
      <c r="DB279" s="88">
        <v>0</v>
      </c>
      <c r="DC279" s="88">
        <v>0</v>
      </c>
      <c r="DD279" s="88">
        <v>0</v>
      </c>
      <c r="DE279" s="152">
        <v>0</v>
      </c>
      <c r="DF279" s="230">
        <v>0</v>
      </c>
      <c r="DG279" s="38">
        <v>0</v>
      </c>
      <c r="DH279" s="1237">
        <v>0</v>
      </c>
      <c r="DI279" s="956">
        <v>0</v>
      </c>
      <c r="DJ279" s="956">
        <v>0</v>
      </c>
      <c r="DK279" s="956">
        <v>0</v>
      </c>
      <c r="DL279" s="152">
        <v>0</v>
      </c>
      <c r="DM279" s="160">
        <v>0</v>
      </c>
      <c r="DN279" s="160">
        <v>0</v>
      </c>
      <c r="DO279" s="160">
        <v>0</v>
      </c>
      <c r="DP279" s="160">
        <v>0</v>
      </c>
      <c r="DQ279" s="160">
        <v>0</v>
      </c>
      <c r="DR279" s="230">
        <v>0</v>
      </c>
      <c r="DS279" s="88">
        <v>0</v>
      </c>
      <c r="DT279" s="88">
        <v>0</v>
      </c>
      <c r="DU279" s="88">
        <v>0</v>
      </c>
      <c r="DV279" s="88">
        <v>0</v>
      </c>
      <c r="DW279" s="88">
        <v>0</v>
      </c>
      <c r="DX279" s="88">
        <v>0</v>
      </c>
      <c r="DY279" s="88">
        <v>0</v>
      </c>
      <c r="DZ279" s="88">
        <v>0</v>
      </c>
      <c r="EA279" s="88">
        <v>0</v>
      </c>
      <c r="EB279" s="152">
        <v>0</v>
      </c>
      <c r="EC279" s="52">
        <f t="shared" si="271"/>
        <v>0</v>
      </c>
      <c r="ED279" s="52">
        <f t="shared" si="271"/>
        <v>0</v>
      </c>
      <c r="EE279" s="52">
        <f t="shared" si="271"/>
        <v>0</v>
      </c>
      <c r="EF279" s="52">
        <f t="shared" si="271"/>
        <v>0</v>
      </c>
      <c r="EG279" s="52">
        <f t="shared" si="272"/>
        <v>0</v>
      </c>
      <c r="EH279" s="238">
        <v>0</v>
      </c>
      <c r="EI279" s="211">
        <v>0</v>
      </c>
      <c r="EJ279" s="211">
        <v>0</v>
      </c>
      <c r="EK279" s="211">
        <v>0</v>
      </c>
      <c r="EL279" s="217">
        <f>IF(C279&gt;=Summary!$E$26,MAX(0,SUM(EH279:EK279)),0)</f>
        <v>0</v>
      </c>
      <c r="EM279" s="52">
        <f>IF(C279&gt;=Summary!$E$26,DX279*BL279,0)</f>
        <v>0</v>
      </c>
      <c r="EN279" s="52">
        <f>IF(C279&gt;=Summary!$E$26,DY279*BM279,0)</f>
        <v>0</v>
      </c>
      <c r="EO279" s="52">
        <f>IF(C279&gt;=Summary!$E$26,DZ279*BN279,0)</f>
        <v>0</v>
      </c>
      <c r="EP279" s="52">
        <f>IF(C279&gt;=Summary!$E$26,EA279*BO279,0)</f>
        <v>0</v>
      </c>
      <c r="EQ279" s="52">
        <f>IF(C279&gt;=Summary!$E$26,DX279*BL279+DY279*BM279+DZ279*BN279+EA279*BO279,0)</f>
        <v>0</v>
      </c>
      <c r="ER279" s="826">
        <v>0</v>
      </c>
      <c r="ES279" s="278">
        <v>0</v>
      </c>
      <c r="ET279" s="278">
        <v>0</v>
      </c>
      <c r="EU279" s="278">
        <v>0</v>
      </c>
      <c r="EV279" s="212">
        <f>IF(C279&gt;=Summary!$E$26,MAX(0,SUM(ER279:EU279)),0)</f>
        <v>0</v>
      </c>
      <c r="EW279" s="52"/>
      <c r="EX279" s="1049">
        <f t="shared" si="273"/>
        <v>0</v>
      </c>
      <c r="EY279" s="1045" t="str">
        <f t="shared" si="274"/>
        <v/>
      </c>
      <c r="EZ279" s="1684" t="s">
        <v>525</v>
      </c>
      <c r="FA279" s="1046">
        <f t="shared" si="287"/>
        <v>45</v>
      </c>
      <c r="FB279" s="256">
        <f t="shared" si="275"/>
        <v>9308.25</v>
      </c>
      <c r="FC279" s="194">
        <f t="shared" si="276"/>
        <v>2792.4749999999999</v>
      </c>
      <c r="FD279" s="194">
        <f t="shared" si="277"/>
        <v>1773</v>
      </c>
      <c r="FE279" s="194">
        <f t="shared" si="278"/>
        <v>531.9</v>
      </c>
      <c r="FF279" s="194">
        <f t="shared" si="279"/>
        <v>2216.25</v>
      </c>
      <c r="FG279" s="194">
        <f t="shared" si="280"/>
        <v>664.875</v>
      </c>
      <c r="FH279" s="257">
        <f>IF(EZ279="No",IF((OR(MONTH(C279)=5,MONTH(C279)=6,MONTH(C279)=7,MONTH(C279)=8,MONTH(C279)=9)),Summary!$O$15*12*(AX279+AY279+AZ279+BA279)*(1-$BC279),Summary!$O$15*13*(AX279+AY279+AZ279+BA279)*(1-$BC279)+IF(Summary!$O$16="Yes",(CALC!FA279+Summary!$O$15)*6*(AX279+AY279+AZ279+BA279)*(1-$BC279),0)),0)</f>
        <v>0</v>
      </c>
      <c r="FI279" s="1412">
        <f>IF(MONTH(C279)=5,FI278*(IF(Summary!$E$70="no",(1+(Summary!$E$71*0.8)),1+HLOOKUP(YEAR(C279)-1,CCFMODEL!$I$127:$AF$128,2)*0.8)),+FI278)</f>
        <v>44.825249700897849</v>
      </c>
      <c r="FJ279" s="1411">
        <f>IF(MONTH(C279)=5,FJ278*(IF(Summary!$E$70="no",(1+(Summary!$E$71*0.8)),1+HLOOKUP(YEAR(CALC!C279)-1,CCFMODEL!$I$127:$AF$128,2)*0.8)),FJ278)</f>
        <v>39.177974148028831</v>
      </c>
      <c r="FK279" s="832">
        <f t="shared" si="248"/>
        <v>774882.88526699587</v>
      </c>
      <c r="FL279" s="1412">
        <f>IF(MONTH(C279)=5,FL278*(IF(Summary!$E$70="no",(1+(Summary!$E$71*0.8)),1+HLOOKUP(YEAR(CALC!C279)-1,CCFMODEL!$I$127:$AF$128,2)*0.8)),+FL278)</f>
        <v>94.272525523935471</v>
      </c>
      <c r="FM279" s="1411">
        <f>IF(MONTH(C279)=5,FM278*(IF(Summary!$E$70="no",(1+(Summary!$E$71*0.8)),1+HLOOKUP(YEAR(CALC!C279)-1,CCFMODEL!$I$127:$AF$128,2)*0.8)),+FM278)</f>
        <v>44.993323378066563</v>
      </c>
      <c r="FN279" s="832">
        <f t="shared" si="249"/>
        <v>789632.82528506813</v>
      </c>
      <c r="FO279" s="194">
        <f t="shared" si="281"/>
        <v>1564515.710552064</v>
      </c>
      <c r="FP279" s="263">
        <f t="shared" si="292"/>
        <v>9308.25</v>
      </c>
      <c r="FQ279" s="194">
        <f t="shared" si="292"/>
        <v>2792.4749999999999</v>
      </c>
      <c r="FR279" s="194">
        <f t="shared" si="292"/>
        <v>1773</v>
      </c>
      <c r="FS279" s="194">
        <f t="shared" si="291"/>
        <v>531.9</v>
      </c>
      <c r="FT279" s="194">
        <f t="shared" si="291"/>
        <v>2216.25</v>
      </c>
      <c r="FU279" s="194">
        <f t="shared" si="291"/>
        <v>664.875</v>
      </c>
      <c r="FV279" s="257">
        <f t="shared" si="291"/>
        <v>0</v>
      </c>
      <c r="FW279" s="189">
        <f t="shared" si="250"/>
        <v>0</v>
      </c>
      <c r="FX279" s="189">
        <f t="shared" si="251"/>
        <v>0</v>
      </c>
      <c r="FY279" s="189">
        <f t="shared" si="252"/>
        <v>0</v>
      </c>
      <c r="FZ279" s="258">
        <f t="shared" si="253"/>
        <v>0</v>
      </c>
      <c r="GA279" s="1294">
        <f>(SUM(FP279:FV279)+SUM(GU279:HB279)/(1-Summary!$O$25))*CY279/1000</f>
        <v>230501.523372372</v>
      </c>
      <c r="GB279" s="1369">
        <f>IF($C279&lt;Summary!$M$81,+Summary!$O$81,VLOOKUP(C279,GasTable,19))</f>
        <v>4.6143282865711548</v>
      </c>
      <c r="GC279" s="1370">
        <f>IF(H279&lt;=Summary!$N$84,MIN(GA279,Summary!$O$75*(H279-G279+1)),0)</f>
        <v>0</v>
      </c>
      <c r="GD279" s="1371">
        <f>IF(C279&lt;Summary!$N$84,IF(Summary!$O$75*(H279-G279+1)*0.8&gt;GC279,1,0),0)</f>
        <v>0</v>
      </c>
      <c r="GE279" s="1372">
        <v>0</v>
      </c>
      <c r="GF279" s="1370">
        <f t="shared" si="282"/>
        <v>230501.523372372</v>
      </c>
      <c r="GG279" s="1371">
        <f>GF279*(IF(Summary!$O$74=1,VLOOKUP($C279,GasTable,16)+Summary!$O$92+Summary!$O$93,VLOOKUP($C279,GasTable,19)+Summary!$O$92+Summary!$O$93))</f>
        <v>1075618.828762579</v>
      </c>
      <c r="GH279" s="1373">
        <v>6921.4924298567321</v>
      </c>
      <c r="GI279" s="1466">
        <v>0</v>
      </c>
      <c r="GJ279" s="1374">
        <f t="shared" si="283"/>
        <v>1082540.3211924357</v>
      </c>
      <c r="GK279" s="189">
        <f t="shared" si="254"/>
        <v>29092.270500000002</v>
      </c>
      <c r="GL279" s="266">
        <v>0.52314927672</v>
      </c>
      <c r="GM279" s="255">
        <f t="shared" si="255"/>
        <v>0</v>
      </c>
      <c r="GN279" s="189">
        <f>IF(SUM(GU279:HB279)=0,0,IF(Summary!$O$16="Yes",SUM(GX279:HB279),IF(Summary!$O$17="Yes",SUM(GY279:HB279),SUM(GU279:HB279))))</f>
        <v>11805.520500000001</v>
      </c>
      <c r="GO279" s="203">
        <v>4.4266184591564777</v>
      </c>
      <c r="GP279" s="258">
        <f t="shared" si="284"/>
        <v>52258.534965250212</v>
      </c>
      <c r="GQ279" s="189"/>
      <c r="GR279" s="189"/>
      <c r="GS279" s="189"/>
      <c r="GT279" s="189"/>
      <c r="GU279" s="268">
        <v>5389.4767500000007</v>
      </c>
      <c r="GV279" s="189">
        <v>1026.5670000000002</v>
      </c>
      <c r="GW279" s="189">
        <v>1283.20875</v>
      </c>
      <c r="GX279" s="189"/>
      <c r="GY279" s="254">
        <v>2874.3875999999996</v>
      </c>
      <c r="GZ279" s="189">
        <v>547.50239999999997</v>
      </c>
      <c r="HA279" s="189">
        <v>684.37800000000004</v>
      </c>
      <c r="HB279" s="255"/>
      <c r="HC279" s="189">
        <v>11805.520500000001</v>
      </c>
      <c r="HD279" s="189"/>
      <c r="HE279" s="189">
        <v>20274.698250000001</v>
      </c>
      <c r="HF279" s="189">
        <v>726216.6544710137</v>
      </c>
      <c r="HG279" s="189"/>
      <c r="HH279" s="203">
        <v>61.152882073216489</v>
      </c>
      <c r="HI279" s="189">
        <v>1239856.2311522989</v>
      </c>
      <c r="HJ279" s="268">
        <f t="shared" si="256"/>
        <v>0</v>
      </c>
      <c r="HK279" s="189">
        <f t="shared" si="257"/>
        <v>0</v>
      </c>
      <c r="HL279" s="189">
        <f t="shared" si="258"/>
        <v>0</v>
      </c>
      <c r="HM279" s="255">
        <f t="shared" si="259"/>
        <v>0</v>
      </c>
      <c r="HN279" s="189">
        <f t="shared" si="260"/>
        <v>0</v>
      </c>
      <c r="HO279" s="203">
        <f t="shared" si="285"/>
        <v>0</v>
      </c>
      <c r="HP279" s="258">
        <f t="shared" si="261"/>
        <v>0</v>
      </c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 s="203"/>
      <c r="IE279" s="203"/>
      <c r="IF279" s="203"/>
      <c r="IG279" s="203"/>
      <c r="IH279" s="203"/>
      <c r="II279" s="203"/>
      <c r="IJ279" s="203"/>
      <c r="IK279" s="203"/>
      <c r="IL279" s="821"/>
      <c r="IM279" s="820"/>
      <c r="IN279" s="820"/>
      <c r="IR279" s="223"/>
    </row>
    <row r="280" spans="1:252" ht="13.8" thickBot="1">
      <c r="A280" t="str">
        <f t="shared" si="262"/>
        <v>2021Q4</v>
      </c>
      <c r="B280">
        <f t="shared" si="263"/>
        <v>2021</v>
      </c>
      <c r="C280" s="49">
        <f t="shared" si="264"/>
        <v>44531</v>
      </c>
      <c r="D280" s="115">
        <f t="shared" si="265"/>
        <v>2021</v>
      </c>
      <c r="E280" s="10">
        <f t="shared" si="288"/>
        <v>12</v>
      </c>
      <c r="F280" s="248">
        <f t="shared" si="289"/>
        <v>44555</v>
      </c>
      <c r="G280" s="245">
        <v>44531</v>
      </c>
      <c r="H280" s="251">
        <v>44561</v>
      </c>
      <c r="I280" s="959">
        <f t="shared" si="286"/>
        <v>7.1499999999999994E-2</v>
      </c>
      <c r="J280" s="37">
        <f t="shared" si="266"/>
        <v>0.21170623719516518</v>
      </c>
      <c r="K280" s="1036"/>
      <c r="L280" s="37"/>
      <c r="M280" s="1004">
        <v>0</v>
      </c>
      <c r="N280" s="38">
        <f t="shared" si="246"/>
        <v>0</v>
      </c>
      <c r="O280" s="40">
        <f t="shared" si="246"/>
        <v>0</v>
      </c>
      <c r="P280" s="159">
        <f t="shared" si="234"/>
        <v>0</v>
      </c>
      <c r="Q280" s="38">
        <f t="shared" si="293"/>
        <v>0</v>
      </c>
      <c r="R280" s="40">
        <f t="shared" si="293"/>
        <v>0</v>
      </c>
      <c r="S280" s="38">
        <f t="shared" si="293"/>
        <v>0</v>
      </c>
      <c r="T280" s="38">
        <f t="shared" si="293"/>
        <v>0</v>
      </c>
      <c r="U280" s="38">
        <f t="shared" si="293"/>
        <v>0</v>
      </c>
      <c r="V280" s="159">
        <f t="shared" si="293"/>
        <v>0</v>
      </c>
      <c r="W280" s="38">
        <f t="shared" si="293"/>
        <v>0</v>
      </c>
      <c r="X280" s="39">
        <f t="shared" si="293"/>
        <v>0</v>
      </c>
      <c r="Y280" s="46">
        <v>0</v>
      </c>
      <c r="Z280" s="46">
        <v>0</v>
      </c>
      <c r="AA280" s="47">
        <v>0</v>
      </c>
      <c r="AB280" s="46">
        <v>0</v>
      </c>
      <c r="AC280" s="46">
        <v>0</v>
      </c>
      <c r="AD280" s="47">
        <v>0</v>
      </c>
      <c r="AE280" s="46">
        <v>0</v>
      </c>
      <c r="AF280" s="46">
        <v>0</v>
      </c>
      <c r="AG280" s="47">
        <v>0</v>
      </c>
      <c r="AH280" s="46">
        <v>0</v>
      </c>
      <c r="AI280" s="46">
        <v>0</v>
      </c>
      <c r="AJ280" s="47">
        <v>0</v>
      </c>
      <c r="AK280" s="46">
        <v>0</v>
      </c>
      <c r="AL280" s="46">
        <v>0</v>
      </c>
      <c r="AM280" s="47">
        <v>0</v>
      </c>
      <c r="AN280" s="46">
        <v>0</v>
      </c>
      <c r="AO280" s="46">
        <v>0</v>
      </c>
      <c r="AP280" s="47">
        <v>0</v>
      </c>
      <c r="AQ280" s="46">
        <v>0</v>
      </c>
      <c r="AR280" s="46">
        <v>0</v>
      </c>
      <c r="AS280" s="47">
        <v>0</v>
      </c>
      <c r="AT280" s="46">
        <v>0</v>
      </c>
      <c r="AU280" s="46">
        <v>0</v>
      </c>
      <c r="AV280" s="46">
        <v>0</v>
      </c>
      <c r="AW280" s="1545">
        <v>0</v>
      </c>
      <c r="AX280" s="10">
        <f t="shared" si="290"/>
        <v>23</v>
      </c>
      <c r="AY280" s="42">
        <f>IF(AND($E280=MONTH(Summary!$E$24),$D280=YEAR(Summary!$E$24)),Summary!$E$25,1)*IF(G280="",0,INT((H280-MOD(H280,7)-G280)/7)+1-IF(BA280,IF(WEEKDAY(F280)=7,1,0),0))</f>
        <v>3</v>
      </c>
      <c r="AZ280" s="42">
        <f>IF(AND($E280=MONTH(Summary!$E$24),$D280=YEAR(Summary!$E$24)),Summary!$E$25,1)*IF(G280="",0,INT((H280-MOD(H280-1,7)-G280)/7)+1-IF(BA280,IF(WEEKDAY(F280)=1,1,0),0))</f>
        <v>4</v>
      </c>
      <c r="BA280" s="42">
        <v>1</v>
      </c>
      <c r="BB280" s="10">
        <f>IF(AND($E280=MONTH(Summary!$E$24),$D280=YEAR(Summary!$E$24)),Summary!$E$25,1)*IF(G280="",0,H280-G280+1)</f>
        <v>31</v>
      </c>
      <c r="BC280" s="914">
        <f>Summary!$E$19</f>
        <v>1.4999999999999999E-2</v>
      </c>
      <c r="BD280" s="113">
        <v>16311.6</v>
      </c>
      <c r="BE280" s="171">
        <v>2127.6</v>
      </c>
      <c r="BF280" s="171">
        <v>3546</v>
      </c>
      <c r="BG280" s="174"/>
      <c r="BH280" s="1198">
        <v>1</v>
      </c>
      <c r="BI280" s="1198">
        <v>1</v>
      </c>
      <c r="BJ280" s="1198">
        <v>1</v>
      </c>
      <c r="BK280" s="1198">
        <v>1</v>
      </c>
      <c r="BL280" s="95">
        <v>3262.32</v>
      </c>
      <c r="BM280" s="171">
        <v>425.52</v>
      </c>
      <c r="BN280" s="171">
        <v>709.2</v>
      </c>
      <c r="BO280" s="174"/>
      <c r="BP280" s="1198">
        <v>1</v>
      </c>
      <c r="BQ280" s="1199">
        <v>1</v>
      </c>
      <c r="BR280" s="1199">
        <v>1</v>
      </c>
      <c r="BS280" s="1200">
        <v>1</v>
      </c>
      <c r="BT280" s="94">
        <f t="shared" si="267"/>
        <v>21985.200000000001</v>
      </c>
      <c r="BU280" s="233">
        <f t="shared" si="268"/>
        <v>21985.200000000001</v>
      </c>
      <c r="BV280" s="92">
        <f t="shared" si="269"/>
        <v>4397.04</v>
      </c>
      <c r="BW280" s="233">
        <f t="shared" si="270"/>
        <v>4397.04</v>
      </c>
      <c r="BX280" s="88">
        <v>21.963039014373717</v>
      </c>
      <c r="BY280" s="90">
        <v>0</v>
      </c>
      <c r="BZ280" s="88">
        <v>0</v>
      </c>
      <c r="CA280" s="88">
        <v>0</v>
      </c>
      <c r="CB280" s="88">
        <v>0</v>
      </c>
      <c r="CC280" s="88">
        <v>0</v>
      </c>
      <c r="CD280" s="88">
        <v>0</v>
      </c>
      <c r="CE280" s="100">
        <v>0</v>
      </c>
      <c r="CF280" s="88">
        <v>0</v>
      </c>
      <c r="CG280" s="88">
        <v>0</v>
      </c>
      <c r="CH280" s="88">
        <v>0</v>
      </c>
      <c r="CI280" s="88">
        <v>0</v>
      </c>
      <c r="CJ280" s="228">
        <v>0</v>
      </c>
      <c r="CK280" s="88">
        <v>0</v>
      </c>
      <c r="CL280" s="88">
        <v>0</v>
      </c>
      <c r="CM280" s="88">
        <v>0</v>
      </c>
      <c r="CN280" s="88">
        <v>0</v>
      </c>
      <c r="CO280" s="88">
        <v>0</v>
      </c>
      <c r="CP280" s="88">
        <v>0</v>
      </c>
      <c r="CQ280" s="229">
        <v>0</v>
      </c>
      <c r="CR280" s="91">
        <v>0</v>
      </c>
      <c r="CS280" s="91">
        <v>0</v>
      </c>
      <c r="CT280" s="91">
        <v>0</v>
      </c>
      <c r="CU280" s="91">
        <v>0</v>
      </c>
      <c r="CV280" s="91">
        <v>0</v>
      </c>
      <c r="CW280" s="91">
        <v>0</v>
      </c>
      <c r="CX280" s="225">
        <v>0</v>
      </c>
      <c r="CY280" s="1265">
        <v>7810.22912</v>
      </c>
      <c r="CZ280" s="90">
        <v>0</v>
      </c>
      <c r="DA280" s="88">
        <v>0</v>
      </c>
      <c r="DB280" s="88">
        <v>0</v>
      </c>
      <c r="DC280" s="88">
        <v>0</v>
      </c>
      <c r="DD280" s="88">
        <v>0</v>
      </c>
      <c r="DE280" s="152">
        <v>0</v>
      </c>
      <c r="DF280" s="230">
        <v>0</v>
      </c>
      <c r="DG280" s="38">
        <v>0</v>
      </c>
      <c r="DH280" s="1237">
        <v>0</v>
      </c>
      <c r="DI280" s="956">
        <v>0</v>
      </c>
      <c r="DJ280" s="956">
        <v>0</v>
      </c>
      <c r="DK280" s="956">
        <v>0</v>
      </c>
      <c r="DL280" s="152">
        <v>0</v>
      </c>
      <c r="DM280" s="160">
        <v>0</v>
      </c>
      <c r="DN280" s="160">
        <v>0</v>
      </c>
      <c r="DO280" s="160">
        <v>0</v>
      </c>
      <c r="DP280" s="160">
        <v>0</v>
      </c>
      <c r="DQ280" s="160">
        <v>0</v>
      </c>
      <c r="DR280" s="230">
        <v>0</v>
      </c>
      <c r="DS280" s="88">
        <v>0</v>
      </c>
      <c r="DT280" s="88">
        <v>0</v>
      </c>
      <c r="DU280" s="88">
        <v>0</v>
      </c>
      <c r="DV280" s="88">
        <v>0</v>
      </c>
      <c r="DW280" s="88">
        <v>0</v>
      </c>
      <c r="DX280" s="88">
        <v>0</v>
      </c>
      <c r="DY280" s="88">
        <v>0</v>
      </c>
      <c r="DZ280" s="88">
        <v>0</v>
      </c>
      <c r="EA280" s="88">
        <v>0</v>
      </c>
      <c r="EB280" s="152">
        <v>0</v>
      </c>
      <c r="EC280" s="52">
        <f t="shared" si="271"/>
        <v>0</v>
      </c>
      <c r="ED280" s="52">
        <f t="shared" si="271"/>
        <v>0</v>
      </c>
      <c r="EE280" s="52">
        <f t="shared" si="271"/>
        <v>0</v>
      </c>
      <c r="EF280" s="52">
        <f t="shared" si="271"/>
        <v>0</v>
      </c>
      <c r="EG280" s="52">
        <f t="shared" si="272"/>
        <v>0</v>
      </c>
      <c r="EH280" s="238">
        <v>0</v>
      </c>
      <c r="EI280" s="211">
        <v>0</v>
      </c>
      <c r="EJ280" s="211">
        <v>0</v>
      </c>
      <c r="EK280" s="211">
        <v>0</v>
      </c>
      <c r="EL280" s="217">
        <f>IF(C280&gt;=Summary!$E$26,MAX(0,SUM(EH280:EK280)),0)</f>
        <v>0</v>
      </c>
      <c r="EM280" s="52">
        <f>IF(C280&gt;=Summary!$E$26,DX280*BL280,0)</f>
        <v>0</v>
      </c>
      <c r="EN280" s="52">
        <f>IF(C280&gt;=Summary!$E$26,DY280*BM280,0)</f>
        <v>0</v>
      </c>
      <c r="EO280" s="52">
        <f>IF(C280&gt;=Summary!$E$26,DZ280*BN280,0)</f>
        <v>0</v>
      </c>
      <c r="EP280" s="52">
        <f>IF(C280&gt;=Summary!$E$26,EA280*BO280,0)</f>
        <v>0</v>
      </c>
      <c r="EQ280" s="52">
        <f>IF(C280&gt;=Summary!$E$26,DX280*BL280+DY280*BM280+DZ280*BN280+EA280*BO280,0)</f>
        <v>0</v>
      </c>
      <c r="ER280" s="826">
        <v>0</v>
      </c>
      <c r="ES280" s="278">
        <v>0</v>
      </c>
      <c r="ET280" s="278">
        <v>0</v>
      </c>
      <c r="EU280" s="278">
        <v>0</v>
      </c>
      <c r="EV280" s="212">
        <f>IF(C280&gt;=Summary!$E$26,MAX(0,SUM(ER280:EU280)),0)</f>
        <v>0</v>
      </c>
      <c r="EW280" s="52"/>
      <c r="EX280" s="1049">
        <f t="shared" si="273"/>
        <v>0</v>
      </c>
      <c r="EY280" s="1045" t="str">
        <f t="shared" si="274"/>
        <v/>
      </c>
      <c r="EZ280" s="1684" t="s">
        <v>525</v>
      </c>
      <c r="FA280" s="1046">
        <f t="shared" si="287"/>
        <v>45</v>
      </c>
      <c r="FB280" s="256">
        <f t="shared" si="275"/>
        <v>10194.75</v>
      </c>
      <c r="FC280" s="194">
        <f t="shared" si="276"/>
        <v>3058.4250000000002</v>
      </c>
      <c r="FD280" s="194">
        <f t="shared" si="277"/>
        <v>1329.75</v>
      </c>
      <c r="FE280" s="194">
        <f t="shared" si="278"/>
        <v>398.92500000000001</v>
      </c>
      <c r="FF280" s="194">
        <f t="shared" si="279"/>
        <v>2216.25</v>
      </c>
      <c r="FG280" s="194">
        <f t="shared" si="280"/>
        <v>664.875</v>
      </c>
      <c r="FH280" s="257">
        <f>IF(EZ280="No",IF((OR(MONTH(C280)=5,MONTH(C280)=6,MONTH(C280)=7,MONTH(C280)=8,MONTH(C280)=9)),Summary!$O$15*12*(AX280+AY280+AZ280+BA280)*(1-$BC280),Summary!$O$15*13*(AX280+AY280+AZ280+BA280)*(1-$BC280)+IF(Summary!$O$16="Yes",(CALC!FA280+Summary!$O$15)*6*(AX280+AY280+AZ280+BA280)*(1-$BC280),0)),0)</f>
        <v>0</v>
      </c>
      <c r="FI280" s="1412">
        <f>IF(MONTH(C280)=5,FI279*(IF(Summary!$E$70="no",(1+(Summary!$E$71*0.8)),1+HLOOKUP(YEAR(C280)-1,CCFMODEL!$I$127:$AF$128,2)*0.8)),+FI279)</f>
        <v>44.825249700897849</v>
      </c>
      <c r="FJ280" s="1411">
        <f>IF(MONTH(C280)=5,FJ279*(IF(Summary!$E$70="no",(1+(Summary!$E$71*0.8)),1+HLOOKUP(YEAR(CALC!C280)-1,CCFMODEL!$I$127:$AF$128,2)*0.8)),FJ279)</f>
        <v>39.177974148028831</v>
      </c>
      <c r="FK280" s="832">
        <f t="shared" si="248"/>
        <v>800712.31477589568</v>
      </c>
      <c r="FL280" s="1412">
        <f>IF(MONTH(C280)=5,FL279*(IF(Summary!$E$70="no",(1+(Summary!$E$71*0.8)),1+HLOOKUP(YEAR(CALC!C280)-1,CCFMODEL!$I$127:$AF$128,2)*0.8)),+FL279)</f>
        <v>94.272525523935471</v>
      </c>
      <c r="FM280" s="1411">
        <f>IF(MONTH(C280)=5,FM279*(IF(Summary!$E$70="no",(1+(Summary!$E$71*0.8)),1+HLOOKUP(YEAR(CALC!C280)-1,CCFMODEL!$I$127:$AF$128,2)*0.8)),+FM279)</f>
        <v>44.993323378066563</v>
      </c>
      <c r="FN280" s="832">
        <f t="shared" si="249"/>
        <v>815953.91946123715</v>
      </c>
      <c r="FO280" s="194">
        <f t="shared" si="281"/>
        <v>1616666.2342371328</v>
      </c>
      <c r="FP280" s="263">
        <f t="shared" si="292"/>
        <v>10194.75</v>
      </c>
      <c r="FQ280" s="194">
        <f t="shared" si="292"/>
        <v>3058.4250000000002</v>
      </c>
      <c r="FR280" s="194">
        <f t="shared" si="292"/>
        <v>1329.75</v>
      </c>
      <c r="FS280" s="194">
        <f t="shared" si="291"/>
        <v>398.92500000000001</v>
      </c>
      <c r="FT280" s="194">
        <f t="shared" si="291"/>
        <v>2216.25</v>
      </c>
      <c r="FU280" s="194">
        <f t="shared" si="291"/>
        <v>664.875</v>
      </c>
      <c r="FV280" s="257">
        <f t="shared" si="291"/>
        <v>0</v>
      </c>
      <c r="FW280" s="189">
        <f t="shared" si="250"/>
        <v>0</v>
      </c>
      <c r="FX280" s="189">
        <f t="shared" si="251"/>
        <v>0</v>
      </c>
      <c r="FY280" s="189">
        <f t="shared" si="252"/>
        <v>0</v>
      </c>
      <c r="FZ280" s="258">
        <f t="shared" si="253"/>
        <v>0</v>
      </c>
      <c r="GA280" s="1294">
        <f>(SUM(FP280:FV280)+SUM(GU280:HB280)/(1-Summary!$O$25))*CY280/1000</f>
        <v>238246.86083302079</v>
      </c>
      <c r="GB280" s="1369">
        <f>IF($C280&lt;Summary!$M$81,+Summary!$O$81,VLOOKUP(C280,GasTable,19))</f>
        <v>4.8105992076073516</v>
      </c>
      <c r="GC280" s="1370">
        <f>IF(H280&lt;=Summary!$N$84,MIN(GA280,Summary!$O$75*(H280-G280+1)),0)</f>
        <v>0</v>
      </c>
      <c r="GD280" s="1371">
        <f>IF(C280&lt;Summary!$N$84,IF(Summary!$O$75*(H280-G280+1)*0.8&gt;GC280,1,0),0)</f>
        <v>0</v>
      </c>
      <c r="GE280" s="1372">
        <v>0</v>
      </c>
      <c r="GF280" s="1370">
        <f t="shared" si="282"/>
        <v>238246.86083302079</v>
      </c>
      <c r="GG280" s="1371">
        <f>GF280*(IF(Summary!$O$74=1,VLOOKUP($C280,GasTable,16)+Summary!$O$92+Summary!$O$93,VLOOKUP($C280,GasTable,19)+Summary!$O$92+Summary!$O$93))</f>
        <v>1158522.8213876693</v>
      </c>
      <c r="GH280" s="1373">
        <v>7456.4287717913949</v>
      </c>
      <c r="GI280" s="1466">
        <v>0</v>
      </c>
      <c r="GJ280" s="1374">
        <f t="shared" si="283"/>
        <v>1165979.2501594606</v>
      </c>
      <c r="GK280" s="189">
        <f t="shared" si="254"/>
        <v>30062.012849999999</v>
      </c>
      <c r="GL280" s="266">
        <v>0.52328535104000007</v>
      </c>
      <c r="GM280" s="255">
        <f t="shared" si="255"/>
        <v>0</v>
      </c>
      <c r="GN280" s="189">
        <f>IF(SUM(GU280:HB280)=0,0,IF(Summary!$O$16="Yes",SUM(GX280:HB280),IF(Summary!$O$17="Yes",SUM(GY280:HB280),SUM(GU280:HB280))))</f>
        <v>12199.037850000001</v>
      </c>
      <c r="GO280" s="203">
        <v>4.4266184591564777</v>
      </c>
      <c r="GP280" s="258">
        <f t="shared" si="284"/>
        <v>54000.486130758552</v>
      </c>
      <c r="GQ280" s="189"/>
      <c r="GR280" s="189"/>
      <c r="GS280" s="189"/>
      <c r="GT280" s="189"/>
      <c r="GU280" s="268">
        <v>5902.7602500000003</v>
      </c>
      <c r="GV280" s="189">
        <v>769.92524999999989</v>
      </c>
      <c r="GW280" s="189">
        <v>1283.20875</v>
      </c>
      <c r="GX280" s="189"/>
      <c r="GY280" s="254">
        <v>3148.1388000000002</v>
      </c>
      <c r="GZ280" s="189">
        <v>410.62679999999995</v>
      </c>
      <c r="HA280" s="189">
        <v>684.37800000000004</v>
      </c>
      <c r="HB280" s="255"/>
      <c r="HC280" s="189">
        <v>12199.037850000001</v>
      </c>
      <c r="HD280" s="189"/>
      <c r="HE280" s="189">
        <v>20950.521525</v>
      </c>
      <c r="HF280" s="189">
        <v>775696.54950106819</v>
      </c>
      <c r="HG280" s="189"/>
      <c r="HH280" s="203">
        <v>63.176389544518329</v>
      </c>
      <c r="HI280" s="189">
        <v>1323578.3090242161</v>
      </c>
      <c r="HJ280" s="268">
        <f t="shared" si="256"/>
        <v>0</v>
      </c>
      <c r="HK280" s="189">
        <f t="shared" si="257"/>
        <v>0</v>
      </c>
      <c r="HL280" s="189">
        <f t="shared" si="258"/>
        <v>0</v>
      </c>
      <c r="HM280" s="255">
        <f t="shared" si="259"/>
        <v>0</v>
      </c>
      <c r="HN280" s="189">
        <f t="shared" si="260"/>
        <v>0</v>
      </c>
      <c r="HO280" s="203">
        <f t="shared" si="285"/>
        <v>0</v>
      </c>
      <c r="HP280" s="258">
        <f t="shared" si="261"/>
        <v>0</v>
      </c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 s="203"/>
      <c r="IE280" s="203"/>
      <c r="IF280" s="203"/>
      <c r="IG280" s="203"/>
      <c r="IH280" s="203"/>
      <c r="II280" s="203"/>
      <c r="IJ280" s="203"/>
      <c r="IK280" s="203"/>
      <c r="IL280" s="821"/>
      <c r="IM280" s="820"/>
      <c r="IN280" s="820"/>
      <c r="IR280" s="223"/>
    </row>
    <row r="281" spans="1:252" ht="13.8" thickBot="1">
      <c r="A281" t="str">
        <f t="shared" si="262"/>
        <v>2022Q1</v>
      </c>
      <c r="B281">
        <f t="shared" si="263"/>
        <v>2022</v>
      </c>
      <c r="C281" s="49">
        <f t="shared" si="264"/>
        <v>44562</v>
      </c>
      <c r="D281" s="115">
        <f t="shared" si="265"/>
        <v>2022</v>
      </c>
      <c r="E281" s="10">
        <f t="shared" si="288"/>
        <v>1</v>
      </c>
      <c r="F281" s="248">
        <f t="shared" si="289"/>
        <v>44562</v>
      </c>
      <c r="G281" s="245">
        <v>44562</v>
      </c>
      <c r="H281" s="251">
        <v>44592</v>
      </c>
      <c r="I281" s="959">
        <f t="shared" si="286"/>
        <v>7.1499999999999994E-2</v>
      </c>
      <c r="J281" s="37">
        <f t="shared" si="266"/>
        <v>0.21044769647528153</v>
      </c>
      <c r="K281" s="1036"/>
      <c r="L281" s="37"/>
      <c r="M281" s="1004">
        <v>0</v>
      </c>
      <c r="N281" s="38">
        <f t="shared" si="246"/>
        <v>0</v>
      </c>
      <c r="O281" s="40">
        <f t="shared" si="246"/>
        <v>0</v>
      </c>
      <c r="P281" s="159">
        <f t="shared" si="234"/>
        <v>0</v>
      </c>
      <c r="Q281" s="38">
        <f t="shared" si="293"/>
        <v>0</v>
      </c>
      <c r="R281" s="40">
        <f t="shared" si="293"/>
        <v>0</v>
      </c>
      <c r="S281" s="38">
        <f t="shared" si="293"/>
        <v>0</v>
      </c>
      <c r="T281" s="38">
        <f t="shared" si="293"/>
        <v>0</v>
      </c>
      <c r="U281" s="38">
        <f t="shared" si="293"/>
        <v>0</v>
      </c>
      <c r="V281" s="159">
        <f t="shared" si="293"/>
        <v>0</v>
      </c>
      <c r="W281" s="38">
        <f t="shared" si="293"/>
        <v>0</v>
      </c>
      <c r="X281" s="39">
        <f t="shared" si="293"/>
        <v>0</v>
      </c>
      <c r="Y281" s="46">
        <v>0</v>
      </c>
      <c r="Z281" s="46">
        <v>0</v>
      </c>
      <c r="AA281" s="47">
        <v>0</v>
      </c>
      <c r="AB281" s="46">
        <v>0</v>
      </c>
      <c r="AC281" s="46">
        <v>0</v>
      </c>
      <c r="AD281" s="47">
        <v>0</v>
      </c>
      <c r="AE281" s="46">
        <v>0</v>
      </c>
      <c r="AF281" s="46">
        <v>0</v>
      </c>
      <c r="AG281" s="47">
        <v>0</v>
      </c>
      <c r="AH281" s="46">
        <v>0</v>
      </c>
      <c r="AI281" s="46">
        <v>0</v>
      </c>
      <c r="AJ281" s="47">
        <v>0</v>
      </c>
      <c r="AK281" s="46">
        <v>0</v>
      </c>
      <c r="AL281" s="46">
        <v>0</v>
      </c>
      <c r="AM281" s="47">
        <v>0</v>
      </c>
      <c r="AN281" s="46">
        <v>0</v>
      </c>
      <c r="AO281" s="46">
        <v>0</v>
      </c>
      <c r="AP281" s="47">
        <v>0</v>
      </c>
      <c r="AQ281" s="46">
        <v>0</v>
      </c>
      <c r="AR281" s="46">
        <v>0</v>
      </c>
      <c r="AS281" s="47">
        <v>0</v>
      </c>
      <c r="AT281" s="46">
        <v>0</v>
      </c>
      <c r="AU281" s="46">
        <v>0</v>
      </c>
      <c r="AV281" s="46">
        <v>0</v>
      </c>
      <c r="AW281" s="1545">
        <v>0</v>
      </c>
      <c r="AX281" s="10">
        <f t="shared" si="290"/>
        <v>21</v>
      </c>
      <c r="AY281" s="42">
        <f>IF(AND($E281=MONTH(Summary!$E$24),$D281=YEAR(Summary!$E$24)),Summary!$E$25,1)*IF(G281="",0,INT((H281-MOD(H281,7)-G281)/7)+1-IF(BA281,IF(WEEKDAY(F281)=7,1,0),0))</f>
        <v>4</v>
      </c>
      <c r="AZ281" s="42">
        <f>IF(AND($E281=MONTH(Summary!$E$24),$D281=YEAR(Summary!$E$24)),Summary!$E$25,1)*IF(G281="",0,INT((H281-MOD(H281-1,7)-G281)/7)+1-IF(BA281,IF(WEEKDAY(F281)=1,1,0),0))</f>
        <v>5</v>
      </c>
      <c r="BA281" s="42">
        <v>1</v>
      </c>
      <c r="BB281" s="10">
        <f>IF(AND($E281=MONTH(Summary!$E$24),$D281=YEAR(Summary!$E$24)),Summary!$E$25,1)*IF(G281="",0,H281-G281+1)</f>
        <v>31</v>
      </c>
      <c r="BC281" s="914">
        <f>Summary!$E$19</f>
        <v>1.4999999999999999E-2</v>
      </c>
      <c r="BD281" s="113">
        <v>14893.2</v>
      </c>
      <c r="BE281" s="171">
        <v>2836.8</v>
      </c>
      <c r="BF281" s="171">
        <v>4255.2</v>
      </c>
      <c r="BG281" s="174"/>
      <c r="BH281" s="1198">
        <v>1</v>
      </c>
      <c r="BI281" s="1198">
        <v>1</v>
      </c>
      <c r="BJ281" s="1198">
        <v>1</v>
      </c>
      <c r="BK281" s="1198">
        <v>1</v>
      </c>
      <c r="BL281" s="95">
        <v>2978.64</v>
      </c>
      <c r="BM281" s="171">
        <v>567.36</v>
      </c>
      <c r="BN281" s="171">
        <v>851.04</v>
      </c>
      <c r="BO281" s="174"/>
      <c r="BP281" s="1198">
        <v>1</v>
      </c>
      <c r="BQ281" s="1199">
        <v>1</v>
      </c>
      <c r="BR281" s="1199">
        <v>1</v>
      </c>
      <c r="BS281" s="1200">
        <v>1</v>
      </c>
      <c r="BT281" s="94">
        <f t="shared" si="267"/>
        <v>21985.200000000001</v>
      </c>
      <c r="BU281" s="233">
        <f t="shared" si="268"/>
        <v>21985.200000000001</v>
      </c>
      <c r="BV281" s="92">
        <f t="shared" si="269"/>
        <v>4397.04</v>
      </c>
      <c r="BW281" s="233">
        <f t="shared" si="270"/>
        <v>4397.04</v>
      </c>
      <c r="BX281" s="88">
        <v>22.047912388774812</v>
      </c>
      <c r="BY281" s="90">
        <v>0</v>
      </c>
      <c r="BZ281" s="88">
        <v>0</v>
      </c>
      <c r="CA281" s="88">
        <v>0</v>
      </c>
      <c r="CB281" s="88">
        <v>0</v>
      </c>
      <c r="CC281" s="88">
        <v>0</v>
      </c>
      <c r="CD281" s="88">
        <v>0</v>
      </c>
      <c r="CE281" s="100">
        <v>0</v>
      </c>
      <c r="CF281" s="88">
        <v>0</v>
      </c>
      <c r="CG281" s="88">
        <v>0</v>
      </c>
      <c r="CH281" s="88">
        <v>0</v>
      </c>
      <c r="CI281" s="88">
        <v>0</v>
      </c>
      <c r="CJ281" s="228">
        <v>0</v>
      </c>
      <c r="CK281" s="88">
        <v>0</v>
      </c>
      <c r="CL281" s="88">
        <v>0</v>
      </c>
      <c r="CM281" s="88">
        <v>0</v>
      </c>
      <c r="CN281" s="88">
        <v>0</v>
      </c>
      <c r="CO281" s="88">
        <v>0</v>
      </c>
      <c r="CP281" s="88">
        <v>0</v>
      </c>
      <c r="CQ281" s="229">
        <v>0</v>
      </c>
      <c r="CR281" s="91">
        <v>0</v>
      </c>
      <c r="CS281" s="91">
        <v>0</v>
      </c>
      <c r="CT281" s="91">
        <v>0</v>
      </c>
      <c r="CU281" s="91">
        <v>0</v>
      </c>
      <c r="CV281" s="91">
        <v>0</v>
      </c>
      <c r="CW281" s="91">
        <v>0</v>
      </c>
      <c r="CX281" s="225">
        <v>0</v>
      </c>
      <c r="CY281" s="1265">
        <v>7812.26008</v>
      </c>
      <c r="CZ281" s="90">
        <v>0</v>
      </c>
      <c r="DA281" s="88">
        <v>0</v>
      </c>
      <c r="DB281" s="88">
        <v>0</v>
      </c>
      <c r="DC281" s="88">
        <v>0</v>
      </c>
      <c r="DD281" s="88">
        <v>0</v>
      </c>
      <c r="DE281" s="152">
        <v>0</v>
      </c>
      <c r="DF281" s="230">
        <v>0</v>
      </c>
      <c r="DG281" s="38">
        <v>0</v>
      </c>
      <c r="DH281" s="1237">
        <v>0</v>
      </c>
      <c r="DI281" s="956">
        <v>0</v>
      </c>
      <c r="DJ281" s="956">
        <v>0</v>
      </c>
      <c r="DK281" s="956">
        <v>0</v>
      </c>
      <c r="DL281" s="152">
        <v>0</v>
      </c>
      <c r="DM281" s="160">
        <v>0</v>
      </c>
      <c r="DN281" s="160">
        <v>0</v>
      </c>
      <c r="DO281" s="160">
        <v>0</v>
      </c>
      <c r="DP281" s="160">
        <v>0</v>
      </c>
      <c r="DQ281" s="160">
        <v>0</v>
      </c>
      <c r="DR281" s="230">
        <v>0</v>
      </c>
      <c r="DS281" s="88">
        <v>0</v>
      </c>
      <c r="DT281" s="88">
        <v>0</v>
      </c>
      <c r="DU281" s="88">
        <v>0</v>
      </c>
      <c r="DV281" s="88">
        <v>0</v>
      </c>
      <c r="DW281" s="88">
        <v>0</v>
      </c>
      <c r="DX281" s="88">
        <v>0</v>
      </c>
      <c r="DY281" s="88">
        <v>0</v>
      </c>
      <c r="DZ281" s="88">
        <v>0</v>
      </c>
      <c r="EA281" s="88">
        <v>0</v>
      </c>
      <c r="EB281" s="152">
        <v>0</v>
      </c>
      <c r="EC281" s="52">
        <f t="shared" si="271"/>
        <v>0</v>
      </c>
      <c r="ED281" s="52">
        <f t="shared" si="271"/>
        <v>0</v>
      </c>
      <c r="EE281" s="52">
        <f t="shared" si="271"/>
        <v>0</v>
      </c>
      <c r="EF281" s="52">
        <f t="shared" si="271"/>
        <v>0</v>
      </c>
      <c r="EG281" s="52">
        <f t="shared" si="272"/>
        <v>0</v>
      </c>
      <c r="EH281" s="238">
        <v>0</v>
      </c>
      <c r="EI281" s="211">
        <v>0</v>
      </c>
      <c r="EJ281" s="211">
        <v>0</v>
      </c>
      <c r="EK281" s="211">
        <v>0</v>
      </c>
      <c r="EL281" s="217">
        <f>IF(C281&gt;=Summary!$E$26,MAX(0,SUM(EH281:EK281)),0)</f>
        <v>0</v>
      </c>
      <c r="EM281" s="52">
        <f>IF(C281&gt;=Summary!$E$26,DX281*BL281,0)</f>
        <v>0</v>
      </c>
      <c r="EN281" s="52">
        <f>IF(C281&gt;=Summary!$E$26,DY281*BM281,0)</f>
        <v>0</v>
      </c>
      <c r="EO281" s="52">
        <f>IF(C281&gt;=Summary!$E$26,DZ281*BN281,0)</f>
        <v>0</v>
      </c>
      <c r="EP281" s="52">
        <f>IF(C281&gt;=Summary!$E$26,EA281*BO281,0)</f>
        <v>0</v>
      </c>
      <c r="EQ281" s="52">
        <f>IF(C281&gt;=Summary!$E$26,DX281*BL281+DY281*BM281+DZ281*BN281+EA281*BO281,0)</f>
        <v>0</v>
      </c>
      <c r="ER281" s="826">
        <v>0</v>
      </c>
      <c r="ES281" s="278">
        <v>0</v>
      </c>
      <c r="ET281" s="278">
        <v>0</v>
      </c>
      <c r="EU281" s="278">
        <v>0</v>
      </c>
      <c r="EV281" s="212">
        <f>IF(C281&gt;=Summary!$E$26,MAX(0,SUM(ER281:EU281)),0)</f>
        <v>0</v>
      </c>
      <c r="EW281" s="52"/>
      <c r="EX281" s="1049">
        <f t="shared" si="273"/>
        <v>0</v>
      </c>
      <c r="EY281" s="1045" t="str">
        <f t="shared" si="274"/>
        <v/>
      </c>
      <c r="EZ281" s="1684" t="s">
        <v>525</v>
      </c>
      <c r="FA281" s="1046">
        <f t="shared" si="287"/>
        <v>45</v>
      </c>
      <c r="FB281" s="256">
        <f t="shared" si="275"/>
        <v>9308.25</v>
      </c>
      <c r="FC281" s="194">
        <f t="shared" si="276"/>
        <v>2792.4749999999999</v>
      </c>
      <c r="FD281" s="194">
        <f t="shared" si="277"/>
        <v>1773</v>
      </c>
      <c r="FE281" s="194">
        <f t="shared" si="278"/>
        <v>531.9</v>
      </c>
      <c r="FF281" s="194">
        <f t="shared" si="279"/>
        <v>2659.5</v>
      </c>
      <c r="FG281" s="194">
        <f t="shared" si="280"/>
        <v>797.85</v>
      </c>
      <c r="FH281" s="257">
        <f>IF(EZ281="No",IF((OR(MONTH(C281)=5,MONTH(C281)=6,MONTH(C281)=7,MONTH(C281)=8,MONTH(C281)=9)),Summary!$O$15*12*(AX281+AY281+AZ281+BA281)*(1-$BC281),Summary!$O$15*13*(AX281+AY281+AZ281+BA281)*(1-$BC281)+IF(Summary!$O$16="Yes",(CALC!FA281+Summary!$O$15)*6*(AX281+AY281+AZ281+BA281)*(1-$BC281),0)),0)</f>
        <v>0</v>
      </c>
      <c r="FI281" s="1412">
        <f>IF(MONTH(C281)=5,FI280*(IF(Summary!$E$70="no",(1+(Summary!$E$71*0.8)),1+HLOOKUP(YEAR(C281)-1,CCFMODEL!$I$127:$AF$128,2)*0.8)),+FI280)</f>
        <v>44.825249700897849</v>
      </c>
      <c r="FJ281" s="1411">
        <f>IF(MONTH(C281)=5,FJ280*(IF(Summary!$E$70="no",(1+(Summary!$E$71*0.8)),1+HLOOKUP(YEAR(CALC!C281)-1,CCFMODEL!$I$127:$AF$128,2)*0.8)),FJ280)</f>
        <v>39.177974148028831</v>
      </c>
      <c r="FK281" s="832">
        <f t="shared" si="248"/>
        <v>800712.31477589568</v>
      </c>
      <c r="FL281" s="1412">
        <f>IF(MONTH(C281)=5,FL280*(IF(Summary!$E$70="no",(1+(Summary!$E$71*0.8)),1+HLOOKUP(YEAR(CALC!C281)-1,CCFMODEL!$I$127:$AF$128,2)*0.8)),+FL280)</f>
        <v>94.272525523935471</v>
      </c>
      <c r="FM281" s="1411">
        <f>IF(MONTH(C281)=5,FM280*(IF(Summary!$E$70="no",(1+(Summary!$E$71*0.8)),1+HLOOKUP(YEAR(CALC!C281)-1,CCFMODEL!$I$127:$AF$128,2)*0.8)),+FM280)</f>
        <v>44.993323378066563</v>
      </c>
      <c r="FN281" s="832">
        <f t="shared" si="249"/>
        <v>815953.91946123715</v>
      </c>
      <c r="FO281" s="194">
        <f t="shared" si="281"/>
        <v>1616666.2342371328</v>
      </c>
      <c r="FP281" s="263">
        <f t="shared" si="292"/>
        <v>9308.25</v>
      </c>
      <c r="FQ281" s="194">
        <f t="shared" si="292"/>
        <v>2792.4749999999999</v>
      </c>
      <c r="FR281" s="194">
        <f t="shared" si="292"/>
        <v>1773</v>
      </c>
      <c r="FS281" s="194">
        <f t="shared" si="291"/>
        <v>531.9</v>
      </c>
      <c r="FT281" s="194">
        <f t="shared" si="291"/>
        <v>2659.5</v>
      </c>
      <c r="FU281" s="194">
        <f t="shared" si="291"/>
        <v>797.85</v>
      </c>
      <c r="FV281" s="257">
        <f t="shared" si="291"/>
        <v>0</v>
      </c>
      <c r="FW281" s="189">
        <f t="shared" si="250"/>
        <v>0</v>
      </c>
      <c r="FX281" s="189">
        <f t="shared" si="251"/>
        <v>0</v>
      </c>
      <c r="FY281" s="189">
        <f t="shared" si="252"/>
        <v>0</v>
      </c>
      <c r="FZ281" s="258">
        <f t="shared" si="253"/>
        <v>0</v>
      </c>
      <c r="GA281" s="1294">
        <f>(SUM(FP281:FV281)+SUM(GU281:HB281)/(1-Summary!$O$25))*CY281/1000</f>
        <v>139550.206502538</v>
      </c>
      <c r="GB281" s="1369">
        <f>IF($C281&lt;Summary!$M$81,+Summary!$O$81,VLOOKUP(C281,GasTable,19))</f>
        <v>4.851</v>
      </c>
      <c r="GC281" s="1370">
        <f>IF(H281&lt;=Summary!$N$84,MIN(GA281,Summary!$O$75*(H281-G281+1)),0)</f>
        <v>0</v>
      </c>
      <c r="GD281" s="1371">
        <f>IF(C281&lt;Summary!$N$84,IF(Summary!$O$75*(H281-G281+1)*0.8&gt;GC281,1,0),0)</f>
        <v>0</v>
      </c>
      <c r="GE281" s="1372">
        <v>0</v>
      </c>
      <c r="GF281" s="1370">
        <f t="shared" si="282"/>
        <v>139550.206502538</v>
      </c>
      <c r="GG281" s="1371">
        <f>GF281*(IF(Summary!$O$74=1,VLOOKUP($C281,GasTable,16)+Summary!$O$92+Summary!$O$93,VLOOKUP($C281,GasTable,19)+Summary!$O$92+Summary!$O$93))</f>
        <v>684228.61750259413</v>
      </c>
      <c r="GH281" s="1373">
        <v>7519.05</v>
      </c>
      <c r="GI281" s="1466">
        <v>0</v>
      </c>
      <c r="GJ281" s="1374">
        <f t="shared" si="283"/>
        <v>691747.66750259418</v>
      </c>
      <c r="GK281" s="189">
        <f t="shared" si="254"/>
        <v>17862.974999999999</v>
      </c>
      <c r="GL281" s="266">
        <v>0.52342142536000003</v>
      </c>
      <c r="GM281" s="255">
        <f t="shared" si="255"/>
        <v>0</v>
      </c>
      <c r="GN281" s="189">
        <f>IF(SUM(GU281:HB281)=0,0,IF(Summary!$O$16="Yes",SUM(GX281:HB281),IF(Summary!$O$17="Yes",SUM(GY281:HB281),SUM(GU281:HB281))))</f>
        <v>0</v>
      </c>
      <c r="GO281" s="203">
        <v>4.5594170129311724</v>
      </c>
      <c r="GP281" s="258">
        <f t="shared" si="284"/>
        <v>0</v>
      </c>
      <c r="GQ281" s="189"/>
      <c r="GR281" s="189"/>
      <c r="GS281" s="189"/>
      <c r="GT281" s="189"/>
      <c r="GU281" s="268">
        <v>0</v>
      </c>
      <c r="GV281" s="189">
        <v>0</v>
      </c>
      <c r="GW281" s="189">
        <v>0</v>
      </c>
      <c r="GX281" s="189"/>
      <c r="GY281" s="254">
        <v>0</v>
      </c>
      <c r="GZ281" s="189">
        <v>0</v>
      </c>
      <c r="HA281" s="189">
        <v>0</v>
      </c>
      <c r="HB281" s="255"/>
      <c r="HC281" s="189">
        <v>0</v>
      </c>
      <c r="HD281" s="189"/>
      <c r="HE281" s="189">
        <v>0</v>
      </c>
      <c r="HF281" s="189">
        <v>0</v>
      </c>
      <c r="HG281" s="189"/>
      <c r="HH281" s="203">
        <v>0</v>
      </c>
      <c r="HI281" s="189">
        <v>0</v>
      </c>
      <c r="HJ281" s="268">
        <f t="shared" si="256"/>
        <v>0</v>
      </c>
      <c r="HK281" s="189">
        <f t="shared" si="257"/>
        <v>0</v>
      </c>
      <c r="HL281" s="189">
        <f t="shared" si="258"/>
        <v>0</v>
      </c>
      <c r="HM281" s="255">
        <f t="shared" si="259"/>
        <v>0</v>
      </c>
      <c r="HN281" s="189">
        <f t="shared" si="260"/>
        <v>0</v>
      </c>
      <c r="HO281" s="203">
        <f t="shared" si="285"/>
        <v>0</v>
      </c>
      <c r="HP281" s="258">
        <f t="shared" si="261"/>
        <v>0</v>
      </c>
      <c r="HQ281" s="203"/>
      <c r="HR281" s="203"/>
      <c r="HS281" s="203"/>
      <c r="HT281" s="203"/>
      <c r="HU281" s="203"/>
      <c r="HV281" s="203"/>
      <c r="HW281" s="203"/>
      <c r="HX281" s="203"/>
      <c r="HY281" s="203"/>
      <c r="HZ281" s="203"/>
      <c r="IA281" s="203"/>
      <c r="IB281" s="203"/>
      <c r="IC281" s="203"/>
      <c r="ID281" s="203"/>
      <c r="IE281" s="203"/>
      <c r="IF281" s="203"/>
      <c r="IG281" s="203"/>
      <c r="IH281" s="203"/>
      <c r="II281" s="203"/>
      <c r="IJ281" s="203"/>
      <c r="IK281" s="203"/>
      <c r="IL281" s="821"/>
      <c r="IM281" s="820"/>
      <c r="IN281" s="820"/>
      <c r="IR281" s="223"/>
    </row>
    <row r="282" spans="1:252" ht="13.8" thickBot="1">
      <c r="A282" t="str">
        <f t="shared" si="262"/>
        <v>2022Q1</v>
      </c>
      <c r="B282">
        <f t="shared" si="263"/>
        <v>2022</v>
      </c>
      <c r="C282" s="49">
        <f t="shared" si="264"/>
        <v>44593</v>
      </c>
      <c r="D282" s="115">
        <f t="shared" si="265"/>
        <v>2022</v>
      </c>
      <c r="E282" s="10">
        <f t="shared" si="288"/>
        <v>2</v>
      </c>
      <c r="F282" s="248" t="str">
        <f t="shared" si="289"/>
        <v/>
      </c>
      <c r="G282" s="245">
        <v>44593</v>
      </c>
      <c r="H282" s="251">
        <v>44620</v>
      </c>
      <c r="I282" s="959">
        <f t="shared" si="286"/>
        <v>7.1499999999999994E-2</v>
      </c>
      <c r="J282" s="37">
        <f t="shared" si="266"/>
        <v>0.2093173819434517</v>
      </c>
      <c r="K282" s="1036"/>
      <c r="L282" s="37"/>
      <c r="M282" s="1004">
        <v>0</v>
      </c>
      <c r="N282" s="38">
        <f t="shared" si="246"/>
        <v>0</v>
      </c>
      <c r="O282" s="40">
        <f t="shared" si="246"/>
        <v>0</v>
      </c>
      <c r="P282" s="159">
        <f t="shared" si="234"/>
        <v>0</v>
      </c>
      <c r="Q282" s="38">
        <f t="shared" si="293"/>
        <v>0</v>
      </c>
      <c r="R282" s="40">
        <f t="shared" si="293"/>
        <v>0</v>
      </c>
      <c r="S282" s="38">
        <f t="shared" si="293"/>
        <v>0</v>
      </c>
      <c r="T282" s="38">
        <f t="shared" si="293"/>
        <v>0</v>
      </c>
      <c r="U282" s="38">
        <f t="shared" si="293"/>
        <v>0</v>
      </c>
      <c r="V282" s="159">
        <f t="shared" si="293"/>
        <v>0</v>
      </c>
      <c r="W282" s="38">
        <f t="shared" si="293"/>
        <v>0</v>
      </c>
      <c r="X282" s="39">
        <f t="shared" si="293"/>
        <v>0</v>
      </c>
      <c r="Y282" s="46">
        <v>0</v>
      </c>
      <c r="Z282" s="46">
        <v>0</v>
      </c>
      <c r="AA282" s="47">
        <v>0</v>
      </c>
      <c r="AB282" s="46">
        <v>0</v>
      </c>
      <c r="AC282" s="46">
        <v>0</v>
      </c>
      <c r="AD282" s="47">
        <v>0</v>
      </c>
      <c r="AE282" s="46">
        <v>0</v>
      </c>
      <c r="AF282" s="46">
        <v>0</v>
      </c>
      <c r="AG282" s="47">
        <v>0</v>
      </c>
      <c r="AH282" s="46">
        <v>0</v>
      </c>
      <c r="AI282" s="46">
        <v>0</v>
      </c>
      <c r="AJ282" s="47">
        <v>0</v>
      </c>
      <c r="AK282" s="46">
        <v>0</v>
      </c>
      <c r="AL282" s="46">
        <v>0</v>
      </c>
      <c r="AM282" s="47">
        <v>0</v>
      </c>
      <c r="AN282" s="46">
        <v>0</v>
      </c>
      <c r="AO282" s="46">
        <v>0</v>
      </c>
      <c r="AP282" s="47">
        <v>0</v>
      </c>
      <c r="AQ282" s="46">
        <v>0</v>
      </c>
      <c r="AR282" s="46">
        <v>0</v>
      </c>
      <c r="AS282" s="47">
        <v>0</v>
      </c>
      <c r="AT282" s="46">
        <v>0</v>
      </c>
      <c r="AU282" s="46">
        <v>0</v>
      </c>
      <c r="AV282" s="46">
        <v>0</v>
      </c>
      <c r="AW282" s="1545">
        <v>0</v>
      </c>
      <c r="AX282" s="10">
        <f t="shared" si="290"/>
        <v>20</v>
      </c>
      <c r="AY282" s="42">
        <f>IF(AND($E282=MONTH(Summary!$E$24),$D282=YEAR(Summary!$E$24)),Summary!$E$25,1)*IF(G282="",0,INT((H282-MOD(H282,7)-G282)/7)+1-IF(BA282,IF(WEEKDAY(F282)=7,1,0),0))</f>
        <v>4</v>
      </c>
      <c r="AZ282" s="42">
        <f>IF(AND($E282=MONTH(Summary!$E$24),$D282=YEAR(Summary!$E$24)),Summary!$E$25,1)*IF(G282="",0,INT((H282-MOD(H282-1,7)-G282)/7)+1-IF(BA282,IF(WEEKDAY(F282)=1,1,0),0))</f>
        <v>4</v>
      </c>
      <c r="BA282" s="42">
        <v>0</v>
      </c>
      <c r="BB282" s="10">
        <f>IF(AND($E282=MONTH(Summary!$E$24),$D282=YEAR(Summary!$E$24)),Summary!$E$25,1)*IF(G282="",0,H282-G282+1)</f>
        <v>28</v>
      </c>
      <c r="BC282" s="914">
        <f>Summary!$E$19</f>
        <v>1.4999999999999999E-2</v>
      </c>
      <c r="BD282" s="113">
        <v>14184</v>
      </c>
      <c r="BE282" s="171">
        <v>2836.8</v>
      </c>
      <c r="BF282" s="171">
        <v>2836.8</v>
      </c>
      <c r="BG282" s="174"/>
      <c r="BH282" s="1198">
        <v>1</v>
      </c>
      <c r="BI282" s="1198">
        <v>1</v>
      </c>
      <c r="BJ282" s="1198">
        <v>1</v>
      </c>
      <c r="BK282" s="1198">
        <v>1</v>
      </c>
      <c r="BL282" s="95">
        <v>2836.8</v>
      </c>
      <c r="BM282" s="171">
        <v>567.36</v>
      </c>
      <c r="BN282" s="171">
        <v>567.36</v>
      </c>
      <c r="BO282" s="174"/>
      <c r="BP282" s="1198">
        <v>1</v>
      </c>
      <c r="BQ282" s="1199">
        <v>1</v>
      </c>
      <c r="BR282" s="1199">
        <v>1</v>
      </c>
      <c r="BS282" s="1200">
        <v>1</v>
      </c>
      <c r="BT282" s="94">
        <f t="shared" si="267"/>
        <v>19857.599999999999</v>
      </c>
      <c r="BU282" s="233">
        <f t="shared" si="268"/>
        <v>19857.599999999999</v>
      </c>
      <c r="BV282" s="92">
        <f t="shared" si="269"/>
        <v>3971.5200000000004</v>
      </c>
      <c r="BW282" s="233">
        <f t="shared" si="270"/>
        <v>3971.5200000000004</v>
      </c>
      <c r="BX282" s="88">
        <v>22.132785763175907</v>
      </c>
      <c r="BY282" s="90">
        <v>0</v>
      </c>
      <c r="BZ282" s="88">
        <v>0</v>
      </c>
      <c r="CA282" s="88">
        <v>0</v>
      </c>
      <c r="CB282" s="88">
        <v>0</v>
      </c>
      <c r="CC282" s="88">
        <v>0</v>
      </c>
      <c r="CD282" s="88">
        <v>0</v>
      </c>
      <c r="CE282" s="100">
        <v>0</v>
      </c>
      <c r="CF282" s="88">
        <v>0</v>
      </c>
      <c r="CG282" s="88">
        <v>0</v>
      </c>
      <c r="CH282" s="88">
        <v>0</v>
      </c>
      <c r="CI282" s="88">
        <v>0</v>
      </c>
      <c r="CJ282" s="228">
        <v>0</v>
      </c>
      <c r="CK282" s="88">
        <v>0</v>
      </c>
      <c r="CL282" s="88">
        <v>0</v>
      </c>
      <c r="CM282" s="88">
        <v>0</v>
      </c>
      <c r="CN282" s="88">
        <v>0</v>
      </c>
      <c r="CO282" s="88">
        <v>0</v>
      </c>
      <c r="CP282" s="88">
        <v>0</v>
      </c>
      <c r="CQ282" s="229">
        <v>0</v>
      </c>
      <c r="CR282" s="91">
        <v>0</v>
      </c>
      <c r="CS282" s="91">
        <v>0</v>
      </c>
      <c r="CT282" s="91">
        <v>0</v>
      </c>
      <c r="CU282" s="91">
        <v>0</v>
      </c>
      <c r="CV282" s="91">
        <v>0</v>
      </c>
      <c r="CW282" s="91">
        <v>0</v>
      </c>
      <c r="CX282" s="225">
        <v>0</v>
      </c>
      <c r="CY282" s="1265">
        <v>7814.2910399999992</v>
      </c>
      <c r="CZ282" s="90">
        <v>0</v>
      </c>
      <c r="DA282" s="88">
        <v>0</v>
      </c>
      <c r="DB282" s="88">
        <v>0</v>
      </c>
      <c r="DC282" s="88">
        <v>0</v>
      </c>
      <c r="DD282" s="88">
        <v>0</v>
      </c>
      <c r="DE282" s="152">
        <v>0</v>
      </c>
      <c r="DF282" s="230">
        <v>0</v>
      </c>
      <c r="DG282" s="38">
        <v>0</v>
      </c>
      <c r="DH282" s="1237">
        <v>0</v>
      </c>
      <c r="DI282" s="956">
        <v>0</v>
      </c>
      <c r="DJ282" s="956">
        <v>0</v>
      </c>
      <c r="DK282" s="956">
        <v>0</v>
      </c>
      <c r="DL282" s="152">
        <v>0</v>
      </c>
      <c r="DM282" s="160">
        <v>0</v>
      </c>
      <c r="DN282" s="160">
        <v>0</v>
      </c>
      <c r="DO282" s="160">
        <v>0</v>
      </c>
      <c r="DP282" s="160">
        <v>0</v>
      </c>
      <c r="DQ282" s="160">
        <v>0</v>
      </c>
      <c r="DR282" s="230">
        <v>0</v>
      </c>
      <c r="DS282" s="88">
        <v>0</v>
      </c>
      <c r="DT282" s="88">
        <v>0</v>
      </c>
      <c r="DU282" s="88">
        <v>0</v>
      </c>
      <c r="DV282" s="88">
        <v>0</v>
      </c>
      <c r="DW282" s="88">
        <v>0</v>
      </c>
      <c r="DX282" s="88">
        <v>0</v>
      </c>
      <c r="DY282" s="88">
        <v>0</v>
      </c>
      <c r="DZ282" s="88">
        <v>0</v>
      </c>
      <c r="EA282" s="88">
        <v>0</v>
      </c>
      <c r="EB282" s="152">
        <v>0</v>
      </c>
      <c r="EC282" s="52">
        <f t="shared" si="271"/>
        <v>0</v>
      </c>
      <c r="ED282" s="52">
        <f t="shared" si="271"/>
        <v>0</v>
      </c>
      <c r="EE282" s="52">
        <f t="shared" si="271"/>
        <v>0</v>
      </c>
      <c r="EF282" s="52">
        <f t="shared" si="271"/>
        <v>0</v>
      </c>
      <c r="EG282" s="52">
        <f t="shared" si="272"/>
        <v>0</v>
      </c>
      <c r="EH282" s="238">
        <v>0</v>
      </c>
      <c r="EI282" s="211">
        <v>0</v>
      </c>
      <c r="EJ282" s="211">
        <v>0</v>
      </c>
      <c r="EK282" s="211">
        <v>0</v>
      </c>
      <c r="EL282" s="217">
        <f>IF(C282&gt;=Summary!$E$26,MAX(0,SUM(EH282:EK282)),0)</f>
        <v>0</v>
      </c>
      <c r="EM282" s="52">
        <f>IF(C282&gt;=Summary!$E$26,DX282*BL282,0)</f>
        <v>0</v>
      </c>
      <c r="EN282" s="52">
        <f>IF(C282&gt;=Summary!$E$26,DY282*BM282,0)</f>
        <v>0</v>
      </c>
      <c r="EO282" s="52">
        <f>IF(C282&gt;=Summary!$E$26,DZ282*BN282,0)</f>
        <v>0</v>
      </c>
      <c r="EP282" s="52">
        <f>IF(C282&gt;=Summary!$E$26,EA282*BO282,0)</f>
        <v>0</v>
      </c>
      <c r="EQ282" s="52">
        <f>IF(C282&gt;=Summary!$E$26,DX282*BL282+DY282*BM282+DZ282*BN282+EA282*BO282,0)</f>
        <v>0</v>
      </c>
      <c r="ER282" s="826">
        <v>0</v>
      </c>
      <c r="ES282" s="278">
        <v>0</v>
      </c>
      <c r="ET282" s="278">
        <v>0</v>
      </c>
      <c r="EU282" s="278">
        <v>0</v>
      </c>
      <c r="EV282" s="212">
        <f>IF(C282&gt;=Summary!$E$26,MAX(0,SUM(ER282:EU282)),0)</f>
        <v>0</v>
      </c>
      <c r="EW282" s="52"/>
      <c r="EX282" s="1049">
        <f t="shared" si="273"/>
        <v>0</v>
      </c>
      <c r="EY282" s="1045" t="str">
        <f t="shared" si="274"/>
        <v/>
      </c>
      <c r="EZ282" s="1684" t="s">
        <v>525</v>
      </c>
      <c r="FA282" s="1046">
        <f t="shared" si="287"/>
        <v>45</v>
      </c>
      <c r="FB282" s="256">
        <f t="shared" si="275"/>
        <v>8865</v>
      </c>
      <c r="FC282" s="194">
        <f t="shared" si="276"/>
        <v>2659.5</v>
      </c>
      <c r="FD282" s="194">
        <f t="shared" si="277"/>
        <v>1773</v>
      </c>
      <c r="FE282" s="194">
        <f t="shared" si="278"/>
        <v>531.9</v>
      </c>
      <c r="FF282" s="194">
        <f t="shared" si="279"/>
        <v>1773</v>
      </c>
      <c r="FG282" s="194">
        <f t="shared" si="280"/>
        <v>531.9</v>
      </c>
      <c r="FH282" s="257">
        <f>IF(EZ282="No",IF((OR(MONTH(C282)=5,MONTH(C282)=6,MONTH(C282)=7,MONTH(C282)=8,MONTH(C282)=9)),Summary!$O$15*12*(AX282+AY282+AZ282+BA282)*(1-$BC282),Summary!$O$15*13*(AX282+AY282+AZ282+BA282)*(1-$BC282)+IF(Summary!$O$16="Yes",(CALC!FA282+Summary!$O$15)*6*(AX282+AY282+AZ282+BA282)*(1-$BC282),0)),0)</f>
        <v>0</v>
      </c>
      <c r="FI282" s="1412">
        <f>IF(MONTH(C282)=5,FI281*(IF(Summary!$E$70="no",(1+(Summary!$E$71*0.8)),1+HLOOKUP(YEAR(C282)-1,CCFMODEL!$I$127:$AF$128,2)*0.8)),+FI281)</f>
        <v>44.825249700897849</v>
      </c>
      <c r="FJ282" s="1411">
        <f>IF(MONTH(C282)=5,FJ281*(IF(Summary!$E$70="no",(1+(Summary!$E$71*0.8)),1+HLOOKUP(YEAR(CALC!C282)-1,CCFMODEL!$I$127:$AF$128,2)*0.8)),FJ281)</f>
        <v>39.177974148028831</v>
      </c>
      <c r="FK282" s="832">
        <f t="shared" si="248"/>
        <v>723224.02624919615</v>
      </c>
      <c r="FL282" s="1412">
        <f>IF(MONTH(C282)=5,FL281*(IF(Summary!$E$70="no",(1+(Summary!$E$71*0.8)),1+HLOOKUP(YEAR(CALC!C282)-1,CCFMODEL!$I$127:$AF$128,2)*0.8)),+FL281)</f>
        <v>94.272525523935471</v>
      </c>
      <c r="FM282" s="1411">
        <f>IF(MONTH(C282)=5,FM281*(IF(Summary!$E$70="no",(1+(Summary!$E$71*0.8)),1+HLOOKUP(YEAR(CALC!C282)-1,CCFMODEL!$I$127:$AF$128,2)*0.8)),+FM281)</f>
        <v>44.993323378066563</v>
      </c>
      <c r="FN282" s="832">
        <f t="shared" si="249"/>
        <v>736990.63693273033</v>
      </c>
      <c r="FO282" s="194">
        <f t="shared" si="281"/>
        <v>1460214.6631819266</v>
      </c>
      <c r="FP282" s="263">
        <f t="shared" si="292"/>
        <v>8865</v>
      </c>
      <c r="FQ282" s="194">
        <f t="shared" si="292"/>
        <v>2659.5</v>
      </c>
      <c r="FR282" s="194">
        <f t="shared" si="292"/>
        <v>1773</v>
      </c>
      <c r="FS282" s="194">
        <f t="shared" si="291"/>
        <v>531.9</v>
      </c>
      <c r="FT282" s="194">
        <f t="shared" si="291"/>
        <v>1773</v>
      </c>
      <c r="FU282" s="194">
        <f t="shared" si="291"/>
        <v>531.9</v>
      </c>
      <c r="FV282" s="257">
        <f t="shared" si="291"/>
        <v>0</v>
      </c>
      <c r="FW282" s="189">
        <f t="shared" si="250"/>
        <v>0</v>
      </c>
      <c r="FX282" s="189">
        <f t="shared" si="251"/>
        <v>0</v>
      </c>
      <c r="FY282" s="189">
        <f t="shared" si="252"/>
        <v>0</v>
      </c>
      <c r="FZ282" s="258">
        <f t="shared" si="253"/>
        <v>0</v>
      </c>
      <c r="GA282" s="1294">
        <f>(SUM(FP282:FV282)+SUM(GU282:HB282)/(1-Summary!$O$25))*CY282/1000</f>
        <v>126078.11592667198</v>
      </c>
      <c r="GB282" s="1369">
        <f>IF($C282&lt;Summary!$M$81,+Summary!$O$81,VLOOKUP(C282,GasTable,19))</f>
        <v>4.8</v>
      </c>
      <c r="GC282" s="1370">
        <f>IF(H282&lt;=Summary!$N$84,MIN(GA282,Summary!$O$75*(H282-G282+1)),0)</f>
        <v>0</v>
      </c>
      <c r="GD282" s="1371">
        <f>IF(C282&lt;Summary!$N$84,IF(Summary!$O$75*(H282-G282+1)*0.8&gt;GC282,1,0),0)</f>
        <v>0</v>
      </c>
      <c r="GE282" s="1372">
        <v>0</v>
      </c>
      <c r="GF282" s="1370">
        <f t="shared" si="282"/>
        <v>126078.11592667198</v>
      </c>
      <c r="GG282" s="1371">
        <f>GF282*(IF(Summary!$O$74=1,VLOOKUP($C282,GasTable,16)+Summary!$O$92+Summary!$O$93,VLOOKUP($C282,GasTable,19)+Summary!$O$92+Summary!$O$93))</f>
        <v>611743.62628780515</v>
      </c>
      <c r="GH282" s="1373">
        <v>6720</v>
      </c>
      <c r="GI282" s="1466">
        <v>0</v>
      </c>
      <c r="GJ282" s="1374">
        <f t="shared" si="283"/>
        <v>618463.62628780515</v>
      </c>
      <c r="GK282" s="189">
        <f t="shared" si="254"/>
        <v>16134.3</v>
      </c>
      <c r="GL282" s="266">
        <v>0.52355749967999998</v>
      </c>
      <c r="GM282" s="255">
        <f t="shared" si="255"/>
        <v>0</v>
      </c>
      <c r="GN282" s="189">
        <f>IF(SUM(GU282:HB282)=0,0,IF(Summary!$O$16="Yes",SUM(GX282:HB282),IF(Summary!$O$17="Yes",SUM(GY282:HB282),SUM(GU282:HB282))))</f>
        <v>0</v>
      </c>
      <c r="GO282" s="203">
        <v>4.5594170129311724</v>
      </c>
      <c r="GP282" s="258">
        <f t="shared" si="284"/>
        <v>0</v>
      </c>
      <c r="GQ282" s="189"/>
      <c r="GR282" s="189"/>
      <c r="GS282" s="189"/>
      <c r="GT282" s="189"/>
      <c r="GU282" s="268">
        <v>0</v>
      </c>
      <c r="GV282" s="189">
        <v>0</v>
      </c>
      <c r="GW282" s="189">
        <v>0</v>
      </c>
      <c r="GX282" s="189"/>
      <c r="GY282" s="254">
        <v>0</v>
      </c>
      <c r="GZ282" s="189">
        <v>0</v>
      </c>
      <c r="HA282" s="189">
        <v>0</v>
      </c>
      <c r="HB282" s="255"/>
      <c r="HC282" s="189">
        <v>0</v>
      </c>
      <c r="HD282" s="189"/>
      <c r="HE282" s="189">
        <v>0</v>
      </c>
      <c r="HF282" s="189">
        <v>0</v>
      </c>
      <c r="HG282" s="189"/>
      <c r="HH282" s="203">
        <v>0</v>
      </c>
      <c r="HI282" s="189">
        <v>0</v>
      </c>
      <c r="HJ282" s="268">
        <f t="shared" si="256"/>
        <v>0</v>
      </c>
      <c r="HK282" s="189">
        <f t="shared" si="257"/>
        <v>0</v>
      </c>
      <c r="HL282" s="189">
        <f t="shared" si="258"/>
        <v>0</v>
      </c>
      <c r="HM282" s="255">
        <f t="shared" si="259"/>
        <v>0</v>
      </c>
      <c r="HN282" s="189">
        <f t="shared" si="260"/>
        <v>0</v>
      </c>
      <c r="HO282" s="203">
        <f t="shared" si="285"/>
        <v>0</v>
      </c>
      <c r="HP282" s="258">
        <f t="shared" si="261"/>
        <v>0</v>
      </c>
      <c r="HQ282" s="203"/>
      <c r="HR282" s="203"/>
      <c r="HS282" s="203"/>
      <c r="HT282" s="203"/>
      <c r="HU282" s="203"/>
      <c r="HV282" s="203"/>
      <c r="HW282" s="203"/>
      <c r="HX282" s="203"/>
      <c r="HY282" s="203"/>
      <c r="HZ282" s="203"/>
      <c r="IA282" s="203"/>
      <c r="IB282" s="203"/>
      <c r="IC282" s="203"/>
      <c r="ID282" s="203"/>
      <c r="IE282" s="203"/>
      <c r="IF282" s="203"/>
      <c r="IG282" s="203"/>
      <c r="IH282" s="203"/>
      <c r="II282" s="203"/>
      <c r="IJ282" s="203"/>
      <c r="IK282" s="203"/>
      <c r="IL282" s="821"/>
      <c r="IM282" s="820"/>
      <c r="IN282" s="820"/>
      <c r="IR282" s="223"/>
    </row>
    <row r="283" spans="1:252" ht="13.8" thickBot="1">
      <c r="A283" t="str">
        <f t="shared" si="262"/>
        <v>2022Q1</v>
      </c>
      <c r="B283">
        <f t="shared" si="263"/>
        <v>2022</v>
      </c>
      <c r="C283" s="49">
        <f t="shared" si="264"/>
        <v>44621</v>
      </c>
      <c r="D283" s="115">
        <f t="shared" si="265"/>
        <v>2022</v>
      </c>
      <c r="E283" s="10">
        <f t="shared" si="288"/>
        <v>3</v>
      </c>
      <c r="F283" s="248" t="str">
        <f t="shared" si="289"/>
        <v/>
      </c>
      <c r="G283" s="245">
        <v>44621</v>
      </c>
      <c r="H283" s="251">
        <v>44651</v>
      </c>
      <c r="I283" s="959">
        <f t="shared" si="286"/>
        <v>7.1499999999999994E-2</v>
      </c>
      <c r="J283" s="37">
        <f t="shared" si="266"/>
        <v>0.20807304237157398</v>
      </c>
      <c r="K283" s="1036"/>
      <c r="L283" s="37"/>
      <c r="M283" s="1004">
        <v>0</v>
      </c>
      <c r="N283" s="38">
        <f t="shared" si="246"/>
        <v>0</v>
      </c>
      <c r="O283" s="40">
        <f t="shared" si="246"/>
        <v>0</v>
      </c>
      <c r="P283" s="159">
        <f t="shared" si="234"/>
        <v>0</v>
      </c>
      <c r="Q283" s="38">
        <f t="shared" si="293"/>
        <v>0</v>
      </c>
      <c r="R283" s="40">
        <f t="shared" si="293"/>
        <v>0</v>
      </c>
      <c r="S283" s="38">
        <f t="shared" si="293"/>
        <v>0</v>
      </c>
      <c r="T283" s="38">
        <f t="shared" si="293"/>
        <v>0</v>
      </c>
      <c r="U283" s="38">
        <f t="shared" si="293"/>
        <v>0</v>
      </c>
      <c r="V283" s="159">
        <f t="shared" si="293"/>
        <v>0</v>
      </c>
      <c r="W283" s="38">
        <f t="shared" si="293"/>
        <v>0</v>
      </c>
      <c r="X283" s="39">
        <f t="shared" si="293"/>
        <v>0</v>
      </c>
      <c r="Y283" s="46">
        <v>0</v>
      </c>
      <c r="Z283" s="46">
        <v>0</v>
      </c>
      <c r="AA283" s="47">
        <v>0</v>
      </c>
      <c r="AB283" s="46">
        <v>0</v>
      </c>
      <c r="AC283" s="46">
        <v>0</v>
      </c>
      <c r="AD283" s="47">
        <v>0</v>
      </c>
      <c r="AE283" s="46">
        <v>0</v>
      </c>
      <c r="AF283" s="46">
        <v>0</v>
      </c>
      <c r="AG283" s="47">
        <v>0</v>
      </c>
      <c r="AH283" s="46">
        <v>0</v>
      </c>
      <c r="AI283" s="46">
        <v>0</v>
      </c>
      <c r="AJ283" s="47">
        <v>0</v>
      </c>
      <c r="AK283" s="46">
        <v>0</v>
      </c>
      <c r="AL283" s="46">
        <v>0</v>
      </c>
      <c r="AM283" s="47">
        <v>0</v>
      </c>
      <c r="AN283" s="46">
        <v>0</v>
      </c>
      <c r="AO283" s="46">
        <v>0</v>
      </c>
      <c r="AP283" s="47">
        <v>0</v>
      </c>
      <c r="AQ283" s="46">
        <v>0</v>
      </c>
      <c r="AR283" s="46">
        <v>0</v>
      </c>
      <c r="AS283" s="47">
        <v>0</v>
      </c>
      <c r="AT283" s="46">
        <v>0</v>
      </c>
      <c r="AU283" s="46">
        <v>0</v>
      </c>
      <c r="AV283" s="46">
        <v>0</v>
      </c>
      <c r="AW283" s="1545">
        <v>0</v>
      </c>
      <c r="AX283" s="10">
        <f t="shared" si="290"/>
        <v>23</v>
      </c>
      <c r="AY283" s="42">
        <f>IF(AND($E283=MONTH(Summary!$E$24),$D283=YEAR(Summary!$E$24)),Summary!$E$25,1)*IF(G283="",0,INT((H283-MOD(H283,7)-G283)/7)+1-IF(BA283,IF(WEEKDAY(F283)=7,1,0),0))</f>
        <v>4</v>
      </c>
      <c r="AZ283" s="42">
        <f>IF(AND($E283=MONTH(Summary!$E$24),$D283=YEAR(Summary!$E$24)),Summary!$E$25,1)*IF(G283="",0,INT((H283-MOD(H283-1,7)-G283)/7)+1-IF(BA283,IF(WEEKDAY(F283)=1,1,0),0))</f>
        <v>4</v>
      </c>
      <c r="BA283" s="42">
        <v>0</v>
      </c>
      <c r="BB283" s="10">
        <f>IF(AND($E283=MONTH(Summary!$E$24),$D283=YEAR(Summary!$E$24)),Summary!$E$25,1)*IF(G283="",0,H283-G283+1)</f>
        <v>31</v>
      </c>
      <c r="BC283" s="914">
        <f>Summary!$E$19</f>
        <v>1.4999999999999999E-2</v>
      </c>
      <c r="BD283" s="113">
        <v>16311.6</v>
      </c>
      <c r="BE283" s="171">
        <v>2836.8</v>
      </c>
      <c r="BF283" s="171">
        <v>2836.8</v>
      </c>
      <c r="BG283" s="174"/>
      <c r="BH283" s="1198">
        <v>1</v>
      </c>
      <c r="BI283" s="1198">
        <v>1</v>
      </c>
      <c r="BJ283" s="1198">
        <v>1</v>
      </c>
      <c r="BK283" s="1198">
        <v>1</v>
      </c>
      <c r="BL283" s="95">
        <v>3262.32</v>
      </c>
      <c r="BM283" s="171">
        <v>567.36</v>
      </c>
      <c r="BN283" s="171">
        <v>567.36</v>
      </c>
      <c r="BO283" s="174"/>
      <c r="BP283" s="1198">
        <v>1</v>
      </c>
      <c r="BQ283" s="1199">
        <v>1</v>
      </c>
      <c r="BR283" s="1199">
        <v>1</v>
      </c>
      <c r="BS283" s="1200">
        <v>1</v>
      </c>
      <c r="BT283" s="94">
        <f t="shared" si="267"/>
        <v>21985.200000000001</v>
      </c>
      <c r="BU283" s="233">
        <f t="shared" si="268"/>
        <v>21985.200000000001</v>
      </c>
      <c r="BV283" s="92">
        <f t="shared" si="269"/>
        <v>4397.04</v>
      </c>
      <c r="BW283" s="233">
        <f t="shared" si="270"/>
        <v>4397.04</v>
      </c>
      <c r="BX283" s="88">
        <v>22.209445585215605</v>
      </c>
      <c r="BY283" s="90">
        <v>0</v>
      </c>
      <c r="BZ283" s="88">
        <v>0</v>
      </c>
      <c r="CA283" s="88">
        <v>0</v>
      </c>
      <c r="CB283" s="88">
        <v>0</v>
      </c>
      <c r="CC283" s="88">
        <v>0</v>
      </c>
      <c r="CD283" s="88">
        <v>0</v>
      </c>
      <c r="CE283" s="100">
        <v>0</v>
      </c>
      <c r="CF283" s="88">
        <v>0</v>
      </c>
      <c r="CG283" s="88">
        <v>0</v>
      </c>
      <c r="CH283" s="88">
        <v>0</v>
      </c>
      <c r="CI283" s="88">
        <v>0</v>
      </c>
      <c r="CJ283" s="228">
        <v>0</v>
      </c>
      <c r="CK283" s="88">
        <v>0</v>
      </c>
      <c r="CL283" s="88">
        <v>0</v>
      </c>
      <c r="CM283" s="88">
        <v>0</v>
      </c>
      <c r="CN283" s="88">
        <v>0</v>
      </c>
      <c r="CO283" s="88">
        <v>0</v>
      </c>
      <c r="CP283" s="88">
        <v>0</v>
      </c>
      <c r="CQ283" s="229">
        <v>0</v>
      </c>
      <c r="CR283" s="91">
        <v>0</v>
      </c>
      <c r="CS283" s="91">
        <v>0</v>
      </c>
      <c r="CT283" s="91">
        <v>0</v>
      </c>
      <c r="CU283" s="91">
        <v>0</v>
      </c>
      <c r="CV283" s="91">
        <v>0</v>
      </c>
      <c r="CW283" s="91">
        <v>0</v>
      </c>
      <c r="CX283" s="225">
        <v>0</v>
      </c>
      <c r="CY283" s="1265">
        <v>7816.322000000001</v>
      </c>
      <c r="CZ283" s="90">
        <v>0</v>
      </c>
      <c r="DA283" s="88">
        <v>0</v>
      </c>
      <c r="DB283" s="88">
        <v>0</v>
      </c>
      <c r="DC283" s="88">
        <v>0</v>
      </c>
      <c r="DD283" s="88">
        <v>0</v>
      </c>
      <c r="DE283" s="152">
        <v>0</v>
      </c>
      <c r="DF283" s="230">
        <v>0</v>
      </c>
      <c r="DG283" s="38">
        <v>0</v>
      </c>
      <c r="DH283" s="1237">
        <v>0</v>
      </c>
      <c r="DI283" s="956">
        <v>0</v>
      </c>
      <c r="DJ283" s="956">
        <v>0</v>
      </c>
      <c r="DK283" s="956">
        <v>0</v>
      </c>
      <c r="DL283" s="152">
        <v>0</v>
      </c>
      <c r="DM283" s="160">
        <v>0</v>
      </c>
      <c r="DN283" s="160">
        <v>0</v>
      </c>
      <c r="DO283" s="160">
        <v>0</v>
      </c>
      <c r="DP283" s="160">
        <v>0</v>
      </c>
      <c r="DQ283" s="160">
        <v>0</v>
      </c>
      <c r="DR283" s="230">
        <v>0</v>
      </c>
      <c r="DS283" s="88">
        <v>0</v>
      </c>
      <c r="DT283" s="88">
        <v>0</v>
      </c>
      <c r="DU283" s="88">
        <v>0</v>
      </c>
      <c r="DV283" s="88">
        <v>0</v>
      </c>
      <c r="DW283" s="88">
        <v>0</v>
      </c>
      <c r="DX283" s="88">
        <v>0</v>
      </c>
      <c r="DY283" s="88">
        <v>0</v>
      </c>
      <c r="DZ283" s="88">
        <v>0</v>
      </c>
      <c r="EA283" s="88">
        <v>0</v>
      </c>
      <c r="EB283" s="152">
        <v>0</v>
      </c>
      <c r="EC283" s="52">
        <f t="shared" si="271"/>
        <v>0</v>
      </c>
      <c r="ED283" s="52">
        <f t="shared" si="271"/>
        <v>0</v>
      </c>
      <c r="EE283" s="52">
        <f t="shared" si="271"/>
        <v>0</v>
      </c>
      <c r="EF283" s="52">
        <f t="shared" si="271"/>
        <v>0</v>
      </c>
      <c r="EG283" s="52">
        <f t="shared" si="272"/>
        <v>0</v>
      </c>
      <c r="EH283" s="238">
        <v>0</v>
      </c>
      <c r="EI283" s="211">
        <v>0</v>
      </c>
      <c r="EJ283" s="211">
        <v>0</v>
      </c>
      <c r="EK283" s="211">
        <v>0</v>
      </c>
      <c r="EL283" s="217">
        <f>IF(C283&gt;=Summary!$E$26,MAX(0,SUM(EH283:EK283)),0)</f>
        <v>0</v>
      </c>
      <c r="EM283" s="52">
        <f>IF(C283&gt;=Summary!$E$26,DX283*BL283,0)</f>
        <v>0</v>
      </c>
      <c r="EN283" s="52">
        <f>IF(C283&gt;=Summary!$E$26,DY283*BM283,0)</f>
        <v>0</v>
      </c>
      <c r="EO283" s="52">
        <f>IF(C283&gt;=Summary!$E$26,DZ283*BN283,0)</f>
        <v>0</v>
      </c>
      <c r="EP283" s="52">
        <f>IF(C283&gt;=Summary!$E$26,EA283*BO283,0)</f>
        <v>0</v>
      </c>
      <c r="EQ283" s="52">
        <f>IF(C283&gt;=Summary!$E$26,DX283*BL283+DY283*BM283+DZ283*BN283+EA283*BO283,0)</f>
        <v>0</v>
      </c>
      <c r="ER283" s="826">
        <v>0</v>
      </c>
      <c r="ES283" s="278">
        <v>0</v>
      </c>
      <c r="ET283" s="278">
        <v>0</v>
      </c>
      <c r="EU283" s="278">
        <v>0</v>
      </c>
      <c r="EV283" s="212">
        <f>IF(C283&gt;=Summary!$E$26,MAX(0,SUM(ER283:EU283)),0)</f>
        <v>0</v>
      </c>
      <c r="EW283" s="52"/>
      <c r="EX283" s="1049">
        <f t="shared" si="273"/>
        <v>0</v>
      </c>
      <c r="EY283" s="1045" t="str">
        <f t="shared" si="274"/>
        <v/>
      </c>
      <c r="EZ283" s="1684" t="s">
        <v>525</v>
      </c>
      <c r="FA283" s="1046">
        <f t="shared" si="287"/>
        <v>45</v>
      </c>
      <c r="FB283" s="256">
        <f t="shared" si="275"/>
        <v>10194.75</v>
      </c>
      <c r="FC283" s="194">
        <f t="shared" si="276"/>
        <v>3058.4250000000002</v>
      </c>
      <c r="FD283" s="194">
        <f t="shared" si="277"/>
        <v>1773</v>
      </c>
      <c r="FE283" s="194">
        <f t="shared" si="278"/>
        <v>531.9</v>
      </c>
      <c r="FF283" s="194">
        <f t="shared" si="279"/>
        <v>1773</v>
      </c>
      <c r="FG283" s="194">
        <f t="shared" si="280"/>
        <v>531.9</v>
      </c>
      <c r="FH283" s="257">
        <f>IF(EZ283="No",IF((OR(MONTH(C283)=5,MONTH(C283)=6,MONTH(C283)=7,MONTH(C283)=8,MONTH(C283)=9)),Summary!$O$15*12*(AX283+AY283+AZ283+BA283)*(1-$BC283),Summary!$O$15*13*(AX283+AY283+AZ283+BA283)*(1-$BC283)+IF(Summary!$O$16="Yes",(CALC!FA283+Summary!$O$15)*6*(AX283+AY283+AZ283+BA283)*(1-$BC283),0)),0)</f>
        <v>0</v>
      </c>
      <c r="FI283" s="1412">
        <f>IF(MONTH(C283)=5,FI282*(IF(Summary!$E$70="no",(1+(Summary!$E$71*0.8)),1+HLOOKUP(YEAR(C283)-1,CCFMODEL!$I$127:$AF$128,2)*0.8)),+FI282)</f>
        <v>44.825249700897849</v>
      </c>
      <c r="FJ283" s="1411">
        <f>IF(MONTH(C283)=5,FJ282*(IF(Summary!$E$70="no",(1+(Summary!$E$71*0.8)),1+HLOOKUP(YEAR(CALC!C283)-1,CCFMODEL!$I$127:$AF$128,2)*0.8)),FJ282)</f>
        <v>39.177974148028831</v>
      </c>
      <c r="FK283" s="832">
        <f t="shared" si="248"/>
        <v>800712.31477589568</v>
      </c>
      <c r="FL283" s="1412">
        <f>IF(MONTH(C283)=5,FL282*(IF(Summary!$E$70="no",(1+(Summary!$E$71*0.8)),1+HLOOKUP(YEAR(CALC!C283)-1,CCFMODEL!$I$127:$AF$128,2)*0.8)),+FL282)</f>
        <v>94.272525523935471</v>
      </c>
      <c r="FM283" s="1411">
        <f>IF(MONTH(C283)=5,FM282*(IF(Summary!$E$70="no",(1+(Summary!$E$71*0.8)),1+HLOOKUP(YEAR(CALC!C283)-1,CCFMODEL!$I$127:$AF$128,2)*0.8)),+FM282)</f>
        <v>44.993323378066563</v>
      </c>
      <c r="FN283" s="832">
        <f t="shared" si="249"/>
        <v>815953.91946123715</v>
      </c>
      <c r="FO283" s="194">
        <f t="shared" si="281"/>
        <v>1616666.2342371328</v>
      </c>
      <c r="FP283" s="263">
        <f t="shared" si="292"/>
        <v>10194.75</v>
      </c>
      <c r="FQ283" s="194">
        <f t="shared" si="292"/>
        <v>3058.4250000000002</v>
      </c>
      <c r="FR283" s="194">
        <f t="shared" si="292"/>
        <v>1773</v>
      </c>
      <c r="FS283" s="194">
        <f t="shared" si="291"/>
        <v>531.9</v>
      </c>
      <c r="FT283" s="194">
        <f t="shared" si="291"/>
        <v>1773</v>
      </c>
      <c r="FU283" s="194">
        <f t="shared" si="291"/>
        <v>531.9</v>
      </c>
      <c r="FV283" s="257">
        <f t="shared" si="291"/>
        <v>0</v>
      </c>
      <c r="FW283" s="189">
        <f t="shared" si="250"/>
        <v>0</v>
      </c>
      <c r="FX283" s="189">
        <f t="shared" si="251"/>
        <v>0</v>
      </c>
      <c r="FY283" s="189">
        <f t="shared" si="252"/>
        <v>0</v>
      </c>
      <c r="FZ283" s="258">
        <f t="shared" si="253"/>
        <v>0</v>
      </c>
      <c r="GA283" s="1294">
        <f>(SUM(FP283:FV283)+SUM(GU283:HB283)/(1-Summary!$O$25))*CY283/1000</f>
        <v>139622.76447795</v>
      </c>
      <c r="GB283" s="1369">
        <f>IF($C283&lt;Summary!$M$81,+Summary!$O$81,VLOOKUP(C283,GasTable,19))</f>
        <v>4.6989999999999998</v>
      </c>
      <c r="GC283" s="1370">
        <f>IF(H283&lt;=Summary!$N$84,MIN(GA283,Summary!$O$75*(H283-G283+1)),0)</f>
        <v>0</v>
      </c>
      <c r="GD283" s="1371">
        <f>IF(C283&lt;Summary!$N$84,IF(Summary!$O$75*(H283-G283+1)*0.8&gt;GC283,1,0),0)</f>
        <v>0</v>
      </c>
      <c r="GE283" s="1372">
        <v>0</v>
      </c>
      <c r="GF283" s="1370">
        <f t="shared" si="282"/>
        <v>139622.76447795</v>
      </c>
      <c r="GG283" s="1371">
        <f>GF283*(IF(Summary!$O$74=1,VLOOKUP($C283,GasTable,16)+Summary!$O$92+Summary!$O$93,VLOOKUP($C283,GasTable,19)+Summary!$O$92+Summary!$O$93))</f>
        <v>663361.7163111883</v>
      </c>
      <c r="GH283" s="1373">
        <v>7283.45</v>
      </c>
      <c r="GI283" s="1466">
        <v>0</v>
      </c>
      <c r="GJ283" s="1374">
        <f t="shared" si="283"/>
        <v>670645.16631118825</v>
      </c>
      <c r="GK283" s="189">
        <f t="shared" si="254"/>
        <v>17862.974999999999</v>
      </c>
      <c r="GL283" s="266">
        <v>0.52369357400000016</v>
      </c>
      <c r="GM283" s="255">
        <f t="shared" si="255"/>
        <v>0</v>
      </c>
      <c r="GN283" s="189">
        <f>IF(SUM(GU283:HB283)=0,0,IF(Summary!$O$16="Yes",SUM(GX283:HB283),IF(Summary!$O$17="Yes",SUM(GY283:HB283),SUM(GU283:HB283))))</f>
        <v>0</v>
      </c>
      <c r="GO283" s="203">
        <v>4.5594170129311724</v>
      </c>
      <c r="GP283" s="258">
        <f t="shared" si="284"/>
        <v>0</v>
      </c>
      <c r="GQ283" s="189"/>
      <c r="GR283" s="189"/>
      <c r="GS283" s="189"/>
      <c r="GT283" s="189"/>
      <c r="GU283" s="268">
        <v>0</v>
      </c>
      <c r="GV283" s="189">
        <v>0</v>
      </c>
      <c r="GW283" s="189">
        <v>0</v>
      </c>
      <c r="GX283" s="189"/>
      <c r="GY283" s="254">
        <v>0</v>
      </c>
      <c r="GZ283" s="189">
        <v>0</v>
      </c>
      <c r="HA283" s="189">
        <v>0</v>
      </c>
      <c r="HB283" s="255"/>
      <c r="HC283" s="189">
        <v>0</v>
      </c>
      <c r="HD283" s="189"/>
      <c r="HE283" s="189">
        <v>0</v>
      </c>
      <c r="HF283" s="189">
        <v>0</v>
      </c>
      <c r="HG283" s="189"/>
      <c r="HH283" s="203">
        <v>0</v>
      </c>
      <c r="HI283" s="189">
        <v>0</v>
      </c>
      <c r="HJ283" s="268">
        <f t="shared" si="256"/>
        <v>0</v>
      </c>
      <c r="HK283" s="189">
        <f t="shared" si="257"/>
        <v>0</v>
      </c>
      <c r="HL283" s="189">
        <f t="shared" si="258"/>
        <v>0</v>
      </c>
      <c r="HM283" s="255">
        <f t="shared" si="259"/>
        <v>0</v>
      </c>
      <c r="HN283" s="189">
        <f t="shared" si="260"/>
        <v>0</v>
      </c>
      <c r="HO283" s="203">
        <f t="shared" si="285"/>
        <v>0</v>
      </c>
      <c r="HP283" s="258">
        <f t="shared" si="261"/>
        <v>0</v>
      </c>
      <c r="HQ283" s="203"/>
      <c r="HR283" s="203"/>
      <c r="HS283" s="203"/>
      <c r="HT283" s="203"/>
      <c r="HU283" s="203"/>
      <c r="HV283" s="203"/>
      <c r="HW283" s="203"/>
      <c r="HX283" s="203"/>
      <c r="HY283" s="203"/>
      <c r="HZ283" s="203"/>
      <c r="IA283" s="203"/>
      <c r="IB283" s="203"/>
      <c r="IC283" s="203"/>
      <c r="ID283" s="203"/>
      <c r="IE283" s="203"/>
      <c r="IF283" s="203"/>
      <c r="IG283" s="203"/>
      <c r="IH283" s="203"/>
      <c r="II283" s="203"/>
      <c r="IJ283" s="203"/>
      <c r="IK283" s="203"/>
      <c r="IL283" s="821"/>
      <c r="IM283" s="820"/>
      <c r="IN283" s="820"/>
      <c r="IR283" s="223"/>
    </row>
    <row r="284" spans="1:252" ht="13.8" thickBot="1">
      <c r="A284" t="str">
        <f t="shared" si="262"/>
        <v>2022Q2</v>
      </c>
      <c r="B284">
        <f t="shared" si="263"/>
        <v>2022</v>
      </c>
      <c r="C284" s="49">
        <f t="shared" si="264"/>
        <v>44652</v>
      </c>
      <c r="D284" s="115">
        <f t="shared" si="265"/>
        <v>2022</v>
      </c>
      <c r="E284" s="10">
        <f t="shared" si="288"/>
        <v>4</v>
      </c>
      <c r="F284" s="248" t="str">
        <f t="shared" si="289"/>
        <v/>
      </c>
      <c r="G284" s="245">
        <v>44652</v>
      </c>
      <c r="H284" s="251">
        <v>44681</v>
      </c>
      <c r="I284" s="959">
        <f t="shared" si="286"/>
        <v>7.1499999999999994E-2</v>
      </c>
      <c r="J284" s="37">
        <f t="shared" si="266"/>
        <v>0.2068758864403058</v>
      </c>
      <c r="K284" s="1036"/>
      <c r="L284" s="37"/>
      <c r="M284" s="1004">
        <v>0</v>
      </c>
      <c r="N284" s="38">
        <f t="shared" si="246"/>
        <v>0</v>
      </c>
      <c r="O284" s="40">
        <f t="shared" si="246"/>
        <v>0</v>
      </c>
      <c r="P284" s="159">
        <f t="shared" si="234"/>
        <v>0</v>
      </c>
      <c r="Q284" s="38">
        <f t="shared" si="293"/>
        <v>0</v>
      </c>
      <c r="R284" s="40">
        <f t="shared" si="293"/>
        <v>0</v>
      </c>
      <c r="S284" s="38">
        <f t="shared" si="293"/>
        <v>0</v>
      </c>
      <c r="T284" s="38">
        <f t="shared" si="293"/>
        <v>0</v>
      </c>
      <c r="U284" s="38">
        <f t="shared" si="293"/>
        <v>0</v>
      </c>
      <c r="V284" s="159">
        <f t="shared" si="293"/>
        <v>0</v>
      </c>
      <c r="W284" s="38">
        <f t="shared" si="293"/>
        <v>0</v>
      </c>
      <c r="X284" s="39">
        <f t="shared" si="293"/>
        <v>0</v>
      </c>
      <c r="Y284" s="46">
        <v>0</v>
      </c>
      <c r="Z284" s="46">
        <v>0</v>
      </c>
      <c r="AA284" s="47">
        <v>0</v>
      </c>
      <c r="AB284" s="46">
        <v>0</v>
      </c>
      <c r="AC284" s="46">
        <v>0</v>
      </c>
      <c r="AD284" s="47">
        <v>0</v>
      </c>
      <c r="AE284" s="46">
        <v>0</v>
      </c>
      <c r="AF284" s="46">
        <v>0</v>
      </c>
      <c r="AG284" s="47">
        <v>0</v>
      </c>
      <c r="AH284" s="46">
        <v>0</v>
      </c>
      <c r="AI284" s="46">
        <v>0</v>
      </c>
      <c r="AJ284" s="47">
        <v>0</v>
      </c>
      <c r="AK284" s="46">
        <v>0</v>
      </c>
      <c r="AL284" s="46">
        <v>0</v>
      </c>
      <c r="AM284" s="47">
        <v>0</v>
      </c>
      <c r="AN284" s="46">
        <v>0</v>
      </c>
      <c r="AO284" s="46">
        <v>0</v>
      </c>
      <c r="AP284" s="47">
        <v>0</v>
      </c>
      <c r="AQ284" s="46">
        <v>0</v>
      </c>
      <c r="AR284" s="46">
        <v>0</v>
      </c>
      <c r="AS284" s="47">
        <v>0</v>
      </c>
      <c r="AT284" s="46">
        <v>0</v>
      </c>
      <c r="AU284" s="46">
        <v>0</v>
      </c>
      <c r="AV284" s="46">
        <v>0</v>
      </c>
      <c r="AW284" s="1545">
        <v>0</v>
      </c>
      <c r="AX284" s="10">
        <f t="shared" si="290"/>
        <v>21</v>
      </c>
      <c r="AY284" s="42">
        <f>IF(AND($E284=MONTH(Summary!$E$24),$D284=YEAR(Summary!$E$24)),Summary!$E$25,1)*IF(G284="",0,INT((H284-MOD(H284,7)-G284)/7)+1-IF(BA284,IF(WEEKDAY(F284)=7,1,0),0))</f>
        <v>5</v>
      </c>
      <c r="AZ284" s="42">
        <f>IF(AND($E284=MONTH(Summary!$E$24),$D284=YEAR(Summary!$E$24)),Summary!$E$25,1)*IF(G284="",0,INT((H284-MOD(H284-1,7)-G284)/7)+1-IF(BA284,IF(WEEKDAY(F284)=1,1,0),0))</f>
        <v>4</v>
      </c>
      <c r="BA284" s="42">
        <v>0</v>
      </c>
      <c r="BB284" s="10">
        <f>IF(AND($E284=MONTH(Summary!$E$24),$D284=YEAR(Summary!$E$24)),Summary!$E$25,1)*IF(G284="",0,H284-G284+1)</f>
        <v>30</v>
      </c>
      <c r="BC284" s="914">
        <f>Summary!$E$19</f>
        <v>1.4999999999999999E-2</v>
      </c>
      <c r="BD284" s="113">
        <v>14893.2</v>
      </c>
      <c r="BE284" s="171">
        <v>3546</v>
      </c>
      <c r="BF284" s="171">
        <v>2836.8</v>
      </c>
      <c r="BG284" s="174"/>
      <c r="BH284" s="1198">
        <v>1</v>
      </c>
      <c r="BI284" s="1198">
        <v>1</v>
      </c>
      <c r="BJ284" s="1198">
        <v>1</v>
      </c>
      <c r="BK284" s="1198">
        <v>1</v>
      </c>
      <c r="BL284" s="95">
        <v>2978.64</v>
      </c>
      <c r="BM284" s="171">
        <v>709.2</v>
      </c>
      <c r="BN284" s="171">
        <v>567.36</v>
      </c>
      <c r="BO284" s="174"/>
      <c r="BP284" s="1198">
        <v>1</v>
      </c>
      <c r="BQ284" s="1199">
        <v>1</v>
      </c>
      <c r="BR284" s="1199">
        <v>1</v>
      </c>
      <c r="BS284" s="1200">
        <v>1</v>
      </c>
      <c r="BT284" s="94">
        <f t="shared" si="267"/>
        <v>21276</v>
      </c>
      <c r="BU284" s="233">
        <f t="shared" si="268"/>
        <v>21276</v>
      </c>
      <c r="BV284" s="92">
        <f t="shared" si="269"/>
        <v>4255.2</v>
      </c>
      <c r="BW284" s="233">
        <f t="shared" si="270"/>
        <v>4255.2</v>
      </c>
      <c r="BX284" s="88">
        <v>22.2943189596167</v>
      </c>
      <c r="BY284" s="90">
        <v>0</v>
      </c>
      <c r="BZ284" s="88">
        <v>0</v>
      </c>
      <c r="CA284" s="88">
        <v>0</v>
      </c>
      <c r="CB284" s="88">
        <v>0</v>
      </c>
      <c r="CC284" s="88">
        <v>0</v>
      </c>
      <c r="CD284" s="88">
        <v>0</v>
      </c>
      <c r="CE284" s="100">
        <v>0</v>
      </c>
      <c r="CF284" s="88">
        <v>0</v>
      </c>
      <c r="CG284" s="88">
        <v>0</v>
      </c>
      <c r="CH284" s="88">
        <v>0</v>
      </c>
      <c r="CI284" s="88">
        <v>0</v>
      </c>
      <c r="CJ284" s="228">
        <v>0</v>
      </c>
      <c r="CK284" s="88">
        <v>0</v>
      </c>
      <c r="CL284" s="88">
        <v>0</v>
      </c>
      <c r="CM284" s="88">
        <v>0</v>
      </c>
      <c r="CN284" s="88">
        <v>0</v>
      </c>
      <c r="CO284" s="88">
        <v>0</v>
      </c>
      <c r="CP284" s="88">
        <v>0</v>
      </c>
      <c r="CQ284" s="229">
        <v>0</v>
      </c>
      <c r="CR284" s="91">
        <v>0</v>
      </c>
      <c r="CS284" s="91">
        <v>0</v>
      </c>
      <c r="CT284" s="91">
        <v>0</v>
      </c>
      <c r="CU284" s="91">
        <v>0</v>
      </c>
      <c r="CV284" s="91">
        <v>0</v>
      </c>
      <c r="CW284" s="91">
        <v>0</v>
      </c>
      <c r="CX284" s="225">
        <v>0</v>
      </c>
      <c r="CY284" s="1265">
        <v>7818.3529600000002</v>
      </c>
      <c r="CZ284" s="90">
        <v>0</v>
      </c>
      <c r="DA284" s="88">
        <v>0</v>
      </c>
      <c r="DB284" s="88">
        <v>0</v>
      </c>
      <c r="DC284" s="88">
        <v>0</v>
      </c>
      <c r="DD284" s="88">
        <v>0</v>
      </c>
      <c r="DE284" s="152">
        <v>0</v>
      </c>
      <c r="DF284" s="230">
        <v>0</v>
      </c>
      <c r="DG284" s="38">
        <v>0</v>
      </c>
      <c r="DH284" s="1237">
        <v>0</v>
      </c>
      <c r="DI284" s="956">
        <v>0</v>
      </c>
      <c r="DJ284" s="956">
        <v>0</v>
      </c>
      <c r="DK284" s="956">
        <v>0</v>
      </c>
      <c r="DL284" s="152">
        <v>0</v>
      </c>
      <c r="DM284" s="160">
        <v>0</v>
      </c>
      <c r="DN284" s="160">
        <v>0</v>
      </c>
      <c r="DO284" s="160">
        <v>0</v>
      </c>
      <c r="DP284" s="160">
        <v>0</v>
      </c>
      <c r="DQ284" s="160">
        <v>0</v>
      </c>
      <c r="DR284" s="230">
        <v>0</v>
      </c>
      <c r="DS284" s="88">
        <v>0</v>
      </c>
      <c r="DT284" s="88">
        <v>0</v>
      </c>
      <c r="DU284" s="88">
        <v>0</v>
      </c>
      <c r="DV284" s="88">
        <v>0</v>
      </c>
      <c r="DW284" s="88">
        <v>0</v>
      </c>
      <c r="DX284" s="88">
        <v>0</v>
      </c>
      <c r="DY284" s="88">
        <v>0</v>
      </c>
      <c r="DZ284" s="88">
        <v>0</v>
      </c>
      <c r="EA284" s="88">
        <v>0</v>
      </c>
      <c r="EB284" s="152">
        <v>0</v>
      </c>
      <c r="EC284" s="52">
        <f t="shared" si="271"/>
        <v>0</v>
      </c>
      <c r="ED284" s="52">
        <f t="shared" si="271"/>
        <v>0</v>
      </c>
      <c r="EE284" s="52">
        <f t="shared" si="271"/>
        <v>0</v>
      </c>
      <c r="EF284" s="52">
        <f t="shared" si="271"/>
        <v>0</v>
      </c>
      <c r="EG284" s="52">
        <f t="shared" si="272"/>
        <v>0</v>
      </c>
      <c r="EH284" s="238">
        <v>0</v>
      </c>
      <c r="EI284" s="211">
        <v>0</v>
      </c>
      <c r="EJ284" s="211">
        <v>0</v>
      </c>
      <c r="EK284" s="211">
        <v>0</v>
      </c>
      <c r="EL284" s="217">
        <f>IF(C284&gt;=Summary!$E$26,MAX(0,SUM(EH284:EK284)),0)</f>
        <v>0</v>
      </c>
      <c r="EM284" s="52">
        <f>IF(C284&gt;=Summary!$E$26,DX284*BL284,0)</f>
        <v>0</v>
      </c>
      <c r="EN284" s="52">
        <f>IF(C284&gt;=Summary!$E$26,DY284*BM284,0)</f>
        <v>0</v>
      </c>
      <c r="EO284" s="52">
        <f>IF(C284&gt;=Summary!$E$26,DZ284*BN284,0)</f>
        <v>0</v>
      </c>
      <c r="EP284" s="52">
        <f>IF(C284&gt;=Summary!$E$26,EA284*BO284,0)</f>
        <v>0</v>
      </c>
      <c r="EQ284" s="52">
        <f>IF(C284&gt;=Summary!$E$26,DX284*BL284+DY284*BM284+DZ284*BN284+EA284*BO284,0)</f>
        <v>0</v>
      </c>
      <c r="ER284" s="826">
        <v>0</v>
      </c>
      <c r="ES284" s="278">
        <v>0</v>
      </c>
      <c r="ET284" s="278">
        <v>0</v>
      </c>
      <c r="EU284" s="278">
        <v>0</v>
      </c>
      <c r="EV284" s="212">
        <f>IF(C284&gt;=Summary!$E$26,MAX(0,SUM(ER284:EU284)),0)</f>
        <v>0</v>
      </c>
      <c r="EW284" s="52"/>
      <c r="EX284" s="1049">
        <f t="shared" si="273"/>
        <v>0</v>
      </c>
      <c r="EY284" s="1045" t="str">
        <f t="shared" si="274"/>
        <v/>
      </c>
      <c r="EZ284" s="1684" t="s">
        <v>525</v>
      </c>
      <c r="FA284" s="1046">
        <f t="shared" si="287"/>
        <v>45</v>
      </c>
      <c r="FB284" s="256">
        <f t="shared" si="275"/>
        <v>9308.25</v>
      </c>
      <c r="FC284" s="194">
        <f t="shared" si="276"/>
        <v>2792.4749999999999</v>
      </c>
      <c r="FD284" s="194">
        <f t="shared" si="277"/>
        <v>2216.25</v>
      </c>
      <c r="FE284" s="194">
        <f t="shared" si="278"/>
        <v>664.875</v>
      </c>
      <c r="FF284" s="194">
        <f t="shared" si="279"/>
        <v>1773</v>
      </c>
      <c r="FG284" s="194">
        <f t="shared" si="280"/>
        <v>531.9</v>
      </c>
      <c r="FH284" s="257">
        <f>IF(EZ284="No",IF((OR(MONTH(C284)=5,MONTH(C284)=6,MONTH(C284)=7,MONTH(C284)=8,MONTH(C284)=9)),Summary!$O$15*12*(AX284+AY284+AZ284+BA284)*(1-$BC284),Summary!$O$15*13*(AX284+AY284+AZ284+BA284)*(1-$BC284)+IF(Summary!$O$16="Yes",(CALC!FA284+Summary!$O$15)*6*(AX284+AY284+AZ284+BA284)*(1-$BC284),0)),0)</f>
        <v>0</v>
      </c>
      <c r="FI284" s="1412">
        <f>IF(MONTH(C284)=5,FI283*(IF(Summary!$E$70="no",(1+(Summary!$E$71*0.8)),1+HLOOKUP(YEAR(C284)-1,CCFMODEL!$I$127:$AF$128,2)*0.8)),+FI283)</f>
        <v>44.825249700897849</v>
      </c>
      <c r="FJ284" s="1411">
        <f>IF(MONTH(C284)=5,FJ283*(IF(Summary!$E$70="no",(1+(Summary!$E$71*0.8)),1+HLOOKUP(YEAR(CALC!C284)-1,CCFMODEL!$I$127:$AF$128,2)*0.8)),FJ283)</f>
        <v>39.177974148028831</v>
      </c>
      <c r="FK284" s="832">
        <f t="shared" si="248"/>
        <v>774882.88526699587</v>
      </c>
      <c r="FL284" s="1412">
        <f>IF(MONTH(C284)=5,FL283*(IF(Summary!$E$70="no",(1+(Summary!$E$71*0.8)),1+HLOOKUP(YEAR(CALC!C284)-1,CCFMODEL!$I$127:$AF$128,2)*0.8)),+FL283)</f>
        <v>94.272525523935471</v>
      </c>
      <c r="FM284" s="1411">
        <f>IF(MONTH(C284)=5,FM283*(IF(Summary!$E$70="no",(1+(Summary!$E$71*0.8)),1+HLOOKUP(YEAR(CALC!C284)-1,CCFMODEL!$I$127:$AF$128,2)*0.8)),+FM283)</f>
        <v>44.993323378066563</v>
      </c>
      <c r="FN284" s="832">
        <f t="shared" si="249"/>
        <v>789632.82528506813</v>
      </c>
      <c r="FO284" s="194">
        <f t="shared" si="281"/>
        <v>1564515.710552064</v>
      </c>
      <c r="FP284" s="263">
        <f t="shared" si="292"/>
        <v>9308.25</v>
      </c>
      <c r="FQ284" s="194">
        <f t="shared" si="292"/>
        <v>2792.4749999999999</v>
      </c>
      <c r="FR284" s="194">
        <f t="shared" si="292"/>
        <v>2216.25</v>
      </c>
      <c r="FS284" s="194">
        <f t="shared" si="291"/>
        <v>664.875</v>
      </c>
      <c r="FT284" s="194">
        <f t="shared" si="291"/>
        <v>1773</v>
      </c>
      <c r="FU284" s="194">
        <f t="shared" si="291"/>
        <v>531.9</v>
      </c>
      <c r="FV284" s="257">
        <f t="shared" si="291"/>
        <v>0</v>
      </c>
      <c r="FW284" s="189">
        <f t="shared" si="250"/>
        <v>0</v>
      </c>
      <c r="FX284" s="189">
        <f t="shared" si="251"/>
        <v>0</v>
      </c>
      <c r="FY284" s="189">
        <f t="shared" si="252"/>
        <v>0</v>
      </c>
      <c r="FZ284" s="258">
        <f t="shared" si="253"/>
        <v>0</v>
      </c>
      <c r="GA284" s="1294">
        <f>(SUM(FP284:FV284)+SUM(GU284:HB284)/(1-Summary!$O$25))*CY284/1000</f>
        <v>135153.91303128001</v>
      </c>
      <c r="GB284" s="1369">
        <f>IF($C284&lt;Summary!$M$81,+Summary!$O$81,VLOOKUP(C284,GasTable,19))</f>
        <v>4.601</v>
      </c>
      <c r="GC284" s="1370">
        <f>IF(H284&lt;=Summary!$N$84,MIN(GA284,Summary!$O$75*(H284-G284+1)),0)</f>
        <v>0</v>
      </c>
      <c r="GD284" s="1371">
        <f>IF(C284&lt;Summary!$N$84,IF(Summary!$O$75*(H284-G284+1)*0.8&gt;GC284,1,0),0)</f>
        <v>0</v>
      </c>
      <c r="GE284" s="1372">
        <v>0</v>
      </c>
      <c r="GF284" s="1370">
        <f t="shared" si="282"/>
        <v>135153.91303128001</v>
      </c>
      <c r="GG284" s="1371">
        <f>GF284*(IF(Summary!$O$74=1,VLOOKUP($C284,GasTable,16)+Summary!$O$92+Summary!$O$93,VLOOKUP($C284,GasTable,19)+Summary!$O$92+Summary!$O$93))</f>
        <v>628884.67272584909</v>
      </c>
      <c r="GH284" s="1373">
        <v>6901.5</v>
      </c>
      <c r="GI284" s="1466">
        <v>0</v>
      </c>
      <c r="GJ284" s="1374">
        <f t="shared" si="283"/>
        <v>635786.17272584909</v>
      </c>
      <c r="GK284" s="189">
        <f t="shared" si="254"/>
        <v>17286.75</v>
      </c>
      <c r="GL284" s="266">
        <v>0.52382964832000001</v>
      </c>
      <c r="GM284" s="255">
        <f t="shared" si="255"/>
        <v>0</v>
      </c>
      <c r="GN284" s="189">
        <f>IF(SUM(GU284:HB284)=0,0,IF(Summary!$O$16="Yes",SUM(GX284:HB284),IF(Summary!$O$17="Yes",SUM(GY284:HB284),SUM(GU284:HB284))))</f>
        <v>0</v>
      </c>
      <c r="GO284" s="203">
        <v>4.5594170129311724</v>
      </c>
      <c r="GP284" s="258">
        <f t="shared" si="284"/>
        <v>0</v>
      </c>
      <c r="GQ284" s="189"/>
      <c r="GR284" s="189"/>
      <c r="GS284" s="189"/>
      <c r="GT284" s="189"/>
      <c r="GU284" s="268">
        <v>0</v>
      </c>
      <c r="GV284" s="189">
        <v>0</v>
      </c>
      <c r="GW284" s="189">
        <v>0</v>
      </c>
      <c r="GX284" s="189"/>
      <c r="GY284" s="254">
        <v>0</v>
      </c>
      <c r="GZ284" s="189">
        <v>0</v>
      </c>
      <c r="HA284" s="189">
        <v>0</v>
      </c>
      <c r="HB284" s="255"/>
      <c r="HC284" s="189">
        <v>0</v>
      </c>
      <c r="HD284" s="189"/>
      <c r="HE284" s="189">
        <v>0</v>
      </c>
      <c r="HF284" s="189">
        <v>0</v>
      </c>
      <c r="HG284" s="189"/>
      <c r="HH284" s="203">
        <v>0</v>
      </c>
      <c r="HI284" s="189">
        <v>0</v>
      </c>
      <c r="HJ284" s="268">
        <f t="shared" si="256"/>
        <v>0</v>
      </c>
      <c r="HK284" s="189">
        <f t="shared" si="257"/>
        <v>0</v>
      </c>
      <c r="HL284" s="189">
        <f t="shared" si="258"/>
        <v>0</v>
      </c>
      <c r="HM284" s="255">
        <f t="shared" si="259"/>
        <v>0</v>
      </c>
      <c r="HN284" s="189">
        <f t="shared" si="260"/>
        <v>0</v>
      </c>
      <c r="HO284" s="203">
        <f t="shared" si="285"/>
        <v>0</v>
      </c>
      <c r="HP284" s="258">
        <f t="shared" si="261"/>
        <v>0</v>
      </c>
      <c r="HQ284" s="203"/>
      <c r="HR284" s="203"/>
      <c r="HS284" s="203"/>
      <c r="HT284" s="203"/>
      <c r="HU284" s="203"/>
      <c r="HV284" s="203"/>
      <c r="HW284" s="203"/>
      <c r="HX284" s="203"/>
      <c r="HY284" s="203"/>
      <c r="HZ284" s="203"/>
      <c r="IA284" s="203"/>
      <c r="IB284" s="203"/>
      <c r="IC284" s="203"/>
      <c r="ID284" s="203"/>
      <c r="IE284" s="203"/>
      <c r="IF284" s="203"/>
      <c r="IG284" s="203"/>
      <c r="IH284" s="203"/>
      <c r="II284" s="203"/>
      <c r="IJ284" s="203"/>
      <c r="IK284" s="203"/>
      <c r="IL284" s="821"/>
      <c r="IM284" s="820"/>
      <c r="IN284" s="820"/>
      <c r="IR284" s="223"/>
    </row>
    <row r="285" spans="1:252" ht="13.8" thickBot="1">
      <c r="A285" t="str">
        <f t="shared" si="262"/>
        <v>2022Q2</v>
      </c>
      <c r="B285">
        <f t="shared" si="263"/>
        <v>2022</v>
      </c>
      <c r="C285" s="49">
        <f t="shared" si="264"/>
        <v>44682</v>
      </c>
      <c r="D285" s="115">
        <f t="shared" si="265"/>
        <v>2022</v>
      </c>
      <c r="E285" s="10">
        <f t="shared" si="288"/>
        <v>5</v>
      </c>
      <c r="F285" s="248">
        <f t="shared" si="289"/>
        <v>44711</v>
      </c>
      <c r="G285" s="245">
        <v>44682</v>
      </c>
      <c r="H285" s="251">
        <v>44712</v>
      </c>
      <c r="I285" s="959">
        <f t="shared" si="286"/>
        <v>7.1499999999999994E-2</v>
      </c>
      <c r="J285" s="37">
        <f t="shared" si="266"/>
        <v>0.20564606094958521</v>
      </c>
      <c r="K285" s="1036"/>
      <c r="L285" s="37"/>
      <c r="M285" s="1004">
        <v>0</v>
      </c>
      <c r="N285" s="38">
        <f t="shared" si="246"/>
        <v>0</v>
      </c>
      <c r="O285" s="40">
        <f t="shared" si="246"/>
        <v>0</v>
      </c>
      <c r="P285" s="159">
        <f t="shared" si="234"/>
        <v>0</v>
      </c>
      <c r="Q285" s="38">
        <f t="shared" si="293"/>
        <v>0</v>
      </c>
      <c r="R285" s="40">
        <f t="shared" si="293"/>
        <v>0</v>
      </c>
      <c r="S285" s="38">
        <f t="shared" si="293"/>
        <v>0</v>
      </c>
      <c r="T285" s="38">
        <f t="shared" si="293"/>
        <v>0</v>
      </c>
      <c r="U285" s="38">
        <f t="shared" si="293"/>
        <v>0</v>
      </c>
      <c r="V285" s="159">
        <f t="shared" si="293"/>
        <v>0</v>
      </c>
      <c r="W285" s="38">
        <f t="shared" si="293"/>
        <v>0</v>
      </c>
      <c r="X285" s="39">
        <f t="shared" si="293"/>
        <v>0</v>
      </c>
      <c r="Y285" s="46">
        <v>0</v>
      </c>
      <c r="Z285" s="46">
        <v>0</v>
      </c>
      <c r="AA285" s="47">
        <v>0</v>
      </c>
      <c r="AB285" s="46">
        <v>0</v>
      </c>
      <c r="AC285" s="46">
        <v>0</v>
      </c>
      <c r="AD285" s="47">
        <v>0</v>
      </c>
      <c r="AE285" s="46">
        <v>0</v>
      </c>
      <c r="AF285" s="46">
        <v>0</v>
      </c>
      <c r="AG285" s="47">
        <v>0</v>
      </c>
      <c r="AH285" s="46">
        <v>0</v>
      </c>
      <c r="AI285" s="46">
        <v>0</v>
      </c>
      <c r="AJ285" s="47">
        <v>0</v>
      </c>
      <c r="AK285" s="46">
        <v>0</v>
      </c>
      <c r="AL285" s="46">
        <v>0</v>
      </c>
      <c r="AM285" s="47">
        <v>0</v>
      </c>
      <c r="AN285" s="46">
        <v>0</v>
      </c>
      <c r="AO285" s="46">
        <v>0</v>
      </c>
      <c r="AP285" s="47">
        <v>0</v>
      </c>
      <c r="AQ285" s="46">
        <v>0</v>
      </c>
      <c r="AR285" s="46">
        <v>0</v>
      </c>
      <c r="AS285" s="47">
        <v>0</v>
      </c>
      <c r="AT285" s="46">
        <v>0</v>
      </c>
      <c r="AU285" s="46">
        <v>0</v>
      </c>
      <c r="AV285" s="46">
        <v>0</v>
      </c>
      <c r="AW285" s="1545">
        <v>0</v>
      </c>
      <c r="AX285" s="10">
        <f t="shared" si="290"/>
        <v>21</v>
      </c>
      <c r="AY285" s="42">
        <f>IF(AND($E285=MONTH(Summary!$E$24),$D285=YEAR(Summary!$E$24)),Summary!$E$25,1)*IF(G285="",0,INT((H285-MOD(H285,7)-G285)/7)+1-IF(BA285,IF(WEEKDAY(F285)=7,1,0),0))</f>
        <v>4</v>
      </c>
      <c r="AZ285" s="42">
        <f>IF(AND($E285=MONTH(Summary!$E$24),$D285=YEAR(Summary!$E$24)),Summary!$E$25,1)*IF(G285="",0,INT((H285-MOD(H285-1,7)-G285)/7)+1-IF(BA285,IF(WEEKDAY(F285)=1,1,0),0))</f>
        <v>5</v>
      </c>
      <c r="BA285" s="42">
        <v>1</v>
      </c>
      <c r="BB285" s="10">
        <f>IF(AND($E285=MONTH(Summary!$E$24),$D285=YEAR(Summary!$E$24)),Summary!$E$25,1)*IF(G285="",0,H285-G285+1)</f>
        <v>31</v>
      </c>
      <c r="BC285" s="914">
        <f>Summary!$E$19</f>
        <v>1.4999999999999999E-2</v>
      </c>
      <c r="BD285" s="113">
        <v>14893.2</v>
      </c>
      <c r="BE285" s="171">
        <v>2836.8</v>
      </c>
      <c r="BF285" s="171">
        <v>4255.2</v>
      </c>
      <c r="BG285" s="174"/>
      <c r="BH285" s="1198">
        <v>1</v>
      </c>
      <c r="BI285" s="1198">
        <v>1</v>
      </c>
      <c r="BJ285" s="1198">
        <v>1</v>
      </c>
      <c r="BK285" s="1198">
        <v>1</v>
      </c>
      <c r="BL285" s="95">
        <v>2978.64</v>
      </c>
      <c r="BM285" s="171">
        <v>567.36</v>
      </c>
      <c r="BN285" s="171">
        <v>851.04</v>
      </c>
      <c r="BO285" s="174"/>
      <c r="BP285" s="1198">
        <v>1</v>
      </c>
      <c r="BQ285" s="1199">
        <v>1</v>
      </c>
      <c r="BR285" s="1199">
        <v>1</v>
      </c>
      <c r="BS285" s="1200">
        <v>1</v>
      </c>
      <c r="BT285" s="94">
        <f t="shared" si="267"/>
        <v>21985.200000000001</v>
      </c>
      <c r="BU285" s="233">
        <f t="shared" si="268"/>
        <v>21985.200000000001</v>
      </c>
      <c r="BV285" s="92">
        <f t="shared" si="269"/>
        <v>4397.04</v>
      </c>
      <c r="BW285" s="233">
        <f t="shared" si="270"/>
        <v>4397.04</v>
      </c>
      <c r="BX285" s="88">
        <v>22.376454483230663</v>
      </c>
      <c r="BY285" s="90">
        <v>0</v>
      </c>
      <c r="BZ285" s="88">
        <v>0</v>
      </c>
      <c r="CA285" s="88">
        <v>0</v>
      </c>
      <c r="CB285" s="88">
        <v>0</v>
      </c>
      <c r="CC285" s="88">
        <v>0</v>
      </c>
      <c r="CD285" s="88">
        <v>0</v>
      </c>
      <c r="CE285" s="100">
        <v>0</v>
      </c>
      <c r="CF285" s="88">
        <v>0</v>
      </c>
      <c r="CG285" s="88">
        <v>0</v>
      </c>
      <c r="CH285" s="88">
        <v>0</v>
      </c>
      <c r="CI285" s="88">
        <v>0</v>
      </c>
      <c r="CJ285" s="228">
        <v>0</v>
      </c>
      <c r="CK285" s="88">
        <v>0</v>
      </c>
      <c r="CL285" s="88">
        <v>0</v>
      </c>
      <c r="CM285" s="88">
        <v>0</v>
      </c>
      <c r="CN285" s="88">
        <v>0</v>
      </c>
      <c r="CO285" s="88">
        <v>0</v>
      </c>
      <c r="CP285" s="88">
        <v>0</v>
      </c>
      <c r="CQ285" s="229">
        <v>0</v>
      </c>
      <c r="CR285" s="91">
        <v>0</v>
      </c>
      <c r="CS285" s="91">
        <v>0</v>
      </c>
      <c r="CT285" s="91">
        <v>0</v>
      </c>
      <c r="CU285" s="91">
        <v>0</v>
      </c>
      <c r="CV285" s="91">
        <v>0</v>
      </c>
      <c r="CW285" s="91">
        <v>0</v>
      </c>
      <c r="CX285" s="225">
        <v>0</v>
      </c>
      <c r="CY285" s="1265">
        <v>7820.3839200000002</v>
      </c>
      <c r="CZ285" s="90">
        <v>0</v>
      </c>
      <c r="DA285" s="88">
        <v>0</v>
      </c>
      <c r="DB285" s="88">
        <v>0</v>
      </c>
      <c r="DC285" s="88">
        <v>0</v>
      </c>
      <c r="DD285" s="88">
        <v>0</v>
      </c>
      <c r="DE285" s="152">
        <v>0</v>
      </c>
      <c r="DF285" s="230">
        <v>0</v>
      </c>
      <c r="DG285" s="38">
        <v>0</v>
      </c>
      <c r="DH285" s="1237">
        <v>0</v>
      </c>
      <c r="DI285" s="956">
        <v>0</v>
      </c>
      <c r="DJ285" s="956">
        <v>0</v>
      </c>
      <c r="DK285" s="956">
        <v>0</v>
      </c>
      <c r="DL285" s="152">
        <v>0</v>
      </c>
      <c r="DM285" s="160">
        <v>0</v>
      </c>
      <c r="DN285" s="160">
        <v>0</v>
      </c>
      <c r="DO285" s="160">
        <v>0</v>
      </c>
      <c r="DP285" s="160">
        <v>0</v>
      </c>
      <c r="DQ285" s="160">
        <v>0</v>
      </c>
      <c r="DR285" s="230">
        <v>0</v>
      </c>
      <c r="DS285" s="88">
        <v>0</v>
      </c>
      <c r="DT285" s="88">
        <v>0</v>
      </c>
      <c r="DU285" s="88">
        <v>0</v>
      </c>
      <c r="DV285" s="88">
        <v>0</v>
      </c>
      <c r="DW285" s="88">
        <v>0</v>
      </c>
      <c r="DX285" s="88">
        <v>0</v>
      </c>
      <c r="DY285" s="88">
        <v>0</v>
      </c>
      <c r="DZ285" s="88">
        <v>0</v>
      </c>
      <c r="EA285" s="88">
        <v>0</v>
      </c>
      <c r="EB285" s="152">
        <v>0</v>
      </c>
      <c r="EC285" s="52">
        <f t="shared" si="271"/>
        <v>0</v>
      </c>
      <c r="ED285" s="52">
        <f t="shared" si="271"/>
        <v>0</v>
      </c>
      <c r="EE285" s="52">
        <f t="shared" si="271"/>
        <v>0</v>
      </c>
      <c r="EF285" s="52">
        <f t="shared" si="271"/>
        <v>0</v>
      </c>
      <c r="EG285" s="52">
        <f t="shared" si="272"/>
        <v>0</v>
      </c>
      <c r="EH285" s="238">
        <v>0</v>
      </c>
      <c r="EI285" s="211">
        <v>0</v>
      </c>
      <c r="EJ285" s="211">
        <v>0</v>
      </c>
      <c r="EK285" s="211">
        <v>0</v>
      </c>
      <c r="EL285" s="217">
        <f>IF(C285&gt;=Summary!$E$26,MAX(0,SUM(EH285:EK285)),0)</f>
        <v>0</v>
      </c>
      <c r="EM285" s="52">
        <f>IF(C285&gt;=Summary!$E$26,DX285*BL285,0)</f>
        <v>0</v>
      </c>
      <c r="EN285" s="52">
        <f>IF(C285&gt;=Summary!$E$26,DY285*BM285,0)</f>
        <v>0</v>
      </c>
      <c r="EO285" s="52">
        <f>IF(C285&gt;=Summary!$E$26,DZ285*BN285,0)</f>
        <v>0</v>
      </c>
      <c r="EP285" s="52">
        <f>IF(C285&gt;=Summary!$E$26,EA285*BO285,0)</f>
        <v>0</v>
      </c>
      <c r="EQ285" s="52">
        <f>IF(C285&gt;=Summary!$E$26,DX285*BL285+DY285*BM285+DZ285*BN285+EA285*BO285,0)</f>
        <v>0</v>
      </c>
      <c r="ER285" s="826">
        <v>0</v>
      </c>
      <c r="ES285" s="278">
        <v>0</v>
      </c>
      <c r="ET285" s="278">
        <v>0</v>
      </c>
      <c r="EU285" s="278">
        <v>0</v>
      </c>
      <c r="EV285" s="212">
        <f>IF(C285&gt;=Summary!$E$26,MAX(0,SUM(ER285:EU285)),0)</f>
        <v>0</v>
      </c>
      <c r="EW285" s="52"/>
      <c r="EX285" s="1049">
        <f t="shared" si="273"/>
        <v>0</v>
      </c>
      <c r="EY285" s="1045" t="str">
        <f t="shared" si="274"/>
        <v/>
      </c>
      <c r="EZ285" s="1684" t="s">
        <v>525</v>
      </c>
      <c r="FA285" s="1046">
        <f t="shared" si="287"/>
        <v>45</v>
      </c>
      <c r="FB285" s="256">
        <f t="shared" si="275"/>
        <v>11169.9</v>
      </c>
      <c r="FC285" s="194">
        <f t="shared" si="276"/>
        <v>0</v>
      </c>
      <c r="FD285" s="194">
        <f t="shared" si="277"/>
        <v>2127.6</v>
      </c>
      <c r="FE285" s="194">
        <f t="shared" si="278"/>
        <v>0</v>
      </c>
      <c r="FF285" s="194">
        <f t="shared" si="279"/>
        <v>3191.4</v>
      </c>
      <c r="FG285" s="194">
        <f t="shared" si="280"/>
        <v>0</v>
      </c>
      <c r="FH285" s="257">
        <f>IF(EZ285="No",IF((OR(MONTH(C285)=5,MONTH(C285)=6,MONTH(C285)=7,MONTH(C285)=8,MONTH(C285)=9)),Summary!$O$15*12*(AX285+AY285+AZ285+BA285)*(1-$BC285),Summary!$O$15*13*(AX285+AY285+AZ285+BA285)*(1-$BC285)+IF(Summary!$O$16="Yes",(CALC!FA285+Summary!$O$15)*6*(AX285+AY285+AZ285+BA285)*(1-$BC285),0)),0)</f>
        <v>0</v>
      </c>
      <c r="FI285" s="1412">
        <f>IF(MONTH(C285)=5,FI284*(IF(Summary!$E$70="no",(1+(Summary!$E$71*0.8)),1+HLOOKUP(YEAR(C285)-1,CCFMODEL!$I$127:$AF$128,2)*0.8)),+FI284)</f>
        <v>45.9010556937194</v>
      </c>
      <c r="FJ285" s="1411">
        <f>IF(MONTH(C285)=5,FJ284*(IF(Summary!$E$70="no",(1+(Summary!$E$71*0.8)),1+HLOOKUP(YEAR(CALC!C285)-1,CCFMODEL!$I$127:$AF$128,2)*0.8)),FJ284)</f>
        <v>40.118245527581522</v>
      </c>
      <c r="FK285" s="832">
        <f t="shared" si="248"/>
        <v>756857.91722816986</v>
      </c>
      <c r="FL285" s="1412">
        <f>IF(MONTH(C285)=5,FL284*(IF(Summary!$E$70="no",(1+(Summary!$E$71*0.8)),1+HLOOKUP(YEAR(CALC!C285)-1,CCFMODEL!$I$127:$AF$128,2)*0.8)),+FL284)</f>
        <v>96.535066136509926</v>
      </c>
      <c r="FM285" s="1411">
        <f>IF(MONTH(C285)=5,FM284*(IF(Summary!$E$70="no",(1+(Summary!$E$71*0.8)),1+HLOOKUP(YEAR(CALC!C285)-1,CCFMODEL!$I$127:$AF$128,2)*0.8)),+FM284)</f>
        <v>46.073163139140163</v>
      </c>
      <c r="FN285" s="832">
        <f t="shared" si="249"/>
        <v>1615997.0071251763</v>
      </c>
      <c r="FO285" s="194">
        <f t="shared" si="281"/>
        <v>2372854.9243533462</v>
      </c>
      <c r="FP285" s="263">
        <f t="shared" si="292"/>
        <v>11169.9</v>
      </c>
      <c r="FQ285" s="194">
        <f t="shared" si="292"/>
        <v>0</v>
      </c>
      <c r="FR285" s="194">
        <f t="shared" si="292"/>
        <v>2127.6</v>
      </c>
      <c r="FS285" s="194">
        <f t="shared" si="291"/>
        <v>0</v>
      </c>
      <c r="FT285" s="194">
        <f t="shared" si="291"/>
        <v>3191.4</v>
      </c>
      <c r="FU285" s="194">
        <f t="shared" si="291"/>
        <v>0</v>
      </c>
      <c r="FV285" s="257">
        <f t="shared" si="291"/>
        <v>0</v>
      </c>
      <c r="FW285" s="189">
        <f t="shared" si="250"/>
        <v>0</v>
      </c>
      <c r="FX285" s="189">
        <f t="shared" si="251"/>
        <v>0</v>
      </c>
      <c r="FY285" s="189">
        <f t="shared" si="252"/>
        <v>0</v>
      </c>
      <c r="FZ285" s="258">
        <f t="shared" si="253"/>
        <v>0</v>
      </c>
      <c r="GA285" s="1294">
        <f>(SUM(FP285:FV285)+SUM(GU285:HB285)/(1-Summary!$O$25))*CY285/1000</f>
        <v>128949.52841848801</v>
      </c>
      <c r="GB285" s="1369">
        <f>IF($C285&lt;Summary!$M$81,+Summary!$O$81,VLOOKUP(C285,GasTable,19))</f>
        <v>4.5919999999999996</v>
      </c>
      <c r="GC285" s="1370">
        <f>IF(H285&lt;=Summary!$N$84,MIN(GA285,Summary!$O$75*(H285-G285+1)),0)</f>
        <v>0</v>
      </c>
      <c r="GD285" s="1371">
        <f>IF(C285&lt;Summary!$N$84,IF(Summary!$O$75*(H285-G285+1)*0.8&gt;GC285,1,0),0)</f>
        <v>0</v>
      </c>
      <c r="GE285" s="1372">
        <v>0</v>
      </c>
      <c r="GF285" s="1370">
        <f t="shared" si="282"/>
        <v>128949.52841848801</v>
      </c>
      <c r="GG285" s="1371">
        <f>GF285*(IF(Summary!$O$74=1,VLOOKUP($C285,GasTable,16)+Summary!$O$92+Summary!$O$93,VLOOKUP($C285,GasTable,19)+Summary!$O$92+Summary!$O$93))</f>
        <v>598854.50492830016</v>
      </c>
      <c r="GH285" s="1373">
        <v>7117.6</v>
      </c>
      <c r="GI285" s="1466">
        <v>0</v>
      </c>
      <c r="GJ285" s="1374">
        <f t="shared" si="283"/>
        <v>605972.10492830013</v>
      </c>
      <c r="GK285" s="189">
        <f t="shared" si="254"/>
        <v>16488.900000000001</v>
      </c>
      <c r="GL285" s="266">
        <v>0.52396572264000008</v>
      </c>
      <c r="GM285" s="255">
        <f t="shared" si="255"/>
        <v>0</v>
      </c>
      <c r="GN285" s="189">
        <f>IF(SUM(GU285:HB285)=0,0,IF(Summary!$O$16="Yes",SUM(GX285:HB285),IF(Summary!$O$17="Yes",SUM(GY285:HB285),SUM(GU285:HB285))))</f>
        <v>0</v>
      </c>
      <c r="GO285" s="203">
        <v>4.5594170129311724</v>
      </c>
      <c r="GP285" s="258">
        <f t="shared" si="284"/>
        <v>0</v>
      </c>
      <c r="GQ285" s="189"/>
      <c r="GR285" s="189"/>
      <c r="GS285" s="189"/>
      <c r="GT285" s="189"/>
      <c r="GU285" s="268">
        <v>0</v>
      </c>
      <c r="GV285" s="189">
        <v>0</v>
      </c>
      <c r="GW285" s="189">
        <v>0</v>
      </c>
      <c r="GX285" s="189"/>
      <c r="GY285" s="254">
        <v>0</v>
      </c>
      <c r="GZ285" s="189">
        <v>0</v>
      </c>
      <c r="HA285" s="189">
        <v>0</v>
      </c>
      <c r="HB285" s="255"/>
      <c r="HC285" s="189">
        <v>0</v>
      </c>
      <c r="HD285" s="189"/>
      <c r="HE285" s="189">
        <v>0</v>
      </c>
      <c r="HF285" s="189">
        <v>0</v>
      </c>
      <c r="HG285" s="189"/>
      <c r="HH285" s="203">
        <v>0</v>
      </c>
      <c r="HI285" s="189">
        <v>0</v>
      </c>
      <c r="HJ285" s="268">
        <f t="shared" si="256"/>
        <v>0</v>
      </c>
      <c r="HK285" s="189">
        <f t="shared" si="257"/>
        <v>0</v>
      </c>
      <c r="HL285" s="189">
        <f t="shared" si="258"/>
        <v>0</v>
      </c>
      <c r="HM285" s="255">
        <f t="shared" si="259"/>
        <v>0</v>
      </c>
      <c r="HN285" s="189">
        <f t="shared" si="260"/>
        <v>0</v>
      </c>
      <c r="HO285" s="203">
        <f t="shared" si="285"/>
        <v>0</v>
      </c>
      <c r="HP285" s="258">
        <f t="shared" si="261"/>
        <v>0</v>
      </c>
      <c r="HQ285" s="203"/>
      <c r="HR285" s="203"/>
      <c r="HS285" s="203"/>
      <c r="HT285" s="203"/>
      <c r="HU285" s="203"/>
      <c r="HV285" s="203"/>
      <c r="HW285" s="203"/>
      <c r="HX285" s="203"/>
      <c r="HY285" s="203"/>
      <c r="HZ285" s="203"/>
      <c r="IA285" s="203"/>
      <c r="IB285" s="203"/>
      <c r="IC285" s="203"/>
      <c r="ID285" s="203"/>
      <c r="IE285" s="203"/>
      <c r="IF285" s="203"/>
      <c r="IG285" s="203"/>
      <c r="IH285" s="203"/>
      <c r="II285" s="203"/>
      <c r="IJ285" s="203"/>
      <c r="IK285" s="203"/>
      <c r="IL285" s="821"/>
      <c r="IM285" s="820"/>
      <c r="IN285" s="820"/>
      <c r="IR285" s="223"/>
    </row>
    <row r="286" spans="1:252" ht="13.8" thickBot="1">
      <c r="A286" t="str">
        <f t="shared" si="262"/>
        <v>2022Q2</v>
      </c>
      <c r="B286">
        <f t="shared" si="263"/>
        <v>2022</v>
      </c>
      <c r="C286" s="49">
        <f t="shared" si="264"/>
        <v>44713</v>
      </c>
      <c r="D286" s="115">
        <f t="shared" si="265"/>
        <v>2022</v>
      </c>
      <c r="E286" s="10">
        <f t="shared" si="288"/>
        <v>6</v>
      </c>
      <c r="F286" s="248" t="str">
        <f t="shared" si="289"/>
        <v/>
      </c>
      <c r="G286" s="245">
        <v>44713</v>
      </c>
      <c r="H286" s="251">
        <v>44742</v>
      </c>
      <c r="I286" s="959">
        <f t="shared" si="286"/>
        <v>7.1499999999999994E-2</v>
      </c>
      <c r="J286" s="37">
        <f t="shared" si="266"/>
        <v>0.20446286874553171</v>
      </c>
      <c r="K286" s="1036"/>
      <c r="L286" s="37"/>
      <c r="M286" s="1004">
        <v>0</v>
      </c>
      <c r="N286" s="38">
        <f t="shared" si="246"/>
        <v>0</v>
      </c>
      <c r="O286" s="40">
        <f t="shared" si="246"/>
        <v>0</v>
      </c>
      <c r="P286" s="159">
        <f t="shared" ref="P286:P292" si="294">M286</f>
        <v>0</v>
      </c>
      <c r="Q286" s="38">
        <f t="shared" si="293"/>
        <v>0</v>
      </c>
      <c r="R286" s="40">
        <f t="shared" si="293"/>
        <v>0</v>
      </c>
      <c r="S286" s="38">
        <f t="shared" si="293"/>
        <v>0</v>
      </c>
      <c r="T286" s="38">
        <f t="shared" si="293"/>
        <v>0</v>
      </c>
      <c r="U286" s="38">
        <f t="shared" si="293"/>
        <v>0</v>
      </c>
      <c r="V286" s="159">
        <f t="shared" si="293"/>
        <v>0</v>
      </c>
      <c r="W286" s="38">
        <f t="shared" si="293"/>
        <v>0</v>
      </c>
      <c r="X286" s="39">
        <f t="shared" si="293"/>
        <v>0</v>
      </c>
      <c r="Y286" s="46">
        <v>0</v>
      </c>
      <c r="Z286" s="46">
        <v>0</v>
      </c>
      <c r="AA286" s="47">
        <v>0</v>
      </c>
      <c r="AB286" s="46">
        <v>0</v>
      </c>
      <c r="AC286" s="46">
        <v>0</v>
      </c>
      <c r="AD286" s="47">
        <v>0</v>
      </c>
      <c r="AE286" s="46">
        <v>0</v>
      </c>
      <c r="AF286" s="46">
        <v>0</v>
      </c>
      <c r="AG286" s="47">
        <v>0</v>
      </c>
      <c r="AH286" s="46">
        <v>0</v>
      </c>
      <c r="AI286" s="46">
        <v>0</v>
      </c>
      <c r="AJ286" s="47">
        <v>0</v>
      </c>
      <c r="AK286" s="46">
        <v>0</v>
      </c>
      <c r="AL286" s="46">
        <v>0</v>
      </c>
      <c r="AM286" s="47">
        <v>0</v>
      </c>
      <c r="AN286" s="46">
        <v>0</v>
      </c>
      <c r="AO286" s="46">
        <v>0</v>
      </c>
      <c r="AP286" s="47">
        <v>0</v>
      </c>
      <c r="AQ286" s="46">
        <v>0</v>
      </c>
      <c r="AR286" s="46">
        <v>0</v>
      </c>
      <c r="AS286" s="47">
        <v>0</v>
      </c>
      <c r="AT286" s="46">
        <v>0</v>
      </c>
      <c r="AU286" s="46">
        <v>0</v>
      </c>
      <c r="AV286" s="46">
        <v>0</v>
      </c>
      <c r="AW286" s="1545">
        <v>0</v>
      </c>
      <c r="AX286" s="10">
        <f t="shared" si="290"/>
        <v>22</v>
      </c>
      <c r="AY286" s="42">
        <f>IF(AND($E286=MONTH(Summary!$E$24),$D286=YEAR(Summary!$E$24)),Summary!$E$25,1)*IF(G286="",0,INT((H286-MOD(H286,7)-G286)/7)+1-IF(BA286,IF(WEEKDAY(F286)=7,1,0),0))</f>
        <v>4</v>
      </c>
      <c r="AZ286" s="42">
        <f>IF(AND($E286=MONTH(Summary!$E$24),$D286=YEAR(Summary!$E$24)),Summary!$E$25,1)*IF(G286="",0,INT((H286-MOD(H286-1,7)-G286)/7)+1-IF(BA286,IF(WEEKDAY(F286)=1,1,0),0))</f>
        <v>4</v>
      </c>
      <c r="BA286" s="42">
        <v>0</v>
      </c>
      <c r="BB286" s="10">
        <f>IF(AND($E286=MONTH(Summary!$E$24),$D286=YEAR(Summary!$E$24)),Summary!$E$25,1)*IF(G286="",0,H286-G286+1)</f>
        <v>30</v>
      </c>
      <c r="BC286" s="914">
        <f>Summary!$E$19</f>
        <v>1.4999999999999999E-2</v>
      </c>
      <c r="BD286" s="113">
        <v>15602.4</v>
      </c>
      <c r="BE286" s="171">
        <v>2836.8</v>
      </c>
      <c r="BF286" s="171">
        <v>2836.8</v>
      </c>
      <c r="BG286" s="174"/>
      <c r="BH286" s="1198">
        <v>1</v>
      </c>
      <c r="BI286" s="1198">
        <v>1</v>
      </c>
      <c r="BJ286" s="1198">
        <v>1</v>
      </c>
      <c r="BK286" s="1198">
        <v>1</v>
      </c>
      <c r="BL286" s="95">
        <v>3120.48</v>
      </c>
      <c r="BM286" s="171">
        <v>567.36</v>
      </c>
      <c r="BN286" s="171">
        <v>567.36</v>
      </c>
      <c r="BO286" s="174"/>
      <c r="BP286" s="1198">
        <v>1</v>
      </c>
      <c r="BQ286" s="1199">
        <v>1</v>
      </c>
      <c r="BR286" s="1199">
        <v>1</v>
      </c>
      <c r="BS286" s="1200">
        <v>1</v>
      </c>
      <c r="BT286" s="94">
        <f t="shared" si="267"/>
        <v>21276</v>
      </c>
      <c r="BU286" s="233">
        <f t="shared" si="268"/>
        <v>21276</v>
      </c>
      <c r="BV286" s="92">
        <f t="shared" si="269"/>
        <v>4255.2</v>
      </c>
      <c r="BW286" s="233">
        <f t="shared" si="270"/>
        <v>4255.2</v>
      </c>
      <c r="BX286" s="88">
        <v>22.461327857631758</v>
      </c>
      <c r="BY286" s="90">
        <v>0</v>
      </c>
      <c r="BZ286" s="88">
        <v>0</v>
      </c>
      <c r="CA286" s="88">
        <v>0</v>
      </c>
      <c r="CB286" s="88">
        <v>0</v>
      </c>
      <c r="CC286" s="88">
        <v>0</v>
      </c>
      <c r="CD286" s="88">
        <v>0</v>
      </c>
      <c r="CE286" s="100">
        <v>0</v>
      </c>
      <c r="CF286" s="88">
        <v>0</v>
      </c>
      <c r="CG286" s="88">
        <v>0</v>
      </c>
      <c r="CH286" s="88">
        <v>0</v>
      </c>
      <c r="CI286" s="88">
        <v>0</v>
      </c>
      <c r="CJ286" s="228">
        <v>0</v>
      </c>
      <c r="CK286" s="88">
        <v>0</v>
      </c>
      <c r="CL286" s="88">
        <v>0</v>
      </c>
      <c r="CM286" s="88">
        <v>0</v>
      </c>
      <c r="CN286" s="88">
        <v>0</v>
      </c>
      <c r="CO286" s="88">
        <v>0</v>
      </c>
      <c r="CP286" s="88">
        <v>0</v>
      </c>
      <c r="CQ286" s="229">
        <v>0</v>
      </c>
      <c r="CR286" s="91">
        <v>0</v>
      </c>
      <c r="CS286" s="91">
        <v>0</v>
      </c>
      <c r="CT286" s="91">
        <v>0</v>
      </c>
      <c r="CU286" s="91">
        <v>0</v>
      </c>
      <c r="CV286" s="91">
        <v>0</v>
      </c>
      <c r="CW286" s="91">
        <v>0</v>
      </c>
      <c r="CX286" s="225">
        <v>0</v>
      </c>
      <c r="CY286" s="1265">
        <v>7822.4148799999994</v>
      </c>
      <c r="CZ286" s="90">
        <v>0</v>
      </c>
      <c r="DA286" s="88">
        <v>0</v>
      </c>
      <c r="DB286" s="88">
        <v>0</v>
      </c>
      <c r="DC286" s="88">
        <v>0</v>
      </c>
      <c r="DD286" s="88">
        <v>0</v>
      </c>
      <c r="DE286" s="152">
        <v>0</v>
      </c>
      <c r="DF286" s="230">
        <v>0</v>
      </c>
      <c r="DG286" s="38">
        <v>0</v>
      </c>
      <c r="DH286" s="1237">
        <v>0</v>
      </c>
      <c r="DI286" s="956">
        <v>0</v>
      </c>
      <c r="DJ286" s="956">
        <v>0</v>
      </c>
      <c r="DK286" s="956">
        <v>0</v>
      </c>
      <c r="DL286" s="152">
        <v>0</v>
      </c>
      <c r="DM286" s="160">
        <v>0</v>
      </c>
      <c r="DN286" s="160">
        <v>0</v>
      </c>
      <c r="DO286" s="160">
        <v>0</v>
      </c>
      <c r="DP286" s="160">
        <v>0</v>
      </c>
      <c r="DQ286" s="160">
        <v>0</v>
      </c>
      <c r="DR286" s="230">
        <v>0</v>
      </c>
      <c r="DS286" s="88">
        <v>0</v>
      </c>
      <c r="DT286" s="88">
        <v>0</v>
      </c>
      <c r="DU286" s="88">
        <v>0</v>
      </c>
      <c r="DV286" s="88">
        <v>0</v>
      </c>
      <c r="DW286" s="88">
        <v>0</v>
      </c>
      <c r="DX286" s="88">
        <v>0</v>
      </c>
      <c r="DY286" s="88">
        <v>0</v>
      </c>
      <c r="DZ286" s="88">
        <v>0</v>
      </c>
      <c r="EA286" s="88">
        <v>0</v>
      </c>
      <c r="EB286" s="152">
        <v>0</v>
      </c>
      <c r="EC286" s="52">
        <f t="shared" si="271"/>
        <v>0</v>
      </c>
      <c r="ED286" s="52">
        <f t="shared" si="271"/>
        <v>0</v>
      </c>
      <c r="EE286" s="52">
        <f t="shared" si="271"/>
        <v>0</v>
      </c>
      <c r="EF286" s="52">
        <f t="shared" si="271"/>
        <v>0</v>
      </c>
      <c r="EG286" s="52">
        <f t="shared" si="272"/>
        <v>0</v>
      </c>
      <c r="EH286" s="238">
        <v>0</v>
      </c>
      <c r="EI286" s="211">
        <v>0</v>
      </c>
      <c r="EJ286" s="211">
        <v>0</v>
      </c>
      <c r="EK286" s="211">
        <v>0</v>
      </c>
      <c r="EL286" s="217">
        <f>IF(C286&gt;=Summary!$E$26,MAX(0,SUM(EH286:EK286)),0)</f>
        <v>0</v>
      </c>
      <c r="EM286" s="52">
        <f>IF(C286&gt;=Summary!$E$26,DX286*BL286,0)</f>
        <v>0</v>
      </c>
      <c r="EN286" s="52">
        <f>IF(C286&gt;=Summary!$E$26,DY286*BM286,0)</f>
        <v>0</v>
      </c>
      <c r="EO286" s="52">
        <f>IF(C286&gt;=Summary!$E$26,DZ286*BN286,0)</f>
        <v>0</v>
      </c>
      <c r="EP286" s="52">
        <f>IF(C286&gt;=Summary!$E$26,EA286*BO286,0)</f>
        <v>0</v>
      </c>
      <c r="EQ286" s="52">
        <f>IF(C286&gt;=Summary!$E$26,DX286*BL286+DY286*BM286+DZ286*BN286+EA286*BO286,0)</f>
        <v>0</v>
      </c>
      <c r="ER286" s="826">
        <v>0</v>
      </c>
      <c r="ES286" s="278">
        <v>0</v>
      </c>
      <c r="ET286" s="278">
        <v>0</v>
      </c>
      <c r="EU286" s="278">
        <v>0</v>
      </c>
      <c r="EV286" s="212">
        <f>IF(C286&gt;=Summary!$E$26,MAX(0,SUM(ER286:EU286)),0)</f>
        <v>0</v>
      </c>
      <c r="EW286" s="52"/>
      <c r="EX286" s="1049">
        <f t="shared" si="273"/>
        <v>0</v>
      </c>
      <c r="EY286" s="1045" t="str">
        <f t="shared" si="274"/>
        <v/>
      </c>
      <c r="EZ286" s="1684" t="s">
        <v>525</v>
      </c>
      <c r="FA286" s="1046">
        <f t="shared" si="287"/>
        <v>45</v>
      </c>
      <c r="FB286" s="256">
        <f t="shared" si="275"/>
        <v>11701.8</v>
      </c>
      <c r="FC286" s="194">
        <f t="shared" si="276"/>
        <v>0</v>
      </c>
      <c r="FD286" s="194">
        <f t="shared" si="277"/>
        <v>2127.6</v>
      </c>
      <c r="FE286" s="194">
        <f t="shared" si="278"/>
        <v>0</v>
      </c>
      <c r="FF286" s="194">
        <f t="shared" si="279"/>
        <v>2127.6</v>
      </c>
      <c r="FG286" s="194">
        <f t="shared" si="280"/>
        <v>0</v>
      </c>
      <c r="FH286" s="257">
        <f>IF(EZ286="No",IF((OR(MONTH(C286)=5,MONTH(C286)=6,MONTH(C286)=7,MONTH(C286)=8,MONTH(C286)=9)),Summary!$O$15*12*(AX286+AY286+AZ286+BA286)*(1-$BC286),Summary!$O$15*13*(AX286+AY286+AZ286+BA286)*(1-$BC286)+IF(Summary!$O$16="Yes",(CALC!FA286+Summary!$O$15)*6*(AX286+AY286+AZ286+BA286)*(1-$BC286),0)),0)</f>
        <v>0</v>
      </c>
      <c r="FI286" s="1412">
        <f>IF(MONTH(C286)=5,FI285*(IF(Summary!$E$70="no",(1+(Summary!$E$71*0.8)),1+HLOOKUP(YEAR(C286)-1,CCFMODEL!$I$127:$AF$128,2)*0.8)),+FI285)</f>
        <v>45.9010556937194</v>
      </c>
      <c r="FJ286" s="1411">
        <f>IF(MONTH(C286)=5,FJ285*(IF(Summary!$E$70="no",(1+(Summary!$E$71*0.8)),1+HLOOKUP(YEAR(CALC!C286)-1,CCFMODEL!$I$127:$AF$128,2)*0.8)),FJ285)</f>
        <v>40.118245527581522</v>
      </c>
      <c r="FK286" s="832">
        <f t="shared" si="248"/>
        <v>732443.14570468047</v>
      </c>
      <c r="FL286" s="1412">
        <f>IF(MONTH(C286)=5,FL285*(IF(Summary!$E$70="no",(1+(Summary!$E$71*0.8)),1+HLOOKUP(YEAR(CALC!C286)-1,CCFMODEL!$I$127:$AF$128,2)*0.8)),+FL285)</f>
        <v>96.535066136509926</v>
      </c>
      <c r="FM286" s="1411">
        <f>IF(MONTH(C286)=5,FM285*(IF(Summary!$E$70="no",(1+(Summary!$E$71*0.8)),1+HLOOKUP(YEAR(CALC!C286)-1,CCFMODEL!$I$127:$AF$128,2)*0.8)),+FM285)</f>
        <v>46.073163139140163</v>
      </c>
      <c r="FN286" s="832">
        <f t="shared" si="249"/>
        <v>1563868.0714114609</v>
      </c>
      <c r="FO286" s="194">
        <f t="shared" si="281"/>
        <v>2296311.2171161412</v>
      </c>
      <c r="FP286" s="263">
        <f t="shared" si="292"/>
        <v>11701.8</v>
      </c>
      <c r="FQ286" s="194">
        <f t="shared" si="292"/>
        <v>0</v>
      </c>
      <c r="FR286" s="194">
        <f t="shared" si="292"/>
        <v>2127.6</v>
      </c>
      <c r="FS286" s="194">
        <f t="shared" si="291"/>
        <v>0</v>
      </c>
      <c r="FT286" s="194">
        <f t="shared" si="291"/>
        <v>2127.6</v>
      </c>
      <c r="FU286" s="194">
        <f t="shared" si="291"/>
        <v>0</v>
      </c>
      <c r="FV286" s="257">
        <f t="shared" si="291"/>
        <v>0</v>
      </c>
      <c r="FW286" s="189">
        <f t="shared" si="250"/>
        <v>0</v>
      </c>
      <c r="FX286" s="189">
        <f t="shared" si="251"/>
        <v>0</v>
      </c>
      <c r="FY286" s="189">
        <f t="shared" si="252"/>
        <v>0</v>
      </c>
      <c r="FZ286" s="258">
        <f t="shared" si="253"/>
        <v>0</v>
      </c>
      <c r="GA286" s="1294">
        <f>(SUM(FP286:FV286)+SUM(GU286:HB286)/(1-Summary!$O$25))*CY286/1000</f>
        <v>124822.27424015998</v>
      </c>
      <c r="GB286" s="1369">
        <f>IF($C286&lt;Summary!$M$81,+Summary!$O$81,VLOOKUP(C286,GasTable,19))</f>
        <v>4.5910000000000002</v>
      </c>
      <c r="GC286" s="1370">
        <f>IF(H286&lt;=Summary!$N$84,MIN(GA286,Summary!$O$75*(H286-G286+1)),0)</f>
        <v>0</v>
      </c>
      <c r="GD286" s="1371">
        <f>IF(C286&lt;Summary!$N$84,IF(Summary!$O$75*(H286-G286+1)*0.8&gt;GC286,1,0),0)</f>
        <v>0</v>
      </c>
      <c r="GE286" s="1372">
        <v>0</v>
      </c>
      <c r="GF286" s="1370">
        <f t="shared" si="282"/>
        <v>124822.27424015998</v>
      </c>
      <c r="GG286" s="1371">
        <f>GF286*(IF(Summary!$O$74=1,VLOOKUP($C286,GasTable,16)+Summary!$O$92+Summary!$O$93,VLOOKUP($C286,GasTable,19)+Summary!$O$92+Summary!$O$93))</f>
        <v>579562.30152448686</v>
      </c>
      <c r="GH286" s="1373">
        <v>6886.5</v>
      </c>
      <c r="GI286" s="1466">
        <v>0</v>
      </c>
      <c r="GJ286" s="1374">
        <f t="shared" si="283"/>
        <v>586448.80152448686</v>
      </c>
      <c r="GK286" s="189">
        <f t="shared" si="254"/>
        <v>15957</v>
      </c>
      <c r="GL286" s="266">
        <v>0.52410179696000003</v>
      </c>
      <c r="GM286" s="255">
        <f t="shared" si="255"/>
        <v>0</v>
      </c>
      <c r="GN286" s="189">
        <f>IF(SUM(GU286:HB286)=0,0,IF(Summary!$O$16="Yes",SUM(GX286:HB286),IF(Summary!$O$17="Yes",SUM(GY286:HB286),SUM(GU286:HB286))))</f>
        <v>0</v>
      </c>
      <c r="GO286" s="203">
        <v>4.5594170129311724</v>
      </c>
      <c r="GP286" s="258">
        <f t="shared" si="284"/>
        <v>0</v>
      </c>
      <c r="GQ286" s="189"/>
      <c r="GR286" s="189"/>
      <c r="GS286" s="189"/>
      <c r="GT286" s="189"/>
      <c r="GU286" s="268">
        <v>0</v>
      </c>
      <c r="GV286" s="189">
        <v>0</v>
      </c>
      <c r="GW286" s="189">
        <v>0</v>
      </c>
      <c r="GX286" s="189"/>
      <c r="GY286" s="254">
        <v>0</v>
      </c>
      <c r="GZ286" s="189">
        <v>0</v>
      </c>
      <c r="HA286" s="189">
        <v>0</v>
      </c>
      <c r="HB286" s="255"/>
      <c r="HC286" s="189">
        <v>0</v>
      </c>
      <c r="HD286" s="189"/>
      <c r="HE286" s="189">
        <v>0</v>
      </c>
      <c r="HF286" s="189">
        <v>0</v>
      </c>
      <c r="HG286" s="189"/>
      <c r="HH286" s="203">
        <v>0</v>
      </c>
      <c r="HI286" s="189">
        <v>0</v>
      </c>
      <c r="HJ286" s="268">
        <f t="shared" si="256"/>
        <v>0</v>
      </c>
      <c r="HK286" s="189">
        <f t="shared" si="257"/>
        <v>0</v>
      </c>
      <c r="HL286" s="189">
        <f t="shared" si="258"/>
        <v>0</v>
      </c>
      <c r="HM286" s="255">
        <f t="shared" si="259"/>
        <v>0</v>
      </c>
      <c r="HN286" s="189">
        <f t="shared" si="260"/>
        <v>0</v>
      </c>
      <c r="HO286" s="203">
        <f t="shared" si="285"/>
        <v>0</v>
      </c>
      <c r="HP286" s="258">
        <f t="shared" si="261"/>
        <v>0</v>
      </c>
      <c r="HQ286" s="203"/>
      <c r="HR286" s="203"/>
      <c r="HS286" s="203"/>
      <c r="HT286" s="203"/>
      <c r="HU286" s="203"/>
      <c r="HV286" s="203"/>
      <c r="HW286" s="203"/>
      <c r="HX286" s="203"/>
      <c r="HY286" s="203"/>
      <c r="HZ286" s="203"/>
      <c r="IA286" s="203"/>
      <c r="IB286" s="203"/>
      <c r="IC286" s="203"/>
      <c r="ID286" s="203"/>
      <c r="IE286" s="203"/>
      <c r="IF286" s="203"/>
      <c r="IG286" s="203"/>
      <c r="IH286" s="203"/>
      <c r="II286" s="203"/>
      <c r="IJ286" s="203"/>
      <c r="IK286" s="203"/>
      <c r="IL286" s="821"/>
      <c r="IM286" s="820"/>
      <c r="IN286" s="820"/>
      <c r="IR286" s="223"/>
    </row>
    <row r="287" spans="1:252" ht="13.8" thickBot="1">
      <c r="A287" t="str">
        <f t="shared" si="262"/>
        <v>2022Q3</v>
      </c>
      <c r="B287">
        <f t="shared" si="263"/>
        <v>2022</v>
      </c>
      <c r="C287" s="49">
        <f t="shared" si="264"/>
        <v>44743</v>
      </c>
      <c r="D287" s="115">
        <f t="shared" si="265"/>
        <v>2022</v>
      </c>
      <c r="E287" s="10">
        <f t="shared" si="288"/>
        <v>7</v>
      </c>
      <c r="F287" s="248">
        <f t="shared" si="289"/>
        <v>44746</v>
      </c>
      <c r="G287" s="245">
        <v>44743</v>
      </c>
      <c r="H287" s="251">
        <v>44773</v>
      </c>
      <c r="I287" s="959">
        <f t="shared" si="286"/>
        <v>7.1499999999999994E-2</v>
      </c>
      <c r="J287" s="37">
        <f t="shared" si="266"/>
        <v>0.20324738804250805</v>
      </c>
      <c r="K287" s="1036"/>
      <c r="L287" s="37"/>
      <c r="M287" s="1004">
        <v>0</v>
      </c>
      <c r="N287" s="38">
        <f t="shared" si="246"/>
        <v>0</v>
      </c>
      <c r="O287" s="40">
        <f t="shared" si="246"/>
        <v>0</v>
      </c>
      <c r="P287" s="159">
        <f t="shared" si="294"/>
        <v>0</v>
      </c>
      <c r="Q287" s="38">
        <f t="shared" si="293"/>
        <v>0</v>
      </c>
      <c r="R287" s="40">
        <f t="shared" si="293"/>
        <v>0</v>
      </c>
      <c r="S287" s="38">
        <f t="shared" si="293"/>
        <v>0</v>
      </c>
      <c r="T287" s="38">
        <f t="shared" si="293"/>
        <v>0</v>
      </c>
      <c r="U287" s="38">
        <f t="shared" si="293"/>
        <v>0</v>
      </c>
      <c r="V287" s="159">
        <f t="shared" si="293"/>
        <v>0</v>
      </c>
      <c r="W287" s="38">
        <f t="shared" si="293"/>
        <v>0</v>
      </c>
      <c r="X287" s="39">
        <f t="shared" si="293"/>
        <v>0</v>
      </c>
      <c r="Y287" s="46">
        <v>0</v>
      </c>
      <c r="Z287" s="46">
        <v>0</v>
      </c>
      <c r="AA287" s="47">
        <v>0</v>
      </c>
      <c r="AB287" s="46">
        <v>0</v>
      </c>
      <c r="AC287" s="46">
        <v>0</v>
      </c>
      <c r="AD287" s="47">
        <v>0</v>
      </c>
      <c r="AE287" s="46">
        <v>0</v>
      </c>
      <c r="AF287" s="46">
        <v>0</v>
      </c>
      <c r="AG287" s="47">
        <v>0</v>
      </c>
      <c r="AH287" s="46">
        <v>0</v>
      </c>
      <c r="AI287" s="46">
        <v>0</v>
      </c>
      <c r="AJ287" s="47">
        <v>0</v>
      </c>
      <c r="AK287" s="46">
        <v>0</v>
      </c>
      <c r="AL287" s="46">
        <v>0</v>
      </c>
      <c r="AM287" s="47">
        <v>0</v>
      </c>
      <c r="AN287" s="46">
        <v>0</v>
      </c>
      <c r="AO287" s="46">
        <v>0</v>
      </c>
      <c r="AP287" s="47">
        <v>0</v>
      </c>
      <c r="AQ287" s="46">
        <v>0</v>
      </c>
      <c r="AR287" s="46">
        <v>0</v>
      </c>
      <c r="AS287" s="47">
        <v>0</v>
      </c>
      <c r="AT287" s="46">
        <v>0</v>
      </c>
      <c r="AU287" s="46">
        <v>0</v>
      </c>
      <c r="AV287" s="46">
        <v>0</v>
      </c>
      <c r="AW287" s="1545">
        <v>0</v>
      </c>
      <c r="AX287" s="10">
        <f t="shared" si="290"/>
        <v>20</v>
      </c>
      <c r="AY287" s="42">
        <f>IF(AND($E287=MONTH(Summary!$E$24),$D287=YEAR(Summary!$E$24)),Summary!$E$25,1)*IF(G287="",0,INT((H287-MOD(H287,7)-G287)/7)+1-IF(BA287,IF(WEEKDAY(F287)=7,1,0),0))</f>
        <v>5</v>
      </c>
      <c r="AZ287" s="42">
        <f>IF(AND($E287=MONTH(Summary!$E$24),$D287=YEAR(Summary!$E$24)),Summary!$E$25,1)*IF(G287="",0,INT((H287-MOD(H287-1,7)-G287)/7)+1-IF(BA287,IF(WEEKDAY(F287)=1,1,0),0))</f>
        <v>5</v>
      </c>
      <c r="BA287" s="42">
        <v>1</v>
      </c>
      <c r="BB287" s="10">
        <f>IF(AND($E287=MONTH(Summary!$E$24),$D287=YEAR(Summary!$E$24)),Summary!$E$25,1)*IF(G287="",0,H287-G287+1)</f>
        <v>31</v>
      </c>
      <c r="BC287" s="914">
        <f>Summary!$E$19</f>
        <v>1.4999999999999999E-2</v>
      </c>
      <c r="BD287" s="113">
        <v>14184</v>
      </c>
      <c r="BE287" s="171">
        <v>3546</v>
      </c>
      <c r="BF287" s="171">
        <v>4255.2</v>
      </c>
      <c r="BG287" s="174"/>
      <c r="BH287" s="1198">
        <v>1</v>
      </c>
      <c r="BI287" s="1198">
        <v>1</v>
      </c>
      <c r="BJ287" s="1198">
        <v>1</v>
      </c>
      <c r="BK287" s="1198">
        <v>1</v>
      </c>
      <c r="BL287" s="95">
        <v>2836.8</v>
      </c>
      <c r="BM287" s="171">
        <v>709.2</v>
      </c>
      <c r="BN287" s="171">
        <v>851.04</v>
      </c>
      <c r="BO287" s="174"/>
      <c r="BP287" s="1198">
        <v>1</v>
      </c>
      <c r="BQ287" s="1199">
        <v>1</v>
      </c>
      <c r="BR287" s="1199">
        <v>1</v>
      </c>
      <c r="BS287" s="1200">
        <v>1</v>
      </c>
      <c r="BT287" s="94">
        <f t="shared" si="267"/>
        <v>21985.200000000001</v>
      </c>
      <c r="BU287" s="233">
        <f t="shared" si="268"/>
        <v>21985.200000000001</v>
      </c>
      <c r="BV287" s="92">
        <f t="shared" si="269"/>
        <v>4397.04</v>
      </c>
      <c r="BW287" s="233">
        <f t="shared" si="270"/>
        <v>4397.04</v>
      </c>
      <c r="BX287" s="88">
        <v>22.543463381245722</v>
      </c>
      <c r="BY287" s="90">
        <v>0</v>
      </c>
      <c r="BZ287" s="88">
        <v>0</v>
      </c>
      <c r="CA287" s="88">
        <v>0</v>
      </c>
      <c r="CB287" s="88">
        <v>0</v>
      </c>
      <c r="CC287" s="88">
        <v>0</v>
      </c>
      <c r="CD287" s="88">
        <v>0</v>
      </c>
      <c r="CE287" s="100">
        <v>0</v>
      </c>
      <c r="CF287" s="88">
        <v>0</v>
      </c>
      <c r="CG287" s="88">
        <v>0</v>
      </c>
      <c r="CH287" s="88">
        <v>0</v>
      </c>
      <c r="CI287" s="88">
        <v>0</v>
      </c>
      <c r="CJ287" s="228">
        <v>0</v>
      </c>
      <c r="CK287" s="88">
        <v>0</v>
      </c>
      <c r="CL287" s="88">
        <v>0</v>
      </c>
      <c r="CM287" s="88">
        <v>0</v>
      </c>
      <c r="CN287" s="88">
        <v>0</v>
      </c>
      <c r="CO287" s="88">
        <v>0</v>
      </c>
      <c r="CP287" s="88">
        <v>0</v>
      </c>
      <c r="CQ287" s="229">
        <v>0</v>
      </c>
      <c r="CR287" s="91">
        <v>0</v>
      </c>
      <c r="CS287" s="91">
        <v>0</v>
      </c>
      <c r="CT287" s="91">
        <v>0</v>
      </c>
      <c r="CU287" s="91">
        <v>0</v>
      </c>
      <c r="CV287" s="91">
        <v>0</v>
      </c>
      <c r="CW287" s="91">
        <v>0</v>
      </c>
      <c r="CX287" s="225">
        <v>0</v>
      </c>
      <c r="CY287" s="1265">
        <v>7824.4458399999994</v>
      </c>
      <c r="CZ287" s="90">
        <v>0</v>
      </c>
      <c r="DA287" s="88">
        <v>0</v>
      </c>
      <c r="DB287" s="88">
        <v>0</v>
      </c>
      <c r="DC287" s="88">
        <v>0</v>
      </c>
      <c r="DD287" s="88">
        <v>0</v>
      </c>
      <c r="DE287" s="152">
        <v>0</v>
      </c>
      <c r="DF287" s="230">
        <v>0</v>
      </c>
      <c r="DG287" s="38">
        <v>0</v>
      </c>
      <c r="DH287" s="1237">
        <v>0</v>
      </c>
      <c r="DI287" s="956">
        <v>0</v>
      </c>
      <c r="DJ287" s="956">
        <v>0</v>
      </c>
      <c r="DK287" s="956">
        <v>0</v>
      </c>
      <c r="DL287" s="152">
        <v>0</v>
      </c>
      <c r="DM287" s="160">
        <v>0</v>
      </c>
      <c r="DN287" s="160">
        <v>0</v>
      </c>
      <c r="DO287" s="160">
        <v>0</v>
      </c>
      <c r="DP287" s="160">
        <v>0</v>
      </c>
      <c r="DQ287" s="160">
        <v>0</v>
      </c>
      <c r="DR287" s="230">
        <v>0</v>
      </c>
      <c r="DS287" s="88">
        <v>0</v>
      </c>
      <c r="DT287" s="88">
        <v>0</v>
      </c>
      <c r="DU287" s="88">
        <v>0</v>
      </c>
      <c r="DV287" s="88">
        <v>0</v>
      </c>
      <c r="DW287" s="88">
        <v>0</v>
      </c>
      <c r="DX287" s="88">
        <v>0</v>
      </c>
      <c r="DY287" s="88">
        <v>0</v>
      </c>
      <c r="DZ287" s="88">
        <v>0</v>
      </c>
      <c r="EA287" s="88">
        <v>0</v>
      </c>
      <c r="EB287" s="152">
        <v>0</v>
      </c>
      <c r="EC287" s="52">
        <f t="shared" si="271"/>
        <v>0</v>
      </c>
      <c r="ED287" s="52">
        <f t="shared" si="271"/>
        <v>0</v>
      </c>
      <c r="EE287" s="52">
        <f t="shared" si="271"/>
        <v>0</v>
      </c>
      <c r="EF287" s="52">
        <f t="shared" si="271"/>
        <v>0</v>
      </c>
      <c r="EG287" s="52">
        <f t="shared" si="272"/>
        <v>0</v>
      </c>
      <c r="EH287" s="238">
        <v>0</v>
      </c>
      <c r="EI287" s="211">
        <v>0</v>
      </c>
      <c r="EJ287" s="211">
        <v>0</v>
      </c>
      <c r="EK287" s="211">
        <v>0</v>
      </c>
      <c r="EL287" s="217">
        <f>IF(C287&gt;=Summary!$E$26,MAX(0,SUM(EH287:EK287)),0)</f>
        <v>0</v>
      </c>
      <c r="EM287" s="52">
        <f>IF(C287&gt;=Summary!$E$26,DX287*BL287,0)</f>
        <v>0</v>
      </c>
      <c r="EN287" s="52">
        <f>IF(C287&gt;=Summary!$E$26,DY287*BM287,0)</f>
        <v>0</v>
      </c>
      <c r="EO287" s="52">
        <f>IF(C287&gt;=Summary!$E$26,DZ287*BN287,0)</f>
        <v>0</v>
      </c>
      <c r="EP287" s="52">
        <f>IF(C287&gt;=Summary!$E$26,EA287*BO287,0)</f>
        <v>0</v>
      </c>
      <c r="EQ287" s="52">
        <f>IF(C287&gt;=Summary!$E$26,DX287*BL287+DY287*BM287+DZ287*BN287+EA287*BO287,0)</f>
        <v>0</v>
      </c>
      <c r="ER287" s="826">
        <v>0</v>
      </c>
      <c r="ES287" s="278">
        <v>0</v>
      </c>
      <c r="ET287" s="278">
        <v>0</v>
      </c>
      <c r="EU287" s="278">
        <v>0</v>
      </c>
      <c r="EV287" s="212">
        <f>IF(C287&gt;=Summary!$E$26,MAX(0,SUM(ER287:EU287)),0)</f>
        <v>0</v>
      </c>
      <c r="EW287" s="52"/>
      <c r="EX287" s="1049">
        <f t="shared" si="273"/>
        <v>0</v>
      </c>
      <c r="EY287" s="1045" t="str">
        <f t="shared" si="274"/>
        <v/>
      </c>
      <c r="EZ287" s="1684" t="s">
        <v>525</v>
      </c>
      <c r="FA287" s="1046">
        <f t="shared" si="287"/>
        <v>45</v>
      </c>
      <c r="FB287" s="256">
        <f t="shared" si="275"/>
        <v>10638</v>
      </c>
      <c r="FC287" s="194">
        <f t="shared" si="276"/>
        <v>0</v>
      </c>
      <c r="FD287" s="194">
        <f t="shared" si="277"/>
        <v>2659.5</v>
      </c>
      <c r="FE287" s="194">
        <f t="shared" si="278"/>
        <v>0</v>
      </c>
      <c r="FF287" s="194">
        <f t="shared" si="279"/>
        <v>3191.4</v>
      </c>
      <c r="FG287" s="194">
        <f t="shared" si="280"/>
        <v>0</v>
      </c>
      <c r="FH287" s="257">
        <f>IF(EZ287="No",IF((OR(MONTH(C287)=5,MONTH(C287)=6,MONTH(C287)=7,MONTH(C287)=8,MONTH(C287)=9)),Summary!$O$15*12*(AX287+AY287+AZ287+BA287)*(1-$BC287),Summary!$O$15*13*(AX287+AY287+AZ287+BA287)*(1-$BC287)+IF(Summary!$O$16="Yes",(CALC!FA287+Summary!$O$15)*6*(AX287+AY287+AZ287+BA287)*(1-$BC287),0)),0)</f>
        <v>0</v>
      </c>
      <c r="FI287" s="1412">
        <f>IF(MONTH(C287)=5,FI286*(IF(Summary!$E$70="no",(1+(Summary!$E$71*0.8)),1+HLOOKUP(YEAR(C287)-1,CCFMODEL!$I$127:$AF$128,2)*0.8)),+FI286)</f>
        <v>45.9010556937194</v>
      </c>
      <c r="FJ287" s="1411">
        <f>IF(MONTH(C287)=5,FJ286*(IF(Summary!$E$70="no",(1+(Summary!$E$71*0.8)),1+HLOOKUP(YEAR(CALC!C287)-1,CCFMODEL!$I$127:$AF$128,2)*0.8)),FJ286)</f>
        <v>40.118245527581522</v>
      </c>
      <c r="FK287" s="832">
        <f t="shared" si="248"/>
        <v>756857.91722816986</v>
      </c>
      <c r="FL287" s="1412">
        <f>IF(MONTH(C287)=5,FL286*(IF(Summary!$E$70="no",(1+(Summary!$E$71*0.8)),1+HLOOKUP(YEAR(CALC!C287)-1,CCFMODEL!$I$127:$AF$128,2)*0.8)),+FL286)</f>
        <v>96.535066136509926</v>
      </c>
      <c r="FM287" s="1411">
        <f>IF(MONTH(C287)=5,FM286*(IF(Summary!$E$70="no",(1+(Summary!$E$71*0.8)),1+HLOOKUP(YEAR(CALC!C287)-1,CCFMODEL!$I$127:$AF$128,2)*0.8)),+FM286)</f>
        <v>46.073163139140163</v>
      </c>
      <c r="FN287" s="832">
        <f t="shared" si="249"/>
        <v>1615997.0071251763</v>
      </c>
      <c r="FO287" s="194">
        <f t="shared" si="281"/>
        <v>2372854.9243533462</v>
      </c>
      <c r="FP287" s="263">
        <f t="shared" si="292"/>
        <v>10638</v>
      </c>
      <c r="FQ287" s="194">
        <f t="shared" si="292"/>
        <v>0</v>
      </c>
      <c r="FR287" s="194">
        <f t="shared" si="292"/>
        <v>2659.5</v>
      </c>
      <c r="FS287" s="194">
        <f t="shared" si="291"/>
        <v>0</v>
      </c>
      <c r="FT287" s="194">
        <f t="shared" si="291"/>
        <v>3191.4</v>
      </c>
      <c r="FU287" s="194">
        <f t="shared" si="291"/>
        <v>0</v>
      </c>
      <c r="FV287" s="257">
        <f t="shared" si="291"/>
        <v>0</v>
      </c>
      <c r="FW287" s="189">
        <f t="shared" si="250"/>
        <v>0</v>
      </c>
      <c r="FX287" s="189">
        <f t="shared" si="251"/>
        <v>0</v>
      </c>
      <c r="FY287" s="189">
        <f t="shared" si="252"/>
        <v>0</v>
      </c>
      <c r="FZ287" s="258">
        <f t="shared" si="253"/>
        <v>0</v>
      </c>
      <c r="GA287" s="1294">
        <f>(SUM(FP287:FV287)+SUM(GU287:HB287)/(1-Summary!$O$25))*CY287/1000</f>
        <v>129016.50501117601</v>
      </c>
      <c r="GB287" s="1369">
        <f>IF($C287&lt;Summary!$M$81,+Summary!$O$81,VLOOKUP(C287,GasTable,19))</f>
        <v>4.6559999999999997</v>
      </c>
      <c r="GC287" s="1370">
        <f>IF(H287&lt;=Summary!$N$84,MIN(GA287,Summary!$O$75*(H287-G287+1)),0)</f>
        <v>0</v>
      </c>
      <c r="GD287" s="1371">
        <f>IF(C287&lt;Summary!$N$84,IF(Summary!$O$75*(H287-G287+1)*0.8&gt;GC287,1,0),0)</f>
        <v>0</v>
      </c>
      <c r="GE287" s="1372">
        <v>0</v>
      </c>
      <c r="GF287" s="1370">
        <f t="shared" si="282"/>
        <v>129016.50501117601</v>
      </c>
      <c r="GG287" s="1371">
        <f>GF287*(IF(Summary!$O$74=1,VLOOKUP($C287,GasTable,16)+Summary!$O$92+Summary!$O$93,VLOOKUP($C287,GasTable,19)+Summary!$O$92+Summary!$O$93))</f>
        <v>607422.60724311776</v>
      </c>
      <c r="GH287" s="1373">
        <v>7216.8</v>
      </c>
      <c r="GI287" s="1466">
        <v>0</v>
      </c>
      <c r="GJ287" s="1374">
        <f t="shared" si="283"/>
        <v>614639.40724311781</v>
      </c>
      <c r="GK287" s="189">
        <f t="shared" si="254"/>
        <v>16488.900000000001</v>
      </c>
      <c r="GL287" s="266">
        <v>0.52423787127999999</v>
      </c>
      <c r="GM287" s="255">
        <f t="shared" si="255"/>
        <v>0</v>
      </c>
      <c r="GN287" s="189">
        <f>IF(SUM(GU287:HB287)=0,0,IF(Summary!$O$16="Yes",SUM(GX287:HB287),IF(Summary!$O$17="Yes",SUM(GY287:HB287),SUM(GU287:HB287))))</f>
        <v>0</v>
      </c>
      <c r="GO287" s="203">
        <v>4.5594170129311724</v>
      </c>
      <c r="GP287" s="258">
        <f t="shared" si="284"/>
        <v>0</v>
      </c>
      <c r="GQ287" s="189"/>
      <c r="GR287" s="189"/>
      <c r="GS287" s="189"/>
      <c r="GT287" s="189"/>
      <c r="GU287" s="268">
        <v>0</v>
      </c>
      <c r="GV287" s="189">
        <v>0</v>
      </c>
      <c r="GW287" s="189">
        <v>0</v>
      </c>
      <c r="GX287" s="189"/>
      <c r="GY287" s="254">
        <v>0</v>
      </c>
      <c r="GZ287" s="189">
        <v>0</v>
      </c>
      <c r="HA287" s="189">
        <v>0</v>
      </c>
      <c r="HB287" s="255"/>
      <c r="HC287" s="189">
        <v>0</v>
      </c>
      <c r="HD287" s="189"/>
      <c r="HE287" s="189">
        <v>0</v>
      </c>
      <c r="HF287" s="189">
        <v>0</v>
      </c>
      <c r="HG287" s="189"/>
      <c r="HH287" s="203">
        <v>0</v>
      </c>
      <c r="HI287" s="189">
        <v>0</v>
      </c>
      <c r="HJ287" s="268">
        <f t="shared" si="256"/>
        <v>0</v>
      </c>
      <c r="HK287" s="189">
        <f t="shared" si="257"/>
        <v>0</v>
      </c>
      <c r="HL287" s="189">
        <f t="shared" si="258"/>
        <v>0</v>
      </c>
      <c r="HM287" s="255">
        <f t="shared" si="259"/>
        <v>0</v>
      </c>
      <c r="HN287" s="189">
        <f t="shared" si="260"/>
        <v>0</v>
      </c>
      <c r="HO287" s="203">
        <f t="shared" si="285"/>
        <v>0</v>
      </c>
      <c r="HP287" s="258">
        <f t="shared" si="261"/>
        <v>0</v>
      </c>
      <c r="HQ287" s="203"/>
      <c r="HR287" s="203"/>
      <c r="HS287" s="203"/>
      <c r="HT287" s="203"/>
      <c r="HU287" s="203"/>
      <c r="HV287" s="203"/>
      <c r="HW287" s="203"/>
      <c r="HX287" s="203"/>
      <c r="HY287" s="203"/>
      <c r="HZ287" s="203"/>
      <c r="IA287" s="203"/>
      <c r="IB287" s="203"/>
      <c r="IC287" s="203"/>
      <c r="ID287" s="203"/>
      <c r="IE287" s="203"/>
      <c r="IF287" s="203"/>
      <c r="IG287" s="203"/>
      <c r="IH287" s="203"/>
      <c r="II287" s="203"/>
      <c r="IJ287" s="203"/>
      <c r="IK287" s="203"/>
      <c r="IL287" s="821"/>
      <c r="IM287" s="820"/>
      <c r="IN287" s="820"/>
      <c r="IR287" s="223"/>
    </row>
    <row r="288" spans="1:252" ht="13.8" thickBot="1">
      <c r="A288" t="str">
        <f t="shared" si="262"/>
        <v>2022Q3</v>
      </c>
      <c r="B288">
        <f t="shared" si="263"/>
        <v>2022</v>
      </c>
      <c r="C288" s="49">
        <f t="shared" si="264"/>
        <v>44774</v>
      </c>
      <c r="D288" s="115">
        <f t="shared" si="265"/>
        <v>2022</v>
      </c>
      <c r="E288" s="10">
        <f t="shared" si="288"/>
        <v>8</v>
      </c>
      <c r="F288" s="248" t="str">
        <f t="shared" si="289"/>
        <v/>
      </c>
      <c r="G288" s="245">
        <v>44774</v>
      </c>
      <c r="H288" s="251">
        <v>44804</v>
      </c>
      <c r="I288" s="959">
        <f t="shared" si="286"/>
        <v>7.1499999999999994E-2</v>
      </c>
      <c r="J288" s="37">
        <f t="shared" si="266"/>
        <v>0.20203913306877438</v>
      </c>
      <c r="K288" s="1036"/>
      <c r="L288" s="37"/>
      <c r="M288" s="1004">
        <v>0</v>
      </c>
      <c r="N288" s="38">
        <f t="shared" si="246"/>
        <v>0</v>
      </c>
      <c r="O288" s="40">
        <f t="shared" si="246"/>
        <v>0</v>
      </c>
      <c r="P288" s="159">
        <f t="shared" si="294"/>
        <v>0</v>
      </c>
      <c r="Q288" s="38">
        <f t="shared" si="293"/>
        <v>0</v>
      </c>
      <c r="R288" s="40">
        <f t="shared" si="293"/>
        <v>0</v>
      </c>
      <c r="S288" s="38">
        <f t="shared" si="293"/>
        <v>0</v>
      </c>
      <c r="T288" s="38">
        <f t="shared" si="293"/>
        <v>0</v>
      </c>
      <c r="U288" s="38">
        <f t="shared" si="293"/>
        <v>0</v>
      </c>
      <c r="V288" s="159">
        <f t="shared" si="293"/>
        <v>0</v>
      </c>
      <c r="W288" s="38">
        <f t="shared" si="293"/>
        <v>0</v>
      </c>
      <c r="X288" s="39">
        <f t="shared" si="293"/>
        <v>0</v>
      </c>
      <c r="Y288" s="46">
        <v>0</v>
      </c>
      <c r="Z288" s="46">
        <v>0</v>
      </c>
      <c r="AA288" s="47">
        <v>0</v>
      </c>
      <c r="AB288" s="46">
        <v>0</v>
      </c>
      <c r="AC288" s="46">
        <v>0</v>
      </c>
      <c r="AD288" s="47">
        <v>0</v>
      </c>
      <c r="AE288" s="46">
        <v>0</v>
      </c>
      <c r="AF288" s="46">
        <v>0</v>
      </c>
      <c r="AG288" s="47">
        <v>0</v>
      </c>
      <c r="AH288" s="46">
        <v>0</v>
      </c>
      <c r="AI288" s="46">
        <v>0</v>
      </c>
      <c r="AJ288" s="47">
        <v>0</v>
      </c>
      <c r="AK288" s="46">
        <v>0</v>
      </c>
      <c r="AL288" s="46">
        <v>0</v>
      </c>
      <c r="AM288" s="47">
        <v>0</v>
      </c>
      <c r="AN288" s="46">
        <v>0</v>
      </c>
      <c r="AO288" s="46">
        <v>0</v>
      </c>
      <c r="AP288" s="47">
        <v>0</v>
      </c>
      <c r="AQ288" s="46">
        <v>0</v>
      </c>
      <c r="AR288" s="46">
        <v>0</v>
      </c>
      <c r="AS288" s="47">
        <v>0</v>
      </c>
      <c r="AT288" s="46">
        <v>0</v>
      </c>
      <c r="AU288" s="46">
        <v>0</v>
      </c>
      <c r="AV288" s="46">
        <v>0</v>
      </c>
      <c r="AW288" s="1545">
        <v>0</v>
      </c>
      <c r="AX288" s="10">
        <f t="shared" si="290"/>
        <v>23</v>
      </c>
      <c r="AY288" s="42">
        <f>IF(AND($E288=MONTH(Summary!$E$24),$D288=YEAR(Summary!$E$24)),Summary!$E$25,1)*IF(G288="",0,INT((H288-MOD(H288,7)-G288)/7)+1-IF(BA288,IF(WEEKDAY(F288)=7,1,0),0))</f>
        <v>4</v>
      </c>
      <c r="AZ288" s="42">
        <f>IF(AND($E288=MONTH(Summary!$E$24),$D288=YEAR(Summary!$E$24)),Summary!$E$25,1)*IF(G288="",0,INT((H288-MOD(H288-1,7)-G288)/7)+1-IF(BA288,IF(WEEKDAY(F288)=1,1,0),0))</f>
        <v>4</v>
      </c>
      <c r="BA288" s="42">
        <v>0</v>
      </c>
      <c r="BB288" s="10">
        <f>IF(AND($E288=MONTH(Summary!$E$24),$D288=YEAR(Summary!$E$24)),Summary!$E$25,1)*IF(G288="",0,H288-G288+1)</f>
        <v>31</v>
      </c>
      <c r="BC288" s="914">
        <f>Summary!$E$19</f>
        <v>1.4999999999999999E-2</v>
      </c>
      <c r="BD288" s="113">
        <v>16311.6</v>
      </c>
      <c r="BE288" s="171">
        <v>2836.8</v>
      </c>
      <c r="BF288" s="171">
        <v>2836.8</v>
      </c>
      <c r="BG288" s="174"/>
      <c r="BH288" s="1198">
        <v>1</v>
      </c>
      <c r="BI288" s="1198">
        <v>1</v>
      </c>
      <c r="BJ288" s="1198">
        <v>1</v>
      </c>
      <c r="BK288" s="1198">
        <v>1</v>
      </c>
      <c r="BL288" s="95">
        <v>3262.32</v>
      </c>
      <c r="BM288" s="171">
        <v>567.36</v>
      </c>
      <c r="BN288" s="171">
        <v>567.36</v>
      </c>
      <c r="BO288" s="174"/>
      <c r="BP288" s="1198">
        <v>1</v>
      </c>
      <c r="BQ288" s="1199">
        <v>1</v>
      </c>
      <c r="BR288" s="1199">
        <v>1</v>
      </c>
      <c r="BS288" s="1200">
        <v>1</v>
      </c>
      <c r="BT288" s="94">
        <f t="shared" si="267"/>
        <v>21985.200000000001</v>
      </c>
      <c r="BU288" s="233">
        <f t="shared" si="268"/>
        <v>21985.200000000001</v>
      </c>
      <c r="BV288" s="92">
        <f t="shared" si="269"/>
        <v>4397.04</v>
      </c>
      <c r="BW288" s="233">
        <f t="shared" si="270"/>
        <v>4397.04</v>
      </c>
      <c r="BX288" s="88">
        <v>22.628336755646817</v>
      </c>
      <c r="BY288" s="90">
        <v>0</v>
      </c>
      <c r="BZ288" s="88">
        <v>0</v>
      </c>
      <c r="CA288" s="88">
        <v>0</v>
      </c>
      <c r="CB288" s="88">
        <v>0</v>
      </c>
      <c r="CC288" s="88">
        <v>0</v>
      </c>
      <c r="CD288" s="88">
        <v>0</v>
      </c>
      <c r="CE288" s="100">
        <v>0</v>
      </c>
      <c r="CF288" s="88">
        <v>0</v>
      </c>
      <c r="CG288" s="88">
        <v>0</v>
      </c>
      <c r="CH288" s="88">
        <v>0</v>
      </c>
      <c r="CI288" s="88">
        <v>0</v>
      </c>
      <c r="CJ288" s="228">
        <v>0</v>
      </c>
      <c r="CK288" s="88">
        <v>0</v>
      </c>
      <c r="CL288" s="88">
        <v>0</v>
      </c>
      <c r="CM288" s="88">
        <v>0</v>
      </c>
      <c r="CN288" s="88">
        <v>0</v>
      </c>
      <c r="CO288" s="88">
        <v>0</v>
      </c>
      <c r="CP288" s="88">
        <v>0</v>
      </c>
      <c r="CQ288" s="229">
        <v>0</v>
      </c>
      <c r="CR288" s="91">
        <v>0</v>
      </c>
      <c r="CS288" s="91">
        <v>0</v>
      </c>
      <c r="CT288" s="91">
        <v>0</v>
      </c>
      <c r="CU288" s="91">
        <v>0</v>
      </c>
      <c r="CV288" s="91">
        <v>0</v>
      </c>
      <c r="CW288" s="91">
        <v>0</v>
      </c>
      <c r="CX288" s="225">
        <v>0</v>
      </c>
      <c r="CY288" s="1265">
        <v>7826.4768000000013</v>
      </c>
      <c r="CZ288" s="90">
        <v>0</v>
      </c>
      <c r="DA288" s="88">
        <v>0</v>
      </c>
      <c r="DB288" s="88">
        <v>0</v>
      </c>
      <c r="DC288" s="88">
        <v>0</v>
      </c>
      <c r="DD288" s="88">
        <v>0</v>
      </c>
      <c r="DE288" s="152">
        <v>0</v>
      </c>
      <c r="DF288" s="230">
        <v>0</v>
      </c>
      <c r="DG288" s="38">
        <v>0</v>
      </c>
      <c r="DH288" s="1237">
        <v>0</v>
      </c>
      <c r="DI288" s="956">
        <v>0</v>
      </c>
      <c r="DJ288" s="956">
        <v>0</v>
      </c>
      <c r="DK288" s="956">
        <v>0</v>
      </c>
      <c r="DL288" s="152">
        <v>0</v>
      </c>
      <c r="DM288" s="160">
        <v>0</v>
      </c>
      <c r="DN288" s="160">
        <v>0</v>
      </c>
      <c r="DO288" s="160">
        <v>0</v>
      </c>
      <c r="DP288" s="160">
        <v>0</v>
      </c>
      <c r="DQ288" s="160">
        <v>0</v>
      </c>
      <c r="DR288" s="230">
        <v>0</v>
      </c>
      <c r="DS288" s="88">
        <v>0</v>
      </c>
      <c r="DT288" s="88">
        <v>0</v>
      </c>
      <c r="DU288" s="88">
        <v>0</v>
      </c>
      <c r="DV288" s="88">
        <v>0</v>
      </c>
      <c r="DW288" s="88">
        <v>0</v>
      </c>
      <c r="DX288" s="88">
        <v>0</v>
      </c>
      <c r="DY288" s="88">
        <v>0</v>
      </c>
      <c r="DZ288" s="88">
        <v>0</v>
      </c>
      <c r="EA288" s="88">
        <v>0</v>
      </c>
      <c r="EB288" s="152">
        <v>0</v>
      </c>
      <c r="EC288" s="52">
        <f t="shared" si="271"/>
        <v>0</v>
      </c>
      <c r="ED288" s="52">
        <f t="shared" si="271"/>
        <v>0</v>
      </c>
      <c r="EE288" s="52">
        <f t="shared" si="271"/>
        <v>0</v>
      </c>
      <c r="EF288" s="52">
        <f t="shared" si="271"/>
        <v>0</v>
      </c>
      <c r="EG288" s="52">
        <f t="shared" si="272"/>
        <v>0</v>
      </c>
      <c r="EH288" s="238">
        <v>0</v>
      </c>
      <c r="EI288" s="211">
        <v>0</v>
      </c>
      <c r="EJ288" s="211">
        <v>0</v>
      </c>
      <c r="EK288" s="211">
        <v>0</v>
      </c>
      <c r="EL288" s="217">
        <f>IF(C288&gt;=Summary!$E$26,MAX(0,SUM(EH288:EK288)),0)</f>
        <v>0</v>
      </c>
      <c r="EM288" s="52">
        <f>IF(C288&gt;=Summary!$E$26,DX288*BL288,0)</f>
        <v>0</v>
      </c>
      <c r="EN288" s="52">
        <f>IF(C288&gt;=Summary!$E$26,DY288*BM288,0)</f>
        <v>0</v>
      </c>
      <c r="EO288" s="52">
        <f>IF(C288&gt;=Summary!$E$26,DZ288*BN288,0)</f>
        <v>0</v>
      </c>
      <c r="EP288" s="52">
        <f>IF(C288&gt;=Summary!$E$26,EA288*BO288,0)</f>
        <v>0</v>
      </c>
      <c r="EQ288" s="52">
        <f>IF(C288&gt;=Summary!$E$26,DX288*BL288+DY288*BM288+DZ288*BN288+EA288*BO288,0)</f>
        <v>0</v>
      </c>
      <c r="ER288" s="826">
        <v>0</v>
      </c>
      <c r="ES288" s="278">
        <v>0</v>
      </c>
      <c r="ET288" s="278">
        <v>0</v>
      </c>
      <c r="EU288" s="278">
        <v>0</v>
      </c>
      <c r="EV288" s="212">
        <f>IF(C288&gt;=Summary!$E$26,MAX(0,SUM(ER288:EU288)),0)</f>
        <v>0</v>
      </c>
      <c r="EW288" s="52"/>
      <c r="EX288" s="1049">
        <f t="shared" si="273"/>
        <v>0</v>
      </c>
      <c r="EY288" s="1045" t="str">
        <f t="shared" si="274"/>
        <v/>
      </c>
      <c r="EZ288" s="1684" t="s">
        <v>525</v>
      </c>
      <c r="FA288" s="1046">
        <f t="shared" si="287"/>
        <v>45</v>
      </c>
      <c r="FB288" s="256">
        <f t="shared" si="275"/>
        <v>12233.7</v>
      </c>
      <c r="FC288" s="194">
        <f t="shared" si="276"/>
        <v>0</v>
      </c>
      <c r="FD288" s="194">
        <f t="shared" si="277"/>
        <v>2127.6</v>
      </c>
      <c r="FE288" s="194">
        <f t="shared" si="278"/>
        <v>0</v>
      </c>
      <c r="FF288" s="194">
        <f t="shared" si="279"/>
        <v>2127.6</v>
      </c>
      <c r="FG288" s="194">
        <f t="shared" si="280"/>
        <v>0</v>
      </c>
      <c r="FH288" s="257">
        <f>IF(EZ288="No",IF((OR(MONTH(C288)=5,MONTH(C288)=6,MONTH(C288)=7,MONTH(C288)=8,MONTH(C288)=9)),Summary!$O$15*12*(AX288+AY288+AZ288+BA288)*(1-$BC288),Summary!$O$15*13*(AX288+AY288+AZ288+BA288)*(1-$BC288)+IF(Summary!$O$16="Yes",(CALC!FA288+Summary!$O$15)*6*(AX288+AY288+AZ288+BA288)*(1-$BC288),0)),0)</f>
        <v>0</v>
      </c>
      <c r="FI288" s="1412">
        <f>IF(MONTH(C288)=5,FI287*(IF(Summary!$E$70="no",(1+(Summary!$E$71*0.8)),1+HLOOKUP(YEAR(C288)-1,CCFMODEL!$I$127:$AF$128,2)*0.8)),+FI287)</f>
        <v>45.9010556937194</v>
      </c>
      <c r="FJ288" s="1411">
        <f>IF(MONTH(C288)=5,FJ287*(IF(Summary!$E$70="no",(1+(Summary!$E$71*0.8)),1+HLOOKUP(YEAR(CALC!C288)-1,CCFMODEL!$I$127:$AF$128,2)*0.8)),FJ287)</f>
        <v>40.118245527581522</v>
      </c>
      <c r="FK288" s="832">
        <f t="shared" si="248"/>
        <v>756857.91722816986</v>
      </c>
      <c r="FL288" s="1412">
        <f>IF(MONTH(C288)=5,FL287*(IF(Summary!$E$70="no",(1+(Summary!$E$71*0.8)),1+HLOOKUP(YEAR(CALC!C288)-1,CCFMODEL!$I$127:$AF$128,2)*0.8)),+FL287)</f>
        <v>96.535066136509926</v>
      </c>
      <c r="FM288" s="1411">
        <f>IF(MONTH(C288)=5,FM287*(IF(Summary!$E$70="no",(1+(Summary!$E$71*0.8)),1+HLOOKUP(YEAR(CALC!C288)-1,CCFMODEL!$I$127:$AF$128,2)*0.8)),+FM287)</f>
        <v>46.073163139140163</v>
      </c>
      <c r="FN288" s="832">
        <f t="shared" si="249"/>
        <v>1615997.0071251763</v>
      </c>
      <c r="FO288" s="194">
        <f t="shared" si="281"/>
        <v>2372854.9243533462</v>
      </c>
      <c r="FP288" s="263">
        <f t="shared" si="292"/>
        <v>12233.7</v>
      </c>
      <c r="FQ288" s="194">
        <f t="shared" si="292"/>
        <v>0</v>
      </c>
      <c r="FR288" s="194">
        <f t="shared" si="292"/>
        <v>2127.6</v>
      </c>
      <c r="FS288" s="194">
        <f t="shared" si="291"/>
        <v>0</v>
      </c>
      <c r="FT288" s="194">
        <f t="shared" si="291"/>
        <v>2127.6</v>
      </c>
      <c r="FU288" s="194">
        <f t="shared" si="291"/>
        <v>0</v>
      </c>
      <c r="FV288" s="257">
        <f t="shared" si="291"/>
        <v>0</v>
      </c>
      <c r="FW288" s="189">
        <f t="shared" si="250"/>
        <v>0</v>
      </c>
      <c r="FX288" s="189">
        <f t="shared" si="251"/>
        <v>0</v>
      </c>
      <c r="FY288" s="189">
        <f t="shared" si="252"/>
        <v>0</v>
      </c>
      <c r="FZ288" s="258">
        <f t="shared" si="253"/>
        <v>0</v>
      </c>
      <c r="GA288" s="1294">
        <f>(SUM(FP288:FV288)+SUM(GU288:HB288)/(1-Summary!$O$25))*CY288/1000</f>
        <v>163463.32485619205</v>
      </c>
      <c r="GB288" s="1369">
        <f>IF($C288&lt;Summary!$M$81,+Summary!$O$81,VLOOKUP(C288,GasTable,19))</f>
        <v>4.6509999999999998</v>
      </c>
      <c r="GC288" s="1370">
        <f>IF(H288&lt;=Summary!$N$84,MIN(GA288,Summary!$O$75*(H288-G288+1)),0)</f>
        <v>0</v>
      </c>
      <c r="GD288" s="1371">
        <f>IF(C288&lt;Summary!$N$84,IF(Summary!$O$75*(H288-G288+1)*0.8&gt;GC288,1,0),0)</f>
        <v>0</v>
      </c>
      <c r="GE288" s="1372">
        <v>0</v>
      </c>
      <c r="GF288" s="1370">
        <f t="shared" si="282"/>
        <v>163463.32485619205</v>
      </c>
      <c r="GG288" s="1371">
        <f>GF288*(IF(Summary!$O$74=1,VLOOKUP($C288,GasTable,16)+Summary!$O$92+Summary!$O$93,VLOOKUP($C288,GasTable,19)+Summary!$O$92+Summary!$O$93))</f>
        <v>768784.36313115677</v>
      </c>
      <c r="GH288" s="1373">
        <v>7209.05</v>
      </c>
      <c r="GI288" s="1466">
        <v>0</v>
      </c>
      <c r="GJ288" s="1374">
        <f t="shared" si="283"/>
        <v>775993.41313115682</v>
      </c>
      <c r="GK288" s="189">
        <f t="shared" si="254"/>
        <v>20732.043600000005</v>
      </c>
      <c r="GL288" s="266">
        <v>0.52437394560000006</v>
      </c>
      <c r="GM288" s="255">
        <f t="shared" si="255"/>
        <v>0</v>
      </c>
      <c r="GN288" s="189">
        <f>IF(SUM(GU288:HB288)=0,0,IF(Summary!$O$16="Yes",SUM(GX288:HB288),IF(Summary!$O$17="Yes",SUM(GY288:HB288),SUM(GU288:HB288))))</f>
        <v>4243.1436000000003</v>
      </c>
      <c r="GO288" s="203">
        <v>4.5594170129311724</v>
      </c>
      <c r="GP288" s="258">
        <f t="shared" si="284"/>
        <v>19346.261118150022</v>
      </c>
      <c r="GQ288" s="189"/>
      <c r="GR288" s="189"/>
      <c r="GS288" s="189"/>
      <c r="GT288" s="189"/>
      <c r="GU288" s="268">
        <v>0</v>
      </c>
      <c r="GV288" s="189">
        <v>0</v>
      </c>
      <c r="GW288" s="189">
        <v>0</v>
      </c>
      <c r="GX288" s="189"/>
      <c r="GY288" s="254">
        <v>3148.1388000000002</v>
      </c>
      <c r="GZ288" s="189">
        <v>547.50239999999997</v>
      </c>
      <c r="HA288" s="189">
        <v>547.50239999999997</v>
      </c>
      <c r="HB288" s="255"/>
      <c r="HC288" s="189">
        <v>4243.1436000000003</v>
      </c>
      <c r="HD288" s="189"/>
      <c r="HE288" s="189">
        <v>16972.574400000001</v>
      </c>
      <c r="HF288" s="189">
        <v>228095.89200000002</v>
      </c>
      <c r="HG288" s="189"/>
      <c r="HH288" s="203">
        <v>53.756345177664969</v>
      </c>
      <c r="HI288" s="189">
        <v>912383.56799999997</v>
      </c>
      <c r="HJ288" s="268">
        <f t="shared" si="256"/>
        <v>0</v>
      </c>
      <c r="HK288" s="189">
        <f t="shared" si="257"/>
        <v>0</v>
      </c>
      <c r="HL288" s="189">
        <f t="shared" si="258"/>
        <v>0</v>
      </c>
      <c r="HM288" s="255">
        <f t="shared" si="259"/>
        <v>0</v>
      </c>
      <c r="HN288" s="189">
        <f t="shared" si="260"/>
        <v>0</v>
      </c>
      <c r="HO288" s="203">
        <f t="shared" si="285"/>
        <v>0</v>
      </c>
      <c r="HP288" s="258">
        <f t="shared" si="261"/>
        <v>0</v>
      </c>
      <c r="HQ288" s="203"/>
      <c r="HR288" s="203"/>
      <c r="HS288" s="203"/>
      <c r="HT288" s="203"/>
      <c r="HU288" s="203"/>
      <c r="HV288" s="203"/>
      <c r="HW288" s="203"/>
      <c r="HX288" s="203"/>
      <c r="HY288" s="203"/>
      <c r="HZ288" s="203"/>
      <c r="IA288" s="203"/>
      <c r="IB288" s="203"/>
      <c r="IC288" s="203"/>
      <c r="ID288" s="203"/>
      <c r="IE288" s="203"/>
      <c r="IF288" s="203"/>
      <c r="IG288" s="203"/>
      <c r="IH288" s="203"/>
      <c r="II288" s="203"/>
      <c r="IJ288" s="203"/>
      <c r="IK288" s="203"/>
      <c r="IL288" s="821"/>
      <c r="IM288" s="820"/>
      <c r="IN288" s="820"/>
      <c r="IR288" s="223"/>
    </row>
    <row r="289" spans="1:253" ht="13.8" thickBot="1">
      <c r="A289" t="str">
        <f t="shared" si="262"/>
        <v>2022Q3</v>
      </c>
      <c r="B289">
        <f t="shared" si="263"/>
        <v>2022</v>
      </c>
      <c r="C289" s="49">
        <f t="shared" si="264"/>
        <v>44805</v>
      </c>
      <c r="D289" s="115">
        <f t="shared" si="265"/>
        <v>2022</v>
      </c>
      <c r="E289" s="10">
        <f t="shared" si="288"/>
        <v>9</v>
      </c>
      <c r="F289" s="248">
        <f t="shared" si="289"/>
        <v>44809</v>
      </c>
      <c r="G289" s="245">
        <v>44805</v>
      </c>
      <c r="H289" s="251">
        <v>44834</v>
      </c>
      <c r="I289" s="959">
        <f t="shared" si="286"/>
        <v>7.1499999999999994E-2</v>
      </c>
      <c r="J289" s="37">
        <f t="shared" si="266"/>
        <v>0.20087669345744971</v>
      </c>
      <c r="K289" s="1036"/>
      <c r="L289" s="37"/>
      <c r="M289" s="1004">
        <v>0</v>
      </c>
      <c r="N289" s="38">
        <f t="shared" ref="N289:O292" si="295">M289</f>
        <v>0</v>
      </c>
      <c r="O289" s="40">
        <f t="shared" si="295"/>
        <v>0</v>
      </c>
      <c r="P289" s="159">
        <f t="shared" si="294"/>
        <v>0</v>
      </c>
      <c r="Q289" s="38">
        <f t="shared" ref="Q289:X290" si="296">P289</f>
        <v>0</v>
      </c>
      <c r="R289" s="40">
        <f t="shared" si="296"/>
        <v>0</v>
      </c>
      <c r="S289" s="38">
        <f t="shared" si="296"/>
        <v>0</v>
      </c>
      <c r="T289" s="38">
        <f t="shared" si="296"/>
        <v>0</v>
      </c>
      <c r="U289" s="38">
        <f t="shared" si="296"/>
        <v>0</v>
      </c>
      <c r="V289" s="159">
        <f t="shared" si="296"/>
        <v>0</v>
      </c>
      <c r="W289" s="38">
        <f t="shared" si="296"/>
        <v>0</v>
      </c>
      <c r="X289" s="39">
        <f t="shared" si="296"/>
        <v>0</v>
      </c>
      <c r="Y289" s="46">
        <v>0</v>
      </c>
      <c r="Z289" s="46">
        <v>0</v>
      </c>
      <c r="AA289" s="47">
        <v>0</v>
      </c>
      <c r="AB289" s="46">
        <v>0</v>
      </c>
      <c r="AC289" s="46">
        <v>0</v>
      </c>
      <c r="AD289" s="47">
        <v>0</v>
      </c>
      <c r="AE289" s="46">
        <v>0</v>
      </c>
      <c r="AF289" s="46">
        <v>0</v>
      </c>
      <c r="AG289" s="47">
        <v>0</v>
      </c>
      <c r="AH289" s="46">
        <v>0</v>
      </c>
      <c r="AI289" s="46">
        <v>0</v>
      </c>
      <c r="AJ289" s="47">
        <v>0</v>
      </c>
      <c r="AK289" s="46">
        <v>0</v>
      </c>
      <c r="AL289" s="46">
        <v>0</v>
      </c>
      <c r="AM289" s="47">
        <v>0</v>
      </c>
      <c r="AN289" s="46">
        <v>0</v>
      </c>
      <c r="AO289" s="46">
        <v>0</v>
      </c>
      <c r="AP289" s="47">
        <v>0</v>
      </c>
      <c r="AQ289" s="46">
        <v>0</v>
      </c>
      <c r="AR289" s="46">
        <v>0</v>
      </c>
      <c r="AS289" s="47">
        <v>0</v>
      </c>
      <c r="AT289" s="46">
        <v>0</v>
      </c>
      <c r="AU289" s="46">
        <v>0</v>
      </c>
      <c r="AV289" s="46">
        <v>0</v>
      </c>
      <c r="AW289" s="1545">
        <v>0</v>
      </c>
      <c r="AX289" s="10">
        <f t="shared" si="290"/>
        <v>21</v>
      </c>
      <c r="AY289" s="42">
        <f>IF(AND($E289=MONTH(Summary!$E$24),$D289=YEAR(Summary!$E$24)),Summary!$E$25,1)*IF(G289="",0,INT((H289-MOD(H289,7)-G289)/7)+1-IF(BA289,IF(WEEKDAY(F289)=7,1,0),0))</f>
        <v>4</v>
      </c>
      <c r="AZ289" s="42">
        <f>IF(AND($E289=MONTH(Summary!$E$24),$D289=YEAR(Summary!$E$24)),Summary!$E$25,1)*IF(G289="",0,INT((H289-MOD(H289-1,7)-G289)/7)+1-IF(BA289,IF(WEEKDAY(F289)=1,1,0),0))</f>
        <v>4</v>
      </c>
      <c r="BA289" s="42">
        <v>1</v>
      </c>
      <c r="BB289" s="10">
        <f>IF(AND($E289=MONTH(Summary!$E$24),$D289=YEAR(Summary!$E$24)),Summary!$E$25,1)*IF(G289="",0,H289-G289+1)</f>
        <v>30</v>
      </c>
      <c r="BC289" s="914">
        <f>Summary!$E$19</f>
        <v>1.4999999999999999E-2</v>
      </c>
      <c r="BD289" s="113">
        <v>14893.2</v>
      </c>
      <c r="BE289" s="171">
        <v>2836.8</v>
      </c>
      <c r="BF289" s="171">
        <v>3546</v>
      </c>
      <c r="BG289" s="174"/>
      <c r="BH289" s="1198">
        <v>1</v>
      </c>
      <c r="BI289" s="1198">
        <v>1</v>
      </c>
      <c r="BJ289" s="1198">
        <v>1</v>
      </c>
      <c r="BK289" s="1198">
        <v>1</v>
      </c>
      <c r="BL289" s="95">
        <v>2978.64</v>
      </c>
      <c r="BM289" s="171">
        <v>567.36</v>
      </c>
      <c r="BN289" s="171">
        <v>709.2</v>
      </c>
      <c r="BO289" s="174"/>
      <c r="BP289" s="1198">
        <v>1</v>
      </c>
      <c r="BQ289" s="1199">
        <v>1</v>
      </c>
      <c r="BR289" s="1199">
        <v>1</v>
      </c>
      <c r="BS289" s="1200">
        <v>1</v>
      </c>
      <c r="BT289" s="94">
        <f t="shared" si="267"/>
        <v>21276</v>
      </c>
      <c r="BU289" s="233">
        <f t="shared" si="268"/>
        <v>21276</v>
      </c>
      <c r="BV289" s="92">
        <f t="shared" si="269"/>
        <v>4255.2</v>
      </c>
      <c r="BW289" s="233">
        <f t="shared" si="270"/>
        <v>4255.2</v>
      </c>
      <c r="BX289" s="88">
        <v>22.713210130047912</v>
      </c>
      <c r="BY289" s="90">
        <v>0</v>
      </c>
      <c r="BZ289" s="88">
        <v>0</v>
      </c>
      <c r="CA289" s="88">
        <v>0</v>
      </c>
      <c r="CB289" s="88">
        <v>0</v>
      </c>
      <c r="CC289" s="88">
        <v>0</v>
      </c>
      <c r="CD289" s="88">
        <v>0</v>
      </c>
      <c r="CE289" s="100">
        <v>0</v>
      </c>
      <c r="CF289" s="88">
        <v>0</v>
      </c>
      <c r="CG289" s="88">
        <v>0</v>
      </c>
      <c r="CH289" s="88">
        <v>0</v>
      </c>
      <c r="CI289" s="88">
        <v>0</v>
      </c>
      <c r="CJ289" s="228">
        <v>0</v>
      </c>
      <c r="CK289" s="88">
        <v>0</v>
      </c>
      <c r="CL289" s="88">
        <v>0</v>
      </c>
      <c r="CM289" s="88">
        <v>0</v>
      </c>
      <c r="CN289" s="88">
        <v>0</v>
      </c>
      <c r="CO289" s="88">
        <v>0</v>
      </c>
      <c r="CP289" s="88">
        <v>0</v>
      </c>
      <c r="CQ289" s="229">
        <v>0</v>
      </c>
      <c r="CR289" s="91">
        <v>0</v>
      </c>
      <c r="CS289" s="91">
        <v>0</v>
      </c>
      <c r="CT289" s="91">
        <v>0</v>
      </c>
      <c r="CU289" s="91">
        <v>0</v>
      </c>
      <c r="CV289" s="91">
        <v>0</v>
      </c>
      <c r="CW289" s="91">
        <v>0</v>
      </c>
      <c r="CX289" s="225">
        <v>0</v>
      </c>
      <c r="CY289" s="1265">
        <v>7828.5077600000004</v>
      </c>
      <c r="CZ289" s="90">
        <v>0</v>
      </c>
      <c r="DA289" s="88">
        <v>0</v>
      </c>
      <c r="DB289" s="88">
        <v>0</v>
      </c>
      <c r="DC289" s="88">
        <v>0</v>
      </c>
      <c r="DD289" s="88">
        <v>0</v>
      </c>
      <c r="DE289" s="152">
        <v>0</v>
      </c>
      <c r="DF289" s="230">
        <v>0</v>
      </c>
      <c r="DG289" s="38">
        <v>0</v>
      </c>
      <c r="DH289" s="1237">
        <v>0</v>
      </c>
      <c r="DI289" s="956">
        <v>0</v>
      </c>
      <c r="DJ289" s="956">
        <v>0</v>
      </c>
      <c r="DK289" s="956">
        <v>0</v>
      </c>
      <c r="DL289" s="152">
        <v>0</v>
      </c>
      <c r="DM289" s="160">
        <v>0</v>
      </c>
      <c r="DN289" s="160">
        <v>0</v>
      </c>
      <c r="DO289" s="160">
        <v>0</v>
      </c>
      <c r="DP289" s="160">
        <v>0</v>
      </c>
      <c r="DQ289" s="160">
        <v>0</v>
      </c>
      <c r="DR289" s="230">
        <v>0</v>
      </c>
      <c r="DS289" s="88">
        <v>0</v>
      </c>
      <c r="DT289" s="88">
        <v>0</v>
      </c>
      <c r="DU289" s="88">
        <v>0</v>
      </c>
      <c r="DV289" s="88">
        <v>0</v>
      </c>
      <c r="DW289" s="88">
        <v>0</v>
      </c>
      <c r="DX289" s="88">
        <v>0</v>
      </c>
      <c r="DY289" s="88">
        <v>0</v>
      </c>
      <c r="DZ289" s="88">
        <v>0</v>
      </c>
      <c r="EA289" s="88">
        <v>0</v>
      </c>
      <c r="EB289" s="152">
        <v>0</v>
      </c>
      <c r="EC289" s="52">
        <f t="shared" si="271"/>
        <v>0</v>
      </c>
      <c r="ED289" s="52">
        <f t="shared" si="271"/>
        <v>0</v>
      </c>
      <c r="EE289" s="52">
        <f t="shared" si="271"/>
        <v>0</v>
      </c>
      <c r="EF289" s="52">
        <f t="shared" si="271"/>
        <v>0</v>
      </c>
      <c r="EG289" s="52">
        <f t="shared" si="272"/>
        <v>0</v>
      </c>
      <c r="EH289" s="238">
        <v>0</v>
      </c>
      <c r="EI289" s="211">
        <v>0</v>
      </c>
      <c r="EJ289" s="211">
        <v>0</v>
      </c>
      <c r="EK289" s="211">
        <v>0</v>
      </c>
      <c r="EL289" s="217">
        <f>IF(C289&gt;=Summary!$E$26,MAX(0,SUM(EH289:EK289)),0)</f>
        <v>0</v>
      </c>
      <c r="EM289" s="52">
        <f>IF(C289&gt;=Summary!$E$26,DX289*BL289,0)</f>
        <v>0</v>
      </c>
      <c r="EN289" s="52">
        <f>IF(C289&gt;=Summary!$E$26,DY289*BM289,0)</f>
        <v>0</v>
      </c>
      <c r="EO289" s="52">
        <f>IF(C289&gt;=Summary!$E$26,DZ289*BN289,0)</f>
        <v>0</v>
      </c>
      <c r="EP289" s="52">
        <f>IF(C289&gt;=Summary!$E$26,EA289*BO289,0)</f>
        <v>0</v>
      </c>
      <c r="EQ289" s="52">
        <f>IF(C289&gt;=Summary!$E$26,DX289*BL289+DY289*BM289+DZ289*BN289+EA289*BO289,0)</f>
        <v>0</v>
      </c>
      <c r="ER289" s="826">
        <v>0</v>
      </c>
      <c r="ES289" s="278">
        <v>0</v>
      </c>
      <c r="ET289" s="278">
        <v>0</v>
      </c>
      <c r="EU289" s="278">
        <v>0</v>
      </c>
      <c r="EV289" s="212">
        <f>IF(C289&gt;=Summary!$E$26,MAX(0,SUM(ER289:EU289)),0)</f>
        <v>0</v>
      </c>
      <c r="EW289" s="52"/>
      <c r="EX289" s="1049">
        <f t="shared" si="273"/>
        <v>0</v>
      </c>
      <c r="EY289" s="1045" t="str">
        <f t="shared" si="274"/>
        <v/>
      </c>
      <c r="EZ289" s="1684" t="s">
        <v>525</v>
      </c>
      <c r="FA289" s="1046">
        <f t="shared" si="287"/>
        <v>45</v>
      </c>
      <c r="FB289" s="256">
        <f t="shared" si="275"/>
        <v>11169.9</v>
      </c>
      <c r="FC289" s="194">
        <f t="shared" si="276"/>
        <v>0</v>
      </c>
      <c r="FD289" s="194">
        <f t="shared" si="277"/>
        <v>2127.6</v>
      </c>
      <c r="FE289" s="194">
        <f t="shared" si="278"/>
        <v>0</v>
      </c>
      <c r="FF289" s="194">
        <f t="shared" si="279"/>
        <v>2659.5</v>
      </c>
      <c r="FG289" s="194">
        <f t="shared" si="280"/>
        <v>0</v>
      </c>
      <c r="FH289" s="257">
        <f>IF(EZ289="No",IF((OR(MONTH(C289)=5,MONTH(C289)=6,MONTH(C289)=7,MONTH(C289)=8,MONTH(C289)=9)),Summary!$O$15*12*(AX289+AY289+AZ289+BA289)*(1-$BC289),Summary!$O$15*13*(AX289+AY289+AZ289+BA289)*(1-$BC289)+IF(Summary!$O$16="Yes",(CALC!FA289+Summary!$O$15)*6*(AX289+AY289+AZ289+BA289)*(1-$BC289),0)),0)</f>
        <v>0</v>
      </c>
      <c r="FI289" s="1412">
        <f>IF(MONTH(C289)=5,FI288*(IF(Summary!$E$70="no",(1+(Summary!$E$71*0.8)),1+HLOOKUP(YEAR(C289)-1,CCFMODEL!$I$127:$AF$128,2)*0.8)),+FI288)</f>
        <v>45.9010556937194</v>
      </c>
      <c r="FJ289" s="1411">
        <f>IF(MONTH(C289)=5,FJ288*(IF(Summary!$E$70="no",(1+(Summary!$E$71*0.8)),1+HLOOKUP(YEAR(CALC!C289)-1,CCFMODEL!$I$127:$AF$128,2)*0.8)),FJ288)</f>
        <v>40.118245527581522</v>
      </c>
      <c r="FK289" s="832">
        <f t="shared" si="248"/>
        <v>732443.14570468047</v>
      </c>
      <c r="FL289" s="1412">
        <f>IF(MONTH(C289)=5,FL288*(IF(Summary!$E$70="no",(1+(Summary!$E$71*0.8)),1+HLOOKUP(YEAR(CALC!C289)-1,CCFMODEL!$I$127:$AF$128,2)*0.8)),+FL288)</f>
        <v>96.535066136509926</v>
      </c>
      <c r="FM289" s="1411">
        <f>IF(MONTH(C289)=5,FM288*(IF(Summary!$E$70="no",(1+(Summary!$E$71*0.8)),1+HLOOKUP(YEAR(CALC!C289)-1,CCFMODEL!$I$127:$AF$128,2)*0.8)),+FM288)</f>
        <v>46.073163139140163</v>
      </c>
      <c r="FN289" s="832">
        <f t="shared" si="249"/>
        <v>1563868.0714114609</v>
      </c>
      <c r="FO289" s="194">
        <f t="shared" si="281"/>
        <v>2296311.2171161412</v>
      </c>
      <c r="FP289" s="263">
        <f t="shared" si="292"/>
        <v>11169.9</v>
      </c>
      <c r="FQ289" s="194">
        <f t="shared" si="292"/>
        <v>0</v>
      </c>
      <c r="FR289" s="194">
        <f t="shared" si="292"/>
        <v>2127.6</v>
      </c>
      <c r="FS289" s="194">
        <f t="shared" si="291"/>
        <v>0</v>
      </c>
      <c r="FT289" s="194">
        <f t="shared" si="291"/>
        <v>2659.5</v>
      </c>
      <c r="FU289" s="194">
        <f t="shared" si="291"/>
        <v>0</v>
      </c>
      <c r="FV289" s="257">
        <f t="shared" si="291"/>
        <v>0</v>
      </c>
      <c r="FW289" s="189">
        <f t="shared" si="250"/>
        <v>0</v>
      </c>
      <c r="FX289" s="189">
        <f t="shared" si="251"/>
        <v>0</v>
      </c>
      <c r="FY289" s="189">
        <f t="shared" si="252"/>
        <v>0</v>
      </c>
      <c r="FZ289" s="258">
        <f t="shared" si="253"/>
        <v>0</v>
      </c>
      <c r="GA289" s="1294">
        <f>(SUM(FP289:FV289)+SUM(GU289:HB289)/(1-Summary!$O$25))*CY289/1000</f>
        <v>199871.19732211201</v>
      </c>
      <c r="GB289" s="1369">
        <f>IF($C289&lt;Summary!$M$81,+Summary!$O$81,VLOOKUP(C289,GasTable,19))</f>
        <v>4.6219999999999999</v>
      </c>
      <c r="GC289" s="1370">
        <f>IF(H289&lt;=Summary!$N$84,MIN(GA289,Summary!$O$75*(H289-G289+1)),0)</f>
        <v>0</v>
      </c>
      <c r="GD289" s="1371">
        <f>IF(C289&lt;Summary!$N$84,IF(Summary!$O$75*(H289-G289+1)*0.8&gt;GC289,1,0),0)</f>
        <v>0</v>
      </c>
      <c r="GE289" s="1372">
        <v>0</v>
      </c>
      <c r="GF289" s="1370">
        <f t="shared" si="282"/>
        <v>199871.19732211201</v>
      </c>
      <c r="GG289" s="1371">
        <f>GF289*(IF(Summary!$O$74=1,VLOOKUP($C289,GasTable,16)+Summary!$O$92+Summary!$O$93,VLOOKUP($C289,GasTable,19)+Summary!$O$92+Summary!$O$93))</f>
        <v>934217.96340328373</v>
      </c>
      <c r="GH289" s="1373">
        <v>6933</v>
      </c>
      <c r="GI289" s="1466">
        <v>0</v>
      </c>
      <c r="GJ289" s="1374">
        <f t="shared" si="283"/>
        <v>941150.96340328373</v>
      </c>
      <c r="GK289" s="189">
        <f t="shared" si="254"/>
        <v>25196.103000000003</v>
      </c>
      <c r="GL289" s="266">
        <v>0.52451001992000013</v>
      </c>
      <c r="GM289" s="255">
        <f t="shared" si="255"/>
        <v>0</v>
      </c>
      <c r="GN289" s="189">
        <f>IF(SUM(GU289:HB289)=0,0,IF(Summary!$O$16="Yes",SUM(GX289:HB289),IF(Summary!$O$17="Yes",SUM(GY289:HB289),SUM(GU289:HB289))))</f>
        <v>9239.103000000001</v>
      </c>
      <c r="GO289" s="203">
        <v>4.5594170129311724</v>
      </c>
      <c r="GP289" s="258">
        <f t="shared" si="284"/>
        <v>42124.923402423439</v>
      </c>
      <c r="GQ289" s="189"/>
      <c r="GR289" s="189"/>
      <c r="GS289" s="189"/>
      <c r="GT289" s="189"/>
      <c r="GU289" s="268">
        <v>3592.9845000000009</v>
      </c>
      <c r="GV289" s="189">
        <v>684.37800000000027</v>
      </c>
      <c r="GW289" s="189">
        <v>855.47249999999997</v>
      </c>
      <c r="GX289" s="189"/>
      <c r="GY289" s="254">
        <v>2874.3875999999996</v>
      </c>
      <c r="GZ289" s="189">
        <v>547.50239999999997</v>
      </c>
      <c r="HA289" s="189">
        <v>684.37800000000004</v>
      </c>
      <c r="HB289" s="255"/>
      <c r="HC289" s="189">
        <v>9239.103000000001</v>
      </c>
      <c r="HD289" s="189"/>
      <c r="HE289" s="189">
        <v>21557.906999999999</v>
      </c>
      <c r="HF289" s="189">
        <v>615264.61339124991</v>
      </c>
      <c r="HG289" s="189"/>
      <c r="HH289" s="203">
        <v>69.120220872613004</v>
      </c>
      <c r="HI289" s="189">
        <v>1490087.2933912501</v>
      </c>
      <c r="HJ289" s="268">
        <f t="shared" si="256"/>
        <v>0</v>
      </c>
      <c r="HK289" s="189">
        <f t="shared" si="257"/>
        <v>0</v>
      </c>
      <c r="HL289" s="189">
        <f t="shared" si="258"/>
        <v>0</v>
      </c>
      <c r="HM289" s="255">
        <f t="shared" si="259"/>
        <v>0</v>
      </c>
      <c r="HN289" s="189">
        <f t="shared" si="260"/>
        <v>0</v>
      </c>
      <c r="HO289" s="203">
        <f t="shared" si="285"/>
        <v>0</v>
      </c>
      <c r="HP289" s="258">
        <f t="shared" si="261"/>
        <v>0</v>
      </c>
      <c r="HQ289" s="203"/>
      <c r="HR289" s="203"/>
      <c r="HS289" s="203"/>
      <c r="HT289" s="203"/>
      <c r="HU289" s="203"/>
      <c r="HV289" s="203"/>
      <c r="HW289" s="203"/>
      <c r="HX289" s="203"/>
      <c r="HY289" s="203"/>
      <c r="HZ289" s="203"/>
      <c r="IA289" s="203"/>
      <c r="IB289" s="203"/>
      <c r="IC289" s="203"/>
      <c r="ID289" s="203"/>
      <c r="IE289" s="203"/>
      <c r="IF289" s="203"/>
      <c r="IG289" s="203"/>
      <c r="IH289" s="203"/>
      <c r="II289" s="203"/>
      <c r="IJ289" s="203"/>
      <c r="IK289" s="203"/>
      <c r="IL289" s="821"/>
      <c r="IM289" s="820"/>
      <c r="IN289" s="820"/>
      <c r="IR289" s="223"/>
    </row>
    <row r="290" spans="1:253" ht="13.8" thickBot="1">
      <c r="A290" t="str">
        <f t="shared" si="262"/>
        <v>2022Q4</v>
      </c>
      <c r="B290">
        <f t="shared" si="263"/>
        <v>2022</v>
      </c>
      <c r="C290" s="49">
        <f t="shared" si="264"/>
        <v>44835</v>
      </c>
      <c r="D290" s="115">
        <f t="shared" si="265"/>
        <v>2022</v>
      </c>
      <c r="E290" s="10">
        <f t="shared" si="288"/>
        <v>10</v>
      </c>
      <c r="F290" s="248" t="str">
        <f t="shared" si="289"/>
        <v/>
      </c>
      <c r="G290" s="245">
        <v>44835</v>
      </c>
      <c r="H290" s="251">
        <v>44865</v>
      </c>
      <c r="I290" s="959">
        <f t="shared" si="286"/>
        <v>7.1499999999999994E-2</v>
      </c>
      <c r="J290" s="37">
        <f t="shared" si="266"/>
        <v>0.19968253167109318</v>
      </c>
      <c r="K290" s="1036"/>
      <c r="L290" s="37"/>
      <c r="M290" s="1004">
        <v>0</v>
      </c>
      <c r="N290" s="38">
        <f t="shared" si="295"/>
        <v>0</v>
      </c>
      <c r="O290" s="40">
        <f t="shared" si="295"/>
        <v>0</v>
      </c>
      <c r="P290" s="159">
        <f t="shared" si="294"/>
        <v>0</v>
      </c>
      <c r="Q290" s="38">
        <f t="shared" si="296"/>
        <v>0</v>
      </c>
      <c r="R290" s="40">
        <f t="shared" si="296"/>
        <v>0</v>
      </c>
      <c r="S290" s="38">
        <f t="shared" si="296"/>
        <v>0</v>
      </c>
      <c r="T290" s="38">
        <f t="shared" si="296"/>
        <v>0</v>
      </c>
      <c r="U290" s="38">
        <f t="shared" si="296"/>
        <v>0</v>
      </c>
      <c r="V290" s="159">
        <f t="shared" si="296"/>
        <v>0</v>
      </c>
      <c r="W290" s="38">
        <f t="shared" si="296"/>
        <v>0</v>
      </c>
      <c r="X290" s="39">
        <f t="shared" si="296"/>
        <v>0</v>
      </c>
      <c r="Y290" s="46">
        <v>0</v>
      </c>
      <c r="Z290" s="46">
        <v>0</v>
      </c>
      <c r="AA290" s="47">
        <v>0</v>
      </c>
      <c r="AB290" s="46">
        <v>0</v>
      </c>
      <c r="AC290" s="46">
        <v>0</v>
      </c>
      <c r="AD290" s="47">
        <v>0</v>
      </c>
      <c r="AE290" s="46">
        <v>0</v>
      </c>
      <c r="AF290" s="46">
        <v>0</v>
      </c>
      <c r="AG290" s="47">
        <v>0</v>
      </c>
      <c r="AH290" s="46">
        <v>0</v>
      </c>
      <c r="AI290" s="46">
        <v>0</v>
      </c>
      <c r="AJ290" s="47">
        <v>0</v>
      </c>
      <c r="AK290" s="46">
        <v>0</v>
      </c>
      <c r="AL290" s="46">
        <v>0</v>
      </c>
      <c r="AM290" s="47">
        <v>0</v>
      </c>
      <c r="AN290" s="46">
        <v>0</v>
      </c>
      <c r="AO290" s="46">
        <v>0</v>
      </c>
      <c r="AP290" s="47">
        <v>0</v>
      </c>
      <c r="AQ290" s="46">
        <v>0</v>
      </c>
      <c r="AR290" s="46">
        <v>0</v>
      </c>
      <c r="AS290" s="47">
        <v>0</v>
      </c>
      <c r="AT290" s="46">
        <v>0</v>
      </c>
      <c r="AU290" s="46">
        <v>0</v>
      </c>
      <c r="AV290" s="46">
        <v>0</v>
      </c>
      <c r="AW290" s="1545">
        <v>0</v>
      </c>
      <c r="AX290" s="10">
        <f t="shared" si="290"/>
        <v>21</v>
      </c>
      <c r="AY290" s="42">
        <f>IF(AND($E290=MONTH(Summary!$E$24),$D290=YEAR(Summary!$E$24)),Summary!$E$25,1)*IF(G290="",0,INT((H290-MOD(H290,7)-G290)/7)+1-IF(BA290,IF(WEEKDAY(F290)=7,1,0),0))</f>
        <v>5</v>
      </c>
      <c r="AZ290" s="42">
        <f>IF(AND($E290=MONTH(Summary!$E$24),$D290=YEAR(Summary!$E$24)),Summary!$E$25,1)*IF(G290="",0,INT((H290-MOD(H290-1,7)-G290)/7)+1-IF(BA290,IF(WEEKDAY(F290)=1,1,0),0))</f>
        <v>5</v>
      </c>
      <c r="BA290" s="42">
        <v>0</v>
      </c>
      <c r="BB290" s="10">
        <f>IF(AND($E290=MONTH(Summary!$E$24),$D290=YEAR(Summary!$E$24)),Summary!$E$25,1)*IF(G290="",0,H290-G290+1)</f>
        <v>31</v>
      </c>
      <c r="BC290" s="914">
        <f>Summary!$E$19</f>
        <v>1.4999999999999999E-2</v>
      </c>
      <c r="BD290" s="113">
        <v>14893.2</v>
      </c>
      <c r="BE290" s="171">
        <v>3546</v>
      </c>
      <c r="BF290" s="171">
        <v>3546</v>
      </c>
      <c r="BG290" s="174"/>
      <c r="BH290" s="1198">
        <v>1</v>
      </c>
      <c r="BI290" s="1198">
        <v>1</v>
      </c>
      <c r="BJ290" s="1198">
        <v>1</v>
      </c>
      <c r="BK290" s="1198">
        <v>1</v>
      </c>
      <c r="BL290" s="95">
        <v>2978.64</v>
      </c>
      <c r="BM290" s="171">
        <v>709.2</v>
      </c>
      <c r="BN290" s="171">
        <v>709.2</v>
      </c>
      <c r="BO290" s="174"/>
      <c r="BP290" s="1198">
        <v>1</v>
      </c>
      <c r="BQ290" s="1199">
        <v>1</v>
      </c>
      <c r="BR290" s="1199">
        <v>1</v>
      </c>
      <c r="BS290" s="1200">
        <v>1</v>
      </c>
      <c r="BT290" s="94">
        <f t="shared" si="267"/>
        <v>21985.200000000001</v>
      </c>
      <c r="BU290" s="233">
        <f t="shared" si="268"/>
        <v>21985.200000000001</v>
      </c>
      <c r="BV290" s="92">
        <f t="shared" si="269"/>
        <v>4397.04</v>
      </c>
      <c r="BW290" s="233">
        <f t="shared" si="270"/>
        <v>4397.04</v>
      </c>
      <c r="BX290" s="88">
        <v>22.795345653661876</v>
      </c>
      <c r="BY290" s="90">
        <v>0</v>
      </c>
      <c r="BZ290" s="88">
        <v>0</v>
      </c>
      <c r="CA290" s="88">
        <v>0</v>
      </c>
      <c r="CB290" s="88">
        <v>0</v>
      </c>
      <c r="CC290" s="88">
        <v>0</v>
      </c>
      <c r="CD290" s="88">
        <v>0</v>
      </c>
      <c r="CE290" s="100">
        <v>0</v>
      </c>
      <c r="CF290" s="88">
        <v>0</v>
      </c>
      <c r="CG290" s="88">
        <v>0</v>
      </c>
      <c r="CH290" s="88">
        <v>0</v>
      </c>
      <c r="CI290" s="88">
        <v>0</v>
      </c>
      <c r="CJ290" s="228">
        <v>0</v>
      </c>
      <c r="CK290" s="88">
        <v>0</v>
      </c>
      <c r="CL290" s="88">
        <v>0</v>
      </c>
      <c r="CM290" s="88">
        <v>0</v>
      </c>
      <c r="CN290" s="88">
        <v>0</v>
      </c>
      <c r="CO290" s="88">
        <v>0</v>
      </c>
      <c r="CP290" s="88">
        <v>0</v>
      </c>
      <c r="CQ290" s="229">
        <v>0</v>
      </c>
      <c r="CR290" s="91">
        <v>0</v>
      </c>
      <c r="CS290" s="91">
        <v>0</v>
      </c>
      <c r="CT290" s="91">
        <v>0</v>
      </c>
      <c r="CU290" s="91">
        <v>0</v>
      </c>
      <c r="CV290" s="91">
        <v>0</v>
      </c>
      <c r="CW290" s="91">
        <v>0</v>
      </c>
      <c r="CX290" s="225">
        <v>0</v>
      </c>
      <c r="CY290" s="1265">
        <v>7830.5387200000005</v>
      </c>
      <c r="CZ290" s="90">
        <v>0</v>
      </c>
      <c r="DA290" s="88">
        <v>0</v>
      </c>
      <c r="DB290" s="88">
        <v>0</v>
      </c>
      <c r="DC290" s="88">
        <v>0</v>
      </c>
      <c r="DD290" s="88">
        <v>0</v>
      </c>
      <c r="DE290" s="152">
        <v>0</v>
      </c>
      <c r="DF290" s="230">
        <v>0</v>
      </c>
      <c r="DG290" s="38">
        <v>0</v>
      </c>
      <c r="DH290" s="1237">
        <v>0</v>
      </c>
      <c r="DI290" s="956">
        <v>0</v>
      </c>
      <c r="DJ290" s="956">
        <v>0</v>
      </c>
      <c r="DK290" s="956">
        <v>0</v>
      </c>
      <c r="DL290" s="152">
        <v>0</v>
      </c>
      <c r="DM290" s="160">
        <v>0</v>
      </c>
      <c r="DN290" s="160">
        <v>0</v>
      </c>
      <c r="DO290" s="160">
        <v>0</v>
      </c>
      <c r="DP290" s="160">
        <v>0</v>
      </c>
      <c r="DQ290" s="160">
        <v>0</v>
      </c>
      <c r="DR290" s="230">
        <v>0</v>
      </c>
      <c r="DS290" s="88">
        <v>0</v>
      </c>
      <c r="DT290" s="88">
        <v>0</v>
      </c>
      <c r="DU290" s="88">
        <v>0</v>
      </c>
      <c r="DV290" s="88">
        <v>0</v>
      </c>
      <c r="DW290" s="88">
        <v>0</v>
      </c>
      <c r="DX290" s="88">
        <v>0</v>
      </c>
      <c r="DY290" s="88">
        <v>0</v>
      </c>
      <c r="DZ290" s="88">
        <v>0</v>
      </c>
      <c r="EA290" s="88">
        <v>0</v>
      </c>
      <c r="EB290" s="152">
        <v>0</v>
      </c>
      <c r="EC290" s="52">
        <f t="shared" si="271"/>
        <v>0</v>
      </c>
      <c r="ED290" s="52">
        <f t="shared" si="271"/>
        <v>0</v>
      </c>
      <c r="EE290" s="52">
        <f t="shared" si="271"/>
        <v>0</v>
      </c>
      <c r="EF290" s="52">
        <f t="shared" si="271"/>
        <v>0</v>
      </c>
      <c r="EG290" s="52">
        <f t="shared" si="272"/>
        <v>0</v>
      </c>
      <c r="EH290" s="238">
        <v>0</v>
      </c>
      <c r="EI290" s="211">
        <v>0</v>
      </c>
      <c r="EJ290" s="211">
        <v>0</v>
      </c>
      <c r="EK290" s="211">
        <v>0</v>
      </c>
      <c r="EL290" s="217">
        <f>IF(C290&gt;=Summary!$E$26,MAX(0,SUM(EH290:EK290)),0)</f>
        <v>0</v>
      </c>
      <c r="EM290" s="52">
        <f>IF(C290&gt;=Summary!$E$26,DX290*BL290,0)</f>
        <v>0</v>
      </c>
      <c r="EN290" s="52">
        <f>IF(C290&gt;=Summary!$E$26,DY290*BM290,0)</f>
        <v>0</v>
      </c>
      <c r="EO290" s="52">
        <f>IF(C290&gt;=Summary!$E$26,DZ290*BN290,0)</f>
        <v>0</v>
      </c>
      <c r="EP290" s="52">
        <f>IF(C290&gt;=Summary!$E$26,EA290*BO290,0)</f>
        <v>0</v>
      </c>
      <c r="EQ290" s="52">
        <f>IF(C290&gt;=Summary!$E$26,DX290*BL290+DY290*BM290+DZ290*BN290+EA290*BO290,0)</f>
        <v>0</v>
      </c>
      <c r="ER290" s="826">
        <v>0</v>
      </c>
      <c r="ES290" s="278">
        <v>0</v>
      </c>
      <c r="ET290" s="278">
        <v>0</v>
      </c>
      <c r="EU290" s="278">
        <v>0</v>
      </c>
      <c r="EV290" s="212">
        <f>IF(C290&gt;=Summary!$E$26,MAX(0,SUM(ER290:EU290)),0)</f>
        <v>0</v>
      </c>
      <c r="EW290" s="52"/>
      <c r="EX290" s="1049">
        <f t="shared" si="273"/>
        <v>0</v>
      </c>
      <c r="EY290" s="1045" t="str">
        <f t="shared" si="274"/>
        <v/>
      </c>
      <c r="EZ290" s="1684" t="s">
        <v>525</v>
      </c>
      <c r="FA290" s="1046">
        <f t="shared" si="287"/>
        <v>45</v>
      </c>
      <c r="FB290" s="256">
        <f t="shared" si="275"/>
        <v>9308.25</v>
      </c>
      <c r="FC290" s="194">
        <f t="shared" si="276"/>
        <v>2792.4749999999999</v>
      </c>
      <c r="FD290" s="194">
        <f t="shared" si="277"/>
        <v>2216.25</v>
      </c>
      <c r="FE290" s="194">
        <f t="shared" si="278"/>
        <v>664.875</v>
      </c>
      <c r="FF290" s="194">
        <f t="shared" si="279"/>
        <v>2216.25</v>
      </c>
      <c r="FG290" s="194">
        <f t="shared" si="280"/>
        <v>664.875</v>
      </c>
      <c r="FH290" s="257">
        <f>IF(EZ290="No",IF((OR(MONTH(C290)=5,MONTH(C290)=6,MONTH(C290)=7,MONTH(C290)=8,MONTH(C290)=9)),Summary!$O$15*12*(AX290+AY290+AZ290+BA290)*(1-$BC290),Summary!$O$15*13*(AX290+AY290+AZ290+BA290)*(1-$BC290)+IF(Summary!$O$16="Yes",(CALC!FA290+Summary!$O$15)*6*(AX290+AY290+AZ290+BA290)*(1-$BC290),0)),0)</f>
        <v>0</v>
      </c>
      <c r="FI290" s="1412">
        <f>IF(MONTH(C290)=5,FI289*(IF(Summary!$E$70="no",(1+(Summary!$E$71*0.8)),1+HLOOKUP(YEAR(C290)-1,CCFMODEL!$I$127:$AF$128,2)*0.8)),+FI289)</f>
        <v>45.9010556937194</v>
      </c>
      <c r="FJ290" s="1411">
        <f>IF(MONTH(C290)=5,FJ289*(IF(Summary!$E$70="no",(1+(Summary!$E$71*0.8)),1+HLOOKUP(YEAR(CALC!C290)-1,CCFMODEL!$I$127:$AF$128,2)*0.8)),FJ289)</f>
        <v>40.118245527581522</v>
      </c>
      <c r="FK290" s="832">
        <f t="shared" si="248"/>
        <v>819929.41033051722</v>
      </c>
      <c r="FL290" s="1412">
        <f>IF(MONTH(C290)=5,FL289*(IF(Summary!$E$70="no",(1+(Summary!$E$71*0.8)),1+HLOOKUP(YEAR(CALC!C290)-1,CCFMODEL!$I$127:$AF$128,2)*0.8)),+FL289)</f>
        <v>96.535066136509926</v>
      </c>
      <c r="FM290" s="1411">
        <f>IF(MONTH(C290)=5,FM289*(IF(Summary!$E$70="no",(1+(Summary!$E$71*0.8)),1+HLOOKUP(YEAR(CALC!C290)-1,CCFMODEL!$I$127:$AF$128,2)*0.8)),+FM289)</f>
        <v>46.073163139140163</v>
      </c>
      <c r="FN290" s="832">
        <f t="shared" si="249"/>
        <v>835536.8135283069</v>
      </c>
      <c r="FO290" s="194">
        <f t="shared" si="281"/>
        <v>1655466.223858824</v>
      </c>
      <c r="FP290" s="263">
        <f t="shared" si="292"/>
        <v>9308.25</v>
      </c>
      <c r="FQ290" s="194">
        <f t="shared" si="292"/>
        <v>2792.4749999999999</v>
      </c>
      <c r="FR290" s="194">
        <f t="shared" si="292"/>
        <v>2216.25</v>
      </c>
      <c r="FS290" s="194">
        <f t="shared" si="291"/>
        <v>664.875</v>
      </c>
      <c r="FT290" s="194">
        <f t="shared" si="291"/>
        <v>2216.25</v>
      </c>
      <c r="FU290" s="194">
        <f t="shared" si="291"/>
        <v>664.875</v>
      </c>
      <c r="FV290" s="257">
        <f t="shared" si="291"/>
        <v>0</v>
      </c>
      <c r="FW290" s="189">
        <f t="shared" si="250"/>
        <v>0</v>
      </c>
      <c r="FX290" s="189">
        <f t="shared" si="251"/>
        <v>0</v>
      </c>
      <c r="FY290" s="189">
        <f t="shared" si="252"/>
        <v>0</v>
      </c>
      <c r="FZ290" s="258">
        <f t="shared" si="253"/>
        <v>0</v>
      </c>
      <c r="GA290" s="1294">
        <f>(SUM(FP290:FV290)+SUM(GU290:HB290)/(1-Summary!$O$25))*CY290/1000</f>
        <v>238866.39431538479</v>
      </c>
      <c r="GB290" s="1369">
        <f>IF($C290&lt;Summary!$M$81,+Summary!$O$81,VLOOKUP(C290,GasTable,19))</f>
        <v>4.6210000000000004</v>
      </c>
      <c r="GC290" s="1370">
        <f>IF(H290&lt;=Summary!$N$84,MIN(GA290,Summary!$O$75*(H290-G290+1)),0)</f>
        <v>0</v>
      </c>
      <c r="GD290" s="1371">
        <f>IF(C290&lt;Summary!$N$84,IF(Summary!$O$75*(H290-G290+1)*0.8&gt;GC290,1,0),0)</f>
        <v>0</v>
      </c>
      <c r="GE290" s="1372">
        <v>0</v>
      </c>
      <c r="GF290" s="1370">
        <f t="shared" si="282"/>
        <v>238866.39431538479</v>
      </c>
      <c r="GG290" s="1371">
        <f>GF290*(IF(Summary!$O$74=1,VLOOKUP($C290,GasTable,16)+Summary!$O$92+Summary!$O$93,VLOOKUP($C290,GasTable,19)+Summary!$O$92+Summary!$O$93))</f>
        <v>1116246.5472752249</v>
      </c>
      <c r="GH290" s="1373">
        <v>7162.55</v>
      </c>
      <c r="GI290" s="1466">
        <v>0</v>
      </c>
      <c r="GJ290" s="1374">
        <f t="shared" si="283"/>
        <v>1123409.097275225</v>
      </c>
      <c r="GK290" s="189">
        <f t="shared" si="254"/>
        <v>30062.012850000003</v>
      </c>
      <c r="GL290" s="266">
        <v>0.52464609423999997</v>
      </c>
      <c r="GM290" s="255">
        <f t="shared" si="255"/>
        <v>0</v>
      </c>
      <c r="GN290" s="189">
        <f>IF(SUM(GU290:HB290)=0,0,IF(Summary!$O$16="Yes",SUM(GX290:HB290),IF(Summary!$O$17="Yes",SUM(GY290:HB290),SUM(GU290:HB290))))</f>
        <v>12199.037850000001</v>
      </c>
      <c r="GO290" s="203">
        <v>4.5594170129311724</v>
      </c>
      <c r="GP290" s="258">
        <f t="shared" si="284"/>
        <v>55620.500714681315</v>
      </c>
      <c r="GQ290" s="189"/>
      <c r="GR290" s="189"/>
      <c r="GS290" s="189"/>
      <c r="GT290" s="189"/>
      <c r="GU290" s="268">
        <v>5389.4767500000007</v>
      </c>
      <c r="GV290" s="189">
        <v>1283.20875</v>
      </c>
      <c r="GW290" s="189">
        <v>1283.20875</v>
      </c>
      <c r="GX290" s="189"/>
      <c r="GY290" s="254">
        <v>2874.3875999999996</v>
      </c>
      <c r="GZ290" s="189">
        <v>684.37800000000004</v>
      </c>
      <c r="HA290" s="189">
        <v>684.37800000000004</v>
      </c>
      <c r="HB290" s="255"/>
      <c r="HC290" s="189">
        <v>12199.037850000001</v>
      </c>
      <c r="HD290" s="189"/>
      <c r="HE290" s="189">
        <v>14320.60965</v>
      </c>
      <c r="HF290" s="189">
        <v>618621.25950000004</v>
      </c>
      <c r="HG290" s="189"/>
      <c r="HH290" s="203">
        <v>50.710659898477161</v>
      </c>
      <c r="HI290" s="189">
        <v>726207.56550000003</v>
      </c>
      <c r="HJ290" s="268">
        <f t="shared" si="256"/>
        <v>0</v>
      </c>
      <c r="HK290" s="189">
        <f t="shared" si="257"/>
        <v>0</v>
      </c>
      <c r="HL290" s="189">
        <f t="shared" si="258"/>
        <v>0</v>
      </c>
      <c r="HM290" s="255">
        <f t="shared" si="259"/>
        <v>0</v>
      </c>
      <c r="HN290" s="189">
        <f t="shared" si="260"/>
        <v>0</v>
      </c>
      <c r="HO290" s="203">
        <f t="shared" si="285"/>
        <v>0</v>
      </c>
      <c r="HP290" s="258">
        <f t="shared" si="261"/>
        <v>0</v>
      </c>
      <c r="HQ290" s="203"/>
      <c r="HR290" s="203"/>
      <c r="HS290" s="203"/>
      <c r="HT290" s="203"/>
      <c r="HU290" s="203"/>
      <c r="HV290" s="203"/>
      <c r="HW290" s="203"/>
      <c r="HX290" s="203"/>
      <c r="HY290" s="203"/>
      <c r="HZ290" s="203"/>
      <c r="IA290" s="203"/>
      <c r="IB290" s="203"/>
      <c r="IC290" s="203"/>
      <c r="ID290" s="203"/>
      <c r="IE290" s="203"/>
      <c r="IF290" s="203"/>
      <c r="IG290" s="203"/>
      <c r="IH290" s="203"/>
      <c r="II290" s="203"/>
      <c r="IJ290" s="203"/>
      <c r="IK290" s="203"/>
      <c r="IL290" s="821"/>
      <c r="IM290" s="820"/>
      <c r="IN290" s="820"/>
      <c r="IR290" s="223"/>
    </row>
    <row r="291" spans="1:253" ht="13.8" thickBot="1">
      <c r="A291" t="str">
        <f t="shared" si="262"/>
        <v>2022Q4</v>
      </c>
      <c r="B291">
        <f t="shared" si="263"/>
        <v>2022</v>
      </c>
      <c r="C291" s="49">
        <f t="shared" si="264"/>
        <v>44866</v>
      </c>
      <c r="D291" s="115">
        <f t="shared" si="265"/>
        <v>2022</v>
      </c>
      <c r="E291" s="10">
        <f t="shared" si="288"/>
        <v>11</v>
      </c>
      <c r="F291" s="248">
        <f t="shared" si="289"/>
        <v>44889</v>
      </c>
      <c r="G291" s="245">
        <v>44866</v>
      </c>
      <c r="H291" s="251">
        <v>44895</v>
      </c>
      <c r="I291" s="959">
        <f t="shared" si="286"/>
        <v>7.1499999999999994E-2</v>
      </c>
      <c r="J291" s="37">
        <f t="shared" si="266"/>
        <v>0.19853365085291488</v>
      </c>
      <c r="K291" s="1036"/>
      <c r="L291" s="37"/>
      <c r="M291" s="1004">
        <v>0</v>
      </c>
      <c r="N291" s="38">
        <f t="shared" si="295"/>
        <v>0</v>
      </c>
      <c r="O291" s="40">
        <f t="shared" si="295"/>
        <v>0</v>
      </c>
      <c r="P291" s="159">
        <f t="shared" si="294"/>
        <v>0</v>
      </c>
      <c r="Q291" s="38">
        <f t="shared" ref="Q291:X291" si="297">P291</f>
        <v>0</v>
      </c>
      <c r="R291" s="40">
        <f t="shared" si="297"/>
        <v>0</v>
      </c>
      <c r="S291" s="38">
        <f t="shared" si="297"/>
        <v>0</v>
      </c>
      <c r="T291" s="38">
        <f t="shared" si="297"/>
        <v>0</v>
      </c>
      <c r="U291" s="38">
        <f t="shared" si="297"/>
        <v>0</v>
      </c>
      <c r="V291" s="159">
        <f t="shared" si="297"/>
        <v>0</v>
      </c>
      <c r="W291" s="38">
        <f t="shared" si="297"/>
        <v>0</v>
      </c>
      <c r="X291" s="39">
        <f t="shared" si="297"/>
        <v>0</v>
      </c>
      <c r="Y291" s="46">
        <v>0</v>
      </c>
      <c r="Z291" s="46">
        <v>0</v>
      </c>
      <c r="AA291" s="47">
        <v>0</v>
      </c>
      <c r="AB291" s="46">
        <v>0</v>
      </c>
      <c r="AC291" s="46">
        <v>0</v>
      </c>
      <c r="AD291" s="47">
        <v>0</v>
      </c>
      <c r="AE291" s="46">
        <v>0</v>
      </c>
      <c r="AF291" s="46">
        <v>0</v>
      </c>
      <c r="AG291" s="47">
        <v>0</v>
      </c>
      <c r="AH291" s="46">
        <v>0</v>
      </c>
      <c r="AI291" s="46">
        <v>0</v>
      </c>
      <c r="AJ291" s="47">
        <v>0</v>
      </c>
      <c r="AK291" s="46">
        <v>0</v>
      </c>
      <c r="AL291" s="46">
        <v>0</v>
      </c>
      <c r="AM291" s="47">
        <v>0</v>
      </c>
      <c r="AN291" s="46">
        <v>0</v>
      </c>
      <c r="AO291" s="46">
        <v>0</v>
      </c>
      <c r="AP291" s="47">
        <v>0</v>
      </c>
      <c r="AQ291" s="46">
        <v>0</v>
      </c>
      <c r="AR291" s="46">
        <v>0</v>
      </c>
      <c r="AS291" s="47">
        <v>0</v>
      </c>
      <c r="AT291" s="46">
        <v>0</v>
      </c>
      <c r="AU291" s="46">
        <v>0</v>
      </c>
      <c r="AV291" s="46">
        <v>0</v>
      </c>
      <c r="AW291" s="1545">
        <v>0</v>
      </c>
      <c r="AX291" s="10">
        <f t="shared" si="290"/>
        <v>21</v>
      </c>
      <c r="AY291" s="42">
        <f>IF(AND($E291=MONTH(Summary!$E$24),$D291=YEAR(Summary!$E$24)),Summary!$E$25,1)*IF(G291="",0,INT((H291-MOD(H291,7)-G291)/7)+1-IF(BA291,IF(WEEKDAY(F291)=7,1,0),0))</f>
        <v>4</v>
      </c>
      <c r="AZ291" s="42">
        <f>IF(AND($E291=MONTH(Summary!$E$24),$D291=YEAR(Summary!$E$24)),Summary!$E$25,1)*IF(G291="",0,INT((H291-MOD(H291-1,7)-G291)/7)+1-IF(BA291,IF(WEEKDAY(F291)=1,1,0),0))</f>
        <v>4</v>
      </c>
      <c r="BA291" s="42">
        <v>1</v>
      </c>
      <c r="BB291" s="10">
        <f>IF(AND($E291=MONTH(Summary!$E$24),$D291=YEAR(Summary!$E$24)),Summary!$E$25,1)*IF(G291="",0,H291-G291+1)</f>
        <v>30</v>
      </c>
      <c r="BC291" s="914">
        <f>Summary!$E$19</f>
        <v>1.4999999999999999E-2</v>
      </c>
      <c r="BD291" s="113">
        <v>14893.2</v>
      </c>
      <c r="BE291" s="171">
        <v>2836.8</v>
      </c>
      <c r="BF291" s="171">
        <v>3546</v>
      </c>
      <c r="BG291" s="174"/>
      <c r="BH291" s="1198">
        <v>1</v>
      </c>
      <c r="BI291" s="1198">
        <v>1</v>
      </c>
      <c r="BJ291" s="1198">
        <v>1</v>
      </c>
      <c r="BK291" s="1198">
        <v>1</v>
      </c>
      <c r="BL291" s="95">
        <v>2978.64</v>
      </c>
      <c r="BM291" s="171">
        <v>567.36</v>
      </c>
      <c r="BN291" s="171">
        <v>709.2</v>
      </c>
      <c r="BO291" s="174"/>
      <c r="BP291" s="1198">
        <v>1</v>
      </c>
      <c r="BQ291" s="1199">
        <v>1</v>
      </c>
      <c r="BR291" s="1199">
        <v>1</v>
      </c>
      <c r="BS291" s="1200">
        <v>1</v>
      </c>
      <c r="BT291" s="94">
        <f t="shared" si="267"/>
        <v>21276</v>
      </c>
      <c r="BU291" s="233">
        <f t="shared" si="268"/>
        <v>21276</v>
      </c>
      <c r="BV291" s="92">
        <f t="shared" si="269"/>
        <v>4255.2</v>
      </c>
      <c r="BW291" s="233">
        <f t="shared" si="270"/>
        <v>4255.2</v>
      </c>
      <c r="BX291" s="88">
        <v>22.880219028062971</v>
      </c>
      <c r="BY291" s="90">
        <v>0</v>
      </c>
      <c r="BZ291" s="88">
        <v>0</v>
      </c>
      <c r="CA291" s="88">
        <v>0</v>
      </c>
      <c r="CB291" s="88">
        <v>0</v>
      </c>
      <c r="CC291" s="88">
        <v>0</v>
      </c>
      <c r="CD291" s="88">
        <v>0</v>
      </c>
      <c r="CE291" s="100">
        <v>0</v>
      </c>
      <c r="CF291" s="88">
        <v>0</v>
      </c>
      <c r="CG291" s="88">
        <v>0</v>
      </c>
      <c r="CH291" s="88">
        <v>0</v>
      </c>
      <c r="CI291" s="88">
        <v>0</v>
      </c>
      <c r="CJ291" s="228">
        <v>0</v>
      </c>
      <c r="CK291" s="88">
        <v>0</v>
      </c>
      <c r="CL291" s="88">
        <v>0</v>
      </c>
      <c r="CM291" s="88">
        <v>0</v>
      </c>
      <c r="CN291" s="88">
        <v>0</v>
      </c>
      <c r="CO291" s="88">
        <v>0</v>
      </c>
      <c r="CP291" s="88">
        <v>0</v>
      </c>
      <c r="CQ291" s="229">
        <v>0</v>
      </c>
      <c r="CR291" s="91">
        <v>0</v>
      </c>
      <c r="CS291" s="91">
        <v>0</v>
      </c>
      <c r="CT291" s="91">
        <v>0</v>
      </c>
      <c r="CU291" s="91">
        <v>0</v>
      </c>
      <c r="CV291" s="91">
        <v>0</v>
      </c>
      <c r="CW291" s="91">
        <v>0</v>
      </c>
      <c r="CX291" s="225">
        <v>0</v>
      </c>
      <c r="CY291" s="1265">
        <v>7832.5696799999996</v>
      </c>
      <c r="CZ291" s="90">
        <v>0</v>
      </c>
      <c r="DA291" s="88">
        <v>0</v>
      </c>
      <c r="DB291" s="88">
        <v>0</v>
      </c>
      <c r="DC291" s="88">
        <v>0</v>
      </c>
      <c r="DD291" s="88">
        <v>0</v>
      </c>
      <c r="DE291" s="152">
        <v>0</v>
      </c>
      <c r="DF291" s="230">
        <v>0</v>
      </c>
      <c r="DG291" s="38">
        <v>0</v>
      </c>
      <c r="DH291" s="1237">
        <v>0</v>
      </c>
      <c r="DI291" s="956">
        <v>0</v>
      </c>
      <c r="DJ291" s="956">
        <v>0</v>
      </c>
      <c r="DK291" s="956">
        <v>0</v>
      </c>
      <c r="DL291" s="152">
        <v>0</v>
      </c>
      <c r="DM291" s="160">
        <v>0</v>
      </c>
      <c r="DN291" s="160">
        <v>0</v>
      </c>
      <c r="DO291" s="160">
        <v>0</v>
      </c>
      <c r="DP291" s="160">
        <v>0</v>
      </c>
      <c r="DQ291" s="160">
        <v>0</v>
      </c>
      <c r="DR291" s="230">
        <v>0</v>
      </c>
      <c r="DS291" s="88">
        <v>0</v>
      </c>
      <c r="DT291" s="88">
        <v>0</v>
      </c>
      <c r="DU291" s="88">
        <v>0</v>
      </c>
      <c r="DV291" s="88">
        <v>0</v>
      </c>
      <c r="DW291" s="88">
        <v>0</v>
      </c>
      <c r="DX291" s="88">
        <v>0</v>
      </c>
      <c r="DY291" s="88">
        <v>0</v>
      </c>
      <c r="DZ291" s="88">
        <v>0</v>
      </c>
      <c r="EA291" s="88">
        <v>0</v>
      </c>
      <c r="EB291" s="152">
        <v>0</v>
      </c>
      <c r="EC291" s="52">
        <f t="shared" si="271"/>
        <v>0</v>
      </c>
      <c r="ED291" s="52">
        <f t="shared" si="271"/>
        <v>0</v>
      </c>
      <c r="EE291" s="52">
        <f t="shared" si="271"/>
        <v>0</v>
      </c>
      <c r="EF291" s="52">
        <f t="shared" si="271"/>
        <v>0</v>
      </c>
      <c r="EG291" s="52">
        <f t="shared" si="272"/>
        <v>0</v>
      </c>
      <c r="EH291" s="238">
        <v>0</v>
      </c>
      <c r="EI291" s="211">
        <v>0</v>
      </c>
      <c r="EJ291" s="211">
        <v>0</v>
      </c>
      <c r="EK291" s="211">
        <v>0</v>
      </c>
      <c r="EL291" s="217">
        <f>IF(C291&gt;=Summary!$E$26,MAX(0,SUM(EH291:EK291)),0)</f>
        <v>0</v>
      </c>
      <c r="EM291" s="52">
        <f>IF(C291&gt;=Summary!$E$26,DX291*BL291,0)</f>
        <v>0</v>
      </c>
      <c r="EN291" s="52">
        <f>IF(C291&gt;=Summary!$E$26,DY291*BM291,0)</f>
        <v>0</v>
      </c>
      <c r="EO291" s="52">
        <f>IF(C291&gt;=Summary!$E$26,DZ291*BN291,0)</f>
        <v>0</v>
      </c>
      <c r="EP291" s="52">
        <f>IF(C291&gt;=Summary!$E$26,EA291*BO291,0)</f>
        <v>0</v>
      </c>
      <c r="EQ291" s="52">
        <f>IF(C291&gt;=Summary!$E$26,DX291*BL291+DY291*BM291+DZ291*BN291+EA291*BO291,0)</f>
        <v>0</v>
      </c>
      <c r="ER291" s="826">
        <v>0</v>
      </c>
      <c r="ES291" s="278">
        <v>0</v>
      </c>
      <c r="ET291" s="278">
        <v>0</v>
      </c>
      <c r="EU291" s="278">
        <v>0</v>
      </c>
      <c r="EV291" s="212">
        <f>IF(C291&gt;=Summary!$E$26,MAX(0,SUM(ER291:EU291)),0)</f>
        <v>0</v>
      </c>
      <c r="EW291" s="52"/>
      <c r="EX291" s="1049">
        <f t="shared" si="273"/>
        <v>0</v>
      </c>
      <c r="EY291" s="1045" t="str">
        <f t="shared" si="274"/>
        <v/>
      </c>
      <c r="EZ291" s="1684" t="s">
        <v>525</v>
      </c>
      <c r="FA291" s="1046">
        <f t="shared" si="287"/>
        <v>45</v>
      </c>
      <c r="FB291" s="256">
        <f t="shared" si="275"/>
        <v>9308.25</v>
      </c>
      <c r="FC291" s="194">
        <f t="shared" si="276"/>
        <v>2792.4749999999999</v>
      </c>
      <c r="FD291" s="194">
        <f t="shared" si="277"/>
        <v>1773</v>
      </c>
      <c r="FE291" s="194">
        <f t="shared" si="278"/>
        <v>531.9</v>
      </c>
      <c r="FF291" s="194">
        <f t="shared" si="279"/>
        <v>2216.25</v>
      </c>
      <c r="FG291" s="194">
        <f t="shared" si="280"/>
        <v>664.875</v>
      </c>
      <c r="FH291" s="257">
        <f>IF(EZ291="No",IF((OR(MONTH(C291)=5,MONTH(C291)=6,MONTH(C291)=7,MONTH(C291)=8,MONTH(C291)=9)),Summary!$O$15*12*(AX291+AY291+AZ291+BA291)*(1-$BC291),Summary!$O$15*13*(AX291+AY291+AZ291+BA291)*(1-$BC291)+IF(Summary!$O$16="Yes",(CALC!FA291+Summary!$O$15)*6*(AX291+AY291+AZ291+BA291)*(1-$BC291),0)),0)</f>
        <v>0</v>
      </c>
      <c r="FI291" s="1412">
        <f>IF(MONTH(C291)=5,FI290*(IF(Summary!$E$70="no",(1+(Summary!$E$71*0.8)),1+HLOOKUP(YEAR(C291)-1,CCFMODEL!$I$127:$AF$128,2)*0.8)),+FI290)</f>
        <v>45.9010556937194</v>
      </c>
      <c r="FJ291" s="1411">
        <f>IF(MONTH(C291)=5,FJ290*(IF(Summary!$E$70="no",(1+(Summary!$E$71*0.8)),1+HLOOKUP(YEAR(CALC!C291)-1,CCFMODEL!$I$127:$AF$128,2)*0.8)),FJ290)</f>
        <v>40.118245527581522</v>
      </c>
      <c r="FK291" s="832">
        <f t="shared" si="248"/>
        <v>793480.07451340382</v>
      </c>
      <c r="FL291" s="1412">
        <f>IF(MONTH(C291)=5,FL290*(IF(Summary!$E$70="no",(1+(Summary!$E$71*0.8)),1+HLOOKUP(YEAR(CALC!C291)-1,CCFMODEL!$I$127:$AF$128,2)*0.8)),+FL290)</f>
        <v>96.535066136509926</v>
      </c>
      <c r="FM291" s="1411">
        <f>IF(MONTH(C291)=5,FM290*(IF(Summary!$E$70="no",(1+(Summary!$E$71*0.8)),1+HLOOKUP(YEAR(CALC!C291)-1,CCFMODEL!$I$127:$AF$128,2)*0.8)),+FM290)</f>
        <v>46.073163139140163</v>
      </c>
      <c r="FN291" s="832">
        <f t="shared" si="249"/>
        <v>808584.01309190982</v>
      </c>
      <c r="FO291" s="194">
        <f t="shared" si="281"/>
        <v>1602064.0876053136</v>
      </c>
      <c r="FP291" s="263">
        <f t="shared" si="292"/>
        <v>9308.25</v>
      </c>
      <c r="FQ291" s="194">
        <f t="shared" si="292"/>
        <v>2792.4749999999999</v>
      </c>
      <c r="FR291" s="194">
        <f t="shared" si="292"/>
        <v>1773</v>
      </c>
      <c r="FS291" s="194">
        <f t="shared" si="291"/>
        <v>531.9</v>
      </c>
      <c r="FT291" s="194">
        <f t="shared" si="291"/>
        <v>2216.25</v>
      </c>
      <c r="FU291" s="194">
        <f t="shared" si="291"/>
        <v>664.875</v>
      </c>
      <c r="FV291" s="257">
        <f t="shared" si="291"/>
        <v>0</v>
      </c>
      <c r="FW291" s="189">
        <f t="shared" si="250"/>
        <v>0</v>
      </c>
      <c r="FX291" s="189">
        <f t="shared" si="251"/>
        <v>0</v>
      </c>
      <c r="FY291" s="189">
        <f t="shared" si="252"/>
        <v>0</v>
      </c>
      <c r="FZ291" s="258">
        <f t="shared" si="253"/>
        <v>0</v>
      </c>
      <c r="GA291" s="1294">
        <f>(SUM(FP291:FV291)+SUM(GU291:HB291)/(1-Summary!$O$25))*CY291/1000</f>
        <v>135399.67391573999</v>
      </c>
      <c r="GB291" s="1369">
        <f>IF($C291&lt;Summary!$M$81,+Summary!$O$81,VLOOKUP(C291,GasTable,19))</f>
        <v>4.6379999999999999</v>
      </c>
      <c r="GC291" s="1370">
        <f>IF(H291&lt;=Summary!$N$84,MIN(GA291,Summary!$O$75*(H291-G291+1)),0)</f>
        <v>0</v>
      </c>
      <c r="GD291" s="1371">
        <f>IF(C291&lt;Summary!$N$84,IF(Summary!$O$75*(H291-G291+1)*0.8&gt;GC291,1,0),0)</f>
        <v>0</v>
      </c>
      <c r="GE291" s="1372">
        <v>0</v>
      </c>
      <c r="GF291" s="1370">
        <f t="shared" si="282"/>
        <v>135399.67391573999</v>
      </c>
      <c r="GG291" s="1371">
        <f>GF291*(IF(Summary!$O$74=1,VLOOKUP($C291,GasTable,16)+Summary!$O$92+Summary!$O$93,VLOOKUP($C291,GasTable,19)+Summary!$O$92+Summary!$O$93))</f>
        <v>635038.01063221216</v>
      </c>
      <c r="GH291" s="1373">
        <v>6957</v>
      </c>
      <c r="GI291" s="1466">
        <v>0</v>
      </c>
      <c r="GJ291" s="1374">
        <f t="shared" si="283"/>
        <v>641995.01063221216</v>
      </c>
      <c r="GK291" s="189">
        <f t="shared" si="254"/>
        <v>17286.75</v>
      </c>
      <c r="GL291" s="266">
        <v>0.52478216856000004</v>
      </c>
      <c r="GM291" s="255">
        <f t="shared" si="255"/>
        <v>0</v>
      </c>
      <c r="GN291" s="189">
        <f>IF(SUM(GU291:HB291)=0,0,IF(Summary!$O$16="Yes",SUM(GX291:HB291),IF(Summary!$O$17="Yes",SUM(GY291:HB291),SUM(GU291:HB291))))</f>
        <v>0</v>
      </c>
      <c r="GO291" s="203">
        <v>4.5594170129311724</v>
      </c>
      <c r="GP291" s="258">
        <f t="shared" si="284"/>
        <v>0</v>
      </c>
      <c r="GQ291" s="189"/>
      <c r="GR291" s="189"/>
      <c r="GS291" s="189"/>
      <c r="GT291" s="189"/>
      <c r="GU291" s="268">
        <v>0</v>
      </c>
      <c r="GV291" s="189">
        <v>0</v>
      </c>
      <c r="GW291" s="189">
        <v>0</v>
      </c>
      <c r="GX291" s="189"/>
      <c r="GY291" s="254">
        <v>0</v>
      </c>
      <c r="GZ291" s="189">
        <v>0</v>
      </c>
      <c r="HA291" s="189">
        <v>0</v>
      </c>
      <c r="HB291" s="255"/>
      <c r="HC291" s="189">
        <v>0</v>
      </c>
      <c r="HD291" s="189"/>
      <c r="HE291" s="189">
        <v>0</v>
      </c>
      <c r="HF291" s="189">
        <v>0</v>
      </c>
      <c r="HG291" s="189"/>
      <c r="HH291" s="203">
        <v>0</v>
      </c>
      <c r="HI291" s="189">
        <v>0</v>
      </c>
      <c r="HJ291" s="268">
        <f t="shared" si="256"/>
        <v>0</v>
      </c>
      <c r="HK291" s="189">
        <f t="shared" si="257"/>
        <v>0</v>
      </c>
      <c r="HL291" s="189">
        <f t="shared" si="258"/>
        <v>0</v>
      </c>
      <c r="HM291" s="255">
        <f t="shared" si="259"/>
        <v>0</v>
      </c>
      <c r="HN291" s="189">
        <f t="shared" si="260"/>
        <v>0</v>
      </c>
      <c r="HO291" s="203">
        <f t="shared" si="285"/>
        <v>0</v>
      </c>
      <c r="HP291" s="258">
        <f t="shared" si="261"/>
        <v>0</v>
      </c>
      <c r="HQ291" s="203"/>
      <c r="HR291" s="203"/>
      <c r="HS291" s="203"/>
      <c r="HT291" s="203"/>
      <c r="HU291" s="203"/>
      <c r="HV291" s="203"/>
      <c r="HW291" s="203"/>
      <c r="HX291" s="203"/>
      <c r="HY291" s="203"/>
      <c r="HZ291" s="203"/>
      <c r="IA291" s="203"/>
      <c r="IB291" s="203"/>
      <c r="IC291" s="203"/>
      <c r="ID291" s="203"/>
      <c r="IE291" s="203"/>
      <c r="IF291" s="203"/>
      <c r="IG291" s="203"/>
      <c r="IH291" s="203"/>
      <c r="II291" s="203"/>
      <c r="IJ291" s="203"/>
      <c r="IK291" s="203"/>
      <c r="IL291" s="821"/>
      <c r="IM291" s="820"/>
      <c r="IN291" s="820"/>
      <c r="IR291" s="223"/>
    </row>
    <row r="292" spans="1:253" ht="13.8" thickBot="1">
      <c r="A292" t="str">
        <f t="shared" si="262"/>
        <v>2022Q4</v>
      </c>
      <c r="B292">
        <f t="shared" si="263"/>
        <v>2022</v>
      </c>
      <c r="C292" s="50">
        <f t="shared" si="264"/>
        <v>44896</v>
      </c>
      <c r="D292" s="14">
        <f t="shared" si="265"/>
        <v>2022</v>
      </c>
      <c r="E292" s="33">
        <f t="shared" si="288"/>
        <v>12</v>
      </c>
      <c r="F292" s="249">
        <f t="shared" si="289"/>
        <v>44921</v>
      </c>
      <c r="G292" s="246">
        <v>44896</v>
      </c>
      <c r="H292" s="252">
        <v>44926</v>
      </c>
      <c r="I292" s="960">
        <f t="shared" si="286"/>
        <v>7.1499999999999994E-2</v>
      </c>
      <c r="J292" s="961">
        <f t="shared" si="266"/>
        <v>0.19735341786981572</v>
      </c>
      <c r="K292" s="1037"/>
      <c r="L292" s="961"/>
      <c r="M292" s="1004">
        <v>0</v>
      </c>
      <c r="N292" s="38">
        <f t="shared" si="295"/>
        <v>0</v>
      </c>
      <c r="O292" s="40">
        <f t="shared" si="295"/>
        <v>0</v>
      </c>
      <c r="P292" s="159">
        <f t="shared" si="294"/>
        <v>0</v>
      </c>
      <c r="Q292" s="38">
        <f t="shared" ref="Q292:X292" si="298">P292</f>
        <v>0</v>
      </c>
      <c r="R292" s="40">
        <f t="shared" si="298"/>
        <v>0</v>
      </c>
      <c r="S292" s="38">
        <f t="shared" si="298"/>
        <v>0</v>
      </c>
      <c r="T292" s="38">
        <f t="shared" si="298"/>
        <v>0</v>
      </c>
      <c r="U292" s="38">
        <f t="shared" si="298"/>
        <v>0</v>
      </c>
      <c r="V292" s="159">
        <f t="shared" si="298"/>
        <v>0</v>
      </c>
      <c r="W292" s="38">
        <f t="shared" si="298"/>
        <v>0</v>
      </c>
      <c r="X292" s="39">
        <f t="shared" si="298"/>
        <v>0</v>
      </c>
      <c r="Y292" s="46">
        <v>0</v>
      </c>
      <c r="Z292" s="46">
        <v>0</v>
      </c>
      <c r="AA292" s="47">
        <v>0</v>
      </c>
      <c r="AB292" s="46">
        <v>0</v>
      </c>
      <c r="AC292" s="46">
        <v>0</v>
      </c>
      <c r="AD292" s="47">
        <v>0</v>
      </c>
      <c r="AE292" s="46">
        <v>0</v>
      </c>
      <c r="AF292" s="46">
        <v>0</v>
      </c>
      <c r="AG292" s="47">
        <v>0</v>
      </c>
      <c r="AH292" s="46">
        <v>0</v>
      </c>
      <c r="AI292" s="46">
        <v>0</v>
      </c>
      <c r="AJ292" s="47">
        <v>0</v>
      </c>
      <c r="AK292" s="46">
        <v>0</v>
      </c>
      <c r="AL292" s="46">
        <v>0</v>
      </c>
      <c r="AM292" s="47">
        <v>0</v>
      </c>
      <c r="AN292" s="46">
        <v>0</v>
      </c>
      <c r="AO292" s="46">
        <v>0</v>
      </c>
      <c r="AP292" s="47">
        <v>0</v>
      </c>
      <c r="AQ292" s="46">
        <v>0</v>
      </c>
      <c r="AR292" s="46">
        <v>0</v>
      </c>
      <c r="AS292" s="47">
        <v>0</v>
      </c>
      <c r="AT292" s="46">
        <v>0</v>
      </c>
      <c r="AU292" s="46">
        <v>0</v>
      </c>
      <c r="AV292" s="46">
        <v>0</v>
      </c>
      <c r="AW292" s="1546">
        <v>0</v>
      </c>
      <c r="AX292" s="33">
        <f t="shared" si="290"/>
        <v>21</v>
      </c>
      <c r="AY292" s="43">
        <f>IF(AND($E292=MONTH(Summary!$E$24),$D292=YEAR(Summary!$E$24)),Summary!$E$25,1)*IF(G292="",0,INT((H292-MOD(H292,7)-G292)/7)+1-IF(BA292,IF(WEEKDAY(F292)=7,1,0),0))</f>
        <v>5</v>
      </c>
      <c r="AZ292" s="43">
        <f>IF(AND($E292=MONTH(Summary!$E$24),$D292=YEAR(Summary!$E$24)),Summary!$E$25,1)*IF(G292="",0,INT((H292-MOD(H292-1,7)-G292)/7)+1-IF(BA292,IF(WEEKDAY(F292)=1,1,0),0))</f>
        <v>4</v>
      </c>
      <c r="BA292" s="43">
        <v>1</v>
      </c>
      <c r="BB292" s="33">
        <f>IF(AND($E292=MONTH(Summary!$E$24),$D292=YEAR(Summary!$E$24)),Summary!$E$25,1)*IF(G292="",0,H292-G292+1)</f>
        <v>31</v>
      </c>
      <c r="BC292" s="914">
        <f>Summary!$E$19</f>
        <v>1.4999999999999999E-2</v>
      </c>
      <c r="BD292" s="206">
        <v>14893.2</v>
      </c>
      <c r="BE292" s="172">
        <v>3546</v>
      </c>
      <c r="BF292" s="172">
        <v>3546</v>
      </c>
      <c r="BG292" s="175"/>
      <c r="BH292" s="1198">
        <v>1</v>
      </c>
      <c r="BI292" s="1198">
        <v>1</v>
      </c>
      <c r="BJ292" s="1198">
        <v>1</v>
      </c>
      <c r="BK292" s="1198">
        <v>1</v>
      </c>
      <c r="BL292" s="96">
        <v>2978.64</v>
      </c>
      <c r="BM292" s="172">
        <v>709.2</v>
      </c>
      <c r="BN292" s="172">
        <v>709.2</v>
      </c>
      <c r="BO292" s="175"/>
      <c r="BP292" s="1198">
        <v>1</v>
      </c>
      <c r="BQ292" s="1199">
        <v>1</v>
      </c>
      <c r="BR292" s="1199">
        <v>1</v>
      </c>
      <c r="BS292" s="1200">
        <v>1</v>
      </c>
      <c r="BT292" s="234">
        <f t="shared" si="267"/>
        <v>21985.200000000001</v>
      </c>
      <c r="BU292" s="235">
        <f t="shared" si="268"/>
        <v>21985.200000000001</v>
      </c>
      <c r="BV292" s="98">
        <f t="shared" si="269"/>
        <v>4397.04</v>
      </c>
      <c r="BW292" s="235">
        <f t="shared" si="270"/>
        <v>4397.04</v>
      </c>
      <c r="BX292" s="99">
        <v>22.962354551676935</v>
      </c>
      <c r="BY292" s="90">
        <v>0</v>
      </c>
      <c r="BZ292" s="88">
        <v>0</v>
      </c>
      <c r="CA292" s="88">
        <v>0</v>
      </c>
      <c r="CB292" s="88">
        <v>0</v>
      </c>
      <c r="CC292" s="88">
        <v>0</v>
      </c>
      <c r="CD292" s="88">
        <v>0</v>
      </c>
      <c r="CE292" s="100">
        <v>0</v>
      </c>
      <c r="CF292" s="88">
        <v>0</v>
      </c>
      <c r="CG292" s="88">
        <v>0</v>
      </c>
      <c r="CH292" s="88">
        <v>0</v>
      </c>
      <c r="CI292" s="88">
        <v>0</v>
      </c>
      <c r="CJ292" s="228">
        <v>0</v>
      </c>
      <c r="CK292" s="88">
        <v>0</v>
      </c>
      <c r="CL292" s="88">
        <v>0</v>
      </c>
      <c r="CM292" s="88">
        <v>0</v>
      </c>
      <c r="CN292" s="88">
        <v>0</v>
      </c>
      <c r="CO292" s="88">
        <v>0</v>
      </c>
      <c r="CP292" s="88">
        <v>0</v>
      </c>
      <c r="CQ292" s="229">
        <v>0</v>
      </c>
      <c r="CR292" s="91">
        <v>0</v>
      </c>
      <c r="CS292" s="91">
        <v>0</v>
      </c>
      <c r="CT292" s="91">
        <v>0</v>
      </c>
      <c r="CU292" s="91">
        <v>0</v>
      </c>
      <c r="CV292" s="91">
        <v>0</v>
      </c>
      <c r="CW292" s="91">
        <v>0</v>
      </c>
      <c r="CX292" s="225">
        <v>0</v>
      </c>
      <c r="CY292" s="1361">
        <v>7834.6006399999997</v>
      </c>
      <c r="CZ292" s="90">
        <v>0</v>
      </c>
      <c r="DA292" s="88">
        <v>0</v>
      </c>
      <c r="DB292" s="88">
        <v>0</v>
      </c>
      <c r="DC292" s="88">
        <v>0</v>
      </c>
      <c r="DD292" s="88">
        <v>0</v>
      </c>
      <c r="DE292" s="152">
        <v>0</v>
      </c>
      <c r="DF292" s="230">
        <v>0</v>
      </c>
      <c r="DG292" s="38">
        <v>0</v>
      </c>
      <c r="DH292" s="1237">
        <v>0</v>
      </c>
      <c r="DI292" s="956">
        <v>0</v>
      </c>
      <c r="DJ292" s="956">
        <v>0</v>
      </c>
      <c r="DK292" s="956">
        <v>0</v>
      </c>
      <c r="DL292" s="152">
        <v>0</v>
      </c>
      <c r="DM292" s="160">
        <v>0</v>
      </c>
      <c r="DN292" s="160">
        <v>0</v>
      </c>
      <c r="DO292" s="160">
        <v>0</v>
      </c>
      <c r="DP292" s="160">
        <v>0</v>
      </c>
      <c r="DQ292" s="160">
        <v>0</v>
      </c>
      <c r="DR292" s="230">
        <v>0</v>
      </c>
      <c r="DS292" s="88">
        <v>0</v>
      </c>
      <c r="DT292" s="88">
        <v>0</v>
      </c>
      <c r="DU292" s="88">
        <v>0</v>
      </c>
      <c r="DV292" s="88">
        <v>0</v>
      </c>
      <c r="DW292" s="88">
        <v>0</v>
      </c>
      <c r="DX292" s="88">
        <v>0</v>
      </c>
      <c r="DY292" s="88">
        <v>0</v>
      </c>
      <c r="DZ292" s="88">
        <v>0</v>
      </c>
      <c r="EA292" s="88">
        <v>0</v>
      </c>
      <c r="EB292" s="152">
        <v>0</v>
      </c>
      <c r="EC292" s="227">
        <f t="shared" si="271"/>
        <v>0</v>
      </c>
      <c r="ED292" s="227">
        <f t="shared" si="271"/>
        <v>0</v>
      </c>
      <c r="EE292" s="227">
        <f t="shared" si="271"/>
        <v>0</v>
      </c>
      <c r="EF292" s="227">
        <f t="shared" si="271"/>
        <v>0</v>
      </c>
      <c r="EG292" s="227">
        <f t="shared" si="272"/>
        <v>0</v>
      </c>
      <c r="EH292" s="238">
        <v>0</v>
      </c>
      <c r="EI292" s="211">
        <v>0</v>
      </c>
      <c r="EJ292" s="211">
        <v>0</v>
      </c>
      <c r="EK292" s="211">
        <v>0</v>
      </c>
      <c r="EL292" s="226">
        <f>IF(C292&gt;=Summary!$E$26,MAX(0,SUM(EH292:EK292)),0)</f>
        <v>0</v>
      </c>
      <c r="EM292" s="227">
        <f>IF(C292&gt;=Summary!$E$26,DX292*BL292,0)</f>
        <v>0</v>
      </c>
      <c r="EN292" s="227">
        <f>IF(C292&gt;=Summary!$E$26,DY292*BM292,0)</f>
        <v>0</v>
      </c>
      <c r="EO292" s="227">
        <f>IF(C292&gt;=Summary!$E$26,DZ292*BN292,0)</f>
        <v>0</v>
      </c>
      <c r="EP292" s="227">
        <f>IF(C292&gt;=Summary!$E$26,EA292*BO292,0)</f>
        <v>0</v>
      </c>
      <c r="EQ292" s="227">
        <f>IF(C292&gt;=Summary!$E$26,DX292*BL292+DY292*BM292+DZ292*BN292+EA292*BO292,0)</f>
        <v>0</v>
      </c>
      <c r="ER292" s="826">
        <v>0</v>
      </c>
      <c r="ES292" s="278">
        <v>0</v>
      </c>
      <c r="ET292" s="278">
        <v>0</v>
      </c>
      <c r="EU292" s="278">
        <v>0</v>
      </c>
      <c r="EV292" s="1301">
        <f>IF(C292&gt;=Summary!$E$26,MAX(0,SUM(ER292:EU292)),0)</f>
        <v>0</v>
      </c>
      <c r="EW292" s="227"/>
      <c r="EX292" s="1050">
        <f t="shared" si="273"/>
        <v>0</v>
      </c>
      <c r="EY292" s="1051" t="str">
        <f t="shared" si="274"/>
        <v/>
      </c>
      <c r="EZ292" s="1684" t="s">
        <v>525</v>
      </c>
      <c r="FA292" s="1046">
        <f t="shared" si="287"/>
        <v>45</v>
      </c>
      <c r="FB292" s="1052">
        <f t="shared" si="275"/>
        <v>9308.25</v>
      </c>
      <c r="FC292" s="936">
        <f t="shared" si="276"/>
        <v>2792.4749999999999</v>
      </c>
      <c r="FD292" s="936">
        <f t="shared" si="277"/>
        <v>2216.25</v>
      </c>
      <c r="FE292" s="936">
        <f t="shared" si="278"/>
        <v>664.875</v>
      </c>
      <c r="FF292" s="936">
        <f t="shared" si="279"/>
        <v>2216.25</v>
      </c>
      <c r="FG292" s="936">
        <f t="shared" si="280"/>
        <v>664.875</v>
      </c>
      <c r="FH292" s="937">
        <f>IF(EZ292="No",IF((OR(MONTH(C292)=5,MONTH(C292)=6,MONTH(C292)=7,MONTH(C292)=8,MONTH(C292)=9)),Summary!$O$15*12*(AX292+AY292+AZ292+BA292)*(1-$BC292),Summary!$O$15*13*(AX292+AY292+AZ292+BA292)*(1-$BC292)+IF(Summary!$O$16="Yes",(CALC!FA292+Summary!$O$15)*6*(AX292+AY292+AZ292+BA292)*(1-$BC292),0)),0)</f>
        <v>0</v>
      </c>
      <c r="FI292" s="1413">
        <f>IF(MONTH(C292)=5,FI291*(IF(Summary!$E$70="no",(1+(Summary!$E$71*0.8)),1+HLOOKUP(YEAR(C292)-1,CCFMODEL!$I$127:$AF$128,2)*0.8)),+FI291)</f>
        <v>45.9010556937194</v>
      </c>
      <c r="FJ292" s="1414">
        <f>IF(MONTH(C292)=5,FJ291*(IF(Summary!$E$70="no",(1+(Summary!$E$71*0.8)),1+HLOOKUP(YEAR(CALC!C292)-1,CCFMODEL!$I$127:$AF$128,2)*0.8)),FJ291)</f>
        <v>40.118245527581522</v>
      </c>
      <c r="FK292" s="1053">
        <f t="shared" si="248"/>
        <v>819929.41033051722</v>
      </c>
      <c r="FL292" s="1413">
        <f>IF(MONTH(C292)=5,FL291*(IF(Summary!$E$70="no",(1+(Summary!$E$71*0.8)),1+HLOOKUP(YEAR(CALC!C292)-1,CCFMODEL!$I$127:$AF$128,2)*0.8)),+FL291)</f>
        <v>96.535066136509926</v>
      </c>
      <c r="FM292" s="1414">
        <f>IF(MONTH(C292)=5,FM291*(IF(Summary!$E$70="no",(1+(Summary!$E$71*0.8)),1+HLOOKUP(YEAR(CALC!C292)-1,CCFMODEL!$I$127:$AF$128,2)*0.8)),+FM291)</f>
        <v>46.073163139140163</v>
      </c>
      <c r="FN292" s="1053">
        <f t="shared" si="249"/>
        <v>835536.8135283069</v>
      </c>
      <c r="FO292" s="936">
        <f t="shared" si="281"/>
        <v>1655466.223858824</v>
      </c>
      <c r="FP292" s="935">
        <f t="shared" si="292"/>
        <v>9308.25</v>
      </c>
      <c r="FQ292" s="936">
        <f t="shared" si="292"/>
        <v>2792.4749999999999</v>
      </c>
      <c r="FR292" s="936">
        <f t="shared" si="292"/>
        <v>2216.25</v>
      </c>
      <c r="FS292" s="936">
        <f t="shared" si="291"/>
        <v>664.875</v>
      </c>
      <c r="FT292" s="936">
        <f t="shared" si="291"/>
        <v>2216.25</v>
      </c>
      <c r="FU292" s="936">
        <f t="shared" si="291"/>
        <v>664.875</v>
      </c>
      <c r="FV292" s="937">
        <f t="shared" si="291"/>
        <v>0</v>
      </c>
      <c r="FW292" s="201">
        <f t="shared" si="250"/>
        <v>0</v>
      </c>
      <c r="FX292" s="201">
        <f t="shared" si="251"/>
        <v>0</v>
      </c>
      <c r="FY292" s="201">
        <f t="shared" si="252"/>
        <v>0</v>
      </c>
      <c r="FZ292" s="261">
        <f t="shared" si="253"/>
        <v>0</v>
      </c>
      <c r="GA292" s="1295">
        <f>(SUM(FP292:FV292)+SUM(GU292:HB292)/(1-Summary!$O$25))*CY292/1000</f>
        <v>139949.27536730398</v>
      </c>
      <c r="GB292" s="1375">
        <f>IF($C292&lt;Summary!$M$81,+Summary!$O$81,VLOOKUP(C292,GasTable,19))</f>
        <v>4.6900000000000004</v>
      </c>
      <c r="GC292" s="1370">
        <f>IF(H292&lt;=Summary!$N$84,MIN(GA292,Summary!$O$75*(H292-G292+1)),0)</f>
        <v>0</v>
      </c>
      <c r="GD292" s="1371">
        <f>IF(C292&lt;Summary!$N$84,IF(Summary!$O$75*(H292-G292+1)*0.8&gt;GC292,1,0),0)</f>
        <v>0</v>
      </c>
      <c r="GE292" s="1372">
        <v>0</v>
      </c>
      <c r="GF292" s="1376">
        <f t="shared" si="282"/>
        <v>139949.27536730398</v>
      </c>
      <c r="GG292" s="1371">
        <f>GF292*(IF(Summary!$O$74=1,VLOOKUP($C292,GasTable,16)+Summary!$O$92+Summary!$O$93,VLOOKUP($C292,GasTable,19)+Summary!$O$92+Summary!$O$93))</f>
        <v>663653.45871929231</v>
      </c>
      <c r="GH292" s="1373">
        <v>7269.5</v>
      </c>
      <c r="GI292" s="1466">
        <v>0</v>
      </c>
      <c r="GJ292" s="1374">
        <f t="shared" si="283"/>
        <v>670922.95871929231</v>
      </c>
      <c r="GK292" s="201">
        <f t="shared" si="254"/>
        <v>17862.974999999999</v>
      </c>
      <c r="GL292" s="266">
        <v>0.52491824288</v>
      </c>
      <c r="GM292" s="260">
        <f t="shared" si="255"/>
        <v>0</v>
      </c>
      <c r="GN292" s="201">
        <f>IF(SUM(GU292:HB292)=0,0,IF(Summary!$O$16="Yes",SUM(GX292:HB292),IF(Summary!$O$17="Yes",SUM(GY292:HB292),SUM(GU292:HB292))))</f>
        <v>0</v>
      </c>
      <c r="GO292" s="203">
        <v>4.5594170129311724</v>
      </c>
      <c r="GP292" s="261">
        <f t="shared" si="284"/>
        <v>0</v>
      </c>
      <c r="GQ292" s="201"/>
      <c r="GR292" s="201"/>
      <c r="GS292" s="201"/>
      <c r="GT292" s="201"/>
      <c r="GU292" s="269">
        <v>0</v>
      </c>
      <c r="GV292" s="201">
        <v>0</v>
      </c>
      <c r="GW292" s="201">
        <v>0</v>
      </c>
      <c r="GX292" s="201"/>
      <c r="GY292" s="259">
        <v>0</v>
      </c>
      <c r="GZ292" s="201">
        <v>0</v>
      </c>
      <c r="HA292" s="201">
        <v>0</v>
      </c>
      <c r="HB292" s="260"/>
      <c r="HC292" s="201">
        <v>0</v>
      </c>
      <c r="HD292" s="201"/>
      <c r="HE292" s="201">
        <v>0</v>
      </c>
      <c r="HF292" s="201">
        <v>0</v>
      </c>
      <c r="HG292" s="201"/>
      <c r="HH292" s="204">
        <v>0</v>
      </c>
      <c r="HI292" s="201">
        <v>0</v>
      </c>
      <c r="HJ292" s="269">
        <f t="shared" si="256"/>
        <v>0</v>
      </c>
      <c r="HK292" s="201">
        <f t="shared" si="257"/>
        <v>0</v>
      </c>
      <c r="HL292" s="201">
        <f t="shared" si="258"/>
        <v>0</v>
      </c>
      <c r="HM292" s="260">
        <f t="shared" si="259"/>
        <v>0</v>
      </c>
      <c r="HN292" s="201">
        <f t="shared" si="260"/>
        <v>0</v>
      </c>
      <c r="HO292" s="204">
        <f t="shared" si="285"/>
        <v>0</v>
      </c>
      <c r="HP292" s="261">
        <f t="shared" si="261"/>
        <v>0</v>
      </c>
      <c r="HQ292" s="203"/>
      <c r="HR292" s="203"/>
      <c r="HS292" s="203"/>
      <c r="HT292" s="203"/>
      <c r="HU292" s="203"/>
      <c r="HV292" s="203"/>
      <c r="HW292" s="203"/>
      <c r="HX292" s="203"/>
      <c r="HY292" s="203"/>
      <c r="HZ292" s="203"/>
      <c r="IA292" s="203"/>
      <c r="IB292" s="203"/>
      <c r="IC292" s="203"/>
      <c r="ID292" s="203"/>
      <c r="IE292" s="203"/>
      <c r="IF292" s="203"/>
      <c r="IG292" s="203"/>
      <c r="IH292" s="203"/>
      <c r="II292" s="203"/>
      <c r="IJ292" s="203"/>
      <c r="IK292" s="203"/>
      <c r="IL292" s="821"/>
      <c r="IM292" s="820"/>
      <c r="IN292" s="820"/>
      <c r="IR292" s="223"/>
    </row>
    <row r="293" spans="1:253" ht="13.8" thickBot="1">
      <c r="C293" s="50">
        <f t="shared" si="264"/>
        <v>44927</v>
      </c>
      <c r="D293" s="14">
        <f>+YEAR(C293)</f>
        <v>2023</v>
      </c>
      <c r="E293" s="1356">
        <f>MONTH(C293)</f>
        <v>1</v>
      </c>
      <c r="F293" s="18"/>
      <c r="G293" s="22"/>
      <c r="H293" s="18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AY293" s="19"/>
      <c r="AZ293" s="19"/>
      <c r="BA293" s="19"/>
      <c r="CK293" s="224"/>
      <c r="CY293" s="1265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GI293" s="820" t="s">
        <v>787</v>
      </c>
      <c r="IL293" s="821"/>
      <c r="IM293" s="820"/>
      <c r="IN293" s="820"/>
    </row>
    <row r="294" spans="1:253">
      <c r="E294" s="15"/>
      <c r="F294" s="18"/>
      <c r="G294" s="22"/>
      <c r="H294" s="18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AY294" s="19"/>
      <c r="AZ294" s="19"/>
      <c r="BA294" s="19"/>
      <c r="CK294" s="224"/>
      <c r="CL294" s="224"/>
      <c r="CM294" s="224"/>
      <c r="CN294" s="224"/>
      <c r="CO294" s="224"/>
      <c r="DR294" s="210" t="s">
        <v>890</v>
      </c>
      <c r="DS294" s="88">
        <f>IF($C294&gt;=Summary!$E$26,MAX(0,BY294-(CZ294+DH294)),0)</f>
        <v>0</v>
      </c>
      <c r="DT294" s="88">
        <f>IF($C294&gt;=Summary!$E$26,MAX(0,BZ294-(DA294+DI294)),0)</f>
        <v>0</v>
      </c>
      <c r="DU294" s="88">
        <f>IF($C294&gt;=Summary!$E$26,MAX(0,CA294-(DB294+DJ294)),0)</f>
        <v>0</v>
      </c>
      <c r="DV294" s="88">
        <f>IF($C294&gt;=Summary!$E$26,MAX(0,CB294-(DC294+DK294)),0)</f>
        <v>0</v>
      </c>
      <c r="DW294" s="88">
        <f>IF($C294&gt;=Summary!$E$26,(DS294*BD294+DT294*BE294+DU294*BF294+DV294*BG294)/SUM(BD294:BG294),0)</f>
        <v>0</v>
      </c>
      <c r="DX294">
        <f>IF($C294&gt;=Summary!$E$26,MAX(0,CE294-(CZ294+DH294)),0)</f>
        <v>0</v>
      </c>
      <c r="DY294">
        <f>IF($C294&gt;=Summary!$E$26,MAX(0,CF294-(DA294+DI294)),0)</f>
        <v>0</v>
      </c>
      <c r="DZ294">
        <f>IF($C294&gt;=Summary!$E$26,MAX(0,CG294-(DB294+DJ294)),0)</f>
        <v>0</v>
      </c>
      <c r="EA294">
        <f>IF($C294&gt;=Summary!$E$26,MAX(0,CH294-(DC294+DK294)),0)</f>
        <v>0</v>
      </c>
      <c r="EB294">
        <f>IF(C294&gt;=Summary!$E$26,(DX294*BL294+DY294*BM294+DZ294*BN294+EA294*BO294)/SUM(BL294:BO294),0)</f>
        <v>0</v>
      </c>
      <c r="IS294" s="820"/>
    </row>
    <row r="295" spans="1:253">
      <c r="E295" s="15"/>
      <c r="F295" s="18"/>
      <c r="G295" s="22"/>
      <c r="H295" s="18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AY295" s="19"/>
      <c r="AZ295" s="19"/>
      <c r="BA295" s="19"/>
      <c r="CK295" s="224"/>
      <c r="CL295" s="224"/>
      <c r="CM295" s="224"/>
      <c r="CN295" s="224"/>
      <c r="CO295" s="224"/>
      <c r="DR295" s="210" t="s">
        <v>891</v>
      </c>
      <c r="DS295" s="88">
        <v>0</v>
      </c>
      <c r="DT295" s="88">
        <v>0</v>
      </c>
      <c r="DU295" s="88">
        <v>0</v>
      </c>
      <c r="DV295" s="88">
        <v>0</v>
      </c>
      <c r="DW295" s="88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FI295" s="136"/>
    </row>
    <row r="296" spans="1:253">
      <c r="E296" s="15"/>
      <c r="F296" s="18"/>
      <c r="G296" s="22"/>
      <c r="H296" s="18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AY296" s="19"/>
      <c r="AZ296" s="19"/>
      <c r="BA296" s="19"/>
    </row>
    <row r="297" spans="1:253">
      <c r="E297" s="15"/>
      <c r="F297" s="18"/>
      <c r="G297" s="22"/>
      <c r="H297" s="18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AY297" s="19"/>
      <c r="AZ297" s="19"/>
      <c r="BA297" s="19"/>
    </row>
    <row r="298" spans="1:253">
      <c r="E298" s="15"/>
      <c r="F298" s="18"/>
      <c r="G298" s="22"/>
      <c r="H298" s="18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AY298" s="19"/>
      <c r="AZ298" s="19"/>
      <c r="BA298" s="19"/>
    </row>
    <row r="299" spans="1:253">
      <c r="E299" s="15"/>
      <c r="F299" s="18"/>
      <c r="G299" s="22"/>
      <c r="H299" s="18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AY299" s="19"/>
      <c r="AZ299" s="19"/>
      <c r="BA299" s="19"/>
    </row>
    <row r="300" spans="1:253">
      <c r="E300" s="15"/>
      <c r="F300" s="18"/>
      <c r="G300" s="22"/>
      <c r="H300" s="18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AY300" s="19"/>
      <c r="AZ300" s="19"/>
      <c r="BA300" s="19"/>
    </row>
    <row r="301" spans="1:253">
      <c r="E301" s="15"/>
      <c r="F301" s="18"/>
      <c r="G301" s="22"/>
      <c r="H301" s="18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AY301" s="19"/>
      <c r="AZ301" s="19"/>
      <c r="BA301" s="19"/>
    </row>
    <row r="302" spans="1:253">
      <c r="E302" s="15"/>
      <c r="F302" s="18"/>
      <c r="G302" s="22"/>
      <c r="H302" s="18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AY302" s="19"/>
      <c r="AZ302" s="19"/>
      <c r="BA302" s="19"/>
    </row>
    <row r="303" spans="1:253">
      <c r="E303" s="15"/>
      <c r="F303" s="18"/>
      <c r="G303" s="22"/>
      <c r="H303" s="18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AY303" s="19"/>
      <c r="AZ303" s="19"/>
      <c r="BA303" s="19"/>
    </row>
    <row r="304" spans="1:253">
      <c r="E304" s="15"/>
      <c r="F304" s="18"/>
      <c r="G304" s="22"/>
      <c r="H304" s="18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AY304" s="19"/>
      <c r="AZ304" s="19"/>
      <c r="BA304" s="19"/>
    </row>
    <row r="305" spans="5:248">
      <c r="E305" s="15"/>
      <c r="F305" s="18"/>
      <c r="G305" s="22"/>
      <c r="H305" s="18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AY305" s="19"/>
      <c r="AZ305" s="19"/>
      <c r="BA305" s="19"/>
      <c r="IN305" s="202"/>
    </row>
    <row r="306" spans="5:248">
      <c r="E306" s="15"/>
      <c r="F306" s="18"/>
      <c r="G306" s="22"/>
      <c r="H306" s="18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AY306" s="19"/>
      <c r="AZ306" s="19"/>
      <c r="BA306" s="19"/>
      <c r="IN306" s="202"/>
    </row>
    <row r="307" spans="5:248">
      <c r="E307" s="15"/>
      <c r="F307" s="18"/>
      <c r="G307" s="22"/>
      <c r="H307" s="18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AY307" s="19"/>
      <c r="AZ307" s="19"/>
      <c r="BA307" s="19"/>
      <c r="IN307" s="202"/>
    </row>
    <row r="308" spans="5:248">
      <c r="E308" s="15"/>
      <c r="F308" s="18"/>
      <c r="G308" s="22"/>
      <c r="H308" s="18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AY308" s="19"/>
      <c r="AZ308" s="19"/>
      <c r="BA308" s="19"/>
      <c r="IN308" s="202"/>
    </row>
    <row r="309" spans="5:248">
      <c r="E309" s="15"/>
      <c r="F309" s="18"/>
      <c r="G309" s="22"/>
      <c r="H309" s="18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AY309" s="19"/>
      <c r="AZ309" s="19"/>
      <c r="BA309" s="19"/>
      <c r="IN309" s="202"/>
    </row>
    <row r="310" spans="5:248">
      <c r="E310" s="15"/>
      <c r="F310" s="18"/>
      <c r="G310" s="22"/>
      <c r="H310" s="18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AY310" s="19"/>
      <c r="AZ310" s="19"/>
      <c r="BA310" s="19"/>
      <c r="IN310" s="202"/>
    </row>
    <row r="311" spans="5:248">
      <c r="E311" s="15"/>
      <c r="F311" s="18"/>
      <c r="G311" s="22"/>
      <c r="H311" s="18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AY311" s="19"/>
      <c r="AZ311" s="19"/>
      <c r="BA311" s="19"/>
      <c r="IN311" s="202"/>
    </row>
    <row r="312" spans="5:248">
      <c r="E312" s="15"/>
      <c r="F312" s="18"/>
      <c r="G312" s="22"/>
      <c r="H312" s="18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AY312" s="19"/>
      <c r="AZ312" s="19"/>
      <c r="BA312" s="19"/>
      <c r="IN312" s="202"/>
    </row>
    <row r="313" spans="5:248">
      <c r="E313" s="15"/>
      <c r="F313" s="18"/>
      <c r="G313" s="22"/>
      <c r="H313" s="18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AY313" s="19"/>
      <c r="AZ313" s="19"/>
      <c r="BA313" s="19"/>
      <c r="IN313" s="202"/>
    </row>
    <row r="314" spans="5:248">
      <c r="E314" s="15"/>
      <c r="F314" s="18"/>
      <c r="G314" s="22"/>
      <c r="H314" s="18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AY314" s="19"/>
      <c r="AZ314" s="19"/>
      <c r="BA314" s="19"/>
      <c r="IN314" s="202"/>
    </row>
    <row r="315" spans="5:248">
      <c r="E315" s="15"/>
      <c r="F315" s="18"/>
      <c r="G315" s="22"/>
      <c r="H315" s="18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AY315" s="19"/>
      <c r="AZ315" s="19"/>
      <c r="BA315" s="19"/>
      <c r="IN315" s="202"/>
    </row>
    <row r="316" spans="5:248">
      <c r="E316" s="15"/>
      <c r="F316" s="18"/>
      <c r="G316" s="22"/>
      <c r="H316" s="18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AY316" s="19"/>
      <c r="AZ316" s="19"/>
      <c r="BA316" s="19"/>
      <c r="IN316" s="202"/>
    </row>
    <row r="317" spans="5:248">
      <c r="IN317" s="202"/>
    </row>
    <row r="318" spans="5:248">
      <c r="IN318" s="202"/>
    </row>
    <row r="319" spans="5:248">
      <c r="IN319" s="202"/>
    </row>
    <row r="320" spans="5:248">
      <c r="IN320" s="202"/>
    </row>
    <row r="321" spans="248:248">
      <c r="IN321" s="202"/>
    </row>
    <row r="322" spans="248:248">
      <c r="IN322" s="202"/>
    </row>
    <row r="323" spans="248:248">
      <c r="IN323" s="202"/>
    </row>
    <row r="324" spans="248:248">
      <c r="IN324" s="202"/>
    </row>
    <row r="325" spans="248:248">
      <c r="IN325" s="202"/>
    </row>
    <row r="326" spans="248:248">
      <c r="IN326" s="202"/>
    </row>
    <row r="327" spans="248:248">
      <c r="IN327" s="202"/>
    </row>
    <row r="328" spans="248:248">
      <c r="IN328" s="202"/>
    </row>
    <row r="329" spans="248:248">
      <c r="IN329" s="202"/>
    </row>
    <row r="330" spans="248:248">
      <c r="IN330" s="202"/>
    </row>
    <row r="331" spans="248:248">
      <c r="IN331" s="202"/>
    </row>
    <row r="332" spans="248:248">
      <c r="IN332" s="202"/>
    </row>
    <row r="333" spans="248:248">
      <c r="IN333" s="202"/>
    </row>
    <row r="334" spans="248:248">
      <c r="IN334" s="202"/>
    </row>
    <row r="335" spans="248:248">
      <c r="IN335" s="202"/>
    </row>
    <row r="336" spans="248:248">
      <c r="IN336" s="202"/>
    </row>
    <row r="337" spans="248:248">
      <c r="IN337" s="202"/>
    </row>
    <row r="338" spans="248:248">
      <c r="IN338" s="202"/>
    </row>
    <row r="339" spans="248:248">
      <c r="IN339" s="202"/>
    </row>
    <row r="340" spans="248:248">
      <c r="IN340" s="202"/>
    </row>
    <row r="341" spans="248:248">
      <c r="IN341" s="202"/>
    </row>
    <row r="342" spans="248:248">
      <c r="IN342" s="202"/>
    </row>
  </sheetData>
  <pageMargins left="0.1" right="0.1" top="1" bottom="1" header="0.5" footer="0.5"/>
  <pageSetup paperSize="5" scale="56" fitToWidth="7" orientation="landscape" r:id="rId1"/>
  <headerFooter alignWithMargins="0">
    <oddHeader>&amp;A</oddHeader>
    <oddFooter>Page &amp;P</oddFooter>
  </headerFooter>
  <rowBreaks count="1" manualBreakCount="1">
    <brk id="122" max="16383" man="1"/>
  </rowBreaks>
  <colBreaks count="4" manualBreakCount="4">
    <brk id="170" max="1048575" man="1"/>
    <brk id="171" max="1048575" man="1"/>
    <brk id="216" max="1048575" man="1"/>
    <brk id="22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217" r:id="rId4" name="Button 14617">
              <controlPr defaultSize="0" print="0" autoFill="0" autoPict="0" macro="[0]!Print_Op">
                <anchor moveWithCells="1">
                  <from>
                    <xdr:col>164</xdr:col>
                    <xdr:colOff>281940</xdr:colOff>
                    <xdr:row>7</xdr:row>
                    <xdr:rowOff>7620</xdr:rowOff>
                  </from>
                  <to>
                    <xdr:col>165</xdr:col>
                    <xdr:colOff>419100</xdr:colOff>
                    <xdr:row>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29" r:id="rId5" name="Button 18565">
              <controlPr defaultSize="0" print="0" autoFill="0" autoPict="0" macro="[0]!Print_Op">
                <anchor moveWithCells="1">
                  <from>
                    <xdr:col>164</xdr:col>
                    <xdr:colOff>281940</xdr:colOff>
                    <xdr:row>7</xdr:row>
                    <xdr:rowOff>7620</xdr:rowOff>
                  </from>
                  <to>
                    <xdr:col>165</xdr:col>
                    <xdr:colOff>419100</xdr:colOff>
                    <xdr:row>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39" r:id="rId6" name="Button 18575">
              <controlPr defaultSize="0" print="0" autoFill="0" autoPict="0" macro="[0]!Print_Op">
                <anchor moveWithCells="1">
                  <from>
                    <xdr:col>164</xdr:col>
                    <xdr:colOff>281940</xdr:colOff>
                    <xdr:row>7</xdr:row>
                    <xdr:rowOff>7620</xdr:rowOff>
                  </from>
                  <to>
                    <xdr:col>165</xdr:col>
                    <xdr:colOff>419100</xdr:colOff>
                    <xdr:row>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44" r:id="rId7" name="Button 18580">
              <controlPr defaultSize="0" print="0" autoFill="0" autoPict="0" macro="[0]!Print_Op">
                <anchor moveWithCells="1">
                  <from>
                    <xdr:col>164</xdr:col>
                    <xdr:colOff>281940</xdr:colOff>
                    <xdr:row>7</xdr:row>
                    <xdr:rowOff>7620</xdr:rowOff>
                  </from>
                  <to>
                    <xdr:col>165</xdr:col>
                    <xdr:colOff>419100</xdr:colOff>
                    <xdr:row>8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N506"/>
  <sheetViews>
    <sheetView showGridLines="0" tabSelected="1" zoomScale="75" workbookViewId="0">
      <selection activeCell="H11" sqref="H11"/>
    </sheetView>
  </sheetViews>
  <sheetFormatPr defaultRowHeight="13.2"/>
  <cols>
    <col min="1" max="1" width="6.6640625" style="7" customWidth="1"/>
    <col min="2" max="2" width="9.109375" style="7" customWidth="1"/>
    <col min="3" max="3" width="9.6640625" style="4" customWidth="1"/>
    <col min="4" max="5" width="8.6640625" style="4" customWidth="1"/>
    <col min="6" max="6" width="8.44140625" style="4" customWidth="1"/>
    <col min="7" max="9" width="9.109375" style="4" customWidth="1"/>
    <col min="10" max="10" width="2.6640625" style="4" customWidth="1"/>
    <col min="11" max="11" width="9.5546875" style="4" customWidth="1"/>
    <col min="12" max="13" width="8.6640625" style="4" bestFit="1" customWidth="1"/>
    <col min="14" max="14" width="5.88671875" style="4" customWidth="1"/>
    <col min="15" max="20" width="7.6640625" style="4" customWidth="1"/>
    <col min="21" max="21" width="9.44140625" style="4" customWidth="1"/>
    <col min="22" max="28" width="7.6640625" style="4" customWidth="1"/>
    <col min="29" max="29" width="4.44140625" style="4" customWidth="1"/>
    <col min="30" max="30" width="7.33203125" style="4" customWidth="1"/>
    <col min="31" max="31" width="8.6640625" style="4" customWidth="1"/>
    <col min="32" max="32" width="10" style="4" customWidth="1"/>
    <col min="33" max="33" width="8.6640625" style="4" customWidth="1"/>
    <col min="34" max="34" width="8.5546875" style="4" customWidth="1"/>
    <col min="35" max="35" width="9.6640625" style="4" customWidth="1"/>
    <col min="36" max="37" width="8.88671875" style="4" customWidth="1"/>
    <col min="38" max="38" width="9" style="4" customWidth="1"/>
    <col min="39" max="39" width="9.109375" style="4" customWidth="1"/>
    <col min="40" max="40" width="9.33203125" style="4" customWidth="1"/>
    <col min="41" max="41" width="9.109375" style="4" customWidth="1"/>
    <col min="42" max="42" width="9" style="4" customWidth="1"/>
    <col min="43" max="44" width="9.109375" style="7" customWidth="1"/>
    <col min="45" max="45" width="9.44140625" style="7" customWidth="1"/>
    <col min="46" max="48" width="9.109375" style="7" customWidth="1"/>
    <col min="49" max="58" width="10.33203125" customWidth="1"/>
    <col min="59" max="59" width="10.88671875" customWidth="1"/>
    <col min="60" max="60" width="7.88671875" customWidth="1"/>
    <col min="61" max="61" width="10" style="1" customWidth="1"/>
    <col min="62" max="66" width="11.6640625" customWidth="1"/>
    <col min="67" max="67" width="11" customWidth="1"/>
    <col min="68" max="68" width="12.109375" customWidth="1"/>
    <col min="69" max="70" width="11" customWidth="1"/>
    <col min="71" max="71" width="11" style="136" customWidth="1"/>
    <col min="72" max="72" width="11" customWidth="1"/>
    <col min="73" max="75" width="8.88671875" customWidth="1"/>
    <col min="76" max="76" width="3" customWidth="1"/>
    <col min="77" max="78" width="8.88671875" customWidth="1"/>
    <col min="79" max="82" width="11" customWidth="1"/>
    <col min="83" max="87" width="10.33203125" customWidth="1"/>
  </cols>
  <sheetData>
    <row r="1" spans="1:92" ht="23.4" thickBot="1">
      <c r="A1" s="10"/>
      <c r="B1" s="11" t="s">
        <v>787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W1" s="11" t="s">
        <v>230</v>
      </c>
      <c r="BH1" t="s">
        <v>787</v>
      </c>
      <c r="BI1"/>
      <c r="BJ1" s="136" t="s">
        <v>787</v>
      </c>
      <c r="BK1" t="s">
        <v>787</v>
      </c>
    </row>
    <row r="2" spans="1:92" ht="27" customHeight="1" thickBot="1">
      <c r="A2" s="101"/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3"/>
      <c r="N2" s="5"/>
      <c r="O2" s="5"/>
      <c r="P2" s="5"/>
      <c r="Q2" s="102" t="s">
        <v>830</v>
      </c>
      <c r="R2" s="103"/>
      <c r="S2" s="103"/>
      <c r="T2" s="104"/>
      <c r="U2" s="105">
        <f>MAX(O10:O29)</f>
        <v>0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W2" s="117" t="s">
        <v>787</v>
      </c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 t="s">
        <v>787</v>
      </c>
      <c r="BK2" s="6" t="s">
        <v>787</v>
      </c>
      <c r="BM2" s="6"/>
      <c r="BN2" s="6"/>
      <c r="BO2" s="6"/>
      <c r="BP2" s="6"/>
      <c r="BQ2" s="6"/>
      <c r="BR2" s="6"/>
      <c r="BS2" s="1459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</row>
    <row r="3" spans="1:92" ht="13.8">
      <c r="A3" s="957"/>
      <c r="B3" s="941" t="s">
        <v>14</v>
      </c>
      <c r="C3" s="26" t="s">
        <v>15</v>
      </c>
      <c r="D3" s="25"/>
      <c r="E3" s="942">
        <v>36508</v>
      </c>
      <c r="F3" s="943"/>
      <c r="G3" s="13"/>
      <c r="H3" s="13"/>
      <c r="I3" s="13"/>
      <c r="J3" s="9"/>
      <c r="K3" s="94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W3" s="116"/>
      <c r="AX3" s="121" t="s">
        <v>231</v>
      </c>
      <c r="AY3" s="121"/>
      <c r="AZ3" s="121"/>
      <c r="BA3" s="28"/>
      <c r="BB3" s="28"/>
      <c r="BC3" s="28"/>
      <c r="BD3" s="131" t="s">
        <v>217</v>
      </c>
      <c r="BE3" s="132"/>
      <c r="BF3" s="133"/>
      <c r="BG3" s="155" t="s">
        <v>831</v>
      </c>
      <c r="BH3" s="146"/>
      <c r="BI3" s="146" t="s">
        <v>601</v>
      </c>
      <c r="BJ3" s="146" t="s">
        <v>483</v>
      </c>
      <c r="BK3" s="146" t="s">
        <v>787</v>
      </c>
      <c r="BL3" s="1283" t="s">
        <v>827</v>
      </c>
      <c r="BM3" s="146"/>
      <c r="BN3" s="1286"/>
      <c r="BO3" s="146" t="s">
        <v>317</v>
      </c>
      <c r="BP3" s="146" t="s">
        <v>196</v>
      </c>
      <c r="BQ3" s="146"/>
      <c r="BR3" s="146"/>
      <c r="BS3" s="1460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222"/>
    </row>
    <row r="4" spans="1:92" ht="13.8">
      <c r="A4" s="957"/>
      <c r="B4" s="23"/>
      <c r="C4" s="25"/>
      <c r="D4" s="25"/>
      <c r="E4" s="25"/>
      <c r="F4" s="9"/>
      <c r="G4" s="13"/>
      <c r="H4" s="13"/>
      <c r="I4" s="13"/>
      <c r="J4" s="9"/>
      <c r="K4" s="94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 t="s">
        <v>489</v>
      </c>
      <c r="Y4" s="13"/>
      <c r="Z4" s="13"/>
      <c r="AA4" s="13"/>
      <c r="AB4" s="13"/>
      <c r="AC4" s="13"/>
      <c r="AD4" s="13"/>
      <c r="AE4" s="13"/>
      <c r="AF4" s="13" t="s">
        <v>491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/>
      <c r="AR4"/>
      <c r="AS4"/>
      <c r="AT4"/>
      <c r="AU4"/>
      <c r="AV4"/>
      <c r="AW4" s="127" t="s">
        <v>776</v>
      </c>
      <c r="AX4" s="122" t="s">
        <v>784</v>
      </c>
      <c r="AY4" s="122" t="s">
        <v>784</v>
      </c>
      <c r="AZ4" s="122" t="s">
        <v>784</v>
      </c>
      <c r="BA4" s="119" t="s">
        <v>848</v>
      </c>
      <c r="BB4" s="120"/>
      <c r="BC4" s="123"/>
      <c r="BD4" s="130">
        <v>7.0000000000000007E-2</v>
      </c>
      <c r="BE4" s="129" t="s">
        <v>832</v>
      </c>
      <c r="BF4" s="134">
        <v>7.0000000000000007E-2</v>
      </c>
      <c r="BG4" s="156" t="s">
        <v>833</v>
      </c>
      <c r="BH4" s="147" t="s">
        <v>785</v>
      </c>
      <c r="BI4" s="147" t="s">
        <v>104</v>
      </c>
      <c r="BJ4" s="147" t="s">
        <v>231</v>
      </c>
      <c r="BK4" s="147" t="s">
        <v>324</v>
      </c>
      <c r="BL4" s="1284" t="s">
        <v>1109</v>
      </c>
      <c r="BM4" s="147" t="s">
        <v>263</v>
      </c>
      <c r="BN4" s="220"/>
      <c r="BO4" s="147" t="s">
        <v>322</v>
      </c>
      <c r="BP4" s="147" t="s">
        <v>197</v>
      </c>
      <c r="BQ4" s="147" t="s">
        <v>323</v>
      </c>
      <c r="BR4" s="147" t="s">
        <v>323</v>
      </c>
      <c r="BS4" s="1461" t="s">
        <v>725</v>
      </c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92" ht="14.4" thickBot="1">
      <c r="A5" s="957"/>
      <c r="B5" s="9"/>
      <c r="C5" s="9"/>
      <c r="D5" s="9" t="s">
        <v>761</v>
      </c>
      <c r="E5" s="9"/>
      <c r="F5" s="9"/>
      <c r="G5" s="9"/>
      <c r="H5" s="9" t="s">
        <v>787</v>
      </c>
      <c r="I5" s="9"/>
      <c r="J5" s="9"/>
      <c r="K5" s="944"/>
      <c r="L5" s="9"/>
      <c r="M5" s="9" t="s">
        <v>786</v>
      </c>
      <c r="N5" s="9"/>
      <c r="O5" s="9"/>
      <c r="P5" s="9"/>
      <c r="Q5" s="9" t="s">
        <v>788</v>
      </c>
      <c r="R5" s="9"/>
      <c r="S5" s="9"/>
      <c r="T5" s="9"/>
      <c r="U5" s="9" t="s">
        <v>764</v>
      </c>
      <c r="V5" s="9"/>
      <c r="W5" s="13"/>
      <c r="X5" s="9"/>
      <c r="Y5" s="9" t="s">
        <v>851</v>
      </c>
      <c r="Z5" s="9"/>
      <c r="AA5" s="13"/>
      <c r="AB5" s="9"/>
      <c r="AC5" s="9" t="s">
        <v>492</v>
      </c>
      <c r="AD5" s="9"/>
      <c r="AE5" s="13"/>
      <c r="AF5" s="9"/>
      <c r="AG5" s="9" t="s">
        <v>851</v>
      </c>
      <c r="AH5" s="9"/>
      <c r="AI5" s="13"/>
      <c r="AJ5" s="9"/>
      <c r="AK5" s="9" t="s">
        <v>492</v>
      </c>
      <c r="AL5" s="9"/>
      <c r="AM5" s="13"/>
      <c r="AN5" s="9" t="s">
        <v>762</v>
      </c>
      <c r="AO5" s="9" t="s">
        <v>763</v>
      </c>
      <c r="AP5" s="13"/>
      <c r="AQ5"/>
      <c r="AR5"/>
      <c r="AS5"/>
      <c r="AT5"/>
      <c r="AU5"/>
      <c r="AV5"/>
      <c r="AW5" s="128"/>
      <c r="AX5" s="124" t="s">
        <v>787</v>
      </c>
      <c r="AY5" s="124" t="s">
        <v>787</v>
      </c>
      <c r="AZ5" s="124" t="s">
        <v>787</v>
      </c>
      <c r="BA5" s="125" t="s">
        <v>787</v>
      </c>
      <c r="BB5" s="125" t="s">
        <v>787</v>
      </c>
      <c r="BC5" s="126" t="s">
        <v>787</v>
      </c>
      <c r="BD5" s="124" t="s">
        <v>787</v>
      </c>
      <c r="BE5" s="125" t="s">
        <v>787</v>
      </c>
      <c r="BF5" s="126" t="s">
        <v>787</v>
      </c>
      <c r="BG5" s="157" t="s">
        <v>835</v>
      </c>
      <c r="BH5" s="148"/>
      <c r="BI5" s="148" t="s">
        <v>231</v>
      </c>
      <c r="BJ5" s="148" t="s">
        <v>784</v>
      </c>
      <c r="BK5" s="148" t="s">
        <v>826</v>
      </c>
      <c r="BL5" s="1285" t="s">
        <v>784</v>
      </c>
      <c r="BM5" s="148" t="s">
        <v>264</v>
      </c>
      <c r="BN5" s="221"/>
      <c r="BO5" s="148" t="s">
        <v>560</v>
      </c>
      <c r="BP5" s="148" t="s">
        <v>198</v>
      </c>
      <c r="BQ5" s="148" t="s">
        <v>324</v>
      </c>
      <c r="BR5" s="148" t="s">
        <v>325</v>
      </c>
      <c r="BS5" s="1462" t="s">
        <v>264</v>
      </c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</row>
    <row r="6" spans="1:92" ht="13.8" thickBot="1">
      <c r="A6" s="957"/>
      <c r="B6" s="945"/>
      <c r="C6" s="946" t="s">
        <v>787</v>
      </c>
      <c r="D6" s="946" t="s">
        <v>787</v>
      </c>
      <c r="E6" s="947" t="s">
        <v>787</v>
      </c>
      <c r="F6" s="948" t="s">
        <v>787</v>
      </c>
      <c r="G6" s="949" t="s">
        <v>787</v>
      </c>
      <c r="H6" s="949" t="s">
        <v>787</v>
      </c>
      <c r="I6" s="949" t="s">
        <v>787</v>
      </c>
      <c r="J6" s="9"/>
      <c r="K6" s="944"/>
      <c r="L6" s="946" t="s">
        <v>780</v>
      </c>
      <c r="M6" s="946" t="s">
        <v>834</v>
      </c>
      <c r="N6" s="950" t="s">
        <v>781</v>
      </c>
      <c r="O6" s="947"/>
      <c r="P6" s="946" t="s">
        <v>780</v>
      </c>
      <c r="Q6" s="946" t="s">
        <v>834</v>
      </c>
      <c r="R6" s="950" t="s">
        <v>781</v>
      </c>
      <c r="S6" s="947"/>
      <c r="T6" s="946" t="s">
        <v>780</v>
      </c>
      <c r="U6" s="946" t="s">
        <v>834</v>
      </c>
      <c r="V6" s="947" t="s">
        <v>781</v>
      </c>
      <c r="W6" s="13"/>
      <c r="X6" s="946" t="s">
        <v>780</v>
      </c>
      <c r="Y6" s="946" t="s">
        <v>834</v>
      </c>
      <c r="Z6" s="947" t="s">
        <v>781</v>
      </c>
      <c r="AA6" s="13"/>
      <c r="AB6" s="946" t="s">
        <v>780</v>
      </c>
      <c r="AC6" s="946" t="s">
        <v>834</v>
      </c>
      <c r="AD6" s="947" t="s">
        <v>781</v>
      </c>
      <c r="AE6" s="13"/>
      <c r="AF6" s="946" t="s">
        <v>780</v>
      </c>
      <c r="AG6" s="946" t="s">
        <v>834</v>
      </c>
      <c r="AH6" s="947" t="s">
        <v>781</v>
      </c>
      <c r="AI6" s="13"/>
      <c r="AJ6" s="946" t="s">
        <v>780</v>
      </c>
      <c r="AK6" s="946" t="s">
        <v>834</v>
      </c>
      <c r="AL6" s="947" t="s">
        <v>781</v>
      </c>
      <c r="AM6" s="13"/>
      <c r="AN6" s="9" t="s">
        <v>765</v>
      </c>
      <c r="AO6" s="9" t="s">
        <v>746</v>
      </c>
      <c r="AP6" s="13"/>
      <c r="AQ6"/>
      <c r="AR6"/>
      <c r="AS6" t="s">
        <v>700</v>
      </c>
      <c r="AT6"/>
      <c r="AU6" t="str">
        <f>AV6&amp;"Q"&amp;ROUNDUP(MONTH(AW6)/3,0)</f>
        <v>2000Q1</v>
      </c>
      <c r="AV6">
        <f>YEAR(GasFirstMonth)</f>
        <v>2000</v>
      </c>
      <c r="AW6" s="135">
        <v>36526</v>
      </c>
      <c r="AX6" s="136">
        <v>0</v>
      </c>
      <c r="AY6" s="136">
        <v>0</v>
      </c>
      <c r="AZ6" s="136">
        <v>0</v>
      </c>
      <c r="BA6" s="137">
        <v>1</v>
      </c>
      <c r="BB6" s="137">
        <v>1</v>
      </c>
      <c r="BC6" s="137">
        <v>1</v>
      </c>
      <c r="BD6" s="137">
        <v>0</v>
      </c>
      <c r="BE6" s="137"/>
      <c r="BF6" s="137">
        <v>0</v>
      </c>
      <c r="BG6" s="145">
        <v>0</v>
      </c>
      <c r="BH6" s="886"/>
      <c r="BI6" s="938"/>
      <c r="BJ6" s="153"/>
      <c r="BK6" s="1443">
        <v>0</v>
      </c>
      <c r="BL6" s="905">
        <f t="shared" ref="BL6:BL17" si="0">+AY6+BK6</f>
        <v>0</v>
      </c>
      <c r="BM6" s="1287">
        <f>AY6</f>
        <v>0</v>
      </c>
      <c r="BN6" s="154"/>
      <c r="BO6" s="1377">
        <v>2.4</v>
      </c>
      <c r="BP6" s="2"/>
      <c r="BQ6" s="1378">
        <f>VLOOKUP($AW6,$BU$8:$BZ$291,5,FALSE)</f>
        <v>2.6134105945037884</v>
      </c>
      <c r="BR6" s="1379">
        <f>VLOOKUP($AW6,$BU$8:$BZ$291,6,FALSE)</f>
        <v>2.1146909259826909</v>
      </c>
      <c r="BS6" s="153">
        <v>0</v>
      </c>
      <c r="BT6" s="2"/>
      <c r="BU6" s="1380"/>
      <c r="BV6" s="1381"/>
      <c r="BW6" s="1381"/>
      <c r="BX6" s="1381"/>
      <c r="BY6" s="1382" t="s">
        <v>326</v>
      </c>
      <c r="BZ6" s="1383"/>
      <c r="CA6" s="2"/>
      <c r="CB6" s="2"/>
      <c r="CC6" s="2"/>
      <c r="CD6" s="2"/>
      <c r="CE6" s="2"/>
      <c r="CF6" s="2"/>
      <c r="CG6" s="2"/>
      <c r="CH6" s="2"/>
      <c r="CI6" s="2"/>
    </row>
    <row r="7" spans="1:92">
      <c r="A7" s="957"/>
      <c r="B7" s="9"/>
      <c r="C7" s="9" t="s">
        <v>767</v>
      </c>
      <c r="D7" s="9" t="s">
        <v>767</v>
      </c>
      <c r="E7" s="9" t="s">
        <v>767</v>
      </c>
      <c r="F7" s="948"/>
      <c r="G7" s="948" t="s">
        <v>767</v>
      </c>
      <c r="H7" s="948" t="s">
        <v>767</v>
      </c>
      <c r="I7" s="948" t="s">
        <v>767</v>
      </c>
      <c r="J7" s="9"/>
      <c r="K7" s="944"/>
      <c r="L7" s="9" t="s">
        <v>767</v>
      </c>
      <c r="M7" s="9" t="s">
        <v>767</v>
      </c>
      <c r="N7" s="9" t="s">
        <v>767</v>
      </c>
      <c r="O7" s="9"/>
      <c r="P7" s="9" t="s">
        <v>767</v>
      </c>
      <c r="Q7" s="9" t="s">
        <v>767</v>
      </c>
      <c r="R7" s="9" t="s">
        <v>767</v>
      </c>
      <c r="S7" s="9"/>
      <c r="T7" s="9" t="s">
        <v>767</v>
      </c>
      <c r="U7" s="9" t="s">
        <v>767</v>
      </c>
      <c r="V7" s="9" t="s">
        <v>767</v>
      </c>
      <c r="W7" s="13"/>
      <c r="X7" s="9"/>
      <c r="Y7" s="9"/>
      <c r="Z7" s="9"/>
      <c r="AA7" s="13"/>
      <c r="AB7" s="9"/>
      <c r="AC7" s="9"/>
      <c r="AD7" s="9"/>
      <c r="AE7" s="13"/>
      <c r="AF7" s="9"/>
      <c r="AG7" s="9"/>
      <c r="AH7" s="9"/>
      <c r="AI7" s="13"/>
      <c r="AJ7" s="9"/>
      <c r="AK7" s="9"/>
      <c r="AL7" s="9"/>
      <c r="AM7" s="13"/>
      <c r="AN7" s="13"/>
      <c r="AO7" s="13"/>
      <c r="AP7" s="13"/>
      <c r="AQ7"/>
      <c r="AR7" t="s">
        <v>599</v>
      </c>
      <c r="AS7" s="1384">
        <v>2.68</v>
      </c>
      <c r="AT7">
        <v>1</v>
      </c>
      <c r="AU7" t="str">
        <f>AV7&amp;"Q"&amp;ROUNDUP(MONTH(AW7)/3,0)</f>
        <v>2000Q1</v>
      </c>
      <c r="AV7">
        <f>YEAR(AW7)</f>
        <v>2000</v>
      </c>
      <c r="AW7" s="111">
        <f t="shared" ref="AW7:AW70" si="1">EOMONTH(AW6,0)+1</f>
        <v>36557</v>
      </c>
      <c r="AX7" s="136">
        <v>0</v>
      </c>
      <c r="AY7" s="136">
        <v>0</v>
      </c>
      <c r="AZ7" s="136">
        <v>0</v>
      </c>
      <c r="BA7" s="137">
        <v>1</v>
      </c>
      <c r="BB7" s="137">
        <v>1</v>
      </c>
      <c r="BC7" s="137">
        <v>1</v>
      </c>
      <c r="BD7" s="137">
        <v>0</v>
      </c>
      <c r="BE7" s="137"/>
      <c r="BF7" s="137">
        <v>0</v>
      </c>
      <c r="BG7" s="145">
        <v>0</v>
      </c>
      <c r="BH7" s="886"/>
      <c r="BI7" s="938"/>
      <c r="BJ7" s="153"/>
      <c r="BK7" s="1443">
        <v>0</v>
      </c>
      <c r="BL7" s="905">
        <f t="shared" si="0"/>
        <v>0</v>
      </c>
      <c r="BM7" s="1287">
        <f t="shared" ref="BM7:BM70" si="2">AY7</f>
        <v>0</v>
      </c>
      <c r="BN7" s="154"/>
      <c r="BO7" s="1377">
        <v>2.4</v>
      </c>
      <c r="BP7" s="7"/>
      <c r="BQ7" s="1379">
        <f>VLOOKUP($AW7,$BU$8:$BZ$291,5,FALSE)</f>
        <v>2.4162169152459123</v>
      </c>
      <c r="BR7" s="1379">
        <f t="shared" ref="BR7:BR70" si="3">VLOOKUP($AW7,$BU$8:$BZ$291,6,FALSE)</f>
        <v>1.9697076318047053</v>
      </c>
      <c r="BS7" s="153">
        <v>0</v>
      </c>
      <c r="BT7" s="7"/>
      <c r="BU7" s="1385"/>
      <c r="BV7" s="1386" t="s">
        <v>324</v>
      </c>
      <c r="BW7" s="1386" t="s">
        <v>325</v>
      </c>
      <c r="BX7" s="1386"/>
      <c r="BY7" s="1386" t="s">
        <v>324</v>
      </c>
      <c r="BZ7" s="1387" t="s">
        <v>325</v>
      </c>
      <c r="CA7" s="7"/>
      <c r="CB7" s="7"/>
      <c r="CC7" s="7"/>
      <c r="CD7" s="7"/>
      <c r="CE7" s="7"/>
      <c r="CF7" s="7"/>
      <c r="CG7" s="7"/>
      <c r="CH7" s="7"/>
      <c r="CI7" s="7"/>
    </row>
    <row r="8" spans="1:92">
      <c r="A8" s="957"/>
      <c r="B8" s="25" t="s">
        <v>776</v>
      </c>
      <c r="C8" s="25"/>
      <c r="D8" s="25"/>
      <c r="E8" s="25"/>
      <c r="F8" s="950"/>
      <c r="G8" s="25"/>
      <c r="H8" s="950"/>
      <c r="I8" s="950"/>
      <c r="J8" s="9"/>
      <c r="K8" s="944" t="s">
        <v>776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/>
      <c r="AR8" t="s">
        <v>785</v>
      </c>
      <c r="AS8" s="1388">
        <f>+Summary!O82</f>
        <v>-0.28000000000000003</v>
      </c>
      <c r="AT8">
        <v>1</v>
      </c>
      <c r="AU8" t="str">
        <f t="shared" ref="AU8:AU71" si="4">AV8&amp;"Q"&amp;ROUNDUP(MONTH(AW8)/3,0)</f>
        <v>2000Q1</v>
      </c>
      <c r="AV8">
        <f t="shared" ref="AV8:AV71" si="5">YEAR(AW8)</f>
        <v>2000</v>
      </c>
      <c r="AW8" s="111">
        <f t="shared" si="1"/>
        <v>36586</v>
      </c>
      <c r="AX8" s="136">
        <v>0</v>
      </c>
      <c r="AY8" s="136">
        <v>0</v>
      </c>
      <c r="AZ8" s="136">
        <v>0</v>
      </c>
      <c r="BA8" s="137">
        <v>1</v>
      </c>
      <c r="BB8" s="137">
        <v>1</v>
      </c>
      <c r="BC8" s="137">
        <v>1</v>
      </c>
      <c r="BD8" s="137">
        <v>0</v>
      </c>
      <c r="BE8" s="137"/>
      <c r="BF8" s="137">
        <v>0</v>
      </c>
      <c r="BG8" s="145">
        <v>0</v>
      </c>
      <c r="BH8" s="886"/>
      <c r="BI8" s="938"/>
      <c r="BJ8" s="153"/>
      <c r="BK8" s="1443">
        <v>0</v>
      </c>
      <c r="BL8" s="905">
        <f t="shared" si="0"/>
        <v>0</v>
      </c>
      <c r="BM8" s="1287">
        <f t="shared" si="2"/>
        <v>0</v>
      </c>
      <c r="BN8" s="154"/>
      <c r="BO8" s="1377">
        <v>2.4</v>
      </c>
      <c r="BP8" s="7"/>
      <c r="BQ8" s="1379">
        <f t="shared" ref="BQ8:BQ71" si="6">VLOOKUP($AW8,$BU$8:$BZ$291,5,FALSE)</f>
        <v>2.3444750389869475</v>
      </c>
      <c r="BR8" s="1379">
        <f t="shared" si="3"/>
        <v>1.8719282008474583</v>
      </c>
      <c r="BS8" s="153">
        <v>0</v>
      </c>
      <c r="BT8" s="7"/>
      <c r="BU8" s="1389">
        <v>36161</v>
      </c>
      <c r="BV8" s="1390">
        <v>2.479546000687693</v>
      </c>
      <c r="BW8" s="1390">
        <v>1.956582725661512</v>
      </c>
      <c r="BX8" s="1390"/>
      <c r="BY8" s="1390">
        <v>2.5291369207014469</v>
      </c>
      <c r="BZ8" s="1391">
        <v>1.9957143801747423</v>
      </c>
      <c r="CA8" s="7"/>
      <c r="CB8" s="7"/>
      <c r="CC8" s="7"/>
      <c r="CD8" s="7"/>
      <c r="CE8" s="7"/>
      <c r="CF8" s="7"/>
      <c r="CG8" s="7"/>
      <c r="CH8" s="7"/>
      <c r="CI8" s="7"/>
    </row>
    <row r="9" spans="1:92">
      <c r="A9" s="957"/>
      <c r="B9" s="951">
        <v>36509</v>
      </c>
      <c r="C9" s="952">
        <v>0</v>
      </c>
      <c r="D9" s="952">
        <v>0</v>
      </c>
      <c r="E9" s="952">
        <v>0</v>
      </c>
      <c r="F9" s="950"/>
      <c r="G9" s="952">
        <v>0</v>
      </c>
      <c r="H9" s="952">
        <v>0</v>
      </c>
      <c r="I9" s="952">
        <v>0</v>
      </c>
      <c r="J9" s="9"/>
      <c r="K9" s="944">
        <v>36465</v>
      </c>
      <c r="L9" s="953">
        <v>0</v>
      </c>
      <c r="M9" s="953">
        <v>0</v>
      </c>
      <c r="N9" s="953">
        <v>0</v>
      </c>
      <c r="O9" s="13"/>
      <c r="P9" s="953">
        <v>0</v>
      </c>
      <c r="Q9" s="953">
        <v>0</v>
      </c>
      <c r="R9" s="953">
        <v>0</v>
      </c>
      <c r="S9" s="13"/>
      <c r="T9" s="953">
        <v>0</v>
      </c>
      <c r="U9" s="953">
        <v>0</v>
      </c>
      <c r="V9" s="953">
        <v>0</v>
      </c>
      <c r="W9" s="13"/>
      <c r="X9" s="953">
        <v>0</v>
      </c>
      <c r="Y9" s="953">
        <v>0</v>
      </c>
      <c r="Z9" s="953">
        <v>0</v>
      </c>
      <c r="AA9" s="13">
        <v>0</v>
      </c>
      <c r="AB9" s="953">
        <v>0</v>
      </c>
      <c r="AC9" s="953">
        <v>0</v>
      </c>
      <c r="AD9" s="953">
        <v>0</v>
      </c>
      <c r="AE9" s="13"/>
      <c r="AF9" s="953">
        <v>0</v>
      </c>
      <c r="AG9" s="953">
        <v>0</v>
      </c>
      <c r="AH9" s="953">
        <v>0</v>
      </c>
      <c r="AI9" s="13"/>
      <c r="AJ9" s="953">
        <v>0</v>
      </c>
      <c r="AK9" s="953">
        <v>0</v>
      </c>
      <c r="AL9" s="953">
        <v>0</v>
      </c>
      <c r="AM9" s="13"/>
      <c r="AN9" s="954">
        <v>1</v>
      </c>
      <c r="AO9" s="955">
        <v>0</v>
      </c>
      <c r="AP9" s="13"/>
      <c r="AQ9"/>
      <c r="AR9"/>
      <c r="AS9" s="1392">
        <f>SUM(AS7:AS8)</f>
        <v>2.4000000000000004</v>
      </c>
      <c r="AT9">
        <v>1</v>
      </c>
      <c r="AU9" t="str">
        <f t="shared" si="4"/>
        <v>2000Q2</v>
      </c>
      <c r="AV9">
        <f t="shared" si="5"/>
        <v>2000</v>
      </c>
      <c r="AW9" s="111">
        <f t="shared" si="1"/>
        <v>36617</v>
      </c>
      <c r="AX9" s="136">
        <v>0</v>
      </c>
      <c r="AY9" s="136">
        <v>0</v>
      </c>
      <c r="AZ9" s="136">
        <v>0</v>
      </c>
      <c r="BA9" s="137">
        <v>1</v>
      </c>
      <c r="BB9" s="137">
        <v>1</v>
      </c>
      <c r="BC9" s="137">
        <v>1</v>
      </c>
      <c r="BD9" s="137">
        <v>0</v>
      </c>
      <c r="BE9" s="137"/>
      <c r="BF9" s="137">
        <v>0</v>
      </c>
      <c r="BG9" s="145">
        <v>0</v>
      </c>
      <c r="BH9" s="886"/>
      <c r="BI9" s="938"/>
      <c r="BJ9" s="153"/>
      <c r="BK9" s="1443">
        <v>0</v>
      </c>
      <c r="BL9" s="905">
        <f t="shared" si="0"/>
        <v>0</v>
      </c>
      <c r="BM9" s="1287">
        <f t="shared" si="2"/>
        <v>0</v>
      </c>
      <c r="BN9" s="154"/>
      <c r="BO9" s="1377">
        <v>2.4</v>
      </c>
      <c r="BP9" s="7"/>
      <c r="BQ9" s="1379">
        <f t="shared" si="6"/>
        <v>2.2979665123087218</v>
      </c>
      <c r="BR9" s="1379">
        <f t="shared" si="3"/>
        <v>1.8150306871438886</v>
      </c>
      <c r="BS9" s="153">
        <v>0</v>
      </c>
      <c r="BT9" s="7"/>
      <c r="BU9" s="1389">
        <f t="shared" ref="BU9:BU72" si="7">EDATE(BU8,1)</f>
        <v>36192</v>
      </c>
      <c r="BV9" s="1390">
        <v>2.2924530120111108</v>
      </c>
      <c r="BW9" s="1390">
        <v>1.8224393359998161</v>
      </c>
      <c r="BX9" s="1390"/>
      <c r="BY9" s="1390">
        <v>2.338302072251333</v>
      </c>
      <c r="BZ9" s="1391">
        <v>1.8588881227198124</v>
      </c>
      <c r="CA9" s="7"/>
      <c r="CB9" s="7"/>
      <c r="CC9" s="7"/>
      <c r="CD9" s="7"/>
      <c r="CE9" s="7"/>
      <c r="CF9" s="7"/>
      <c r="CG9" s="7"/>
      <c r="CH9" s="7"/>
      <c r="CI9" s="7"/>
    </row>
    <row r="10" spans="1:92">
      <c r="A10" s="957"/>
      <c r="B10" s="951">
        <v>36510</v>
      </c>
      <c r="C10" s="952">
        <v>0</v>
      </c>
      <c r="D10" s="952">
        <v>0</v>
      </c>
      <c r="E10" s="952">
        <v>0</v>
      </c>
      <c r="F10" s="950"/>
      <c r="G10" s="952">
        <v>0</v>
      </c>
      <c r="H10" s="952">
        <v>0</v>
      </c>
      <c r="I10" s="952">
        <v>0</v>
      </c>
      <c r="J10" s="9"/>
      <c r="K10" s="944">
        <v>36495</v>
      </c>
      <c r="L10" s="953">
        <v>0</v>
      </c>
      <c r="M10" s="953">
        <v>0</v>
      </c>
      <c r="N10" s="953">
        <v>0</v>
      </c>
      <c r="O10" s="13"/>
      <c r="P10" s="953">
        <v>0</v>
      </c>
      <c r="Q10" s="953">
        <v>0</v>
      </c>
      <c r="R10" s="953">
        <v>0</v>
      </c>
      <c r="S10" s="13"/>
      <c r="T10" s="953">
        <v>0</v>
      </c>
      <c r="U10" s="953">
        <v>0</v>
      </c>
      <c r="V10" s="953">
        <v>0</v>
      </c>
      <c r="W10" s="13"/>
      <c r="X10" s="953">
        <v>0</v>
      </c>
      <c r="Y10" s="953">
        <v>0</v>
      </c>
      <c r="Z10" s="953">
        <v>0</v>
      </c>
      <c r="AA10" s="13">
        <v>0</v>
      </c>
      <c r="AB10" s="953">
        <v>0</v>
      </c>
      <c r="AC10" s="953">
        <v>0</v>
      </c>
      <c r="AD10" s="953">
        <v>0</v>
      </c>
      <c r="AE10" s="13"/>
      <c r="AF10" s="953">
        <v>0</v>
      </c>
      <c r="AG10" s="953">
        <v>0</v>
      </c>
      <c r="AH10" s="953">
        <v>0</v>
      </c>
      <c r="AI10" s="13"/>
      <c r="AJ10" s="953">
        <v>0</v>
      </c>
      <c r="AK10" s="953">
        <v>0</v>
      </c>
      <c r="AL10" s="953">
        <v>0</v>
      </c>
      <c r="AM10" s="13"/>
      <c r="AN10" s="9">
        <v>1</v>
      </c>
      <c r="AO10" s="955">
        <v>0</v>
      </c>
      <c r="AP10" s="13"/>
      <c r="AQ10"/>
      <c r="AR10"/>
      <c r="AS10"/>
      <c r="AT10">
        <v>1</v>
      </c>
      <c r="AU10" t="str">
        <f t="shared" si="4"/>
        <v>2000Q2</v>
      </c>
      <c r="AV10">
        <f t="shared" si="5"/>
        <v>2000</v>
      </c>
      <c r="AW10" s="111">
        <f t="shared" si="1"/>
        <v>36647</v>
      </c>
      <c r="AX10" s="136">
        <v>0</v>
      </c>
      <c r="AY10" s="136">
        <v>0</v>
      </c>
      <c r="AZ10" s="136">
        <v>0</v>
      </c>
      <c r="BA10" s="137">
        <v>1</v>
      </c>
      <c r="BB10" s="137">
        <v>1</v>
      </c>
      <c r="BC10" s="137">
        <v>1</v>
      </c>
      <c r="BD10" s="137">
        <v>0</v>
      </c>
      <c r="BE10" s="137"/>
      <c r="BF10" s="137">
        <v>0</v>
      </c>
      <c r="BG10" s="145">
        <v>0</v>
      </c>
      <c r="BH10" s="886"/>
      <c r="BI10" s="938"/>
      <c r="BJ10" s="153"/>
      <c r="BK10" s="1443">
        <v>0</v>
      </c>
      <c r="BL10" s="905">
        <f t="shared" si="0"/>
        <v>0</v>
      </c>
      <c r="BM10" s="1287">
        <f t="shared" si="2"/>
        <v>0</v>
      </c>
      <c r="BN10" s="154"/>
      <c r="BO10" s="1377">
        <v>2.4</v>
      </c>
      <c r="BP10" s="2"/>
      <c r="BQ10" s="1378">
        <f t="shared" si="6"/>
        <v>2.2766913352112357</v>
      </c>
      <c r="BR10" s="1378">
        <f t="shared" si="3"/>
        <v>1.7926931447269314</v>
      </c>
      <c r="BS10" s="153">
        <v>0</v>
      </c>
      <c r="BT10" s="1299"/>
      <c r="BU10" s="1389">
        <f t="shared" si="7"/>
        <v>36220</v>
      </c>
      <c r="BV10" s="1390">
        <v>2.2243859112142217</v>
      </c>
      <c r="BW10" s="1390">
        <v>1.7319705383209973</v>
      </c>
      <c r="BX10" s="1390"/>
      <c r="BY10" s="1390">
        <v>2.2688736294385063</v>
      </c>
      <c r="BZ10" s="1391">
        <v>1.7666099490874174</v>
      </c>
      <c r="CA10" s="2"/>
      <c r="CB10" s="2"/>
      <c r="CC10" s="2"/>
      <c r="CD10" s="2"/>
      <c r="CE10" s="2"/>
      <c r="CF10" s="2"/>
      <c r="CG10" s="2"/>
      <c r="CH10" s="2"/>
      <c r="CI10" s="2"/>
    </row>
    <row r="11" spans="1:92">
      <c r="A11" s="957"/>
      <c r="B11" s="951">
        <v>36511</v>
      </c>
      <c r="C11" s="952">
        <v>0</v>
      </c>
      <c r="D11" s="952">
        <v>0</v>
      </c>
      <c r="E11" s="952">
        <v>0</v>
      </c>
      <c r="F11" s="950"/>
      <c r="G11" s="952">
        <v>0</v>
      </c>
      <c r="H11" s="952">
        <v>0</v>
      </c>
      <c r="I11" s="952">
        <v>0</v>
      </c>
      <c r="J11" s="9"/>
      <c r="K11" s="944">
        <v>36526</v>
      </c>
      <c r="L11" s="953">
        <v>0</v>
      </c>
      <c r="M11" s="953">
        <v>0</v>
      </c>
      <c r="N11" s="953">
        <v>0</v>
      </c>
      <c r="O11" s="13"/>
      <c r="P11" s="953">
        <v>0</v>
      </c>
      <c r="Q11" s="953">
        <v>0</v>
      </c>
      <c r="R11" s="953">
        <v>0</v>
      </c>
      <c r="S11" s="13"/>
      <c r="T11" s="953">
        <v>0</v>
      </c>
      <c r="U11" s="953">
        <v>0</v>
      </c>
      <c r="V11" s="953">
        <v>0</v>
      </c>
      <c r="W11" s="13"/>
      <c r="X11" s="953">
        <v>0</v>
      </c>
      <c r="Y11" s="953">
        <v>0</v>
      </c>
      <c r="Z11" s="953">
        <v>0</v>
      </c>
      <c r="AA11" s="13">
        <v>0</v>
      </c>
      <c r="AB11" s="953">
        <v>0</v>
      </c>
      <c r="AC11" s="953">
        <v>0</v>
      </c>
      <c r="AD11" s="953">
        <v>0</v>
      </c>
      <c r="AE11" s="13"/>
      <c r="AF11" s="953">
        <v>0</v>
      </c>
      <c r="AG11" s="953">
        <v>0</v>
      </c>
      <c r="AH11" s="953">
        <v>0</v>
      </c>
      <c r="AI11" s="13"/>
      <c r="AJ11" s="953">
        <v>0</v>
      </c>
      <c r="AK11" s="953">
        <v>0</v>
      </c>
      <c r="AL11" s="953">
        <v>0</v>
      </c>
      <c r="AM11" s="13"/>
      <c r="AN11" s="9">
        <v>1</v>
      </c>
      <c r="AO11" s="955">
        <v>0.1</v>
      </c>
      <c r="AP11" s="13"/>
      <c r="AQ11"/>
      <c r="AR11"/>
      <c r="AS11"/>
      <c r="AT11">
        <v>1</v>
      </c>
      <c r="AU11" t="str">
        <f t="shared" si="4"/>
        <v>2000Q2</v>
      </c>
      <c r="AV11">
        <f t="shared" si="5"/>
        <v>2000</v>
      </c>
      <c r="AW11" s="111">
        <f t="shared" si="1"/>
        <v>36678</v>
      </c>
      <c r="AX11" s="136">
        <v>0</v>
      </c>
      <c r="AY11" s="136">
        <v>0</v>
      </c>
      <c r="AZ11" s="136">
        <v>0</v>
      </c>
      <c r="BA11" s="137">
        <v>1</v>
      </c>
      <c r="BB11" s="137">
        <v>1</v>
      </c>
      <c r="BC11" s="137">
        <v>1</v>
      </c>
      <c r="BD11" s="137">
        <v>0</v>
      </c>
      <c r="BE11" s="137"/>
      <c r="BF11" s="137">
        <v>0</v>
      </c>
      <c r="BG11" s="145">
        <v>0</v>
      </c>
      <c r="BH11" s="886"/>
      <c r="BI11" s="938"/>
      <c r="BJ11" s="153"/>
      <c r="BK11" s="1443">
        <v>0</v>
      </c>
      <c r="BL11" s="905">
        <f t="shared" si="0"/>
        <v>0</v>
      </c>
      <c r="BM11" s="1287">
        <f t="shared" si="2"/>
        <v>0</v>
      </c>
      <c r="BN11" s="154"/>
      <c r="BO11" s="1377">
        <v>2.4</v>
      </c>
      <c r="BP11" s="7"/>
      <c r="BQ11" s="1379">
        <f t="shared" si="6"/>
        <v>2.2806495076944886</v>
      </c>
      <c r="BR11" s="1379">
        <f t="shared" si="3"/>
        <v>1.7985936276295238</v>
      </c>
      <c r="BS11" s="153">
        <v>0</v>
      </c>
      <c r="BT11" s="209"/>
      <c r="BU11" s="1389">
        <f t="shared" si="7"/>
        <v>36251</v>
      </c>
      <c r="BV11" s="1390">
        <v>2.1802596527665825</v>
      </c>
      <c r="BW11" s="1390">
        <v>1.6793270569130647</v>
      </c>
      <c r="BX11" s="1390"/>
      <c r="BY11" s="1390">
        <v>2.2238648458219141</v>
      </c>
      <c r="BZ11" s="1391">
        <v>1.7129135980513261</v>
      </c>
      <c r="CA11" s="7"/>
      <c r="CB11" s="7"/>
      <c r="CC11" s="7"/>
      <c r="CD11" s="7"/>
      <c r="CE11" s="7"/>
      <c r="CF11" s="7"/>
      <c r="CG11" s="7"/>
      <c r="CH11" s="7"/>
      <c r="CI11" s="7"/>
    </row>
    <row r="12" spans="1:92">
      <c r="A12" s="957"/>
      <c r="B12" s="951">
        <v>36512</v>
      </c>
      <c r="C12" s="952">
        <v>0</v>
      </c>
      <c r="D12" s="952">
        <v>0</v>
      </c>
      <c r="E12" s="952">
        <v>0</v>
      </c>
      <c r="F12" s="950"/>
      <c r="G12" s="952">
        <v>0</v>
      </c>
      <c r="H12" s="952">
        <v>0</v>
      </c>
      <c r="I12" s="952">
        <v>0</v>
      </c>
      <c r="J12" s="9"/>
      <c r="K12" s="944">
        <v>36557</v>
      </c>
      <c r="L12" s="953">
        <v>0</v>
      </c>
      <c r="M12" s="953">
        <v>0</v>
      </c>
      <c r="N12" s="953">
        <v>0</v>
      </c>
      <c r="O12" s="13"/>
      <c r="P12" s="953">
        <v>0</v>
      </c>
      <c r="Q12" s="953">
        <v>0</v>
      </c>
      <c r="R12" s="953">
        <v>0</v>
      </c>
      <c r="S12" s="13"/>
      <c r="T12" s="953">
        <v>0</v>
      </c>
      <c r="U12" s="953">
        <v>0</v>
      </c>
      <c r="V12" s="953">
        <v>0</v>
      </c>
      <c r="W12" s="13"/>
      <c r="X12" s="953">
        <v>0</v>
      </c>
      <c r="Y12" s="953">
        <v>0</v>
      </c>
      <c r="Z12" s="953">
        <v>0</v>
      </c>
      <c r="AA12" s="13">
        <v>0</v>
      </c>
      <c r="AB12" s="953">
        <v>0</v>
      </c>
      <c r="AC12" s="953">
        <v>0</v>
      </c>
      <c r="AD12" s="953">
        <v>0</v>
      </c>
      <c r="AE12" s="13"/>
      <c r="AF12" s="953">
        <v>0</v>
      </c>
      <c r="AG12" s="953">
        <v>0</v>
      </c>
      <c r="AH12" s="953">
        <v>0</v>
      </c>
      <c r="AI12" s="13"/>
      <c r="AJ12" s="953">
        <v>0</v>
      </c>
      <c r="AK12" s="953">
        <v>0</v>
      </c>
      <c r="AL12" s="953">
        <v>0</v>
      </c>
      <c r="AM12" s="13"/>
      <c r="AN12" s="9">
        <v>1</v>
      </c>
      <c r="AO12" s="955">
        <v>0.1</v>
      </c>
      <c r="AP12" s="13"/>
      <c r="AQ12"/>
      <c r="AR12"/>
      <c r="AS12"/>
      <c r="AT12">
        <v>1</v>
      </c>
      <c r="AU12" t="str">
        <f t="shared" si="4"/>
        <v>2000Q3</v>
      </c>
      <c r="AV12">
        <f t="shared" si="5"/>
        <v>2000</v>
      </c>
      <c r="AW12" s="111">
        <f t="shared" si="1"/>
        <v>36708</v>
      </c>
      <c r="AX12" s="136">
        <v>0</v>
      </c>
      <c r="AY12" s="136">
        <v>0</v>
      </c>
      <c r="AZ12" s="136">
        <v>0</v>
      </c>
      <c r="BA12" s="137">
        <v>1</v>
      </c>
      <c r="BB12" s="137">
        <v>1</v>
      </c>
      <c r="BC12" s="137">
        <v>1</v>
      </c>
      <c r="BD12" s="137">
        <v>0</v>
      </c>
      <c r="BE12" s="137"/>
      <c r="BF12" s="137">
        <v>0</v>
      </c>
      <c r="BG12" s="145">
        <v>0</v>
      </c>
      <c r="BH12" s="886"/>
      <c r="BI12" s="938"/>
      <c r="BJ12" s="153"/>
      <c r="BK12" s="1443">
        <v>0</v>
      </c>
      <c r="BL12" s="905">
        <f t="shared" si="0"/>
        <v>0</v>
      </c>
      <c r="BM12" s="1287">
        <f t="shared" si="2"/>
        <v>0</v>
      </c>
      <c r="BN12" s="154"/>
      <c r="BO12" s="1377">
        <v>2.4</v>
      </c>
      <c r="BP12" s="2"/>
      <c r="BQ12" s="1379">
        <f t="shared" si="6"/>
        <v>2.3098410297584819</v>
      </c>
      <c r="BR12" s="1379">
        <f t="shared" si="3"/>
        <v>1.8264101898846024</v>
      </c>
      <c r="BS12" s="153">
        <v>0</v>
      </c>
      <c r="BU12" s="1389">
        <f t="shared" si="7"/>
        <v>36281</v>
      </c>
      <c r="BV12" s="1390">
        <v>2.1600742366681946</v>
      </c>
      <c r="BW12" s="1390">
        <v>1.6586596160640243</v>
      </c>
      <c r="BX12" s="1390"/>
      <c r="BY12" s="1390">
        <v>2.2032757214015586</v>
      </c>
      <c r="BZ12" s="1391">
        <v>1.6918328083853049</v>
      </c>
      <c r="CA12" s="2"/>
      <c r="CB12" s="2"/>
      <c r="CC12" s="2"/>
      <c r="CD12" s="2"/>
      <c r="CE12" s="2"/>
      <c r="CF12" s="2"/>
      <c r="CG12" s="2"/>
      <c r="CH12" s="2"/>
      <c r="CI12" s="2"/>
    </row>
    <row r="13" spans="1:92">
      <c r="A13" s="957"/>
      <c r="B13" s="951">
        <v>36513</v>
      </c>
      <c r="C13" s="952">
        <v>0</v>
      </c>
      <c r="D13" s="952">
        <v>0</v>
      </c>
      <c r="E13" s="952">
        <v>0</v>
      </c>
      <c r="F13" s="950"/>
      <c r="G13" s="952">
        <v>0</v>
      </c>
      <c r="H13" s="952">
        <v>0</v>
      </c>
      <c r="I13" s="952">
        <v>0</v>
      </c>
      <c r="J13" s="9"/>
      <c r="K13" s="944">
        <v>36586</v>
      </c>
      <c r="L13" s="953">
        <v>0</v>
      </c>
      <c r="M13" s="953">
        <v>0</v>
      </c>
      <c r="N13" s="953">
        <v>0</v>
      </c>
      <c r="O13" s="13"/>
      <c r="P13" s="953">
        <v>0</v>
      </c>
      <c r="Q13" s="953">
        <v>0</v>
      </c>
      <c r="R13" s="953">
        <v>0</v>
      </c>
      <c r="S13" s="13"/>
      <c r="T13" s="953">
        <v>0</v>
      </c>
      <c r="U13" s="953">
        <v>0</v>
      </c>
      <c r="V13" s="953">
        <v>0</v>
      </c>
      <c r="W13" s="13"/>
      <c r="X13" s="953">
        <v>0</v>
      </c>
      <c r="Y13" s="953">
        <v>0</v>
      </c>
      <c r="Z13" s="953">
        <v>0</v>
      </c>
      <c r="AA13" s="13">
        <v>0</v>
      </c>
      <c r="AB13" s="953">
        <v>0</v>
      </c>
      <c r="AC13" s="953">
        <v>0</v>
      </c>
      <c r="AD13" s="953">
        <v>0</v>
      </c>
      <c r="AE13" s="13"/>
      <c r="AF13" s="953">
        <v>0</v>
      </c>
      <c r="AG13" s="953">
        <v>0</v>
      </c>
      <c r="AH13" s="953">
        <v>0</v>
      </c>
      <c r="AI13" s="13"/>
      <c r="AJ13" s="953">
        <v>0</v>
      </c>
      <c r="AK13" s="953">
        <v>0</v>
      </c>
      <c r="AL13" s="953">
        <v>0</v>
      </c>
      <c r="AM13" s="13"/>
      <c r="AN13" s="9">
        <v>2</v>
      </c>
      <c r="AO13" s="955">
        <v>0.1</v>
      </c>
      <c r="AP13" s="13"/>
      <c r="AQ13"/>
      <c r="AR13"/>
      <c r="AS13"/>
      <c r="AT13">
        <v>1</v>
      </c>
      <c r="AU13" t="str">
        <f t="shared" si="4"/>
        <v>2000Q3</v>
      </c>
      <c r="AV13">
        <f t="shared" si="5"/>
        <v>2000</v>
      </c>
      <c r="AW13" s="111">
        <f t="shared" si="1"/>
        <v>36739</v>
      </c>
      <c r="AX13" s="136">
        <v>0</v>
      </c>
      <c r="AY13" s="136">
        <v>0</v>
      </c>
      <c r="AZ13" s="136">
        <v>0</v>
      </c>
      <c r="BA13" s="137">
        <v>1</v>
      </c>
      <c r="BB13" s="137">
        <v>1</v>
      </c>
      <c r="BC13" s="137">
        <v>1</v>
      </c>
      <c r="BD13" s="137">
        <v>0</v>
      </c>
      <c r="BE13" s="137"/>
      <c r="BF13" s="137">
        <v>0</v>
      </c>
      <c r="BG13" s="145">
        <v>0</v>
      </c>
      <c r="BH13" s="886"/>
      <c r="BI13" s="938"/>
      <c r="BJ13" s="153"/>
      <c r="BK13" s="1443">
        <v>0</v>
      </c>
      <c r="BL13" s="905">
        <f t="shared" si="0"/>
        <v>0</v>
      </c>
      <c r="BM13" s="1287">
        <f t="shared" si="2"/>
        <v>0</v>
      </c>
      <c r="BN13" s="154"/>
      <c r="BO13" s="1377">
        <v>2.4</v>
      </c>
      <c r="BQ13" s="1379">
        <f t="shared" si="6"/>
        <v>2.3642659014032139</v>
      </c>
      <c r="BR13" s="1379">
        <f t="shared" si="3"/>
        <v>1.8698208855251046</v>
      </c>
      <c r="BS13" s="153">
        <v>0</v>
      </c>
      <c r="BT13" s="208"/>
      <c r="BU13" s="1389">
        <f t="shared" si="7"/>
        <v>36312</v>
      </c>
      <c r="BV13" s="1390">
        <v>2.1638296629190572</v>
      </c>
      <c r="BW13" s="1390">
        <v>1.6641189400618841</v>
      </c>
      <c r="BX13" s="1390"/>
      <c r="BY13" s="1390">
        <v>2.2071062561774384</v>
      </c>
      <c r="BZ13" s="1391">
        <v>1.6974013188631218</v>
      </c>
      <c r="CA13" s="7"/>
      <c r="CB13" s="7"/>
      <c r="CC13" s="7"/>
      <c r="CD13" s="7"/>
      <c r="CE13" s="7"/>
      <c r="CF13" s="7"/>
      <c r="CG13" s="7"/>
      <c r="CH13" s="7"/>
      <c r="CI13" s="7"/>
    </row>
    <row r="14" spans="1:92">
      <c r="A14" s="957"/>
      <c r="B14" s="951">
        <v>36514</v>
      </c>
      <c r="C14" s="952">
        <v>0</v>
      </c>
      <c r="D14" s="952">
        <v>0</v>
      </c>
      <c r="E14" s="952">
        <v>0</v>
      </c>
      <c r="F14" s="950"/>
      <c r="G14" s="952">
        <v>0</v>
      </c>
      <c r="H14" s="952">
        <v>0</v>
      </c>
      <c r="I14" s="952">
        <v>0</v>
      </c>
      <c r="J14" s="9"/>
      <c r="K14" s="944">
        <v>36617</v>
      </c>
      <c r="L14" s="953">
        <v>0</v>
      </c>
      <c r="M14" s="953">
        <v>0</v>
      </c>
      <c r="N14" s="953">
        <v>0</v>
      </c>
      <c r="O14" s="13"/>
      <c r="P14" s="953">
        <v>0</v>
      </c>
      <c r="Q14" s="953">
        <v>0</v>
      </c>
      <c r="R14" s="953">
        <v>0</v>
      </c>
      <c r="S14" s="13"/>
      <c r="T14" s="953">
        <v>0</v>
      </c>
      <c r="U14" s="953">
        <v>0</v>
      </c>
      <c r="V14" s="953">
        <v>0</v>
      </c>
      <c r="W14" s="13"/>
      <c r="X14" s="953">
        <v>0</v>
      </c>
      <c r="Y14" s="953">
        <v>0</v>
      </c>
      <c r="Z14" s="953">
        <v>0</v>
      </c>
      <c r="AA14" s="13">
        <v>0</v>
      </c>
      <c r="AB14" s="953">
        <v>0</v>
      </c>
      <c r="AC14" s="953">
        <v>0</v>
      </c>
      <c r="AD14" s="953">
        <v>0</v>
      </c>
      <c r="AE14" s="13"/>
      <c r="AF14" s="953">
        <v>0</v>
      </c>
      <c r="AG14" s="953">
        <v>0</v>
      </c>
      <c r="AH14" s="953">
        <v>0</v>
      </c>
      <c r="AI14" s="13"/>
      <c r="AJ14" s="953">
        <v>0</v>
      </c>
      <c r="AK14" s="953">
        <v>0</v>
      </c>
      <c r="AL14" s="953">
        <v>0</v>
      </c>
      <c r="AM14" s="13"/>
      <c r="AN14" s="9">
        <v>2</v>
      </c>
      <c r="AO14" s="955">
        <v>0.1</v>
      </c>
      <c r="AP14" s="13"/>
      <c r="AQ14"/>
      <c r="AR14"/>
      <c r="AS14"/>
      <c r="AT14">
        <v>1</v>
      </c>
      <c r="AU14" t="str">
        <f t="shared" si="4"/>
        <v>2000Q3</v>
      </c>
      <c r="AV14">
        <f t="shared" si="5"/>
        <v>2000</v>
      </c>
      <c r="AW14" s="111">
        <f t="shared" si="1"/>
        <v>36770</v>
      </c>
      <c r="AX14" s="136">
        <v>0</v>
      </c>
      <c r="AY14" s="136">
        <v>0</v>
      </c>
      <c r="AZ14" s="136">
        <v>0</v>
      </c>
      <c r="BA14" s="137">
        <v>1</v>
      </c>
      <c r="BB14" s="137">
        <v>1</v>
      </c>
      <c r="BC14" s="137">
        <v>1</v>
      </c>
      <c r="BD14" s="137">
        <v>0</v>
      </c>
      <c r="BE14" s="137"/>
      <c r="BF14" s="137">
        <v>0</v>
      </c>
      <c r="BG14" s="145">
        <v>0</v>
      </c>
      <c r="BH14" s="886"/>
      <c r="BI14" s="938"/>
      <c r="BJ14" s="153"/>
      <c r="BK14" s="1443">
        <v>0</v>
      </c>
      <c r="BL14" s="1535">
        <f t="shared" si="0"/>
        <v>0</v>
      </c>
      <c r="BM14" s="1287">
        <f t="shared" si="2"/>
        <v>0</v>
      </c>
      <c r="BN14" s="154"/>
      <c r="BO14" s="1377">
        <v>2.4</v>
      </c>
      <c r="BQ14" s="1379">
        <f t="shared" si="6"/>
        <v>2.4439241226286859</v>
      </c>
      <c r="BR14" s="1379">
        <f t="shared" si="3"/>
        <v>1.9225037685839657</v>
      </c>
      <c r="BS14" s="153">
        <v>0</v>
      </c>
      <c r="BT14" s="208"/>
      <c r="BU14" s="1389">
        <f t="shared" si="7"/>
        <v>36342</v>
      </c>
      <c r="BV14" s="1390">
        <v>2.1915259315191715</v>
      </c>
      <c r="BW14" s="1390">
        <v>1.6898557531946512</v>
      </c>
      <c r="BX14" s="1390"/>
      <c r="BY14" s="1390">
        <v>2.2353564501495549</v>
      </c>
      <c r="BZ14" s="1391">
        <v>1.7236528682585444</v>
      </c>
      <c r="CA14" s="2"/>
      <c r="CB14" s="2"/>
      <c r="CC14" s="2"/>
      <c r="CD14" s="2"/>
      <c r="CE14" s="2"/>
      <c r="CF14" s="2"/>
      <c r="CG14" s="2"/>
      <c r="CH14" s="2"/>
      <c r="CI14" s="2"/>
    </row>
    <row r="15" spans="1:92">
      <c r="A15" s="957"/>
      <c r="B15" s="951">
        <v>36515</v>
      </c>
      <c r="C15" s="952">
        <v>0</v>
      </c>
      <c r="D15" s="952">
        <v>0</v>
      </c>
      <c r="E15" s="952">
        <v>0</v>
      </c>
      <c r="F15" s="950"/>
      <c r="G15" s="952">
        <v>0</v>
      </c>
      <c r="H15" s="952">
        <v>0</v>
      </c>
      <c r="I15" s="952">
        <v>0</v>
      </c>
      <c r="J15" s="9"/>
      <c r="K15" s="944">
        <v>36647</v>
      </c>
      <c r="L15" s="953">
        <v>0</v>
      </c>
      <c r="M15" s="953">
        <v>0</v>
      </c>
      <c r="N15" s="953">
        <v>0</v>
      </c>
      <c r="O15" s="13"/>
      <c r="P15" s="953">
        <v>0</v>
      </c>
      <c r="Q15" s="953">
        <v>0</v>
      </c>
      <c r="R15" s="953">
        <v>0</v>
      </c>
      <c r="S15" s="13"/>
      <c r="T15" s="953">
        <v>0</v>
      </c>
      <c r="U15" s="953">
        <v>0</v>
      </c>
      <c r="V15" s="953">
        <v>0</v>
      </c>
      <c r="W15" s="13"/>
      <c r="X15" s="953">
        <v>0</v>
      </c>
      <c r="Y15" s="953">
        <v>0</v>
      </c>
      <c r="Z15" s="953">
        <v>0</v>
      </c>
      <c r="AA15" s="13">
        <v>0</v>
      </c>
      <c r="AB15" s="953">
        <v>0</v>
      </c>
      <c r="AC15" s="953">
        <v>0</v>
      </c>
      <c r="AD15" s="953">
        <v>0</v>
      </c>
      <c r="AE15" s="13"/>
      <c r="AF15" s="953">
        <v>0</v>
      </c>
      <c r="AG15" s="953">
        <v>0</v>
      </c>
      <c r="AH15" s="953">
        <v>0</v>
      </c>
      <c r="AI15" s="13"/>
      <c r="AJ15" s="953">
        <v>0</v>
      </c>
      <c r="AK15" s="953">
        <v>0</v>
      </c>
      <c r="AL15" s="953">
        <v>0</v>
      </c>
      <c r="AM15" s="13"/>
      <c r="AN15" s="9">
        <v>2</v>
      </c>
      <c r="AO15" s="955">
        <v>0.1</v>
      </c>
      <c r="AP15" s="13"/>
      <c r="AQ15"/>
      <c r="AR15"/>
      <c r="AS15"/>
      <c r="AT15">
        <v>1</v>
      </c>
      <c r="AU15" t="str">
        <f t="shared" si="4"/>
        <v>2000Q4</v>
      </c>
      <c r="AV15">
        <f t="shared" si="5"/>
        <v>2000</v>
      </c>
      <c r="AW15" s="111">
        <f t="shared" si="1"/>
        <v>36800</v>
      </c>
      <c r="AX15" s="136">
        <v>0</v>
      </c>
      <c r="AY15" s="136">
        <v>0</v>
      </c>
      <c r="AZ15" s="136">
        <v>0</v>
      </c>
      <c r="BA15" s="137">
        <v>1</v>
      </c>
      <c r="BB15" s="137">
        <v>1</v>
      </c>
      <c r="BC15" s="137">
        <v>1</v>
      </c>
      <c r="BD15" s="137">
        <v>0</v>
      </c>
      <c r="BE15" s="137"/>
      <c r="BF15" s="137">
        <v>0</v>
      </c>
      <c r="BG15" s="145">
        <v>0</v>
      </c>
      <c r="BH15" s="886"/>
      <c r="BI15" s="938"/>
      <c r="BJ15" s="153"/>
      <c r="BK15" s="1443">
        <v>0</v>
      </c>
      <c r="BL15" s="905">
        <f t="shared" si="0"/>
        <v>0</v>
      </c>
      <c r="BM15" s="1287">
        <f t="shared" si="2"/>
        <v>0</v>
      </c>
      <c r="BN15" s="154"/>
      <c r="BO15" s="1377">
        <v>2.4</v>
      </c>
      <c r="BQ15" s="1379">
        <f t="shared" si="6"/>
        <v>2.5488156934348973</v>
      </c>
      <c r="BR15" s="1379">
        <f t="shared" si="3"/>
        <v>1.9781368930941234</v>
      </c>
      <c r="BS15" s="153">
        <v>0</v>
      </c>
      <c r="BT15" s="208"/>
      <c r="BU15" s="1389">
        <f t="shared" si="7"/>
        <v>36373</v>
      </c>
      <c r="BV15" s="1390">
        <v>2.2431630424685358</v>
      </c>
      <c r="BW15" s="1390">
        <v>1.7300207797503337</v>
      </c>
      <c r="BX15" s="1390"/>
      <c r="BY15" s="1390">
        <v>2.2880263033179067</v>
      </c>
      <c r="BZ15" s="1391">
        <v>1.7646211953453403</v>
      </c>
      <c r="CA15" s="7"/>
      <c r="CB15" s="7"/>
      <c r="CC15" s="7"/>
      <c r="CD15" s="7"/>
      <c r="CE15" s="7"/>
      <c r="CF15" s="7"/>
      <c r="CG15" s="7"/>
      <c r="CH15" s="7"/>
      <c r="CI15" s="7"/>
    </row>
    <row r="16" spans="1:92">
      <c r="A16" s="957"/>
      <c r="B16" s="951">
        <v>36516</v>
      </c>
      <c r="C16" s="952">
        <v>0</v>
      </c>
      <c r="D16" s="952">
        <v>0</v>
      </c>
      <c r="E16" s="952">
        <v>0</v>
      </c>
      <c r="F16" s="950"/>
      <c r="G16" s="952">
        <v>0</v>
      </c>
      <c r="H16" s="952">
        <v>0</v>
      </c>
      <c r="I16" s="952">
        <v>0</v>
      </c>
      <c r="J16" s="9"/>
      <c r="K16" s="1453">
        <v>36678</v>
      </c>
      <c r="L16" s="953">
        <v>0</v>
      </c>
      <c r="M16" s="953">
        <v>0</v>
      </c>
      <c r="N16" s="953">
        <v>0</v>
      </c>
      <c r="O16" s="13"/>
      <c r="P16" s="953">
        <v>0</v>
      </c>
      <c r="Q16" s="953">
        <v>0</v>
      </c>
      <c r="R16" s="953">
        <v>0</v>
      </c>
      <c r="S16" s="13"/>
      <c r="T16" s="1454">
        <v>0</v>
      </c>
      <c r="U16" s="1454">
        <v>0</v>
      </c>
      <c r="V16" s="1454">
        <v>0</v>
      </c>
      <c r="W16" s="1322"/>
      <c r="X16" s="953">
        <v>0</v>
      </c>
      <c r="Y16" s="953">
        <v>0</v>
      </c>
      <c r="Z16" s="953">
        <v>0</v>
      </c>
      <c r="AA16" s="13">
        <v>0</v>
      </c>
      <c r="AB16" s="953">
        <v>0</v>
      </c>
      <c r="AC16" s="953">
        <v>0</v>
      </c>
      <c r="AD16" s="953">
        <v>0</v>
      </c>
      <c r="AE16" s="13"/>
      <c r="AF16" s="953">
        <v>0</v>
      </c>
      <c r="AG16" s="953">
        <v>0</v>
      </c>
      <c r="AH16" s="953">
        <v>0</v>
      </c>
      <c r="AI16" s="13"/>
      <c r="AJ16" s="953">
        <v>0</v>
      </c>
      <c r="AK16" s="953">
        <v>0</v>
      </c>
      <c r="AL16" s="953">
        <v>0</v>
      </c>
      <c r="AM16" s="1455"/>
      <c r="AN16" s="9">
        <v>3</v>
      </c>
      <c r="AO16" s="955">
        <v>0.1</v>
      </c>
      <c r="AP16" s="13"/>
      <c r="AQ16"/>
      <c r="AR16"/>
      <c r="AS16"/>
      <c r="AT16">
        <v>1</v>
      </c>
      <c r="AU16" t="str">
        <f t="shared" si="4"/>
        <v>2000Q4</v>
      </c>
      <c r="AV16">
        <f t="shared" si="5"/>
        <v>2000</v>
      </c>
      <c r="AW16" s="111">
        <f t="shared" si="1"/>
        <v>36831</v>
      </c>
      <c r="AX16" s="136">
        <v>0</v>
      </c>
      <c r="AY16" s="136">
        <v>0</v>
      </c>
      <c r="AZ16" s="136">
        <v>0</v>
      </c>
      <c r="BA16" s="137">
        <v>1</v>
      </c>
      <c r="BB16" s="137">
        <v>1</v>
      </c>
      <c r="BC16" s="137">
        <v>1</v>
      </c>
      <c r="BD16" s="137">
        <v>0</v>
      </c>
      <c r="BE16" s="137"/>
      <c r="BF16" s="137">
        <v>0</v>
      </c>
      <c r="BG16" s="145">
        <v>0</v>
      </c>
      <c r="BH16" s="886"/>
      <c r="BI16" s="938"/>
      <c r="BJ16" s="153"/>
      <c r="BK16" s="1443">
        <v>0</v>
      </c>
      <c r="BL16" s="905">
        <f t="shared" si="0"/>
        <v>0</v>
      </c>
      <c r="BM16" s="1287">
        <f t="shared" si="2"/>
        <v>0</v>
      </c>
      <c r="BN16" s="154"/>
      <c r="BO16" s="1377">
        <v>2.4</v>
      </c>
      <c r="BQ16" s="1379">
        <f t="shared" si="6"/>
        <v>2.6789406138218488</v>
      </c>
      <c r="BR16" s="1379">
        <f t="shared" si="3"/>
        <v>2.0303983130885142</v>
      </c>
      <c r="BS16" s="153">
        <v>0</v>
      </c>
      <c r="BT16" s="208"/>
      <c r="BU16" s="1389">
        <f t="shared" si="7"/>
        <v>36404</v>
      </c>
      <c r="BV16" s="1390">
        <v>2.3187409957671514</v>
      </c>
      <c r="BW16" s="1390">
        <v>1.7787647440169385</v>
      </c>
      <c r="BX16" s="1390"/>
      <c r="BY16" s="1390">
        <v>2.3651158156824943</v>
      </c>
      <c r="BZ16" s="1391">
        <v>1.8143400388972772</v>
      </c>
      <c r="CA16" s="2"/>
      <c r="CB16" s="2"/>
      <c r="CC16" s="2"/>
      <c r="CD16" s="2"/>
      <c r="CE16" s="2"/>
      <c r="CF16" s="2"/>
      <c r="CG16" s="2"/>
      <c r="CH16" s="2"/>
      <c r="CI16" s="2"/>
    </row>
    <row r="17" spans="1:87">
      <c r="A17" s="957"/>
      <c r="B17" s="951">
        <v>36517</v>
      </c>
      <c r="C17" s="952">
        <v>0</v>
      </c>
      <c r="D17" s="952">
        <v>0</v>
      </c>
      <c r="E17" s="952">
        <v>0</v>
      </c>
      <c r="F17" s="950"/>
      <c r="G17" s="952">
        <v>0</v>
      </c>
      <c r="H17" s="952">
        <v>0</v>
      </c>
      <c r="I17" s="952">
        <v>0</v>
      </c>
      <c r="J17" s="9"/>
      <c r="K17" s="944">
        <v>36708</v>
      </c>
      <c r="L17" s="953">
        <v>0</v>
      </c>
      <c r="M17" s="953">
        <v>0</v>
      </c>
      <c r="N17" s="953">
        <v>0</v>
      </c>
      <c r="O17" s="13"/>
      <c r="P17" s="953">
        <v>0</v>
      </c>
      <c r="Q17" s="953">
        <v>0</v>
      </c>
      <c r="R17" s="953">
        <v>0</v>
      </c>
      <c r="S17" s="13"/>
      <c r="T17" s="953">
        <v>0</v>
      </c>
      <c r="U17" s="953">
        <v>0</v>
      </c>
      <c r="V17" s="953">
        <v>0</v>
      </c>
      <c r="W17" s="13"/>
      <c r="X17" s="953">
        <v>0</v>
      </c>
      <c r="Y17" s="953">
        <v>0</v>
      </c>
      <c r="Z17" s="953">
        <v>0</v>
      </c>
      <c r="AA17" s="13">
        <v>0</v>
      </c>
      <c r="AB17" s="953">
        <v>0</v>
      </c>
      <c r="AC17" s="953">
        <v>0</v>
      </c>
      <c r="AD17" s="953">
        <v>0</v>
      </c>
      <c r="AE17" s="13"/>
      <c r="AF17" s="953">
        <v>0</v>
      </c>
      <c r="AG17" s="953">
        <v>0</v>
      </c>
      <c r="AH17" s="953">
        <v>0</v>
      </c>
      <c r="AI17" s="13"/>
      <c r="AJ17" s="953">
        <v>0</v>
      </c>
      <c r="AK17" s="953">
        <v>0</v>
      </c>
      <c r="AL17" s="953">
        <v>0</v>
      </c>
      <c r="AM17" s="1455"/>
      <c r="AN17" s="9">
        <v>3</v>
      </c>
      <c r="AO17" s="955">
        <v>0.1</v>
      </c>
      <c r="AP17" s="13"/>
      <c r="AQ17"/>
      <c r="AR17"/>
      <c r="AS17"/>
      <c r="AT17">
        <v>1</v>
      </c>
      <c r="AU17" t="str">
        <f t="shared" si="4"/>
        <v>2000Q4</v>
      </c>
      <c r="AV17">
        <f t="shared" si="5"/>
        <v>2000</v>
      </c>
      <c r="AW17" s="111">
        <f t="shared" si="1"/>
        <v>36861</v>
      </c>
      <c r="AX17" s="136">
        <v>0</v>
      </c>
      <c r="AY17" s="136">
        <v>0</v>
      </c>
      <c r="AZ17" s="136">
        <v>0</v>
      </c>
      <c r="BA17" s="137">
        <v>1</v>
      </c>
      <c r="BB17" s="137">
        <v>1</v>
      </c>
      <c r="BC17" s="137">
        <v>1</v>
      </c>
      <c r="BD17" s="137">
        <v>0</v>
      </c>
      <c r="BE17" s="137"/>
      <c r="BF17" s="137">
        <v>0</v>
      </c>
      <c r="BG17" s="145">
        <v>0</v>
      </c>
      <c r="BH17" s="886"/>
      <c r="BI17" s="938"/>
      <c r="BJ17" s="153"/>
      <c r="BK17" s="1443">
        <v>0</v>
      </c>
      <c r="BL17" s="905">
        <f t="shared" si="0"/>
        <v>0</v>
      </c>
      <c r="BM17" s="1287">
        <f t="shared" si="2"/>
        <v>0</v>
      </c>
      <c r="BN17" s="154"/>
      <c r="BO17" s="1377">
        <v>2.4</v>
      </c>
      <c r="BQ17" s="1379">
        <f t="shared" si="6"/>
        <v>2.7355325849011618</v>
      </c>
      <c r="BR17" s="1379">
        <f t="shared" si="3"/>
        <v>2.0729660826000731</v>
      </c>
      <c r="BS17" s="153">
        <v>0</v>
      </c>
      <c r="BT17" s="208"/>
      <c r="BU17" s="1389">
        <f t="shared" si="7"/>
        <v>36434</v>
      </c>
      <c r="BV17" s="1390">
        <v>2.4182597914150179</v>
      </c>
      <c r="BW17" s="1390">
        <v>1.8302383702824732</v>
      </c>
      <c r="BX17" s="1390"/>
      <c r="BY17" s="1390">
        <v>2.4666249872433181</v>
      </c>
      <c r="BZ17" s="1391">
        <v>1.8668431376881227</v>
      </c>
      <c r="CA17" s="2"/>
      <c r="CB17" s="2"/>
      <c r="CC17" s="2"/>
      <c r="CD17" s="2"/>
      <c r="CE17" s="2"/>
      <c r="CF17" s="2"/>
      <c r="CG17" s="2"/>
      <c r="CH17" s="2"/>
      <c r="CI17" s="2"/>
    </row>
    <row r="18" spans="1:87">
      <c r="A18" s="957"/>
      <c r="B18" s="951">
        <v>36518</v>
      </c>
      <c r="C18" s="952">
        <v>0</v>
      </c>
      <c r="D18" s="952">
        <v>0</v>
      </c>
      <c r="E18" s="952">
        <v>0</v>
      </c>
      <c r="F18" s="950"/>
      <c r="G18" s="952">
        <v>0</v>
      </c>
      <c r="H18" s="952">
        <v>0</v>
      </c>
      <c r="I18" s="952">
        <v>0</v>
      </c>
      <c r="J18" s="9"/>
      <c r="K18" s="944">
        <v>36739</v>
      </c>
      <c r="L18" s="953">
        <v>0</v>
      </c>
      <c r="M18" s="953">
        <v>0</v>
      </c>
      <c r="N18" s="953">
        <v>0</v>
      </c>
      <c r="O18" s="13"/>
      <c r="P18" s="953">
        <v>0</v>
      </c>
      <c r="Q18" s="953">
        <v>0</v>
      </c>
      <c r="R18" s="953">
        <v>0</v>
      </c>
      <c r="S18" s="13"/>
      <c r="T18" s="953">
        <v>0</v>
      </c>
      <c r="U18" s="953">
        <v>0</v>
      </c>
      <c r="V18" s="953">
        <v>0</v>
      </c>
      <c r="W18" s="13"/>
      <c r="X18" s="953">
        <v>0</v>
      </c>
      <c r="Y18" s="953">
        <v>0</v>
      </c>
      <c r="Z18" s="953">
        <v>0</v>
      </c>
      <c r="AA18" s="13">
        <v>0</v>
      </c>
      <c r="AB18" s="953">
        <v>0</v>
      </c>
      <c r="AC18" s="953">
        <v>0</v>
      </c>
      <c r="AD18" s="953">
        <v>0</v>
      </c>
      <c r="AE18" s="13"/>
      <c r="AF18" s="953">
        <v>0</v>
      </c>
      <c r="AG18" s="953">
        <v>0</v>
      </c>
      <c r="AH18" s="953">
        <v>0</v>
      </c>
      <c r="AI18" s="13"/>
      <c r="AJ18" s="953">
        <v>0</v>
      </c>
      <c r="AK18" s="953">
        <v>0</v>
      </c>
      <c r="AL18" s="953">
        <v>0</v>
      </c>
      <c r="AM18" s="1455"/>
      <c r="AN18" s="9">
        <v>3</v>
      </c>
      <c r="AO18" s="955">
        <v>0.1</v>
      </c>
      <c r="AP18" s="13"/>
      <c r="AQ18"/>
      <c r="AR18"/>
      <c r="AS18"/>
      <c r="AT18">
        <v>1</v>
      </c>
      <c r="AU18" t="str">
        <f t="shared" si="4"/>
        <v>2001Q1</v>
      </c>
      <c r="AV18">
        <f t="shared" si="5"/>
        <v>2001</v>
      </c>
      <c r="AW18" s="111">
        <f t="shared" si="1"/>
        <v>36892</v>
      </c>
      <c r="AX18" s="136">
        <f>AY18</f>
        <v>3.2058133937898456</v>
      </c>
      <c r="AY18" s="1541">
        <v>3.2058133937898456</v>
      </c>
      <c r="AZ18" s="136">
        <f>AY18</f>
        <v>3.2058133937898456</v>
      </c>
      <c r="BA18" s="137">
        <v>1</v>
      </c>
      <c r="BB18" s="137">
        <v>1</v>
      </c>
      <c r="BC18" s="137">
        <v>1</v>
      </c>
      <c r="BD18" s="137">
        <v>0</v>
      </c>
      <c r="BE18" s="137"/>
      <c r="BF18" s="137">
        <v>0</v>
      </c>
      <c r="BG18" s="145">
        <v>0</v>
      </c>
      <c r="BH18" s="886"/>
      <c r="BI18" s="938"/>
      <c r="BJ18" s="153"/>
      <c r="BK18" s="1443">
        <v>0</v>
      </c>
      <c r="BL18" s="905">
        <f>+AY18</f>
        <v>3.2058133937898456</v>
      </c>
      <c r="BM18" s="1287">
        <f t="shared" si="2"/>
        <v>3.2058133937898456</v>
      </c>
      <c r="BN18" s="1282" t="e">
        <f>+BM18/BM6-1</f>
        <v>#DIV/0!</v>
      </c>
      <c r="BO18" s="1377">
        <v>2.4</v>
      </c>
      <c r="BQ18" s="1379">
        <f t="shared" si="6"/>
        <v>2.6895521637852888</v>
      </c>
      <c r="BR18" s="1379">
        <f t="shared" si="3"/>
        <v>2.2251185375856992</v>
      </c>
      <c r="BS18" s="153">
        <v>0</v>
      </c>
      <c r="BT18" s="208"/>
      <c r="BU18" s="1389">
        <f t="shared" si="7"/>
        <v>36465</v>
      </c>
      <c r="BV18" s="1390">
        <v>2.5417194294121357</v>
      </c>
      <c r="BW18" s="1390">
        <v>1.8785923828349456</v>
      </c>
      <c r="BX18" s="1390"/>
      <c r="BY18" s="1390">
        <v>2.5925538180003787</v>
      </c>
      <c r="BZ18" s="1391">
        <v>1.9161642304916444</v>
      </c>
    </row>
    <row r="19" spans="1:87">
      <c r="A19" s="957"/>
      <c r="B19" s="951">
        <v>36519</v>
      </c>
      <c r="C19" s="952">
        <v>0</v>
      </c>
      <c r="D19" s="952">
        <v>0</v>
      </c>
      <c r="E19" s="952">
        <v>0</v>
      </c>
      <c r="F19" s="950"/>
      <c r="G19" s="952">
        <v>0</v>
      </c>
      <c r="H19" s="952">
        <v>0</v>
      </c>
      <c r="I19" s="952">
        <v>0</v>
      </c>
      <c r="J19" s="9"/>
      <c r="K19" s="944">
        <v>36770</v>
      </c>
      <c r="L19" s="953">
        <v>0</v>
      </c>
      <c r="M19" s="953">
        <v>0</v>
      </c>
      <c r="N19" s="953">
        <v>0</v>
      </c>
      <c r="O19" s="13"/>
      <c r="P19" s="953">
        <v>0</v>
      </c>
      <c r="Q19" s="953">
        <v>0</v>
      </c>
      <c r="R19" s="953">
        <v>0</v>
      </c>
      <c r="S19" s="13"/>
      <c r="T19" s="953">
        <v>0</v>
      </c>
      <c r="U19" s="953">
        <v>0</v>
      </c>
      <c r="V19" s="953">
        <v>0</v>
      </c>
      <c r="W19" s="13"/>
      <c r="X19" s="953">
        <v>0</v>
      </c>
      <c r="Y19" s="953">
        <v>0</v>
      </c>
      <c r="Z19" s="953">
        <v>0</v>
      </c>
      <c r="AA19" s="13">
        <v>0</v>
      </c>
      <c r="AB19" s="953">
        <v>0</v>
      </c>
      <c r="AC19" s="953">
        <v>0</v>
      </c>
      <c r="AD19" s="953">
        <v>0</v>
      </c>
      <c r="AE19" s="13"/>
      <c r="AF19" s="953">
        <v>0</v>
      </c>
      <c r="AG19" s="953">
        <v>0</v>
      </c>
      <c r="AH19" s="953">
        <v>0</v>
      </c>
      <c r="AI19" s="13"/>
      <c r="AJ19" s="953">
        <v>0</v>
      </c>
      <c r="AK19" s="953">
        <v>0</v>
      </c>
      <c r="AL19" s="953">
        <v>0</v>
      </c>
      <c r="AM19" s="1455"/>
      <c r="AN19" s="9">
        <v>4</v>
      </c>
      <c r="AO19" s="955">
        <v>0.1</v>
      </c>
      <c r="AP19" s="13"/>
      <c r="AQ19"/>
      <c r="AR19"/>
      <c r="AS19"/>
      <c r="AT19">
        <v>1</v>
      </c>
      <c r="AU19" t="str">
        <f t="shared" si="4"/>
        <v>2001Q1</v>
      </c>
      <c r="AV19">
        <f t="shared" si="5"/>
        <v>2001</v>
      </c>
      <c r="AW19" s="111">
        <f t="shared" si="1"/>
        <v>36923</v>
      </c>
      <c r="AX19" s="136">
        <f t="shared" ref="AX19:AX82" si="8">AY19</f>
        <v>3.0409595417907727</v>
      </c>
      <c r="AY19" s="1541">
        <v>3.0409595417907727</v>
      </c>
      <c r="AZ19" s="136">
        <f t="shared" ref="AZ19:AZ82" si="9">AY19</f>
        <v>3.0409595417907727</v>
      </c>
      <c r="BA19" s="137">
        <v>1</v>
      </c>
      <c r="BB19" s="137">
        <v>1</v>
      </c>
      <c r="BC19" s="137">
        <v>1</v>
      </c>
      <c r="BD19" s="137">
        <v>0</v>
      </c>
      <c r="BE19" s="137"/>
      <c r="BF19" s="137">
        <v>0</v>
      </c>
      <c r="BG19" s="145">
        <v>0</v>
      </c>
      <c r="BH19" s="886"/>
      <c r="BI19" s="938"/>
      <c r="BJ19" s="153"/>
      <c r="BK19" s="1443">
        <v>0</v>
      </c>
      <c r="BL19" s="905">
        <f t="shared" ref="BL19:BL82" si="10">+AY19</f>
        <v>3.0409595417907727</v>
      </c>
      <c r="BM19" s="1287">
        <f t="shared" si="2"/>
        <v>3.0409595417907727</v>
      </c>
      <c r="BN19" s="1282" t="e">
        <f t="shared" ref="BN19:BN82" si="11">+BM19/BM7-1</f>
        <v>#DIV/0!</v>
      </c>
      <c r="BO19" s="1377">
        <v>2.4</v>
      </c>
      <c r="BQ19" s="1379">
        <f t="shared" si="6"/>
        <v>2.4866132578788855</v>
      </c>
      <c r="BR19" s="1379">
        <f t="shared" si="3"/>
        <v>2.0725643219545127</v>
      </c>
      <c r="BS19" s="153">
        <v>0</v>
      </c>
      <c r="BT19" s="208"/>
      <c r="BU19" s="1389">
        <f t="shared" si="7"/>
        <v>36495</v>
      </c>
      <c r="BV19" s="1390">
        <v>2.5954126362338474</v>
      </c>
      <c r="BW19" s="1390">
        <v>1.9179775059623612</v>
      </c>
      <c r="BX19" s="1390"/>
      <c r="BY19" s="1390">
        <v>2.6473208889585242</v>
      </c>
      <c r="BZ19" s="1391">
        <v>1.9563370560816085</v>
      </c>
    </row>
    <row r="20" spans="1:87">
      <c r="A20" s="957"/>
      <c r="B20" s="951">
        <v>36520</v>
      </c>
      <c r="C20" s="952">
        <v>0</v>
      </c>
      <c r="D20" s="952">
        <v>0</v>
      </c>
      <c r="E20" s="952">
        <v>0</v>
      </c>
      <c r="F20" s="950"/>
      <c r="G20" s="952">
        <v>0</v>
      </c>
      <c r="H20" s="952">
        <v>0</v>
      </c>
      <c r="I20" s="952">
        <v>0</v>
      </c>
      <c r="J20" s="9"/>
      <c r="K20" s="944">
        <v>36800</v>
      </c>
      <c r="L20" s="953">
        <v>0</v>
      </c>
      <c r="M20" s="953">
        <v>0</v>
      </c>
      <c r="N20" s="953">
        <v>0</v>
      </c>
      <c r="O20" s="13"/>
      <c r="P20" s="953">
        <v>0</v>
      </c>
      <c r="Q20" s="953">
        <v>0</v>
      </c>
      <c r="R20" s="953">
        <v>0</v>
      </c>
      <c r="S20" s="13"/>
      <c r="T20" s="953">
        <v>0</v>
      </c>
      <c r="U20" s="953">
        <v>0</v>
      </c>
      <c r="V20" s="953">
        <v>0</v>
      </c>
      <c r="W20" s="13"/>
      <c r="X20" s="953">
        <v>0</v>
      </c>
      <c r="Y20" s="953">
        <v>0</v>
      </c>
      <c r="Z20" s="953">
        <v>0</v>
      </c>
      <c r="AA20" s="13">
        <v>0</v>
      </c>
      <c r="AB20" s="953">
        <v>0</v>
      </c>
      <c r="AC20" s="953">
        <v>0</v>
      </c>
      <c r="AD20" s="953">
        <v>0</v>
      </c>
      <c r="AE20" s="13"/>
      <c r="AF20" s="953">
        <v>0</v>
      </c>
      <c r="AG20" s="953">
        <v>0</v>
      </c>
      <c r="AH20" s="953">
        <v>0</v>
      </c>
      <c r="AI20" s="13"/>
      <c r="AJ20" s="953">
        <v>0</v>
      </c>
      <c r="AK20" s="953">
        <v>0</v>
      </c>
      <c r="AL20" s="953">
        <v>0</v>
      </c>
      <c r="AM20" s="1455"/>
      <c r="AN20" s="9">
        <v>4</v>
      </c>
      <c r="AO20" s="955">
        <v>0.1</v>
      </c>
      <c r="AP20" s="13"/>
      <c r="AQ20"/>
      <c r="AR20"/>
      <c r="AS20"/>
      <c r="AT20">
        <v>1</v>
      </c>
      <c r="AU20" t="str">
        <f t="shared" si="4"/>
        <v>2001Q1</v>
      </c>
      <c r="AV20">
        <f t="shared" si="5"/>
        <v>2001</v>
      </c>
      <c r="AW20" s="111">
        <f t="shared" si="1"/>
        <v>36951</v>
      </c>
      <c r="AX20" s="136">
        <f t="shared" si="8"/>
        <v>2.8984172973350422</v>
      </c>
      <c r="AY20" s="1541">
        <v>2.8984172973350422</v>
      </c>
      <c r="AZ20" s="136">
        <f t="shared" si="9"/>
        <v>2.8984172973350422</v>
      </c>
      <c r="BA20" s="137">
        <v>1</v>
      </c>
      <c r="BB20" s="137">
        <v>1</v>
      </c>
      <c r="BC20" s="137">
        <v>1</v>
      </c>
      <c r="BD20" s="137">
        <v>0</v>
      </c>
      <c r="BE20" s="137"/>
      <c r="BF20" s="137">
        <v>0</v>
      </c>
      <c r="BG20" s="145">
        <v>0</v>
      </c>
      <c r="BH20" s="886"/>
      <c r="BI20" s="938"/>
      <c r="BJ20" s="153"/>
      <c r="BK20" s="1443">
        <v>0</v>
      </c>
      <c r="BL20" s="905">
        <f t="shared" si="10"/>
        <v>2.8984172973350422</v>
      </c>
      <c r="BM20" s="1287">
        <f t="shared" si="2"/>
        <v>2.8984172973350422</v>
      </c>
      <c r="BN20" s="1282" t="e">
        <f t="shared" si="11"/>
        <v>#DIV/0!</v>
      </c>
      <c r="BO20" s="1377">
        <v>2.4</v>
      </c>
      <c r="BQ20" s="1379">
        <f t="shared" si="6"/>
        <v>2.4127811861286173</v>
      </c>
      <c r="BR20" s="1379">
        <f t="shared" si="3"/>
        <v>1.9696789207148744</v>
      </c>
      <c r="BS20" s="153">
        <v>0</v>
      </c>
      <c r="BT20" s="208"/>
      <c r="BU20" s="1389">
        <f t="shared" si="7"/>
        <v>36526</v>
      </c>
      <c r="BV20" s="1390">
        <v>2.5119286759936452</v>
      </c>
      <c r="BW20" s="1390">
        <v>2.0325749000218098</v>
      </c>
      <c r="BX20" s="1390"/>
      <c r="BY20" s="1390">
        <v>2.6134105945037884</v>
      </c>
      <c r="BZ20" s="1391">
        <v>2.1146909259826909</v>
      </c>
    </row>
    <row r="21" spans="1:87">
      <c r="A21" s="957"/>
      <c r="B21" s="951">
        <v>36521</v>
      </c>
      <c r="C21" s="952">
        <v>0</v>
      </c>
      <c r="D21" s="952">
        <v>0</v>
      </c>
      <c r="E21" s="952">
        <v>0</v>
      </c>
      <c r="F21" s="950"/>
      <c r="G21" s="952">
        <v>0</v>
      </c>
      <c r="H21" s="952">
        <v>0</v>
      </c>
      <c r="I21" s="952">
        <v>0</v>
      </c>
      <c r="J21" s="9"/>
      <c r="K21" s="944">
        <v>36831</v>
      </c>
      <c r="L21" s="953">
        <v>0</v>
      </c>
      <c r="M21" s="953">
        <v>0</v>
      </c>
      <c r="N21" s="953">
        <v>0</v>
      </c>
      <c r="O21" s="13"/>
      <c r="P21" s="953">
        <v>0</v>
      </c>
      <c r="Q21" s="953">
        <v>0</v>
      </c>
      <c r="R21" s="953">
        <v>0</v>
      </c>
      <c r="S21" s="13"/>
      <c r="T21" s="953">
        <v>0</v>
      </c>
      <c r="U21" s="953">
        <v>0</v>
      </c>
      <c r="V21" s="953">
        <v>0</v>
      </c>
      <c r="W21" s="13"/>
      <c r="X21" s="953">
        <v>0</v>
      </c>
      <c r="Y21" s="953">
        <v>0</v>
      </c>
      <c r="Z21" s="953">
        <v>0</v>
      </c>
      <c r="AA21" s="13">
        <v>0</v>
      </c>
      <c r="AB21" s="953">
        <v>0</v>
      </c>
      <c r="AC21" s="953">
        <v>0</v>
      </c>
      <c r="AD21" s="953">
        <v>0</v>
      </c>
      <c r="AE21" s="13"/>
      <c r="AF21" s="953">
        <v>0</v>
      </c>
      <c r="AG21" s="953">
        <v>0</v>
      </c>
      <c r="AH21" s="953">
        <v>0</v>
      </c>
      <c r="AI21" s="13"/>
      <c r="AJ21" s="953">
        <v>0</v>
      </c>
      <c r="AK21" s="953">
        <v>0</v>
      </c>
      <c r="AL21" s="953">
        <v>0</v>
      </c>
      <c r="AM21" s="1455"/>
      <c r="AN21" s="9">
        <v>4</v>
      </c>
      <c r="AO21" s="955">
        <v>0.1</v>
      </c>
      <c r="AP21" s="13"/>
      <c r="AQ21"/>
      <c r="AR21"/>
      <c r="AS21"/>
      <c r="AT21">
        <v>1</v>
      </c>
      <c r="AU21" t="str">
        <f t="shared" si="4"/>
        <v>2001Q2</v>
      </c>
      <c r="AV21">
        <f t="shared" si="5"/>
        <v>2001</v>
      </c>
      <c r="AW21" s="111">
        <f t="shared" si="1"/>
        <v>36982</v>
      </c>
      <c r="AX21" s="136">
        <f t="shared" si="8"/>
        <v>2.7762155049476465</v>
      </c>
      <c r="AY21" s="1541">
        <v>2.7762155049476465</v>
      </c>
      <c r="AZ21" s="136">
        <f t="shared" si="9"/>
        <v>2.7762155049476465</v>
      </c>
      <c r="BA21" s="137">
        <v>1</v>
      </c>
      <c r="BB21" s="137">
        <v>1</v>
      </c>
      <c r="BC21" s="137">
        <v>1</v>
      </c>
      <c r="BD21" s="137">
        <v>0</v>
      </c>
      <c r="BE21" s="137"/>
      <c r="BF21" s="137">
        <v>0</v>
      </c>
      <c r="BG21" s="145">
        <v>0</v>
      </c>
      <c r="BH21" s="886"/>
      <c r="BI21" s="938"/>
      <c r="BJ21" s="153"/>
      <c r="BK21" s="1443">
        <v>0</v>
      </c>
      <c r="BL21" s="905">
        <f t="shared" si="10"/>
        <v>2.7762155049476465</v>
      </c>
      <c r="BM21" s="1287">
        <f t="shared" si="2"/>
        <v>2.7762155049476465</v>
      </c>
      <c r="BN21" s="1282" t="e">
        <f t="shared" si="11"/>
        <v>#DIV/0!</v>
      </c>
      <c r="BO21" s="1377">
        <v>2.4</v>
      </c>
      <c r="BP21" s="187"/>
      <c r="BQ21" s="1379">
        <f t="shared" si="6"/>
        <v>2.3649176361663735</v>
      </c>
      <c r="BR21" s="1379">
        <f t="shared" si="3"/>
        <v>1.9098102605107754</v>
      </c>
      <c r="BS21" s="153">
        <v>0</v>
      </c>
      <c r="BT21" s="208"/>
      <c r="BU21" s="1389">
        <f t="shared" si="7"/>
        <v>36557</v>
      </c>
      <c r="BV21" s="1390">
        <v>2.3223922676335182</v>
      </c>
      <c r="BW21" s="1390">
        <v>1.893221483856887</v>
      </c>
      <c r="BX21" s="1390"/>
      <c r="BY21" s="1390">
        <v>2.4162169152459123</v>
      </c>
      <c r="BZ21" s="1391">
        <v>1.9697076318047053</v>
      </c>
    </row>
    <row r="22" spans="1:87">
      <c r="A22" s="957"/>
      <c r="B22" s="951">
        <v>36522</v>
      </c>
      <c r="C22" s="952">
        <v>0</v>
      </c>
      <c r="D22" s="952">
        <v>0</v>
      </c>
      <c r="E22" s="952">
        <v>0</v>
      </c>
      <c r="F22" s="950"/>
      <c r="G22" s="952">
        <v>0</v>
      </c>
      <c r="H22" s="952">
        <v>0</v>
      </c>
      <c r="I22" s="952">
        <v>0</v>
      </c>
      <c r="J22" s="9"/>
      <c r="K22" s="944">
        <v>36861</v>
      </c>
      <c r="L22" s="953">
        <v>0</v>
      </c>
      <c r="M22" s="953">
        <v>0</v>
      </c>
      <c r="N22" s="953">
        <v>0</v>
      </c>
      <c r="O22" s="13"/>
      <c r="P22" s="953">
        <v>0</v>
      </c>
      <c r="Q22" s="953">
        <v>0</v>
      </c>
      <c r="R22" s="953">
        <v>0</v>
      </c>
      <c r="S22" s="13"/>
      <c r="T22" s="953">
        <v>0</v>
      </c>
      <c r="U22" s="953">
        <v>0</v>
      </c>
      <c r="V22" s="953">
        <v>0</v>
      </c>
      <c r="W22" s="13"/>
      <c r="X22" s="953">
        <v>0</v>
      </c>
      <c r="Y22" s="953">
        <v>0</v>
      </c>
      <c r="Z22" s="953">
        <v>0</v>
      </c>
      <c r="AA22" s="13">
        <v>0</v>
      </c>
      <c r="AB22" s="953">
        <v>0</v>
      </c>
      <c r="AC22" s="953">
        <v>0</v>
      </c>
      <c r="AD22" s="953">
        <v>0</v>
      </c>
      <c r="AE22" s="13"/>
      <c r="AF22" s="953">
        <v>0</v>
      </c>
      <c r="AG22" s="953">
        <v>0</v>
      </c>
      <c r="AH22" s="953">
        <v>0</v>
      </c>
      <c r="AI22" s="13"/>
      <c r="AJ22" s="953">
        <v>0</v>
      </c>
      <c r="AK22" s="953">
        <v>0</v>
      </c>
      <c r="AL22" s="953">
        <v>0</v>
      </c>
      <c r="AM22" s="1455"/>
      <c r="AN22" s="9">
        <v>5</v>
      </c>
      <c r="AO22" s="955">
        <v>0.2</v>
      </c>
      <c r="AP22" s="13"/>
      <c r="AQ22"/>
      <c r="AR22"/>
      <c r="AS22"/>
      <c r="AT22">
        <v>1</v>
      </c>
      <c r="AU22" t="str">
        <f t="shared" si="4"/>
        <v>2001Q2</v>
      </c>
      <c r="AV22">
        <f t="shared" si="5"/>
        <v>2001</v>
      </c>
      <c r="AW22" s="111">
        <f t="shared" si="1"/>
        <v>37012</v>
      </c>
      <c r="AX22" s="136">
        <f t="shared" si="8"/>
        <v>2.7349123925191101</v>
      </c>
      <c r="AY22" s="1541">
        <v>2.7349123925191101</v>
      </c>
      <c r="AZ22" s="136">
        <f t="shared" si="9"/>
        <v>2.7349123925191101</v>
      </c>
      <c r="BA22" s="137">
        <v>1</v>
      </c>
      <c r="BB22" s="137">
        <v>1</v>
      </c>
      <c r="BC22" s="137">
        <v>1</v>
      </c>
      <c r="BD22" s="137">
        <v>0</v>
      </c>
      <c r="BE22" s="137"/>
      <c r="BF22" s="137">
        <v>0</v>
      </c>
      <c r="BG22" s="145">
        <v>0</v>
      </c>
      <c r="BH22" s="886"/>
      <c r="BI22" s="938"/>
      <c r="BJ22" s="153"/>
      <c r="BK22" s="1443">
        <v>0</v>
      </c>
      <c r="BL22" s="905">
        <f t="shared" si="10"/>
        <v>2.7349123925191101</v>
      </c>
      <c r="BM22" s="1287">
        <f t="shared" si="2"/>
        <v>2.7349123925191101</v>
      </c>
      <c r="BN22" s="1282" t="e">
        <f t="shared" si="11"/>
        <v>#DIV/0!</v>
      </c>
      <c r="BO22" s="1377">
        <v>2.4</v>
      </c>
      <c r="BQ22" s="1379">
        <f t="shared" si="6"/>
        <v>2.3430226079921557</v>
      </c>
      <c r="BR22" s="1379">
        <f t="shared" si="3"/>
        <v>1.886306267986203</v>
      </c>
      <c r="BS22" s="153">
        <v>0</v>
      </c>
      <c r="BT22" s="208"/>
      <c r="BU22" s="1389">
        <f t="shared" si="7"/>
        <v>36586</v>
      </c>
      <c r="BV22" s="1390">
        <v>2.2534362158659627</v>
      </c>
      <c r="BW22" s="1390">
        <v>1.7992389473735662</v>
      </c>
      <c r="BX22" s="1390"/>
      <c r="BY22" s="1390">
        <v>2.3444750389869475</v>
      </c>
      <c r="BZ22" s="1391">
        <v>1.8719282008474583</v>
      </c>
    </row>
    <row r="23" spans="1:87">
      <c r="A23" s="957"/>
      <c r="B23" s="951">
        <v>36523</v>
      </c>
      <c r="C23" s="952">
        <v>0</v>
      </c>
      <c r="D23" s="952">
        <v>0</v>
      </c>
      <c r="E23" s="952">
        <v>0</v>
      </c>
      <c r="F23" s="950"/>
      <c r="G23" s="952">
        <v>0</v>
      </c>
      <c r="H23" s="952">
        <v>0</v>
      </c>
      <c r="I23" s="952">
        <v>0</v>
      </c>
      <c r="J23" s="9"/>
      <c r="K23" s="944">
        <v>36892</v>
      </c>
      <c r="L23" s="953">
        <v>0</v>
      </c>
      <c r="M23" s="953">
        <v>0</v>
      </c>
      <c r="N23" s="953">
        <v>0</v>
      </c>
      <c r="O23" s="13"/>
      <c r="P23" s="953">
        <v>0</v>
      </c>
      <c r="Q23" s="953">
        <v>0</v>
      </c>
      <c r="R23" s="953">
        <v>0</v>
      </c>
      <c r="S23" s="13"/>
      <c r="T23" s="953">
        <v>0</v>
      </c>
      <c r="U23" s="953">
        <v>0</v>
      </c>
      <c r="V23" s="953">
        <v>0</v>
      </c>
      <c r="W23" s="13"/>
      <c r="X23" s="953">
        <v>0</v>
      </c>
      <c r="Y23" s="953">
        <v>0</v>
      </c>
      <c r="Z23" s="953">
        <v>0</v>
      </c>
      <c r="AA23" s="13">
        <v>0</v>
      </c>
      <c r="AB23" s="953">
        <v>0</v>
      </c>
      <c r="AC23" s="953">
        <v>0</v>
      </c>
      <c r="AD23" s="953">
        <v>0</v>
      </c>
      <c r="AE23" s="13"/>
      <c r="AF23" s="953">
        <v>0</v>
      </c>
      <c r="AG23" s="953">
        <v>0</v>
      </c>
      <c r="AH23" s="953">
        <v>0</v>
      </c>
      <c r="AI23" s="13"/>
      <c r="AJ23" s="953">
        <v>0</v>
      </c>
      <c r="AK23" s="953">
        <v>0</v>
      </c>
      <c r="AL23" s="953">
        <v>0</v>
      </c>
      <c r="AM23" s="1455"/>
      <c r="AN23" s="9">
        <v>5</v>
      </c>
      <c r="AO23" s="955">
        <v>0.2</v>
      </c>
      <c r="AP23" s="13"/>
      <c r="AQ23"/>
      <c r="AR23"/>
      <c r="AS23"/>
      <c r="AT23">
        <v>1</v>
      </c>
      <c r="AU23" t="str">
        <f t="shared" si="4"/>
        <v>2001Q2</v>
      </c>
      <c r="AV23">
        <f t="shared" si="5"/>
        <v>2001</v>
      </c>
      <c r="AW23" s="111">
        <f t="shared" si="1"/>
        <v>37043</v>
      </c>
      <c r="AX23" s="136">
        <f t="shared" si="8"/>
        <v>2.7415528403031906</v>
      </c>
      <c r="AY23" s="1541">
        <v>2.7415528403031906</v>
      </c>
      <c r="AZ23" s="136">
        <f t="shared" si="9"/>
        <v>2.7415528403031906</v>
      </c>
      <c r="BA23" s="137">
        <v>1</v>
      </c>
      <c r="BB23" s="137">
        <v>1</v>
      </c>
      <c r="BC23" s="137">
        <v>1</v>
      </c>
      <c r="BD23" s="137">
        <v>0</v>
      </c>
      <c r="BE23" s="137"/>
      <c r="BF23" s="137">
        <v>0</v>
      </c>
      <c r="BG23" s="145">
        <v>0</v>
      </c>
      <c r="BH23" s="886"/>
      <c r="BI23" s="938"/>
      <c r="BJ23" s="153"/>
      <c r="BK23" s="1443">
        <v>0</v>
      </c>
      <c r="BL23" s="905">
        <f t="shared" si="10"/>
        <v>2.7415528403031906</v>
      </c>
      <c r="BM23" s="1287">
        <f t="shared" si="2"/>
        <v>2.7415528403031906</v>
      </c>
      <c r="BN23" s="1282" t="e">
        <f t="shared" si="11"/>
        <v>#DIV/0!</v>
      </c>
      <c r="BO23" s="1377">
        <v>2.4</v>
      </c>
      <c r="BQ23" s="1379">
        <f t="shared" si="6"/>
        <v>2.3470961016059633</v>
      </c>
      <c r="BR23" s="1379">
        <f t="shared" si="3"/>
        <v>1.8925148697851466</v>
      </c>
      <c r="BS23" s="153">
        <v>0</v>
      </c>
      <c r="BT23" s="208"/>
      <c r="BU23" s="1389">
        <f t="shared" si="7"/>
        <v>36617</v>
      </c>
      <c r="BV23" s="1390">
        <v>2.2087336719614781</v>
      </c>
      <c r="BW23" s="1390">
        <v>1.7445508334716346</v>
      </c>
      <c r="BX23" s="1390"/>
      <c r="BY23" s="1390">
        <v>2.2979665123087218</v>
      </c>
      <c r="BZ23" s="1391">
        <v>1.8150306871438886</v>
      </c>
    </row>
    <row r="24" spans="1:87">
      <c r="A24" s="957"/>
      <c r="B24" s="951">
        <v>36524</v>
      </c>
      <c r="C24" s="952">
        <v>0</v>
      </c>
      <c r="D24" s="952">
        <v>0</v>
      </c>
      <c r="E24" s="952">
        <v>0</v>
      </c>
      <c r="F24" s="950"/>
      <c r="G24" s="952">
        <v>0</v>
      </c>
      <c r="H24" s="952">
        <v>0</v>
      </c>
      <c r="I24" s="952">
        <v>0</v>
      </c>
      <c r="J24" s="9"/>
      <c r="K24" s="944">
        <v>36923</v>
      </c>
      <c r="L24" s="953">
        <v>0</v>
      </c>
      <c r="M24" s="953">
        <v>0</v>
      </c>
      <c r="N24" s="953">
        <v>0</v>
      </c>
      <c r="O24" s="13"/>
      <c r="P24" s="953">
        <v>0</v>
      </c>
      <c r="Q24" s="953">
        <v>0</v>
      </c>
      <c r="R24" s="953">
        <v>0</v>
      </c>
      <c r="S24" s="13"/>
      <c r="T24" s="953">
        <v>0</v>
      </c>
      <c r="U24" s="953">
        <v>0</v>
      </c>
      <c r="V24" s="953">
        <v>0</v>
      </c>
      <c r="W24" s="13"/>
      <c r="X24" s="953">
        <v>0</v>
      </c>
      <c r="Y24" s="953">
        <v>0</v>
      </c>
      <c r="Z24" s="953">
        <v>0</v>
      </c>
      <c r="AA24" s="13">
        <v>0</v>
      </c>
      <c r="AB24" s="953">
        <v>0</v>
      </c>
      <c r="AC24" s="953">
        <v>0</v>
      </c>
      <c r="AD24" s="953">
        <v>0</v>
      </c>
      <c r="AE24" s="13"/>
      <c r="AF24" s="953">
        <v>0</v>
      </c>
      <c r="AG24" s="953">
        <v>0</v>
      </c>
      <c r="AH24" s="953">
        <v>0</v>
      </c>
      <c r="AI24" s="13"/>
      <c r="AJ24" s="953">
        <v>0</v>
      </c>
      <c r="AK24" s="953">
        <v>0</v>
      </c>
      <c r="AL24" s="953">
        <v>0</v>
      </c>
      <c r="AM24" s="1455"/>
      <c r="AN24" s="9">
        <v>5</v>
      </c>
      <c r="AO24" s="955">
        <v>0.2</v>
      </c>
      <c r="AP24" s="13"/>
      <c r="AQ24"/>
      <c r="AR24"/>
      <c r="AS24"/>
      <c r="AT24">
        <v>1</v>
      </c>
      <c r="AU24" t="str">
        <f t="shared" si="4"/>
        <v>2001Q3</v>
      </c>
      <c r="AV24">
        <f t="shared" si="5"/>
        <v>2001</v>
      </c>
      <c r="AW24" s="111">
        <f t="shared" si="1"/>
        <v>37073</v>
      </c>
      <c r="AX24" s="136">
        <f t="shared" si="8"/>
        <v>2.7582753604326626</v>
      </c>
      <c r="AY24" s="1541">
        <v>2.7582753604326626</v>
      </c>
      <c r="AZ24" s="136">
        <f t="shared" si="9"/>
        <v>2.7582753604326626</v>
      </c>
      <c r="BA24" s="137">
        <v>1</v>
      </c>
      <c r="BB24" s="137">
        <v>1</v>
      </c>
      <c r="BC24" s="137">
        <v>1</v>
      </c>
      <c r="BD24" s="137">
        <v>0</v>
      </c>
      <c r="BE24" s="137"/>
      <c r="BF24" s="137">
        <v>0</v>
      </c>
      <c r="BG24" s="145">
        <v>0</v>
      </c>
      <c r="BH24" s="886"/>
      <c r="BI24" s="938"/>
      <c r="BJ24" s="153"/>
      <c r="BK24" s="1443">
        <v>0</v>
      </c>
      <c r="BL24" s="905">
        <f t="shared" si="10"/>
        <v>2.7582753604326626</v>
      </c>
      <c r="BM24" s="1287">
        <f t="shared" si="2"/>
        <v>2.7582753604326626</v>
      </c>
      <c r="BN24" s="1282" t="e">
        <f t="shared" si="11"/>
        <v>#DIV/0!</v>
      </c>
      <c r="BO24" s="1377">
        <v>2.4</v>
      </c>
      <c r="BQ24" s="1379">
        <f t="shared" si="6"/>
        <v>2.3771381170077976</v>
      </c>
      <c r="BR24" s="1379">
        <f t="shared" si="3"/>
        <v>1.9217839925515952</v>
      </c>
      <c r="BS24" s="153">
        <v>0</v>
      </c>
      <c r="BT24" s="208"/>
      <c r="BU24" s="1389">
        <f t="shared" si="7"/>
        <v>36647</v>
      </c>
      <c r="BV24" s="1390">
        <v>2.1882846359200649</v>
      </c>
      <c r="BW24" s="1390">
        <v>1.723080685050876</v>
      </c>
      <c r="BX24" s="1390"/>
      <c r="BY24" s="1390">
        <v>2.2766913352112357</v>
      </c>
      <c r="BZ24" s="1391">
        <v>1.7926931447269314</v>
      </c>
    </row>
    <row r="25" spans="1:87">
      <c r="A25" s="957"/>
      <c r="B25" s="951">
        <v>36525</v>
      </c>
      <c r="C25" s="952">
        <v>0</v>
      </c>
      <c r="D25" s="952">
        <v>0</v>
      </c>
      <c r="E25" s="952">
        <v>0</v>
      </c>
      <c r="F25" s="950"/>
      <c r="G25" s="952">
        <v>0</v>
      </c>
      <c r="H25" s="952">
        <v>0</v>
      </c>
      <c r="I25" s="952">
        <v>0</v>
      </c>
      <c r="J25" s="9"/>
      <c r="K25" s="944">
        <v>36951</v>
      </c>
      <c r="L25" s="953">
        <v>0</v>
      </c>
      <c r="M25" s="953">
        <v>0</v>
      </c>
      <c r="N25" s="953">
        <v>0</v>
      </c>
      <c r="O25" s="13"/>
      <c r="P25" s="953">
        <v>0</v>
      </c>
      <c r="Q25" s="953">
        <v>0</v>
      </c>
      <c r="R25" s="953">
        <v>0</v>
      </c>
      <c r="S25" s="13"/>
      <c r="T25" s="953">
        <v>0</v>
      </c>
      <c r="U25" s="953">
        <v>0</v>
      </c>
      <c r="V25" s="953">
        <v>0</v>
      </c>
      <c r="W25" s="13"/>
      <c r="X25" s="953">
        <v>0</v>
      </c>
      <c r="Y25" s="953">
        <v>0</v>
      </c>
      <c r="Z25" s="953">
        <v>0</v>
      </c>
      <c r="AA25" s="13">
        <v>0</v>
      </c>
      <c r="AB25" s="953">
        <v>0</v>
      </c>
      <c r="AC25" s="953">
        <v>0</v>
      </c>
      <c r="AD25" s="953">
        <v>0</v>
      </c>
      <c r="AE25" s="13"/>
      <c r="AF25" s="953">
        <v>0</v>
      </c>
      <c r="AG25" s="953">
        <v>0</v>
      </c>
      <c r="AH25" s="953">
        <v>0</v>
      </c>
      <c r="AI25" s="13"/>
      <c r="AJ25" s="953">
        <v>0</v>
      </c>
      <c r="AK25" s="953">
        <v>0</v>
      </c>
      <c r="AL25" s="953">
        <v>0</v>
      </c>
      <c r="AM25" s="1455"/>
      <c r="AN25" s="9">
        <v>6</v>
      </c>
      <c r="AO25" s="955">
        <v>0.2</v>
      </c>
      <c r="AP25" s="13"/>
      <c r="AQ25"/>
      <c r="AR25"/>
      <c r="AS25"/>
      <c r="AT25">
        <v>1</v>
      </c>
      <c r="AU25" t="str">
        <f t="shared" si="4"/>
        <v>2001Q3</v>
      </c>
      <c r="AV25">
        <f t="shared" si="5"/>
        <v>2001</v>
      </c>
      <c r="AW25" s="111">
        <f t="shared" si="1"/>
        <v>37104</v>
      </c>
      <c r="AX25" s="136">
        <f t="shared" si="8"/>
        <v>2.7711020559742261</v>
      </c>
      <c r="AY25" s="1541">
        <v>2.7711020559742261</v>
      </c>
      <c r="AZ25" s="136">
        <f t="shared" si="9"/>
        <v>2.7711020559742261</v>
      </c>
      <c r="BA25" s="137">
        <v>1</v>
      </c>
      <c r="BB25" s="137">
        <v>1</v>
      </c>
      <c r="BC25" s="137">
        <v>1</v>
      </c>
      <c r="BD25" s="137">
        <v>0</v>
      </c>
      <c r="BE25" s="137"/>
      <c r="BF25" s="137">
        <v>0</v>
      </c>
      <c r="BG25" s="145">
        <v>0</v>
      </c>
      <c r="BH25" s="886"/>
      <c r="BI25" s="938"/>
      <c r="BJ25" s="153"/>
      <c r="BK25" s="1443">
        <v>0</v>
      </c>
      <c r="BL25" s="905">
        <f t="shared" si="10"/>
        <v>2.7711020559742261</v>
      </c>
      <c r="BM25" s="1287">
        <f t="shared" si="2"/>
        <v>2.7711020559742261</v>
      </c>
      <c r="BN25" s="1282" t="e">
        <f t="shared" si="11"/>
        <v>#DIV/0!</v>
      </c>
      <c r="BO25" s="1377">
        <v>2.4</v>
      </c>
      <c r="BQ25" s="1379">
        <f t="shared" si="6"/>
        <v>2.4331486541976561</v>
      </c>
      <c r="BR25" s="1379">
        <f t="shared" si="3"/>
        <v>1.9674615629295382</v>
      </c>
      <c r="BS25" s="153">
        <v>0</v>
      </c>
      <c r="BT25" s="208"/>
      <c r="BU25" s="1389">
        <f t="shared" si="7"/>
        <v>36678</v>
      </c>
      <c r="BV25" s="1390">
        <v>2.1920891077417228</v>
      </c>
      <c r="BW25" s="1390">
        <v>1.7287520450110763</v>
      </c>
      <c r="BX25" s="1390"/>
      <c r="BY25" s="1390">
        <v>2.2806495076944886</v>
      </c>
      <c r="BZ25" s="1391">
        <v>1.7985936276295238</v>
      </c>
    </row>
    <row r="26" spans="1:87">
      <c r="A26" s="957"/>
      <c r="B26" s="951">
        <v>36526</v>
      </c>
      <c r="C26" s="952">
        <v>0</v>
      </c>
      <c r="D26" s="952">
        <v>0</v>
      </c>
      <c r="E26" s="952">
        <v>0</v>
      </c>
      <c r="F26" s="950"/>
      <c r="G26" s="952">
        <v>0</v>
      </c>
      <c r="H26" s="952">
        <v>0</v>
      </c>
      <c r="I26" s="952">
        <v>0</v>
      </c>
      <c r="J26" s="9"/>
      <c r="K26" s="944">
        <v>36982</v>
      </c>
      <c r="L26" s="953">
        <v>0</v>
      </c>
      <c r="M26" s="953">
        <v>0</v>
      </c>
      <c r="N26" s="953">
        <v>0</v>
      </c>
      <c r="O26" s="13"/>
      <c r="P26" s="953">
        <v>0</v>
      </c>
      <c r="Q26" s="953">
        <v>0</v>
      </c>
      <c r="R26" s="953">
        <v>0</v>
      </c>
      <c r="S26" s="13"/>
      <c r="T26" s="953">
        <v>0</v>
      </c>
      <c r="U26" s="953">
        <v>0</v>
      </c>
      <c r="V26" s="953">
        <v>0</v>
      </c>
      <c r="W26" s="13"/>
      <c r="X26" s="953">
        <v>0</v>
      </c>
      <c r="Y26" s="953">
        <v>0</v>
      </c>
      <c r="Z26" s="953">
        <v>0</v>
      </c>
      <c r="AA26" s="13">
        <v>0</v>
      </c>
      <c r="AB26" s="953">
        <v>0</v>
      </c>
      <c r="AC26" s="953">
        <v>0</v>
      </c>
      <c r="AD26" s="953">
        <v>0</v>
      </c>
      <c r="AE26" s="13"/>
      <c r="AF26" s="953">
        <v>0</v>
      </c>
      <c r="AG26" s="953">
        <v>0</v>
      </c>
      <c r="AH26" s="953">
        <v>0</v>
      </c>
      <c r="AI26" s="13"/>
      <c r="AJ26" s="953">
        <v>0</v>
      </c>
      <c r="AK26" s="953">
        <v>0</v>
      </c>
      <c r="AL26" s="953">
        <v>0</v>
      </c>
      <c r="AM26" s="1455"/>
      <c r="AN26" s="9">
        <v>6</v>
      </c>
      <c r="AO26" s="955">
        <v>0.2</v>
      </c>
      <c r="AP26" s="13"/>
      <c r="AQ26"/>
      <c r="AR26"/>
      <c r="AS26"/>
      <c r="AT26">
        <v>1</v>
      </c>
      <c r="AU26" t="str">
        <f t="shared" si="4"/>
        <v>2001Q3</v>
      </c>
      <c r="AV26">
        <f t="shared" si="5"/>
        <v>2001</v>
      </c>
      <c r="AW26" s="111">
        <f t="shared" si="1"/>
        <v>37135</v>
      </c>
      <c r="AX26" s="136">
        <f t="shared" si="8"/>
        <v>2.7839640991287613</v>
      </c>
      <c r="AY26" s="1541">
        <v>2.7839640991287613</v>
      </c>
      <c r="AZ26" s="136">
        <f t="shared" si="9"/>
        <v>2.7839640991287613</v>
      </c>
      <c r="BA26" s="137">
        <v>1</v>
      </c>
      <c r="BB26" s="137">
        <v>1</v>
      </c>
      <c r="BC26" s="137">
        <v>1</v>
      </c>
      <c r="BD26" s="137">
        <v>0</v>
      </c>
      <c r="BE26" s="137"/>
      <c r="BF26" s="137">
        <v>0</v>
      </c>
      <c r="BG26" s="145">
        <v>0</v>
      </c>
      <c r="BH26" s="886"/>
      <c r="BI26" s="938"/>
      <c r="BJ26" s="153"/>
      <c r="BK26" s="1443">
        <v>0</v>
      </c>
      <c r="BL26" s="905">
        <f t="shared" si="10"/>
        <v>2.7839640991287613</v>
      </c>
      <c r="BM26" s="1287">
        <f t="shared" si="2"/>
        <v>2.7839640991287613</v>
      </c>
      <c r="BN26" s="1282" t="e">
        <f t="shared" si="11"/>
        <v>#DIV/0!</v>
      </c>
      <c r="BO26" s="1377">
        <v>2.4</v>
      </c>
      <c r="BQ26" s="1379">
        <f t="shared" si="6"/>
        <v>2.5151277131755418</v>
      </c>
      <c r="BR26" s="1379">
        <f t="shared" si="3"/>
        <v>2.0228955075629633</v>
      </c>
      <c r="BS26" s="153">
        <v>0</v>
      </c>
      <c r="BT26" s="208"/>
      <c r="BU26" s="1389">
        <f t="shared" si="7"/>
        <v>36708</v>
      </c>
      <c r="BV26" s="1390">
        <v>2.2201470874264531</v>
      </c>
      <c r="BW26" s="1390">
        <v>1.7554884562520208</v>
      </c>
      <c r="BX26" s="1390"/>
      <c r="BY26" s="1390">
        <v>2.3098410297584819</v>
      </c>
      <c r="BZ26" s="1391">
        <v>1.8264101898846024</v>
      </c>
    </row>
    <row r="27" spans="1:87">
      <c r="A27" s="957"/>
      <c r="B27" s="951">
        <v>36527</v>
      </c>
      <c r="C27" s="952">
        <v>0</v>
      </c>
      <c r="D27" s="952">
        <v>0</v>
      </c>
      <c r="E27" s="952">
        <v>0</v>
      </c>
      <c r="F27" s="950"/>
      <c r="G27" s="952">
        <v>0</v>
      </c>
      <c r="H27" s="952">
        <v>0</v>
      </c>
      <c r="I27" s="952">
        <v>0</v>
      </c>
      <c r="J27" s="9"/>
      <c r="K27" s="944">
        <v>37012</v>
      </c>
      <c r="L27" s="953">
        <v>0</v>
      </c>
      <c r="M27" s="953">
        <v>0</v>
      </c>
      <c r="N27" s="953">
        <v>0</v>
      </c>
      <c r="O27" s="13"/>
      <c r="P27" s="953">
        <v>0</v>
      </c>
      <c r="Q27" s="953">
        <v>0</v>
      </c>
      <c r="R27" s="953">
        <v>0</v>
      </c>
      <c r="S27" s="13"/>
      <c r="T27" s="953">
        <v>0</v>
      </c>
      <c r="U27" s="953">
        <v>0</v>
      </c>
      <c r="V27" s="953">
        <v>0</v>
      </c>
      <c r="W27" s="13"/>
      <c r="X27" s="953">
        <v>0</v>
      </c>
      <c r="Y27" s="953">
        <v>0</v>
      </c>
      <c r="Z27" s="953">
        <v>0</v>
      </c>
      <c r="AA27" s="13">
        <v>0</v>
      </c>
      <c r="AB27" s="953">
        <v>0</v>
      </c>
      <c r="AC27" s="953">
        <v>0</v>
      </c>
      <c r="AD27" s="953">
        <v>0</v>
      </c>
      <c r="AE27" s="13"/>
      <c r="AF27" s="953">
        <v>0</v>
      </c>
      <c r="AG27" s="953">
        <v>0</v>
      </c>
      <c r="AH27" s="953">
        <v>0</v>
      </c>
      <c r="AI27" s="13"/>
      <c r="AJ27" s="953">
        <v>0</v>
      </c>
      <c r="AK27" s="953">
        <v>0</v>
      </c>
      <c r="AL27" s="953">
        <v>0</v>
      </c>
      <c r="AM27" s="1455"/>
      <c r="AN27" s="9">
        <v>6</v>
      </c>
      <c r="AO27" s="955">
        <v>0.2</v>
      </c>
      <c r="AP27" s="13"/>
      <c r="AQ27"/>
      <c r="AR27"/>
      <c r="AS27"/>
      <c r="AT27">
        <v>1</v>
      </c>
      <c r="AU27" t="str">
        <f t="shared" si="4"/>
        <v>2001Q4</v>
      </c>
      <c r="AV27">
        <f t="shared" si="5"/>
        <v>2001</v>
      </c>
      <c r="AW27" s="111">
        <f t="shared" si="1"/>
        <v>37165</v>
      </c>
      <c r="AX27" s="136">
        <f t="shared" si="8"/>
        <v>2.8850872367569425</v>
      </c>
      <c r="AY27" s="1541">
        <v>2.8850872367569425</v>
      </c>
      <c r="AZ27" s="136">
        <f t="shared" si="9"/>
        <v>2.8850872367569425</v>
      </c>
      <c r="BA27" s="137">
        <v>1</v>
      </c>
      <c r="BB27" s="137">
        <v>1</v>
      </c>
      <c r="BC27" s="137">
        <v>1</v>
      </c>
      <c r="BD27" s="137">
        <v>0</v>
      </c>
      <c r="BE27" s="137"/>
      <c r="BF27" s="137">
        <v>0</v>
      </c>
      <c r="BG27" s="145">
        <v>0</v>
      </c>
      <c r="BH27" s="886"/>
      <c r="BI27" s="938"/>
      <c r="BJ27" s="153"/>
      <c r="BK27" s="1443">
        <v>0</v>
      </c>
      <c r="BL27" s="905">
        <f t="shared" si="10"/>
        <v>2.8850872367569425</v>
      </c>
      <c r="BM27" s="1287">
        <f t="shared" si="2"/>
        <v>2.8850872367569425</v>
      </c>
      <c r="BN27" s="1282" t="e">
        <f t="shared" si="11"/>
        <v>#DIV/0!</v>
      </c>
      <c r="BO27" s="1377">
        <v>2.4</v>
      </c>
      <c r="BQ27" s="1379">
        <f t="shared" si="6"/>
        <v>2.6230752939414517</v>
      </c>
      <c r="BR27" s="1379">
        <f t="shared" si="3"/>
        <v>2.0814337530958613</v>
      </c>
      <c r="BS27" s="153">
        <v>0</v>
      </c>
      <c r="BT27" s="208"/>
      <c r="BU27" s="1389">
        <f t="shared" si="7"/>
        <v>36739</v>
      </c>
      <c r="BV27" s="1390">
        <v>2.2724585749742539</v>
      </c>
      <c r="BW27" s="1390">
        <v>1.7972134616734954</v>
      </c>
      <c r="BX27" s="1390"/>
      <c r="BY27" s="1390">
        <v>2.3642659014032139</v>
      </c>
      <c r="BZ27" s="1391">
        <v>1.8698208855251046</v>
      </c>
    </row>
    <row r="28" spans="1:87">
      <c r="A28" s="957"/>
      <c r="B28" s="951">
        <v>36528</v>
      </c>
      <c r="C28" s="952">
        <v>0</v>
      </c>
      <c r="D28" s="952">
        <v>0</v>
      </c>
      <c r="E28" s="952">
        <v>0</v>
      </c>
      <c r="F28" s="950"/>
      <c r="G28" s="952">
        <v>0</v>
      </c>
      <c r="H28" s="952">
        <v>0</v>
      </c>
      <c r="I28" s="952">
        <v>0</v>
      </c>
      <c r="J28" s="9"/>
      <c r="K28" s="944">
        <v>37043</v>
      </c>
      <c r="L28" s="953">
        <v>0</v>
      </c>
      <c r="M28" s="953">
        <v>0</v>
      </c>
      <c r="N28" s="953">
        <v>0</v>
      </c>
      <c r="O28" s="13"/>
      <c r="P28" s="953">
        <v>0</v>
      </c>
      <c r="Q28" s="953">
        <v>0</v>
      </c>
      <c r="R28" s="953">
        <v>0</v>
      </c>
      <c r="S28" s="13"/>
      <c r="T28" s="953">
        <v>0</v>
      </c>
      <c r="U28" s="953">
        <v>0</v>
      </c>
      <c r="V28" s="953">
        <v>0</v>
      </c>
      <c r="W28" s="13"/>
      <c r="X28" s="953">
        <v>0</v>
      </c>
      <c r="Y28" s="953">
        <v>0</v>
      </c>
      <c r="Z28" s="953">
        <v>0</v>
      </c>
      <c r="AA28" s="13">
        <v>0</v>
      </c>
      <c r="AB28" s="953">
        <v>0</v>
      </c>
      <c r="AC28" s="953">
        <v>0</v>
      </c>
      <c r="AD28" s="953">
        <v>0</v>
      </c>
      <c r="AE28" s="13"/>
      <c r="AF28" s="953">
        <v>0</v>
      </c>
      <c r="AG28" s="953">
        <v>0</v>
      </c>
      <c r="AH28" s="953">
        <v>0</v>
      </c>
      <c r="AI28" s="13"/>
      <c r="AJ28" s="953">
        <v>0</v>
      </c>
      <c r="AK28" s="953">
        <v>0</v>
      </c>
      <c r="AL28" s="953">
        <v>0</v>
      </c>
      <c r="AM28" s="1455"/>
      <c r="AN28" s="9">
        <v>7</v>
      </c>
      <c r="AO28" s="955">
        <v>0.2</v>
      </c>
      <c r="AP28" s="13"/>
      <c r="AQ28"/>
      <c r="AR28"/>
      <c r="AS28"/>
      <c r="AT28">
        <v>1</v>
      </c>
      <c r="AU28" t="str">
        <f t="shared" si="4"/>
        <v>2001Q4</v>
      </c>
      <c r="AV28">
        <f t="shared" si="5"/>
        <v>2001</v>
      </c>
      <c r="AW28" s="111">
        <f t="shared" si="1"/>
        <v>37196</v>
      </c>
      <c r="AX28" s="136">
        <f t="shared" si="8"/>
        <v>2.984613842176699</v>
      </c>
      <c r="AY28" s="1541">
        <v>2.984613842176699</v>
      </c>
      <c r="AZ28" s="136">
        <f t="shared" si="9"/>
        <v>2.984613842176699</v>
      </c>
      <c r="BA28" s="137">
        <v>1</v>
      </c>
      <c r="BB28" s="137">
        <v>1</v>
      </c>
      <c r="BC28" s="137">
        <v>1</v>
      </c>
      <c r="BD28" s="137">
        <v>0</v>
      </c>
      <c r="BE28" s="137"/>
      <c r="BF28" s="137">
        <v>0</v>
      </c>
      <c r="BG28" s="145">
        <v>0</v>
      </c>
      <c r="BH28" s="886"/>
      <c r="BI28" s="938"/>
      <c r="BJ28" s="153"/>
      <c r="BK28" s="1443">
        <v>0</v>
      </c>
      <c r="BL28" s="905">
        <f t="shared" si="10"/>
        <v>2.984613842176699</v>
      </c>
      <c r="BM28" s="1287">
        <f t="shared" si="2"/>
        <v>2.984613842176699</v>
      </c>
      <c r="BN28" s="1282" t="e">
        <f t="shared" si="11"/>
        <v>#DIV/0!</v>
      </c>
      <c r="BO28" s="1377">
        <v>2.4</v>
      </c>
      <c r="BQ28" s="1379">
        <f t="shared" si="6"/>
        <v>2.7569913964953883</v>
      </c>
      <c r="BR28" s="1379">
        <f t="shared" si="3"/>
        <v>2.1364242261722199</v>
      </c>
      <c r="BS28" s="153">
        <v>0</v>
      </c>
      <c r="BT28" s="208"/>
      <c r="BU28" s="1389">
        <f t="shared" si="7"/>
        <v>36770</v>
      </c>
      <c r="BV28" s="1390">
        <v>2.3490235703851265</v>
      </c>
      <c r="BW28" s="1390">
        <v>1.8478506041752842</v>
      </c>
      <c r="BX28" s="1390"/>
      <c r="BY28" s="1390">
        <v>2.4439241226286859</v>
      </c>
      <c r="BZ28" s="1391">
        <v>1.9225037685839657</v>
      </c>
    </row>
    <row r="29" spans="1:87">
      <c r="A29" s="957"/>
      <c r="B29" s="951">
        <v>36529</v>
      </c>
      <c r="C29" s="952">
        <v>0</v>
      </c>
      <c r="D29" s="952">
        <v>0</v>
      </c>
      <c r="E29" s="952">
        <v>0</v>
      </c>
      <c r="F29" s="950"/>
      <c r="G29" s="952">
        <v>0</v>
      </c>
      <c r="H29" s="952">
        <v>0</v>
      </c>
      <c r="I29" s="952">
        <v>0</v>
      </c>
      <c r="J29" s="9"/>
      <c r="K29" s="944">
        <v>37073</v>
      </c>
      <c r="L29" s="953">
        <v>0</v>
      </c>
      <c r="M29" s="953">
        <v>0</v>
      </c>
      <c r="N29" s="953">
        <v>0</v>
      </c>
      <c r="O29" s="13"/>
      <c r="P29" s="953">
        <v>0</v>
      </c>
      <c r="Q29" s="953">
        <v>0</v>
      </c>
      <c r="R29" s="953">
        <v>0</v>
      </c>
      <c r="S29" s="13"/>
      <c r="T29" s="953">
        <v>0</v>
      </c>
      <c r="U29" s="953">
        <v>0</v>
      </c>
      <c r="V29" s="953">
        <v>0</v>
      </c>
      <c r="W29" s="13"/>
      <c r="X29" s="953">
        <v>0</v>
      </c>
      <c r="Y29" s="953">
        <v>0</v>
      </c>
      <c r="Z29" s="953">
        <v>0</v>
      </c>
      <c r="AA29" s="13">
        <v>0</v>
      </c>
      <c r="AB29" s="953">
        <v>0</v>
      </c>
      <c r="AC29" s="953">
        <v>0</v>
      </c>
      <c r="AD29" s="953">
        <v>0</v>
      </c>
      <c r="AE29" s="13"/>
      <c r="AF29" s="953">
        <v>0</v>
      </c>
      <c r="AG29" s="953">
        <v>0</v>
      </c>
      <c r="AH29" s="953">
        <v>0</v>
      </c>
      <c r="AI29" s="13"/>
      <c r="AJ29" s="953">
        <v>0</v>
      </c>
      <c r="AK29" s="953">
        <v>0</v>
      </c>
      <c r="AL29" s="953">
        <v>0</v>
      </c>
      <c r="AM29" s="1455"/>
      <c r="AN29" s="9">
        <v>7</v>
      </c>
      <c r="AO29" s="955">
        <v>0.2</v>
      </c>
      <c r="AP29" s="13"/>
      <c r="AQ29"/>
      <c r="AR29"/>
      <c r="AS29"/>
      <c r="AT29">
        <v>1</v>
      </c>
      <c r="AU29" t="str">
        <f t="shared" si="4"/>
        <v>2001Q4</v>
      </c>
      <c r="AV29">
        <f t="shared" si="5"/>
        <v>2001</v>
      </c>
      <c r="AW29" s="111">
        <f t="shared" si="1"/>
        <v>37226</v>
      </c>
      <c r="AX29" s="136">
        <f t="shared" si="8"/>
        <v>3.0903582625892034</v>
      </c>
      <c r="AY29" s="1541">
        <v>3.0903582625892034</v>
      </c>
      <c r="AZ29" s="136">
        <f t="shared" si="9"/>
        <v>3.0903582625892034</v>
      </c>
      <c r="BA29" s="137">
        <v>1</v>
      </c>
      <c r="BB29" s="137">
        <v>1</v>
      </c>
      <c r="BC29" s="137">
        <v>1</v>
      </c>
      <c r="BD29" s="137">
        <v>0</v>
      </c>
      <c r="BE29" s="137"/>
      <c r="BF29" s="137">
        <v>0</v>
      </c>
      <c r="BG29" s="145">
        <v>0</v>
      </c>
      <c r="BH29" s="886"/>
      <c r="BI29" s="938"/>
      <c r="BJ29" s="153"/>
      <c r="BK29" s="1443">
        <v>0</v>
      </c>
      <c r="BL29" s="905">
        <f t="shared" si="10"/>
        <v>3.0903582625892034</v>
      </c>
      <c r="BM29" s="1287">
        <f t="shared" si="2"/>
        <v>3.0903582625892034</v>
      </c>
      <c r="BN29" s="1282" t="e">
        <f t="shared" si="11"/>
        <v>#DIV/0!</v>
      </c>
      <c r="BO29" s="1377">
        <v>2.4</v>
      </c>
      <c r="BQ29" s="1379">
        <f t="shared" si="6"/>
        <v>2.8152321714388076</v>
      </c>
      <c r="BR29" s="1379">
        <f t="shared" si="3"/>
        <v>2.1812148534360265</v>
      </c>
      <c r="BS29" s="153">
        <v>0</v>
      </c>
      <c r="BT29" s="208"/>
      <c r="BU29" s="1389">
        <f t="shared" si="7"/>
        <v>36800</v>
      </c>
      <c r="BV29" s="1390">
        <v>2.4498420736590707</v>
      </c>
      <c r="BW29" s="1390">
        <v>1.9013234266571737</v>
      </c>
      <c r="BX29" s="1390"/>
      <c r="BY29" s="1390">
        <v>2.5488156934348973</v>
      </c>
      <c r="BZ29" s="1391">
        <v>1.9781368930941234</v>
      </c>
    </row>
    <row r="30" spans="1:87">
      <c r="A30" s="957"/>
      <c r="B30" s="951">
        <v>36530</v>
      </c>
      <c r="C30" s="952">
        <v>0</v>
      </c>
      <c r="D30" s="952">
        <v>0</v>
      </c>
      <c r="E30" s="952">
        <v>0</v>
      </c>
      <c r="F30" s="950"/>
      <c r="G30" s="952">
        <v>0</v>
      </c>
      <c r="H30" s="952">
        <v>0</v>
      </c>
      <c r="I30" s="952">
        <v>0</v>
      </c>
      <c r="J30" s="9"/>
      <c r="K30" s="944">
        <v>37104</v>
      </c>
      <c r="L30" s="953">
        <v>0</v>
      </c>
      <c r="M30" s="953">
        <v>0</v>
      </c>
      <c r="N30" s="953">
        <v>0</v>
      </c>
      <c r="O30" s="13"/>
      <c r="P30" s="953">
        <v>0</v>
      </c>
      <c r="Q30" s="953">
        <v>0</v>
      </c>
      <c r="R30" s="953">
        <v>0</v>
      </c>
      <c r="S30" s="13"/>
      <c r="T30" s="953">
        <v>0</v>
      </c>
      <c r="U30" s="953">
        <v>0</v>
      </c>
      <c r="V30" s="953">
        <v>0</v>
      </c>
      <c r="W30" s="13"/>
      <c r="X30" s="953">
        <v>0</v>
      </c>
      <c r="Y30" s="953">
        <v>0</v>
      </c>
      <c r="Z30" s="953">
        <v>0</v>
      </c>
      <c r="AA30" s="13">
        <v>0</v>
      </c>
      <c r="AB30" s="953">
        <v>0</v>
      </c>
      <c r="AC30" s="953">
        <v>0</v>
      </c>
      <c r="AD30" s="953">
        <v>0</v>
      </c>
      <c r="AE30" s="13"/>
      <c r="AF30" s="953">
        <v>0</v>
      </c>
      <c r="AG30" s="953">
        <v>0</v>
      </c>
      <c r="AH30" s="953">
        <v>0</v>
      </c>
      <c r="AI30" s="13"/>
      <c r="AJ30" s="953">
        <v>0</v>
      </c>
      <c r="AK30" s="953">
        <v>0</v>
      </c>
      <c r="AL30" s="953">
        <v>0</v>
      </c>
      <c r="AM30" s="1455"/>
      <c r="AN30" s="9">
        <v>7</v>
      </c>
      <c r="AO30" s="955">
        <v>0.2</v>
      </c>
      <c r="AP30" s="13"/>
      <c r="AQ30"/>
      <c r="AR30"/>
      <c r="AS30"/>
      <c r="AT30">
        <v>1</v>
      </c>
      <c r="AU30" t="str">
        <f t="shared" si="4"/>
        <v>2002Q1</v>
      </c>
      <c r="AV30">
        <f t="shared" si="5"/>
        <v>2002</v>
      </c>
      <c r="AW30" s="111">
        <f t="shared" si="1"/>
        <v>37257</v>
      </c>
      <c r="AX30" s="136">
        <f t="shared" si="8"/>
        <v>2.9650511733074278</v>
      </c>
      <c r="AY30" s="1541">
        <v>2.9650511733074278</v>
      </c>
      <c r="AZ30" s="136">
        <f t="shared" si="9"/>
        <v>2.9650511733074278</v>
      </c>
      <c r="BA30" s="137">
        <v>1</v>
      </c>
      <c r="BB30" s="137">
        <v>1</v>
      </c>
      <c r="BC30" s="137">
        <v>1</v>
      </c>
      <c r="BD30" s="137">
        <v>0</v>
      </c>
      <c r="BE30" s="137"/>
      <c r="BF30" s="137">
        <v>0</v>
      </c>
      <c r="BG30" s="145">
        <v>0</v>
      </c>
      <c r="BH30" s="886"/>
      <c r="BI30" s="938"/>
      <c r="BJ30" s="153"/>
      <c r="BK30" s="1443">
        <v>0</v>
      </c>
      <c r="BL30" s="905">
        <f t="shared" si="10"/>
        <v>2.9650511733074278</v>
      </c>
      <c r="BM30" s="1287">
        <f t="shared" si="2"/>
        <v>2.9650511733074278</v>
      </c>
      <c r="BN30" s="1282">
        <f t="shared" si="11"/>
        <v>-7.510175762220328E-2</v>
      </c>
      <c r="BO30" s="1377">
        <v>2.4</v>
      </c>
      <c r="BQ30" s="1379">
        <f t="shared" si="6"/>
        <v>2.7725473917828167</v>
      </c>
      <c r="BR30" s="1379">
        <f t="shared" si="3"/>
        <v>2.3318453469364786</v>
      </c>
      <c r="BS30" s="153">
        <v>0</v>
      </c>
      <c r="BT30" s="208"/>
      <c r="BU30" s="1389">
        <f t="shared" si="7"/>
        <v>36831</v>
      </c>
      <c r="BV30" s="1390">
        <v>2.5749140847960867</v>
      </c>
      <c r="BW30" s="1390">
        <v>1.9515554720189487</v>
      </c>
      <c r="BX30" s="1390"/>
      <c r="BY30" s="1390">
        <v>2.6789406138218488</v>
      </c>
      <c r="BZ30" s="1391">
        <v>2.0303983130885142</v>
      </c>
    </row>
    <row r="31" spans="1:87">
      <c r="A31" s="957"/>
      <c r="B31" s="951">
        <v>36531</v>
      </c>
      <c r="C31" s="952">
        <v>0</v>
      </c>
      <c r="D31" s="952">
        <v>0</v>
      </c>
      <c r="E31" s="952">
        <v>0</v>
      </c>
      <c r="F31" s="950"/>
      <c r="G31" s="952">
        <v>0</v>
      </c>
      <c r="H31" s="952">
        <v>0</v>
      </c>
      <c r="I31" s="952">
        <v>0</v>
      </c>
      <c r="J31" s="9"/>
      <c r="K31" s="944">
        <v>37135</v>
      </c>
      <c r="L31" s="953">
        <v>0</v>
      </c>
      <c r="M31" s="953">
        <v>0</v>
      </c>
      <c r="N31" s="953">
        <v>0</v>
      </c>
      <c r="O31" s="13"/>
      <c r="P31" s="953">
        <v>0</v>
      </c>
      <c r="Q31" s="953">
        <v>0</v>
      </c>
      <c r="R31" s="953">
        <v>0</v>
      </c>
      <c r="S31" s="13"/>
      <c r="T31" s="953">
        <v>0</v>
      </c>
      <c r="U31" s="953">
        <v>0</v>
      </c>
      <c r="V31" s="953">
        <v>0</v>
      </c>
      <c r="W31" s="13"/>
      <c r="X31" s="953">
        <v>0</v>
      </c>
      <c r="Y31" s="953">
        <v>0</v>
      </c>
      <c r="Z31" s="953">
        <v>0</v>
      </c>
      <c r="AA31" s="13">
        <v>0</v>
      </c>
      <c r="AB31" s="953">
        <v>0</v>
      </c>
      <c r="AC31" s="953">
        <v>0</v>
      </c>
      <c r="AD31" s="953">
        <v>0</v>
      </c>
      <c r="AE31" s="13"/>
      <c r="AF31" s="953">
        <v>0</v>
      </c>
      <c r="AG31" s="953">
        <v>0</v>
      </c>
      <c r="AH31" s="953">
        <v>0</v>
      </c>
      <c r="AI31" s="13"/>
      <c r="AJ31" s="953">
        <v>0</v>
      </c>
      <c r="AK31" s="953">
        <v>0</v>
      </c>
      <c r="AL31" s="953">
        <v>0</v>
      </c>
      <c r="AM31" s="1455"/>
      <c r="AN31" s="9">
        <v>8</v>
      </c>
      <c r="AO31" s="955">
        <v>0.2</v>
      </c>
      <c r="AP31" s="13"/>
      <c r="AQ31"/>
      <c r="AR31"/>
      <c r="AS31"/>
      <c r="AT31">
        <v>1</v>
      </c>
      <c r="AU31" t="str">
        <f t="shared" si="4"/>
        <v>2002Q1</v>
      </c>
      <c r="AV31">
        <f t="shared" si="5"/>
        <v>2002</v>
      </c>
      <c r="AW31" s="111">
        <f t="shared" si="1"/>
        <v>37288</v>
      </c>
      <c r="AX31" s="136">
        <f t="shared" si="8"/>
        <v>2.741600580355517</v>
      </c>
      <c r="AY31" s="1541">
        <v>2.741600580355517</v>
      </c>
      <c r="AZ31" s="136">
        <f t="shared" si="9"/>
        <v>2.741600580355517</v>
      </c>
      <c r="BA31" s="137">
        <v>1</v>
      </c>
      <c r="BB31" s="137">
        <v>1</v>
      </c>
      <c r="BC31" s="137">
        <v>1</v>
      </c>
      <c r="BD31" s="137">
        <v>0</v>
      </c>
      <c r="BE31" s="137"/>
      <c r="BF31" s="137">
        <v>0</v>
      </c>
      <c r="BG31" s="145">
        <v>0</v>
      </c>
      <c r="BH31" s="886"/>
      <c r="BI31" s="938"/>
      <c r="BJ31" s="153"/>
      <c r="BK31" s="1443">
        <v>0</v>
      </c>
      <c r="BL31" s="905">
        <f t="shared" si="10"/>
        <v>2.741600580355517</v>
      </c>
      <c r="BM31" s="1287">
        <f t="shared" si="2"/>
        <v>2.741600580355517</v>
      </c>
      <c r="BN31" s="1282">
        <f t="shared" si="11"/>
        <v>-9.8442270382514852E-2</v>
      </c>
      <c r="BO31" s="1377">
        <v>2.4</v>
      </c>
      <c r="BP31" s="187"/>
      <c r="BQ31" s="1379">
        <f t="shared" si="6"/>
        <v>2.56334611960144</v>
      </c>
      <c r="BR31" s="1379">
        <f t="shared" si="3"/>
        <v>2.1719739370020195</v>
      </c>
      <c r="BS31" s="153">
        <v>0</v>
      </c>
      <c r="BT31" s="208"/>
      <c r="BU31" s="1389">
        <f t="shared" si="7"/>
        <v>36861</v>
      </c>
      <c r="BV31" s="1390">
        <v>2.6293085206662457</v>
      </c>
      <c r="BW31" s="1390">
        <v>1.9924702831603933</v>
      </c>
      <c r="BX31" s="1390"/>
      <c r="BY31" s="1390">
        <v>2.7355325849011618</v>
      </c>
      <c r="BZ31" s="1391">
        <v>2.0729660826000731</v>
      </c>
    </row>
    <row r="32" spans="1:87">
      <c r="A32" s="957"/>
      <c r="B32" s="951">
        <v>36532</v>
      </c>
      <c r="C32" s="952">
        <v>0</v>
      </c>
      <c r="D32" s="952">
        <v>0</v>
      </c>
      <c r="E32" s="952">
        <v>0</v>
      </c>
      <c r="F32" s="950"/>
      <c r="G32" s="952">
        <v>0</v>
      </c>
      <c r="H32" s="952">
        <v>0</v>
      </c>
      <c r="I32" s="952">
        <v>0</v>
      </c>
      <c r="J32" s="9"/>
      <c r="K32" s="944">
        <v>37165</v>
      </c>
      <c r="L32" s="953">
        <v>0</v>
      </c>
      <c r="M32" s="953">
        <v>0</v>
      </c>
      <c r="N32" s="953">
        <v>0</v>
      </c>
      <c r="O32" s="13"/>
      <c r="P32" s="953">
        <v>0</v>
      </c>
      <c r="Q32" s="953">
        <v>0</v>
      </c>
      <c r="R32" s="953">
        <v>0</v>
      </c>
      <c r="S32" s="13"/>
      <c r="T32" s="953">
        <v>0</v>
      </c>
      <c r="U32" s="953">
        <v>0</v>
      </c>
      <c r="V32" s="953">
        <v>0</v>
      </c>
      <c r="W32" s="13"/>
      <c r="X32" s="953">
        <v>0</v>
      </c>
      <c r="Y32" s="953">
        <v>0</v>
      </c>
      <c r="Z32" s="953">
        <v>0</v>
      </c>
      <c r="AA32" s="13">
        <v>0</v>
      </c>
      <c r="AB32" s="953">
        <v>0</v>
      </c>
      <c r="AC32" s="953">
        <v>0</v>
      </c>
      <c r="AD32" s="953">
        <v>0</v>
      </c>
      <c r="AE32" s="13"/>
      <c r="AF32" s="953">
        <v>0</v>
      </c>
      <c r="AG32" s="953">
        <v>0</v>
      </c>
      <c r="AH32" s="953">
        <v>0</v>
      </c>
      <c r="AI32" s="13"/>
      <c r="AJ32" s="953">
        <v>0</v>
      </c>
      <c r="AK32" s="953">
        <v>0</v>
      </c>
      <c r="AL32" s="953">
        <v>0</v>
      </c>
      <c r="AM32" s="1455"/>
      <c r="AN32" s="9">
        <v>8</v>
      </c>
      <c r="AO32" s="955">
        <v>0.2</v>
      </c>
      <c r="AP32" s="13"/>
      <c r="AQ32"/>
      <c r="AR32"/>
      <c r="AS32"/>
      <c r="AT32">
        <v>1</v>
      </c>
      <c r="AU32" t="str">
        <f t="shared" si="4"/>
        <v>2002Q1</v>
      </c>
      <c r="AV32">
        <f t="shared" si="5"/>
        <v>2002</v>
      </c>
      <c r="AW32" s="111">
        <f t="shared" si="1"/>
        <v>37316</v>
      </c>
      <c r="AX32" s="136">
        <f t="shared" si="8"/>
        <v>2.5922946557626991</v>
      </c>
      <c r="AY32" s="1541">
        <v>2.5922946557626991</v>
      </c>
      <c r="AZ32" s="136">
        <f t="shared" si="9"/>
        <v>2.5922946557626991</v>
      </c>
      <c r="BA32" s="137">
        <v>1</v>
      </c>
      <c r="BB32" s="137">
        <v>1</v>
      </c>
      <c r="BC32" s="137">
        <v>1</v>
      </c>
      <c r="BD32" s="137">
        <v>0</v>
      </c>
      <c r="BE32" s="137"/>
      <c r="BF32" s="137">
        <v>0</v>
      </c>
      <c r="BG32" s="145">
        <v>0</v>
      </c>
      <c r="BH32" s="886"/>
      <c r="BI32" s="938"/>
      <c r="BJ32" s="153"/>
      <c r="BK32" s="1443">
        <v>0</v>
      </c>
      <c r="BL32" s="905">
        <f t="shared" si="10"/>
        <v>2.5922946557626991</v>
      </c>
      <c r="BM32" s="1287">
        <f t="shared" si="2"/>
        <v>2.5922946557626991</v>
      </c>
      <c r="BN32" s="1282">
        <f t="shared" si="11"/>
        <v>-0.10561717315647001</v>
      </c>
      <c r="BO32" s="1377">
        <v>2.4</v>
      </c>
      <c r="BQ32" s="1379">
        <f t="shared" si="6"/>
        <v>2.4872357095794873</v>
      </c>
      <c r="BR32" s="1379">
        <f t="shared" si="3"/>
        <v>2.0641536837904071</v>
      </c>
      <c r="BS32" s="153">
        <v>0</v>
      </c>
      <c r="BT32" s="208"/>
      <c r="BU32" s="1389">
        <f t="shared" si="7"/>
        <v>36892</v>
      </c>
      <c r="BV32" s="1390">
        <v>2.5344250738642087</v>
      </c>
      <c r="BW32" s="1390">
        <v>2.0967788949816617</v>
      </c>
      <c r="BX32" s="1390"/>
      <c r="BY32" s="1390">
        <v>2.6895521637852888</v>
      </c>
      <c r="BZ32" s="1391">
        <v>2.2251185375856992</v>
      </c>
    </row>
    <row r="33" spans="1:78">
      <c r="A33" s="957"/>
      <c r="B33" s="951">
        <v>36533</v>
      </c>
      <c r="C33" s="952">
        <v>0</v>
      </c>
      <c r="D33" s="952">
        <v>0</v>
      </c>
      <c r="E33" s="952">
        <v>0</v>
      </c>
      <c r="F33" s="950"/>
      <c r="G33" s="952">
        <v>0</v>
      </c>
      <c r="H33" s="952">
        <v>0</v>
      </c>
      <c r="I33" s="952">
        <v>0</v>
      </c>
      <c r="J33" s="9"/>
      <c r="K33" s="944">
        <v>37196</v>
      </c>
      <c r="L33" s="953">
        <v>0</v>
      </c>
      <c r="M33" s="953">
        <v>0</v>
      </c>
      <c r="N33" s="953">
        <v>0</v>
      </c>
      <c r="O33" s="13"/>
      <c r="P33" s="953">
        <v>0</v>
      </c>
      <c r="Q33" s="953">
        <v>0</v>
      </c>
      <c r="R33" s="953">
        <v>0</v>
      </c>
      <c r="S33" s="13"/>
      <c r="T33" s="953">
        <v>0</v>
      </c>
      <c r="U33" s="953">
        <v>0</v>
      </c>
      <c r="V33" s="953">
        <v>0</v>
      </c>
      <c r="W33" s="13"/>
      <c r="X33" s="953">
        <v>0</v>
      </c>
      <c r="Y33" s="953">
        <v>0</v>
      </c>
      <c r="Z33" s="953">
        <v>0</v>
      </c>
      <c r="AA33" s="13">
        <v>0</v>
      </c>
      <c r="AB33" s="953">
        <v>0</v>
      </c>
      <c r="AC33" s="953">
        <v>0</v>
      </c>
      <c r="AD33" s="953">
        <v>0</v>
      </c>
      <c r="AE33" s="13"/>
      <c r="AF33" s="953">
        <v>0</v>
      </c>
      <c r="AG33" s="953">
        <v>0</v>
      </c>
      <c r="AH33" s="953">
        <v>0</v>
      </c>
      <c r="AI33" s="13"/>
      <c r="AJ33" s="953">
        <v>0</v>
      </c>
      <c r="AK33" s="953">
        <v>0</v>
      </c>
      <c r="AL33" s="953">
        <v>0</v>
      </c>
      <c r="AM33" s="1455"/>
      <c r="AN33" s="9">
        <v>8</v>
      </c>
      <c r="AO33" s="955">
        <v>0.2</v>
      </c>
      <c r="AP33" s="13"/>
      <c r="AQ33"/>
      <c r="AR33"/>
      <c r="AS33"/>
      <c r="AT33">
        <v>1</v>
      </c>
      <c r="AU33" t="str">
        <f t="shared" si="4"/>
        <v>2002Q2</v>
      </c>
      <c r="AV33">
        <f t="shared" si="5"/>
        <v>2002</v>
      </c>
      <c r="AW33" s="111">
        <f t="shared" si="1"/>
        <v>37347</v>
      </c>
      <c r="AX33" s="136">
        <f t="shared" si="8"/>
        <v>2.5076693511524488</v>
      </c>
      <c r="AY33" s="1541">
        <v>2.5076693511524488</v>
      </c>
      <c r="AZ33" s="136">
        <f t="shared" si="9"/>
        <v>2.5076693511524488</v>
      </c>
      <c r="BA33" s="137">
        <v>1</v>
      </c>
      <c r="BB33" s="137">
        <v>1</v>
      </c>
      <c r="BC33" s="137">
        <v>1</v>
      </c>
      <c r="BD33" s="137">
        <v>0</v>
      </c>
      <c r="BE33" s="137"/>
      <c r="BF33" s="137">
        <v>0</v>
      </c>
      <c r="BG33" s="145">
        <v>0</v>
      </c>
      <c r="BH33" s="886"/>
      <c r="BI33" s="938"/>
      <c r="BJ33" s="153"/>
      <c r="BK33" s="1443">
        <v>0</v>
      </c>
      <c r="BL33" s="905">
        <f t="shared" si="10"/>
        <v>2.5076693511524488</v>
      </c>
      <c r="BM33" s="1287">
        <f t="shared" si="2"/>
        <v>2.5076693511524488</v>
      </c>
      <c r="BN33" s="1282">
        <f t="shared" si="11"/>
        <v>-9.6731018653489542E-2</v>
      </c>
      <c r="BO33" s="1377">
        <v>2.4</v>
      </c>
      <c r="BQ33" s="1379">
        <f t="shared" si="6"/>
        <v>2.4378951679100833</v>
      </c>
      <c r="BR33" s="1379">
        <f t="shared" si="3"/>
        <v>2.0014134502405474</v>
      </c>
      <c r="BS33" s="153">
        <v>0</v>
      </c>
      <c r="BT33" s="208"/>
      <c r="BU33" s="1389">
        <f t="shared" si="7"/>
        <v>36923</v>
      </c>
      <c r="BV33" s="1390">
        <v>2.3431912102800636</v>
      </c>
      <c r="BW33" s="1390">
        <v>1.9530236503630889</v>
      </c>
      <c r="BX33" s="1390"/>
      <c r="BY33" s="1390">
        <v>2.4866132578788855</v>
      </c>
      <c r="BZ33" s="1391">
        <v>2.0725643219545127</v>
      </c>
    </row>
    <row r="34" spans="1:78">
      <c r="A34" s="957"/>
      <c r="B34" s="951">
        <v>36534</v>
      </c>
      <c r="C34" s="952">
        <v>0</v>
      </c>
      <c r="D34" s="952">
        <v>0</v>
      </c>
      <c r="E34" s="952">
        <v>0</v>
      </c>
      <c r="F34" s="950"/>
      <c r="G34" s="952">
        <v>0</v>
      </c>
      <c r="H34" s="952">
        <v>0</v>
      </c>
      <c r="I34" s="952">
        <v>0</v>
      </c>
      <c r="J34" s="9"/>
      <c r="K34" s="944">
        <v>37226</v>
      </c>
      <c r="L34" s="953">
        <v>0</v>
      </c>
      <c r="M34" s="953">
        <v>0</v>
      </c>
      <c r="N34" s="953">
        <v>0</v>
      </c>
      <c r="O34" s="13"/>
      <c r="P34" s="953">
        <v>0</v>
      </c>
      <c r="Q34" s="953">
        <v>0</v>
      </c>
      <c r="R34" s="953">
        <v>0</v>
      </c>
      <c r="S34" s="13"/>
      <c r="T34" s="953">
        <v>0</v>
      </c>
      <c r="U34" s="953">
        <v>0</v>
      </c>
      <c r="V34" s="953">
        <v>0</v>
      </c>
      <c r="W34" s="13"/>
      <c r="X34" s="953">
        <v>0</v>
      </c>
      <c r="Y34" s="953">
        <v>0</v>
      </c>
      <c r="Z34" s="953">
        <v>0</v>
      </c>
      <c r="AA34" s="13">
        <v>0</v>
      </c>
      <c r="AB34" s="953">
        <v>0</v>
      </c>
      <c r="AC34" s="953">
        <v>0</v>
      </c>
      <c r="AD34" s="953">
        <v>0</v>
      </c>
      <c r="AE34" s="13"/>
      <c r="AF34" s="953">
        <v>0</v>
      </c>
      <c r="AG34" s="953">
        <v>0</v>
      </c>
      <c r="AH34" s="953">
        <v>0</v>
      </c>
      <c r="AI34" s="13"/>
      <c r="AJ34" s="953">
        <v>0</v>
      </c>
      <c r="AK34" s="953">
        <v>0</v>
      </c>
      <c r="AL34" s="953">
        <v>0</v>
      </c>
      <c r="AM34" s="1455"/>
      <c r="AN34" s="9">
        <v>9</v>
      </c>
      <c r="AO34" s="955">
        <v>0.25</v>
      </c>
      <c r="AP34" s="13"/>
      <c r="AQ34"/>
      <c r="AR34"/>
      <c r="AS34"/>
      <c r="AT34">
        <v>1</v>
      </c>
      <c r="AU34" t="str">
        <f t="shared" si="4"/>
        <v>2002Q2</v>
      </c>
      <c r="AV34">
        <f t="shared" si="5"/>
        <v>2002</v>
      </c>
      <c r="AW34" s="111">
        <f t="shared" si="1"/>
        <v>37377</v>
      </c>
      <c r="AX34" s="136">
        <f t="shared" si="8"/>
        <v>2.477901506947247</v>
      </c>
      <c r="AY34" s="1541">
        <v>2.477901506947247</v>
      </c>
      <c r="AZ34" s="136">
        <f t="shared" si="9"/>
        <v>2.477901506947247</v>
      </c>
      <c r="BA34" s="137">
        <v>1</v>
      </c>
      <c r="BB34" s="137">
        <v>1</v>
      </c>
      <c r="BC34" s="137">
        <v>1</v>
      </c>
      <c r="BD34" s="137">
        <v>0</v>
      </c>
      <c r="BE34" s="137"/>
      <c r="BF34" s="137">
        <v>0</v>
      </c>
      <c r="BG34" s="145">
        <v>0</v>
      </c>
      <c r="BH34" s="886"/>
      <c r="BI34" s="938"/>
      <c r="BJ34" s="153"/>
      <c r="BK34" s="1443">
        <v>0</v>
      </c>
      <c r="BL34" s="905">
        <f t="shared" si="10"/>
        <v>2.477901506947247</v>
      </c>
      <c r="BM34" s="1287">
        <f t="shared" si="2"/>
        <v>2.477901506947247</v>
      </c>
      <c r="BN34" s="1282">
        <f t="shared" si="11"/>
        <v>-9.3974083511732531E-2</v>
      </c>
      <c r="BO34" s="1377">
        <v>2.4</v>
      </c>
      <c r="BQ34" s="1379">
        <f t="shared" si="6"/>
        <v>2.4153244945932277</v>
      </c>
      <c r="BR34" s="1379">
        <f t="shared" si="3"/>
        <v>1.976782099291343</v>
      </c>
      <c r="BS34" s="153">
        <v>0</v>
      </c>
      <c r="BT34" s="208"/>
      <c r="BU34" s="1389">
        <f t="shared" si="7"/>
        <v>36951</v>
      </c>
      <c r="BV34" s="1390">
        <v>2.2736176000639059</v>
      </c>
      <c r="BW34" s="1390">
        <v>1.8560724388761436</v>
      </c>
      <c r="BX34" s="1390"/>
      <c r="BY34" s="1390">
        <v>2.4127811861286173</v>
      </c>
      <c r="BZ34" s="1391">
        <v>1.9696789207148744</v>
      </c>
    </row>
    <row r="35" spans="1:78">
      <c r="A35" s="957"/>
      <c r="B35" s="951">
        <v>36535</v>
      </c>
      <c r="C35" s="952">
        <v>0</v>
      </c>
      <c r="D35" s="952">
        <v>0</v>
      </c>
      <c r="E35" s="952">
        <v>0</v>
      </c>
      <c r="F35" s="950"/>
      <c r="G35" s="952">
        <v>0</v>
      </c>
      <c r="H35" s="952">
        <v>0</v>
      </c>
      <c r="I35" s="952">
        <v>0</v>
      </c>
      <c r="J35" s="9"/>
      <c r="K35" s="944">
        <v>37257</v>
      </c>
      <c r="L35" s="953">
        <v>0</v>
      </c>
      <c r="M35" s="953">
        <v>0</v>
      </c>
      <c r="N35" s="953">
        <v>0</v>
      </c>
      <c r="O35" s="13"/>
      <c r="P35" s="953">
        <v>0</v>
      </c>
      <c r="Q35" s="953">
        <v>0</v>
      </c>
      <c r="R35" s="953">
        <v>0</v>
      </c>
      <c r="S35" s="13"/>
      <c r="T35" s="953">
        <v>0</v>
      </c>
      <c r="U35" s="953">
        <v>0</v>
      </c>
      <c r="V35" s="953">
        <v>0</v>
      </c>
      <c r="W35" s="13"/>
      <c r="X35" s="953">
        <v>0</v>
      </c>
      <c r="Y35" s="953">
        <v>0</v>
      </c>
      <c r="Z35" s="953">
        <v>0</v>
      </c>
      <c r="AA35" s="13">
        <v>0</v>
      </c>
      <c r="AB35" s="953">
        <v>0</v>
      </c>
      <c r="AC35" s="953">
        <v>0</v>
      </c>
      <c r="AD35" s="953">
        <v>0</v>
      </c>
      <c r="AE35" s="13"/>
      <c r="AF35" s="953">
        <v>0</v>
      </c>
      <c r="AG35" s="953">
        <v>0</v>
      </c>
      <c r="AH35" s="953">
        <v>0</v>
      </c>
      <c r="AI35" s="13"/>
      <c r="AJ35" s="953">
        <v>0</v>
      </c>
      <c r="AK35" s="953">
        <v>0</v>
      </c>
      <c r="AL35" s="953">
        <v>0</v>
      </c>
      <c r="AM35" s="1455"/>
      <c r="AN35" s="9">
        <v>9</v>
      </c>
      <c r="AO35" s="955">
        <v>0.25</v>
      </c>
      <c r="AP35" s="13"/>
      <c r="AQ35"/>
      <c r="AR35"/>
      <c r="AS35"/>
      <c r="AT35">
        <v>1</v>
      </c>
      <c r="AU35" t="str">
        <f t="shared" si="4"/>
        <v>2002Q2</v>
      </c>
      <c r="AV35">
        <f t="shared" si="5"/>
        <v>2002</v>
      </c>
      <c r="AW35" s="111">
        <f t="shared" si="1"/>
        <v>37408</v>
      </c>
      <c r="AX35" s="136">
        <f t="shared" si="8"/>
        <v>2.4939527349649646</v>
      </c>
      <c r="AY35" s="1541">
        <v>2.4939527349649646</v>
      </c>
      <c r="AZ35" s="136">
        <f t="shared" si="9"/>
        <v>2.4939527349649646</v>
      </c>
      <c r="BA35" s="137">
        <v>1</v>
      </c>
      <c r="BB35" s="137">
        <v>1</v>
      </c>
      <c r="BC35" s="137">
        <v>1</v>
      </c>
      <c r="BD35" s="137">
        <v>0</v>
      </c>
      <c r="BE35" s="137"/>
      <c r="BF35" s="137">
        <v>0</v>
      </c>
      <c r="BG35" s="145">
        <v>0</v>
      </c>
      <c r="BH35" s="886"/>
      <c r="BI35" s="938"/>
      <c r="BJ35" s="153"/>
      <c r="BK35" s="1443">
        <v>0</v>
      </c>
      <c r="BL35" s="905">
        <f t="shared" si="10"/>
        <v>2.4939527349649646</v>
      </c>
      <c r="BM35" s="1287">
        <f t="shared" si="2"/>
        <v>2.4939527349649646</v>
      </c>
      <c r="BN35" s="1282">
        <f t="shared" si="11"/>
        <v>-9.0313818394557654E-2</v>
      </c>
      <c r="BO35" s="1377">
        <v>2.4</v>
      </c>
      <c r="BQ35" s="1379">
        <f t="shared" si="6"/>
        <v>2.4195236896289214</v>
      </c>
      <c r="BR35" s="1379">
        <f t="shared" si="3"/>
        <v>1.9832884938816986</v>
      </c>
      <c r="BS35" s="153">
        <v>0</v>
      </c>
      <c r="BT35" s="208"/>
      <c r="BU35" s="1389">
        <f t="shared" si="7"/>
        <v>36982</v>
      </c>
      <c r="BV35" s="1390">
        <v>2.2285147079237753</v>
      </c>
      <c r="BW35" s="1390">
        <v>1.7996568632264132</v>
      </c>
      <c r="BX35" s="1390"/>
      <c r="BY35" s="1390">
        <v>2.3649176361663735</v>
      </c>
      <c r="BZ35" s="1391">
        <v>1.9098102605107754</v>
      </c>
    </row>
    <row r="36" spans="1:78">
      <c r="A36" s="957"/>
      <c r="B36" s="951">
        <v>36536</v>
      </c>
      <c r="C36" s="952">
        <v>0</v>
      </c>
      <c r="D36" s="952">
        <v>0</v>
      </c>
      <c r="E36" s="952">
        <v>0</v>
      </c>
      <c r="F36" s="950"/>
      <c r="G36" s="952">
        <v>0</v>
      </c>
      <c r="H36" s="952">
        <v>0</v>
      </c>
      <c r="I36" s="952">
        <v>0</v>
      </c>
      <c r="J36" s="9"/>
      <c r="K36" s="944">
        <v>37288</v>
      </c>
      <c r="L36" s="953">
        <v>0</v>
      </c>
      <c r="M36" s="953">
        <v>0</v>
      </c>
      <c r="N36" s="953">
        <v>0</v>
      </c>
      <c r="O36" s="13"/>
      <c r="P36" s="953">
        <v>0</v>
      </c>
      <c r="Q36" s="953">
        <v>0</v>
      </c>
      <c r="R36" s="953">
        <v>0</v>
      </c>
      <c r="S36" s="13"/>
      <c r="T36" s="953">
        <v>0</v>
      </c>
      <c r="U36" s="953">
        <v>0</v>
      </c>
      <c r="V36" s="953">
        <v>0</v>
      </c>
      <c r="W36" s="13"/>
      <c r="X36" s="953">
        <v>0</v>
      </c>
      <c r="Y36" s="953">
        <v>0</v>
      </c>
      <c r="Z36" s="953">
        <v>0</v>
      </c>
      <c r="AA36" s="13">
        <v>0</v>
      </c>
      <c r="AB36" s="953">
        <v>0</v>
      </c>
      <c r="AC36" s="953">
        <v>0</v>
      </c>
      <c r="AD36" s="953">
        <v>0</v>
      </c>
      <c r="AE36" s="13"/>
      <c r="AF36" s="953">
        <v>0</v>
      </c>
      <c r="AG36" s="953">
        <v>0</v>
      </c>
      <c r="AH36" s="953">
        <v>0</v>
      </c>
      <c r="AI36" s="13"/>
      <c r="AJ36" s="953">
        <v>0</v>
      </c>
      <c r="AK36" s="953">
        <v>0</v>
      </c>
      <c r="AL36" s="953">
        <v>0</v>
      </c>
      <c r="AM36" s="1455"/>
      <c r="AN36" s="9">
        <v>9</v>
      </c>
      <c r="AO36" s="955">
        <v>0.25</v>
      </c>
      <c r="AP36" s="13"/>
      <c r="AQ36"/>
      <c r="AR36"/>
      <c r="AS36"/>
      <c r="AT36">
        <v>1</v>
      </c>
      <c r="AU36" t="str">
        <f t="shared" si="4"/>
        <v>2002Q3</v>
      </c>
      <c r="AV36">
        <f t="shared" si="5"/>
        <v>2002</v>
      </c>
      <c r="AW36" s="111">
        <f t="shared" si="1"/>
        <v>37438</v>
      </c>
      <c r="AX36" s="136">
        <f t="shared" si="8"/>
        <v>2.5461797759952751</v>
      </c>
      <c r="AY36" s="1541">
        <v>2.5461797759952751</v>
      </c>
      <c r="AZ36" s="136">
        <f t="shared" si="9"/>
        <v>2.5461797759952751</v>
      </c>
      <c r="BA36" s="137">
        <v>1</v>
      </c>
      <c r="BB36" s="137">
        <v>1</v>
      </c>
      <c r="BC36" s="137">
        <v>1</v>
      </c>
      <c r="BD36" s="137">
        <v>0</v>
      </c>
      <c r="BE36" s="137"/>
      <c r="BF36" s="137">
        <v>0</v>
      </c>
      <c r="BG36" s="145">
        <v>0</v>
      </c>
      <c r="BH36" s="886"/>
      <c r="BI36" s="938"/>
      <c r="BJ36" s="153"/>
      <c r="BK36" s="1443">
        <v>0</v>
      </c>
      <c r="BL36" s="905">
        <f t="shared" si="10"/>
        <v>2.5461797759952751</v>
      </c>
      <c r="BM36" s="1287">
        <f t="shared" si="2"/>
        <v>2.5461797759952751</v>
      </c>
      <c r="BN36" s="1282">
        <f t="shared" si="11"/>
        <v>-7.689427512564162E-2</v>
      </c>
      <c r="BO36" s="1377">
        <v>2.4</v>
      </c>
      <c r="BQ36" s="1379">
        <f t="shared" si="6"/>
        <v>2.4504927530171647</v>
      </c>
      <c r="BR36" s="1379">
        <f t="shared" si="3"/>
        <v>2.0139614969505191</v>
      </c>
      <c r="BS36" s="153">
        <v>0</v>
      </c>
      <c r="BU36" s="1389">
        <f t="shared" si="7"/>
        <v>37012</v>
      </c>
      <c r="BV36" s="1390">
        <v>2.207882533859673</v>
      </c>
      <c r="BW36" s="1390">
        <v>1.7775085261194818</v>
      </c>
      <c r="BX36" s="1390"/>
      <c r="BY36" s="1390">
        <v>2.3430226079921557</v>
      </c>
      <c r="BZ36" s="1391">
        <v>1.886306267986203</v>
      </c>
    </row>
    <row r="37" spans="1:78">
      <c r="A37" s="957"/>
      <c r="B37" s="951">
        <v>36537</v>
      </c>
      <c r="C37" s="952">
        <v>0</v>
      </c>
      <c r="D37" s="952">
        <v>0</v>
      </c>
      <c r="E37" s="952">
        <v>0</v>
      </c>
      <c r="F37" s="950"/>
      <c r="G37" s="952">
        <v>0</v>
      </c>
      <c r="H37" s="952">
        <v>0</v>
      </c>
      <c r="I37" s="952">
        <v>0</v>
      </c>
      <c r="J37" s="9"/>
      <c r="K37" s="944">
        <v>37316</v>
      </c>
      <c r="L37" s="953">
        <v>0</v>
      </c>
      <c r="M37" s="953">
        <v>0</v>
      </c>
      <c r="N37" s="953">
        <v>0</v>
      </c>
      <c r="O37" s="13"/>
      <c r="P37" s="953">
        <v>0</v>
      </c>
      <c r="Q37" s="953">
        <v>0</v>
      </c>
      <c r="R37" s="953">
        <v>0</v>
      </c>
      <c r="S37" s="13"/>
      <c r="T37" s="953">
        <v>0</v>
      </c>
      <c r="U37" s="953">
        <v>0</v>
      </c>
      <c r="V37" s="953">
        <v>0</v>
      </c>
      <c r="W37" s="13"/>
      <c r="X37" s="953">
        <v>0</v>
      </c>
      <c r="Y37" s="953">
        <v>0</v>
      </c>
      <c r="Z37" s="953">
        <v>0</v>
      </c>
      <c r="AA37" s="13">
        <v>0</v>
      </c>
      <c r="AB37" s="953">
        <v>0</v>
      </c>
      <c r="AC37" s="953">
        <v>0</v>
      </c>
      <c r="AD37" s="953">
        <v>0</v>
      </c>
      <c r="AE37" s="13"/>
      <c r="AF37" s="953">
        <v>0</v>
      </c>
      <c r="AG37" s="953">
        <v>0</v>
      </c>
      <c r="AH37" s="953">
        <v>0</v>
      </c>
      <c r="AI37" s="13"/>
      <c r="AJ37" s="953">
        <v>0</v>
      </c>
      <c r="AK37" s="953">
        <v>0</v>
      </c>
      <c r="AL37" s="953">
        <v>0</v>
      </c>
      <c r="AM37" s="1455"/>
      <c r="AN37" s="9">
        <v>10</v>
      </c>
      <c r="AO37" s="955">
        <v>0.25</v>
      </c>
      <c r="AP37" s="13"/>
      <c r="AQ37"/>
      <c r="AR37"/>
      <c r="AS37"/>
      <c r="AT37">
        <v>1</v>
      </c>
      <c r="AU37" t="str">
        <f t="shared" si="4"/>
        <v>2002Q3</v>
      </c>
      <c r="AV37">
        <f t="shared" si="5"/>
        <v>2002</v>
      </c>
      <c r="AW37" s="111">
        <f t="shared" si="1"/>
        <v>37469</v>
      </c>
      <c r="AX37" s="136">
        <f t="shared" si="8"/>
        <v>2.6254213580167103</v>
      </c>
      <c r="AY37" s="1541">
        <v>2.6254213580167103</v>
      </c>
      <c r="AZ37" s="136">
        <f t="shared" si="9"/>
        <v>2.6254213580167103</v>
      </c>
      <c r="BA37" s="137">
        <v>1</v>
      </c>
      <c r="BB37" s="137">
        <v>1</v>
      </c>
      <c r="BC37" s="137">
        <v>1</v>
      </c>
      <c r="BD37" s="137">
        <v>0</v>
      </c>
      <c r="BE37" s="137"/>
      <c r="BF37" s="137">
        <v>0</v>
      </c>
      <c r="BG37" s="145">
        <v>0</v>
      </c>
      <c r="BH37" s="886"/>
      <c r="BI37" s="938"/>
      <c r="BJ37" s="153"/>
      <c r="BK37" s="1443">
        <v>0</v>
      </c>
      <c r="BL37" s="905">
        <f t="shared" si="10"/>
        <v>2.6254213580167103</v>
      </c>
      <c r="BM37" s="1287">
        <f t="shared" si="2"/>
        <v>2.6254213580167103</v>
      </c>
      <c r="BN37" s="1282">
        <f t="shared" si="11"/>
        <v>-5.2571393985090697E-2</v>
      </c>
      <c r="BO37" s="1377">
        <v>2.4</v>
      </c>
      <c r="BQ37" s="1378">
        <f t="shared" si="6"/>
        <v>2.5082316847579569</v>
      </c>
      <c r="BR37" s="1378">
        <f t="shared" si="3"/>
        <v>2.0618299714367097</v>
      </c>
      <c r="BS37" s="153">
        <v>0</v>
      </c>
      <c r="BU37" s="1389">
        <f t="shared" si="7"/>
        <v>37043</v>
      </c>
      <c r="BV37" s="1390">
        <v>2.2117210778715988</v>
      </c>
      <c r="BW37" s="1390">
        <v>1.7833590302609355</v>
      </c>
      <c r="BX37" s="1390"/>
      <c r="BY37" s="1390">
        <v>2.3470961016059633</v>
      </c>
      <c r="BZ37" s="1391">
        <v>1.8925148697851466</v>
      </c>
    </row>
    <row r="38" spans="1:78">
      <c r="A38" s="957"/>
      <c r="B38" s="951">
        <v>36538</v>
      </c>
      <c r="C38" s="952">
        <v>0</v>
      </c>
      <c r="D38" s="952">
        <v>0</v>
      </c>
      <c r="E38" s="952">
        <v>0</v>
      </c>
      <c r="F38" s="950"/>
      <c r="G38" s="952">
        <v>0</v>
      </c>
      <c r="H38" s="952">
        <v>0</v>
      </c>
      <c r="I38" s="952">
        <v>0</v>
      </c>
      <c r="J38" s="9"/>
      <c r="K38" s="944">
        <v>37347</v>
      </c>
      <c r="L38" s="953">
        <v>0</v>
      </c>
      <c r="M38" s="953">
        <v>0</v>
      </c>
      <c r="N38" s="953">
        <v>0</v>
      </c>
      <c r="O38" s="13"/>
      <c r="P38" s="953">
        <v>0</v>
      </c>
      <c r="Q38" s="953">
        <v>0</v>
      </c>
      <c r="R38" s="953">
        <v>0</v>
      </c>
      <c r="S38" s="13"/>
      <c r="T38" s="953">
        <v>0</v>
      </c>
      <c r="U38" s="953">
        <v>0</v>
      </c>
      <c r="V38" s="953">
        <v>0</v>
      </c>
      <c r="W38" s="13"/>
      <c r="X38" s="953">
        <v>0</v>
      </c>
      <c r="Y38" s="953">
        <v>0</v>
      </c>
      <c r="Z38" s="953">
        <v>0</v>
      </c>
      <c r="AA38" s="13">
        <v>0</v>
      </c>
      <c r="AB38" s="953">
        <v>0</v>
      </c>
      <c r="AC38" s="953">
        <v>0</v>
      </c>
      <c r="AD38" s="953">
        <v>0</v>
      </c>
      <c r="AE38" s="13"/>
      <c r="AF38" s="953">
        <v>0</v>
      </c>
      <c r="AG38" s="953">
        <v>0</v>
      </c>
      <c r="AH38" s="953">
        <v>0</v>
      </c>
      <c r="AI38" s="13"/>
      <c r="AJ38" s="953">
        <v>0</v>
      </c>
      <c r="AK38" s="953">
        <v>0</v>
      </c>
      <c r="AL38" s="953">
        <v>0</v>
      </c>
      <c r="AM38" s="1455"/>
      <c r="AN38" s="9">
        <v>10</v>
      </c>
      <c r="AO38" s="955">
        <v>0.25</v>
      </c>
      <c r="AP38" s="13"/>
      <c r="AQ38"/>
      <c r="AR38"/>
      <c r="AS38"/>
      <c r="AT38">
        <v>1</v>
      </c>
      <c r="AU38" t="str">
        <f t="shared" si="4"/>
        <v>2002Q3</v>
      </c>
      <c r="AV38">
        <f t="shared" si="5"/>
        <v>2002</v>
      </c>
      <c r="AW38" s="111">
        <f t="shared" si="1"/>
        <v>37500</v>
      </c>
      <c r="AX38" s="136">
        <f t="shared" si="8"/>
        <v>2.7220456252398897</v>
      </c>
      <c r="AY38" s="1541">
        <v>2.7220456252398897</v>
      </c>
      <c r="AZ38" s="136">
        <f t="shared" si="9"/>
        <v>2.7220456252398897</v>
      </c>
      <c r="BA38" s="137">
        <v>1</v>
      </c>
      <c r="BB38" s="137">
        <v>1</v>
      </c>
      <c r="BC38" s="137">
        <v>1</v>
      </c>
      <c r="BD38" s="137">
        <v>0</v>
      </c>
      <c r="BE38" s="137"/>
      <c r="BF38" s="137">
        <v>0</v>
      </c>
      <c r="BG38" s="145">
        <v>0</v>
      </c>
      <c r="BH38" s="886"/>
      <c r="BI38" s="938"/>
      <c r="BJ38" s="153"/>
      <c r="BK38" s="1443">
        <v>0</v>
      </c>
      <c r="BL38" s="905">
        <f t="shared" si="10"/>
        <v>2.7220456252398897</v>
      </c>
      <c r="BM38" s="1287">
        <f t="shared" si="2"/>
        <v>2.7220456252398897</v>
      </c>
      <c r="BN38" s="1282">
        <f t="shared" si="11"/>
        <v>-2.2241117946976696E-2</v>
      </c>
      <c r="BO38" s="1377">
        <v>2.4</v>
      </c>
      <c r="BQ38" s="1378">
        <f t="shared" si="6"/>
        <v>2.5927404848512987</v>
      </c>
      <c r="BR38" s="1378">
        <f t="shared" si="3"/>
        <v>2.1199227802791727</v>
      </c>
      <c r="BS38" s="153">
        <v>0</v>
      </c>
      <c r="BU38" s="1389">
        <f t="shared" si="7"/>
        <v>37073</v>
      </c>
      <c r="BV38" s="1390">
        <v>2.2400303399595534</v>
      </c>
      <c r="BW38" s="1390">
        <v>1.8109399783563593</v>
      </c>
      <c r="BX38" s="1390"/>
      <c r="BY38" s="1390">
        <v>2.3771381170077976</v>
      </c>
      <c r="BZ38" s="1391">
        <v>1.9217839925515952</v>
      </c>
    </row>
    <row r="39" spans="1:78">
      <c r="A39" s="957"/>
      <c r="B39" s="951">
        <v>36539</v>
      </c>
      <c r="C39" s="952">
        <v>0</v>
      </c>
      <c r="D39" s="952">
        <v>0</v>
      </c>
      <c r="E39" s="952">
        <v>0</v>
      </c>
      <c r="F39" s="950"/>
      <c r="G39" s="952">
        <v>0</v>
      </c>
      <c r="H39" s="952">
        <v>0</v>
      </c>
      <c r="I39" s="952">
        <v>0</v>
      </c>
      <c r="J39" s="9"/>
      <c r="K39" s="944">
        <v>37377</v>
      </c>
      <c r="L39" s="953">
        <v>0</v>
      </c>
      <c r="M39" s="953">
        <v>0</v>
      </c>
      <c r="N39" s="953">
        <v>0</v>
      </c>
      <c r="O39" s="13"/>
      <c r="P39" s="953">
        <v>0</v>
      </c>
      <c r="Q39" s="953">
        <v>0</v>
      </c>
      <c r="R39" s="953">
        <v>0</v>
      </c>
      <c r="S39" s="13"/>
      <c r="T39" s="953">
        <v>0</v>
      </c>
      <c r="U39" s="953">
        <v>0</v>
      </c>
      <c r="V39" s="953">
        <v>0</v>
      </c>
      <c r="W39" s="13"/>
      <c r="X39" s="953">
        <v>0</v>
      </c>
      <c r="Y39" s="953">
        <v>0</v>
      </c>
      <c r="Z39" s="953">
        <v>0</v>
      </c>
      <c r="AA39" s="13">
        <v>0</v>
      </c>
      <c r="AB39" s="953">
        <v>0</v>
      </c>
      <c r="AC39" s="953">
        <v>0</v>
      </c>
      <c r="AD39" s="953">
        <v>0</v>
      </c>
      <c r="AE39" s="13"/>
      <c r="AF39" s="953">
        <v>0</v>
      </c>
      <c r="AG39" s="953">
        <v>0</v>
      </c>
      <c r="AH39" s="953">
        <v>0</v>
      </c>
      <c r="AI39" s="13"/>
      <c r="AJ39" s="953">
        <v>0</v>
      </c>
      <c r="AK39" s="953">
        <v>0</v>
      </c>
      <c r="AL39" s="953">
        <v>0</v>
      </c>
      <c r="AM39" s="1455"/>
      <c r="AN39" s="9">
        <v>10</v>
      </c>
      <c r="AO39" s="955">
        <v>0.25</v>
      </c>
      <c r="AP39" s="13"/>
      <c r="AQ39"/>
      <c r="AR39"/>
      <c r="AS39"/>
      <c r="AT39">
        <v>1</v>
      </c>
      <c r="AU39" t="str">
        <f t="shared" si="4"/>
        <v>2002Q4</v>
      </c>
      <c r="AV39">
        <f t="shared" si="5"/>
        <v>2002</v>
      </c>
      <c r="AW39" s="111">
        <f t="shared" si="1"/>
        <v>37530</v>
      </c>
      <c r="AX39" s="136">
        <f t="shared" si="8"/>
        <v>2.8263383395305395</v>
      </c>
      <c r="AY39" s="1541">
        <v>2.8263383395305395</v>
      </c>
      <c r="AZ39" s="136">
        <f t="shared" si="9"/>
        <v>2.8263383395305395</v>
      </c>
      <c r="BA39" s="137">
        <v>1</v>
      </c>
      <c r="BB39" s="137">
        <v>1</v>
      </c>
      <c r="BC39" s="137">
        <v>1</v>
      </c>
      <c r="BD39" s="137">
        <v>0</v>
      </c>
      <c r="BE39" s="137"/>
      <c r="BF39" s="137">
        <v>0</v>
      </c>
      <c r="BG39" s="145">
        <v>0</v>
      </c>
      <c r="BH39" s="886"/>
      <c r="BI39" s="938"/>
      <c r="BJ39" s="153"/>
      <c r="BK39" s="1443">
        <v>0</v>
      </c>
      <c r="BL39" s="905">
        <f t="shared" si="10"/>
        <v>2.8263383395305395</v>
      </c>
      <c r="BM39" s="1287">
        <f t="shared" si="2"/>
        <v>2.8263383395305395</v>
      </c>
      <c r="BN39" s="1282">
        <f t="shared" si="11"/>
        <v>-2.0362953493372027E-2</v>
      </c>
      <c r="BO39" s="1377">
        <v>2.4</v>
      </c>
      <c r="BQ39" s="1378">
        <f t="shared" si="6"/>
        <v>2.7040191532971884</v>
      </c>
      <c r="BR39" s="1378">
        <f t="shared" si="3"/>
        <v>2.1812687864168141</v>
      </c>
      <c r="BS39" s="153">
        <v>0</v>
      </c>
      <c r="BU39" s="1389">
        <f t="shared" si="7"/>
        <v>37104</v>
      </c>
      <c r="BV39" s="1390">
        <v>2.292810320123535</v>
      </c>
      <c r="BW39" s="1390">
        <v>1.8539829731113395</v>
      </c>
      <c r="BX39" s="1390"/>
      <c r="BY39" s="1390">
        <v>2.4331486541976561</v>
      </c>
      <c r="BZ39" s="1391">
        <v>1.9674615629295382</v>
      </c>
    </row>
    <row r="40" spans="1:78">
      <c r="A40" s="957"/>
      <c r="B40" s="951">
        <v>36556</v>
      </c>
      <c r="C40" s="952"/>
      <c r="D40" s="952"/>
      <c r="E40" s="952"/>
      <c r="F40" s="950"/>
      <c r="G40" s="952"/>
      <c r="H40" s="952"/>
      <c r="I40" s="952"/>
      <c r="J40" s="9"/>
      <c r="K40" s="944">
        <v>37408</v>
      </c>
      <c r="L40" s="953">
        <v>0</v>
      </c>
      <c r="M40" s="953">
        <v>0</v>
      </c>
      <c r="N40" s="953">
        <v>0</v>
      </c>
      <c r="O40" s="13"/>
      <c r="P40" s="953">
        <v>0</v>
      </c>
      <c r="Q40" s="953">
        <v>0</v>
      </c>
      <c r="R40" s="953">
        <v>0</v>
      </c>
      <c r="S40" s="13"/>
      <c r="T40" s="953">
        <v>0</v>
      </c>
      <c r="U40" s="953">
        <v>0</v>
      </c>
      <c r="V40" s="953">
        <v>0</v>
      </c>
      <c r="W40" s="13"/>
      <c r="X40" s="953">
        <v>0</v>
      </c>
      <c r="Y40" s="953">
        <v>0</v>
      </c>
      <c r="Z40" s="953">
        <v>0</v>
      </c>
      <c r="AA40" s="13">
        <v>0</v>
      </c>
      <c r="AB40" s="953">
        <v>0</v>
      </c>
      <c r="AC40" s="953">
        <v>0</v>
      </c>
      <c r="AD40" s="953">
        <v>0</v>
      </c>
      <c r="AE40" s="13"/>
      <c r="AF40" s="953">
        <v>0</v>
      </c>
      <c r="AG40" s="953">
        <v>0</v>
      </c>
      <c r="AH40" s="953">
        <v>0</v>
      </c>
      <c r="AI40" s="13"/>
      <c r="AJ40" s="953">
        <v>0</v>
      </c>
      <c r="AK40" s="953">
        <v>0</v>
      </c>
      <c r="AL40" s="953">
        <v>0</v>
      </c>
      <c r="AM40" s="1455"/>
      <c r="AN40" s="9">
        <v>11</v>
      </c>
      <c r="AO40" s="955">
        <v>0.25</v>
      </c>
      <c r="AP40" s="13"/>
      <c r="AQ40"/>
      <c r="AR40"/>
      <c r="AS40"/>
      <c r="AT40">
        <v>1</v>
      </c>
      <c r="AU40" t="str">
        <f t="shared" si="4"/>
        <v>2002Q4</v>
      </c>
      <c r="AV40">
        <f t="shared" si="5"/>
        <v>2002</v>
      </c>
      <c r="AW40" s="111">
        <f t="shared" si="1"/>
        <v>37561</v>
      </c>
      <c r="AX40" s="136">
        <f t="shared" si="8"/>
        <v>2.9289747891953208</v>
      </c>
      <c r="AY40" s="1541">
        <v>2.9289747891953208</v>
      </c>
      <c r="AZ40" s="136">
        <f t="shared" si="9"/>
        <v>2.9289747891953208</v>
      </c>
      <c r="BA40" s="137">
        <v>1</v>
      </c>
      <c r="BB40" s="137">
        <v>1</v>
      </c>
      <c r="BC40" s="137">
        <v>1</v>
      </c>
      <c r="BD40" s="137">
        <v>0</v>
      </c>
      <c r="BE40" s="137"/>
      <c r="BF40" s="137">
        <v>0</v>
      </c>
      <c r="BG40" s="145">
        <v>0</v>
      </c>
      <c r="BH40" s="886"/>
      <c r="BI40" s="938"/>
      <c r="BJ40" s="153"/>
      <c r="BK40" s="1443">
        <v>0</v>
      </c>
      <c r="BL40" s="905">
        <f t="shared" si="10"/>
        <v>2.9289747891953208</v>
      </c>
      <c r="BM40" s="1287">
        <f t="shared" si="2"/>
        <v>2.9289747891953208</v>
      </c>
      <c r="BN40" s="1282">
        <f t="shared" si="11"/>
        <v>-1.8641960375282651E-2</v>
      </c>
      <c r="BO40" s="1377">
        <v>2.4</v>
      </c>
      <c r="BQ40" s="1378">
        <f t="shared" si="6"/>
        <v>2.8420676900956283</v>
      </c>
      <c r="BR40" s="1378">
        <f t="shared" si="3"/>
        <v>2.2388968527885384</v>
      </c>
      <c r="BS40" s="153">
        <v>0</v>
      </c>
      <c r="BU40" s="1389">
        <f t="shared" si="7"/>
        <v>37135</v>
      </c>
      <c r="BV40" s="1390">
        <v>2.370061018363546</v>
      </c>
      <c r="BW40" s="1390">
        <v>1.9062196172314603</v>
      </c>
      <c r="BX40" s="1390"/>
      <c r="BY40" s="1390">
        <v>2.5151277131755418</v>
      </c>
      <c r="BZ40" s="1391">
        <v>2.0228955075629633</v>
      </c>
    </row>
    <row r="41" spans="1:78">
      <c r="A41" s="957"/>
      <c r="B41" s="951">
        <v>36557</v>
      </c>
      <c r="C41" s="952"/>
      <c r="D41" s="952"/>
      <c r="E41" s="952"/>
      <c r="F41" s="950"/>
      <c r="G41" s="952"/>
      <c r="H41" s="952"/>
      <c r="I41" s="952"/>
      <c r="J41" s="9"/>
      <c r="K41" s="944">
        <v>37438</v>
      </c>
      <c r="L41" s="953">
        <v>0</v>
      </c>
      <c r="M41" s="953">
        <v>0</v>
      </c>
      <c r="N41" s="953">
        <v>0</v>
      </c>
      <c r="O41" s="13"/>
      <c r="P41" s="953">
        <v>0</v>
      </c>
      <c r="Q41" s="953">
        <v>0</v>
      </c>
      <c r="R41" s="953">
        <v>0</v>
      </c>
      <c r="S41" s="13"/>
      <c r="T41" s="953">
        <v>0</v>
      </c>
      <c r="U41" s="953">
        <v>0</v>
      </c>
      <c r="V41" s="953">
        <v>0</v>
      </c>
      <c r="W41" s="13"/>
      <c r="X41" s="953">
        <v>0</v>
      </c>
      <c r="Y41" s="953">
        <v>0</v>
      </c>
      <c r="Z41" s="953">
        <v>0</v>
      </c>
      <c r="AA41" s="13">
        <v>0</v>
      </c>
      <c r="AB41" s="953">
        <v>0</v>
      </c>
      <c r="AC41" s="953">
        <v>0</v>
      </c>
      <c r="AD41" s="953">
        <v>0</v>
      </c>
      <c r="AE41" s="13"/>
      <c r="AF41" s="953">
        <v>0</v>
      </c>
      <c r="AG41" s="953">
        <v>0</v>
      </c>
      <c r="AH41" s="953">
        <v>0</v>
      </c>
      <c r="AI41" s="13"/>
      <c r="AJ41" s="953">
        <v>0</v>
      </c>
      <c r="AK41" s="953">
        <v>0</v>
      </c>
      <c r="AL41" s="953">
        <v>0</v>
      </c>
      <c r="AM41" s="1455"/>
      <c r="AN41" s="9">
        <v>11</v>
      </c>
      <c r="AO41" s="955">
        <v>0.25</v>
      </c>
      <c r="AP41" s="13"/>
      <c r="AQ41"/>
      <c r="AR41"/>
      <c r="AS41"/>
      <c r="AT41">
        <v>1</v>
      </c>
      <c r="AU41" t="str">
        <f t="shared" si="4"/>
        <v>2002Q4</v>
      </c>
      <c r="AV41">
        <f t="shared" si="5"/>
        <v>2002</v>
      </c>
      <c r="AW41" s="111">
        <f t="shared" si="1"/>
        <v>37591</v>
      </c>
      <c r="AX41" s="136">
        <f t="shared" si="8"/>
        <v>3.0380382411766798</v>
      </c>
      <c r="AY41" s="1541">
        <v>3.0380382411766798</v>
      </c>
      <c r="AZ41" s="136">
        <f t="shared" si="9"/>
        <v>3.0380382411766798</v>
      </c>
      <c r="BA41" s="137">
        <v>1</v>
      </c>
      <c r="BB41" s="137">
        <v>1</v>
      </c>
      <c r="BC41" s="137">
        <v>1</v>
      </c>
      <c r="BD41" s="137">
        <v>0</v>
      </c>
      <c r="BE41" s="137"/>
      <c r="BF41" s="137">
        <v>0</v>
      </c>
      <c r="BG41" s="145">
        <v>0</v>
      </c>
      <c r="BH41" s="886"/>
      <c r="BI41" s="938"/>
      <c r="BJ41" s="153"/>
      <c r="BK41" s="1443">
        <v>0</v>
      </c>
      <c r="BL41" s="905">
        <f t="shared" si="10"/>
        <v>3.0380382411766798</v>
      </c>
      <c r="BM41" s="1287">
        <f t="shared" si="2"/>
        <v>3.0380382411766798</v>
      </c>
      <c r="BN41" s="1282">
        <f t="shared" si="11"/>
        <v>-1.6930082846992711E-2</v>
      </c>
      <c r="BO41" s="1377">
        <v>2.4</v>
      </c>
      <c r="BQ41" s="1378">
        <f t="shared" si="6"/>
        <v>2.9021056811184627</v>
      </c>
      <c r="BR41" s="1378">
        <f t="shared" si="3"/>
        <v>2.2858358423332477</v>
      </c>
      <c r="BS41" s="153">
        <v>0</v>
      </c>
      <c r="BU41" s="1389">
        <f t="shared" si="7"/>
        <v>37165</v>
      </c>
      <c r="BV41" s="1390">
        <v>2.471782434679584</v>
      </c>
      <c r="BW41" s="1390">
        <v>1.9613815134223089</v>
      </c>
      <c r="BX41" s="1390"/>
      <c r="BY41" s="1390">
        <v>2.6230752939414517</v>
      </c>
      <c r="BZ41" s="1391">
        <v>2.0814337530958613</v>
      </c>
    </row>
    <row r="42" spans="1:78">
      <c r="A42" s="957"/>
      <c r="B42" s="951">
        <v>36586</v>
      </c>
      <c r="C42" s="952"/>
      <c r="D42" s="952"/>
      <c r="E42" s="952"/>
      <c r="F42" s="950"/>
      <c r="G42" s="952"/>
      <c r="H42" s="952"/>
      <c r="I42" s="952"/>
      <c r="J42" s="9"/>
      <c r="K42" s="944">
        <v>37469</v>
      </c>
      <c r="L42" s="953">
        <v>0</v>
      </c>
      <c r="M42" s="953">
        <v>0</v>
      </c>
      <c r="N42" s="953">
        <v>0</v>
      </c>
      <c r="O42" s="13"/>
      <c r="P42" s="953">
        <v>0</v>
      </c>
      <c r="Q42" s="953">
        <v>0</v>
      </c>
      <c r="R42" s="953">
        <v>0</v>
      </c>
      <c r="S42" s="13"/>
      <c r="T42" s="953">
        <v>0</v>
      </c>
      <c r="U42" s="953">
        <v>0</v>
      </c>
      <c r="V42" s="953">
        <v>0</v>
      </c>
      <c r="W42" s="13"/>
      <c r="X42" s="953">
        <v>0</v>
      </c>
      <c r="Y42" s="953">
        <v>0</v>
      </c>
      <c r="Z42" s="953">
        <v>0</v>
      </c>
      <c r="AA42" s="13">
        <v>0</v>
      </c>
      <c r="AB42" s="953">
        <v>0</v>
      </c>
      <c r="AC42" s="953">
        <v>0</v>
      </c>
      <c r="AD42" s="953">
        <v>0</v>
      </c>
      <c r="AE42" s="13"/>
      <c r="AF42" s="953">
        <v>0</v>
      </c>
      <c r="AG42" s="953">
        <v>0</v>
      </c>
      <c r="AH42" s="953">
        <v>0</v>
      </c>
      <c r="AI42" s="13"/>
      <c r="AJ42" s="953">
        <v>0</v>
      </c>
      <c r="AK42" s="953">
        <v>0</v>
      </c>
      <c r="AL42" s="953">
        <v>0</v>
      </c>
      <c r="AM42" s="1455"/>
      <c r="AN42" s="9">
        <v>11</v>
      </c>
      <c r="AO42" s="955">
        <v>0.25</v>
      </c>
      <c r="AP42" s="13"/>
      <c r="AQ42"/>
      <c r="AR42"/>
      <c r="AS42"/>
      <c r="AT42">
        <v>1</v>
      </c>
      <c r="AU42" t="str">
        <f t="shared" si="4"/>
        <v>2003Q1</v>
      </c>
      <c r="AV42">
        <f t="shared" si="5"/>
        <v>2003</v>
      </c>
      <c r="AW42" s="111">
        <f t="shared" si="1"/>
        <v>37622</v>
      </c>
      <c r="AX42" s="136">
        <f t="shared" si="8"/>
        <v>2.9164115215249073</v>
      </c>
      <c r="AY42" s="1541">
        <v>2.9164115215249073</v>
      </c>
      <c r="AZ42" s="136">
        <f t="shared" si="9"/>
        <v>2.9164115215249073</v>
      </c>
      <c r="BA42" s="137">
        <v>1</v>
      </c>
      <c r="BB42" s="137">
        <v>1</v>
      </c>
      <c r="BC42" s="137">
        <v>1</v>
      </c>
      <c r="BD42" s="137">
        <v>0</v>
      </c>
      <c r="BE42" s="137"/>
      <c r="BF42" s="137">
        <v>0</v>
      </c>
      <c r="BG42" s="145">
        <v>0</v>
      </c>
      <c r="BH42" s="886"/>
      <c r="BI42" s="938"/>
      <c r="BJ42" s="153"/>
      <c r="BK42" s="1443">
        <v>0</v>
      </c>
      <c r="BL42" s="905">
        <f t="shared" si="10"/>
        <v>2.9164115215249073</v>
      </c>
      <c r="BM42" s="1287">
        <f t="shared" si="2"/>
        <v>2.9164115215249073</v>
      </c>
      <c r="BN42" s="1282">
        <f t="shared" si="11"/>
        <v>-1.6404321186896831E-2</v>
      </c>
      <c r="BO42" s="1377">
        <v>2.4</v>
      </c>
      <c r="BQ42" s="1378">
        <f t="shared" si="6"/>
        <v>2.8628985951766195</v>
      </c>
      <c r="BR42" s="1378">
        <f t="shared" si="3"/>
        <v>2.4047232928016746</v>
      </c>
      <c r="BS42" s="153">
        <v>0</v>
      </c>
      <c r="BU42" s="1389">
        <f t="shared" si="7"/>
        <v>37196</v>
      </c>
      <c r="BV42" s="1390">
        <v>2.5979745690716509</v>
      </c>
      <c r="BW42" s="1390">
        <v>2.0132002643894693</v>
      </c>
      <c r="BX42" s="1390"/>
      <c r="BY42" s="1390">
        <v>2.7569913964953883</v>
      </c>
      <c r="BZ42" s="1391">
        <v>2.1364242261722199</v>
      </c>
    </row>
    <row r="43" spans="1:78">
      <c r="A43" s="957"/>
      <c r="B43" s="951">
        <v>36617</v>
      </c>
      <c r="C43" s="952"/>
      <c r="D43" s="952"/>
      <c r="E43" s="952"/>
      <c r="F43" s="950"/>
      <c r="G43" s="952"/>
      <c r="H43" s="952"/>
      <c r="I43" s="952"/>
      <c r="J43" s="9"/>
      <c r="K43" s="944">
        <v>37500</v>
      </c>
      <c r="L43" s="953">
        <v>0</v>
      </c>
      <c r="M43" s="953">
        <v>0</v>
      </c>
      <c r="N43" s="953">
        <v>0</v>
      </c>
      <c r="O43" s="13"/>
      <c r="P43" s="953">
        <v>0</v>
      </c>
      <c r="Q43" s="953">
        <v>0</v>
      </c>
      <c r="R43" s="953">
        <v>0</v>
      </c>
      <c r="S43" s="13"/>
      <c r="T43" s="953">
        <v>0</v>
      </c>
      <c r="U43" s="953">
        <v>0</v>
      </c>
      <c r="V43" s="953">
        <v>0</v>
      </c>
      <c r="W43" s="13"/>
      <c r="X43" s="953">
        <v>0</v>
      </c>
      <c r="Y43" s="953">
        <v>0</v>
      </c>
      <c r="Z43" s="953">
        <v>0</v>
      </c>
      <c r="AA43" s="13">
        <v>0</v>
      </c>
      <c r="AB43" s="953">
        <v>0</v>
      </c>
      <c r="AC43" s="953">
        <v>0</v>
      </c>
      <c r="AD43" s="953">
        <v>0</v>
      </c>
      <c r="AE43" s="13"/>
      <c r="AF43" s="953">
        <v>0</v>
      </c>
      <c r="AG43" s="953">
        <v>0</v>
      </c>
      <c r="AH43" s="953">
        <v>0</v>
      </c>
      <c r="AI43" s="13"/>
      <c r="AJ43" s="953">
        <v>0</v>
      </c>
      <c r="AK43" s="953">
        <v>0</v>
      </c>
      <c r="AL43" s="953">
        <v>0</v>
      </c>
      <c r="AM43" s="1455"/>
      <c r="AN43" s="9">
        <v>12</v>
      </c>
      <c r="AO43" s="955">
        <v>0.25</v>
      </c>
      <c r="AP43" s="13"/>
      <c r="AQ43"/>
      <c r="AR43"/>
      <c r="AS43"/>
      <c r="AT43">
        <v>1</v>
      </c>
      <c r="AU43" t="str">
        <f t="shared" si="4"/>
        <v>2003Q1</v>
      </c>
      <c r="AV43">
        <f t="shared" si="5"/>
        <v>2003</v>
      </c>
      <c r="AW43" s="111">
        <f t="shared" si="1"/>
        <v>37653</v>
      </c>
      <c r="AX43" s="136">
        <f t="shared" si="8"/>
        <v>2.6850391101580025</v>
      </c>
      <c r="AY43" s="1541">
        <v>2.6850391101580025</v>
      </c>
      <c r="AZ43" s="136">
        <f t="shared" si="9"/>
        <v>2.6850391101580025</v>
      </c>
      <c r="BA43" s="137">
        <v>1</v>
      </c>
      <c r="BB43" s="137">
        <v>1</v>
      </c>
      <c r="BC43" s="137">
        <v>1</v>
      </c>
      <c r="BD43" s="137">
        <v>0</v>
      </c>
      <c r="BE43" s="137"/>
      <c r="BF43" s="137">
        <v>0</v>
      </c>
      <c r="BG43" s="145">
        <v>0</v>
      </c>
      <c r="BH43" s="886"/>
      <c r="BI43" s="938"/>
      <c r="BJ43" s="153"/>
      <c r="BK43" s="1443">
        <v>0</v>
      </c>
      <c r="BL43" s="905">
        <f t="shared" si="10"/>
        <v>2.6850391101580025</v>
      </c>
      <c r="BM43" s="1287">
        <f t="shared" si="2"/>
        <v>2.6850391101580025</v>
      </c>
      <c r="BN43" s="1282">
        <f t="shared" si="11"/>
        <v>-2.0630820770463965E-2</v>
      </c>
      <c r="BO43" s="1377">
        <v>2.4</v>
      </c>
      <c r="BQ43" s="1379">
        <f t="shared" si="6"/>
        <v>2.646879915022661</v>
      </c>
      <c r="BR43" s="1378">
        <f t="shared" si="3"/>
        <v>2.2398553679937474</v>
      </c>
      <c r="BS43" s="153">
        <v>0</v>
      </c>
      <c r="BU43" s="1389">
        <f t="shared" si="7"/>
        <v>37226</v>
      </c>
      <c r="BV43" s="1390">
        <v>2.6528561520821627</v>
      </c>
      <c r="BW43" s="1390">
        <v>2.0554074728385263</v>
      </c>
      <c r="BX43" s="1390"/>
      <c r="BY43" s="1390">
        <v>2.8152321714388076</v>
      </c>
      <c r="BZ43" s="1391">
        <v>2.1812148534360265</v>
      </c>
    </row>
    <row r="44" spans="1:78">
      <c r="A44" s="957"/>
      <c r="B44" s="951">
        <v>36647</v>
      </c>
      <c r="C44" s="952"/>
      <c r="D44" s="952"/>
      <c r="E44" s="952"/>
      <c r="F44" s="950"/>
      <c r="G44" s="952"/>
      <c r="H44" s="952"/>
      <c r="I44" s="952"/>
      <c r="J44" s="9"/>
      <c r="K44" s="944">
        <v>37530</v>
      </c>
      <c r="L44" s="953">
        <v>0</v>
      </c>
      <c r="M44" s="953">
        <v>0</v>
      </c>
      <c r="N44" s="953">
        <v>0</v>
      </c>
      <c r="O44" s="13"/>
      <c r="P44" s="953">
        <v>0</v>
      </c>
      <c r="Q44" s="953">
        <v>0</v>
      </c>
      <c r="R44" s="953">
        <v>0</v>
      </c>
      <c r="S44" s="13"/>
      <c r="T44" s="953">
        <v>0</v>
      </c>
      <c r="U44" s="953">
        <v>0</v>
      </c>
      <c r="V44" s="953">
        <v>0</v>
      </c>
      <c r="W44" s="13"/>
      <c r="X44" s="953">
        <v>0</v>
      </c>
      <c r="Y44" s="953">
        <v>0</v>
      </c>
      <c r="Z44" s="953">
        <v>0</v>
      </c>
      <c r="AA44" s="13">
        <v>0</v>
      </c>
      <c r="AB44" s="953">
        <v>0</v>
      </c>
      <c r="AC44" s="953">
        <v>0</v>
      </c>
      <c r="AD44" s="953">
        <v>0</v>
      </c>
      <c r="AE44" s="13"/>
      <c r="AF44" s="953">
        <v>0</v>
      </c>
      <c r="AG44" s="953">
        <v>0</v>
      </c>
      <c r="AH44" s="953">
        <v>0</v>
      </c>
      <c r="AI44" s="13"/>
      <c r="AJ44" s="953">
        <v>0</v>
      </c>
      <c r="AK44" s="953">
        <v>0</v>
      </c>
      <c r="AL44" s="953">
        <v>0</v>
      </c>
      <c r="AM44" s="1455"/>
      <c r="AN44" s="9">
        <v>12</v>
      </c>
      <c r="AO44" s="955">
        <v>0.25</v>
      </c>
      <c r="AP44" s="13"/>
      <c r="AQ44"/>
      <c r="AR44"/>
      <c r="AS44"/>
      <c r="AT44">
        <v>1</v>
      </c>
      <c r="AU44" t="str">
        <f t="shared" si="4"/>
        <v>2003Q1</v>
      </c>
      <c r="AV44">
        <f t="shared" si="5"/>
        <v>2003</v>
      </c>
      <c r="AW44" s="111">
        <f t="shared" si="1"/>
        <v>37681</v>
      </c>
      <c r="AX44" s="136">
        <f t="shared" si="8"/>
        <v>2.53044136898898</v>
      </c>
      <c r="AY44" s="1541">
        <v>2.53044136898898</v>
      </c>
      <c r="AZ44" s="136">
        <f t="shared" si="9"/>
        <v>2.53044136898898</v>
      </c>
      <c r="BA44" s="137">
        <v>1</v>
      </c>
      <c r="BB44" s="137">
        <v>1</v>
      </c>
      <c r="BC44" s="137">
        <v>1</v>
      </c>
      <c r="BD44" s="137">
        <v>0</v>
      </c>
      <c r="BE44" s="137"/>
      <c r="BF44" s="137">
        <v>0</v>
      </c>
      <c r="BG44" s="145">
        <v>0</v>
      </c>
      <c r="BH44" s="886"/>
      <c r="BI44" s="938"/>
      <c r="BJ44" s="153"/>
      <c r="BK44" s="1443">
        <v>0</v>
      </c>
      <c r="BL44" s="905">
        <f t="shared" si="10"/>
        <v>2.53044136898898</v>
      </c>
      <c r="BM44" s="1287">
        <f t="shared" si="2"/>
        <v>2.53044136898898</v>
      </c>
      <c r="BN44" s="1282">
        <f t="shared" si="11"/>
        <v>-2.3860438332586442E-2</v>
      </c>
      <c r="BO44" s="1377">
        <v>2.4</v>
      </c>
      <c r="BQ44" s="1379">
        <f t="shared" si="6"/>
        <v>2.5682892346339474</v>
      </c>
      <c r="BR44" s="1378">
        <f t="shared" si="3"/>
        <v>2.1286653721930517</v>
      </c>
      <c r="BS44" s="153">
        <v>0</v>
      </c>
      <c r="BU44" s="1389">
        <f t="shared" si="7"/>
        <v>37257</v>
      </c>
      <c r="BV44" s="1390">
        <v>2.5614052263402973</v>
      </c>
      <c r="BW44" s="1390">
        <v>2.1542646579684761</v>
      </c>
      <c r="BX44" s="1390"/>
      <c r="BY44" s="1390">
        <v>2.7725473917828167</v>
      </c>
      <c r="BZ44" s="1391">
        <v>2.3318453469364786</v>
      </c>
    </row>
    <row r="45" spans="1:78">
      <c r="A45" s="957"/>
      <c r="B45" s="951">
        <v>36678</v>
      </c>
      <c r="C45" s="952"/>
      <c r="D45" s="952"/>
      <c r="E45" s="952"/>
      <c r="F45" s="950"/>
      <c r="G45" s="952"/>
      <c r="H45" s="952"/>
      <c r="I45" s="952"/>
      <c r="J45" s="9"/>
      <c r="K45" s="944">
        <v>37561</v>
      </c>
      <c r="L45" s="953">
        <v>0</v>
      </c>
      <c r="M45" s="953">
        <v>0</v>
      </c>
      <c r="N45" s="953">
        <v>0</v>
      </c>
      <c r="O45" s="13"/>
      <c r="P45" s="953">
        <v>0</v>
      </c>
      <c r="Q45" s="953">
        <v>0</v>
      </c>
      <c r="R45" s="953">
        <v>0</v>
      </c>
      <c r="S45" s="13"/>
      <c r="T45" s="953">
        <v>0</v>
      </c>
      <c r="U45" s="953">
        <v>0</v>
      </c>
      <c r="V45" s="953">
        <v>0</v>
      </c>
      <c r="W45" s="13"/>
      <c r="X45" s="953">
        <v>0</v>
      </c>
      <c r="Y45" s="953">
        <v>0</v>
      </c>
      <c r="Z45" s="953">
        <v>0</v>
      </c>
      <c r="AA45" s="13">
        <v>0</v>
      </c>
      <c r="AB45" s="953">
        <v>0</v>
      </c>
      <c r="AC45" s="953">
        <v>0</v>
      </c>
      <c r="AD45" s="953">
        <v>0</v>
      </c>
      <c r="AE45" s="13"/>
      <c r="AF45" s="953">
        <v>0</v>
      </c>
      <c r="AG45" s="953">
        <v>0</v>
      </c>
      <c r="AH45" s="953">
        <v>0</v>
      </c>
      <c r="AI45" s="13"/>
      <c r="AJ45" s="953">
        <v>0</v>
      </c>
      <c r="AK45" s="953">
        <v>0</v>
      </c>
      <c r="AL45" s="953">
        <v>0</v>
      </c>
      <c r="AM45" s="1455"/>
      <c r="AN45" s="9">
        <v>12</v>
      </c>
      <c r="AO45" s="955">
        <v>0.25</v>
      </c>
      <c r="AP45" s="13"/>
      <c r="AQ45"/>
      <c r="AR45"/>
      <c r="AS45"/>
      <c r="AT45">
        <v>1</v>
      </c>
      <c r="AU45" t="str">
        <f t="shared" si="4"/>
        <v>2003Q2</v>
      </c>
      <c r="AV45">
        <f t="shared" si="5"/>
        <v>2003</v>
      </c>
      <c r="AW45" s="111">
        <f t="shared" si="1"/>
        <v>37712</v>
      </c>
      <c r="AX45" s="136">
        <f t="shared" si="8"/>
        <v>2.4427720087637481</v>
      </c>
      <c r="AY45" s="1541">
        <v>2.4427720087637481</v>
      </c>
      <c r="AZ45" s="136">
        <f t="shared" si="9"/>
        <v>2.4427720087637481</v>
      </c>
      <c r="BA45" s="137">
        <v>1</v>
      </c>
      <c r="BB45" s="137">
        <v>1</v>
      </c>
      <c r="BC45" s="137">
        <v>1</v>
      </c>
      <c r="BD45" s="137">
        <v>0</v>
      </c>
      <c r="BE45" s="137"/>
      <c r="BF45" s="137">
        <v>0</v>
      </c>
      <c r="BG45" s="145">
        <v>0</v>
      </c>
      <c r="BH45" s="886"/>
      <c r="BI45" s="938"/>
      <c r="BJ45" s="153"/>
      <c r="BK45" s="1443">
        <v>0</v>
      </c>
      <c r="BL45" s="905">
        <f t="shared" si="10"/>
        <v>2.4427720087637481</v>
      </c>
      <c r="BM45" s="1287">
        <f t="shared" si="2"/>
        <v>2.4427720087637481</v>
      </c>
      <c r="BN45" s="1282">
        <f t="shared" si="11"/>
        <v>-2.5879545227474265E-2</v>
      </c>
      <c r="BO45" s="1377">
        <v>2.4</v>
      </c>
      <c r="BQ45" s="1379">
        <f t="shared" si="6"/>
        <v>2.517340793554367</v>
      </c>
      <c r="BR45" s="1378">
        <f t="shared" si="3"/>
        <v>2.0639642970504064</v>
      </c>
      <c r="BS45" s="153">
        <v>0</v>
      </c>
      <c r="BU45" s="1389">
        <f t="shared" si="7"/>
        <v>37288</v>
      </c>
      <c r="BV45" s="1390">
        <v>2.3681355879166044</v>
      </c>
      <c r="BW45" s="1390">
        <v>2.0065681871481162</v>
      </c>
      <c r="BX45" s="1390"/>
      <c r="BY45" s="1390">
        <v>2.56334611960144</v>
      </c>
      <c r="BZ45" s="1391">
        <v>2.1719739370020195</v>
      </c>
    </row>
    <row r="46" spans="1:78">
      <c r="A46" s="957"/>
      <c r="B46" s="951">
        <v>36708</v>
      </c>
      <c r="C46" s="952"/>
      <c r="D46" s="952"/>
      <c r="E46" s="952"/>
      <c r="F46" s="950"/>
      <c r="G46" s="952"/>
      <c r="H46" s="952"/>
      <c r="I46" s="952"/>
      <c r="J46" s="9"/>
      <c r="K46" s="944">
        <v>37591</v>
      </c>
      <c r="L46" s="953">
        <v>0</v>
      </c>
      <c r="M46" s="953">
        <v>0</v>
      </c>
      <c r="N46" s="953">
        <v>0</v>
      </c>
      <c r="O46" s="13"/>
      <c r="P46" s="953">
        <v>0</v>
      </c>
      <c r="Q46" s="953">
        <v>0</v>
      </c>
      <c r="R46" s="953">
        <v>0</v>
      </c>
      <c r="S46" s="13"/>
      <c r="T46" s="953">
        <v>0</v>
      </c>
      <c r="U46" s="953">
        <v>0</v>
      </c>
      <c r="V46" s="953">
        <v>0</v>
      </c>
      <c r="W46" s="13"/>
      <c r="X46" s="953">
        <v>0</v>
      </c>
      <c r="Y46" s="953">
        <v>0</v>
      </c>
      <c r="Z46" s="953">
        <v>0</v>
      </c>
      <c r="AA46" s="13">
        <v>0</v>
      </c>
      <c r="AB46" s="953">
        <v>0</v>
      </c>
      <c r="AC46" s="953">
        <v>0</v>
      </c>
      <c r="AD46" s="953">
        <v>0</v>
      </c>
      <c r="AE46" s="13"/>
      <c r="AF46" s="953">
        <v>0</v>
      </c>
      <c r="AG46" s="953">
        <v>0</v>
      </c>
      <c r="AH46" s="953">
        <v>0</v>
      </c>
      <c r="AI46" s="13"/>
      <c r="AJ46" s="953">
        <v>0</v>
      </c>
      <c r="AK46" s="953">
        <v>0</v>
      </c>
      <c r="AL46" s="953">
        <v>0</v>
      </c>
      <c r="AM46" s="1455"/>
      <c r="AN46" s="9">
        <v>13</v>
      </c>
      <c r="AO46" s="955">
        <v>0.35</v>
      </c>
      <c r="AP46" s="13"/>
      <c r="AQ46"/>
      <c r="AR46"/>
      <c r="AS46"/>
      <c r="AT46">
        <v>1</v>
      </c>
      <c r="AU46" t="str">
        <f t="shared" si="4"/>
        <v>2003Q2</v>
      </c>
      <c r="AV46">
        <f t="shared" si="5"/>
        <v>2003</v>
      </c>
      <c r="AW46" s="111">
        <f t="shared" si="1"/>
        <v>37742</v>
      </c>
      <c r="AX46" s="136">
        <f t="shared" si="8"/>
        <v>2.4118959155480413</v>
      </c>
      <c r="AY46" s="1541">
        <v>2.4118959155480413</v>
      </c>
      <c r="AZ46" s="136">
        <f t="shared" si="9"/>
        <v>2.4118959155480413</v>
      </c>
      <c r="BA46" s="137">
        <v>1</v>
      </c>
      <c r="BB46" s="137">
        <v>1</v>
      </c>
      <c r="BC46" s="137">
        <v>1</v>
      </c>
      <c r="BD46" s="137">
        <v>0</v>
      </c>
      <c r="BE46" s="137"/>
      <c r="BF46" s="137">
        <v>0</v>
      </c>
      <c r="BG46" s="145">
        <v>0</v>
      </c>
      <c r="BH46" s="886"/>
      <c r="BI46" s="938"/>
      <c r="BJ46" s="153"/>
      <c r="BK46" s="1443">
        <v>0</v>
      </c>
      <c r="BL46" s="905">
        <f t="shared" si="10"/>
        <v>2.4118959155480413</v>
      </c>
      <c r="BM46" s="1287">
        <f t="shared" si="2"/>
        <v>2.4118959155480413</v>
      </c>
      <c r="BN46" s="1282">
        <f t="shared" si="11"/>
        <v>-2.6637697751160427E-2</v>
      </c>
      <c r="BO46" s="1377">
        <v>2.4</v>
      </c>
      <c r="BQ46" s="1379">
        <f t="shared" si="6"/>
        <v>2.4940345917839202</v>
      </c>
      <c r="BR46" s="1378">
        <f t="shared" si="3"/>
        <v>2.038563134216627</v>
      </c>
      <c r="BS46" s="153">
        <v>0</v>
      </c>
      <c r="BU46" s="1389">
        <f t="shared" si="7"/>
        <v>37316</v>
      </c>
      <c r="BV46" s="1390">
        <v>2.297821333744821</v>
      </c>
      <c r="BW46" s="1390">
        <v>1.9069589393855475</v>
      </c>
      <c r="BX46" s="1390"/>
      <c r="BY46" s="1390">
        <v>2.4872357095794873</v>
      </c>
      <c r="BZ46" s="1391">
        <v>2.0641536837904071</v>
      </c>
    </row>
    <row r="47" spans="1:78">
      <c r="A47" s="957"/>
      <c r="B47" s="951">
        <v>36739</v>
      </c>
      <c r="C47" s="952"/>
      <c r="D47" s="952"/>
      <c r="E47" s="952"/>
      <c r="F47" s="950"/>
      <c r="G47" s="952"/>
      <c r="H47" s="952"/>
      <c r="I47" s="952"/>
      <c r="J47" s="9"/>
      <c r="K47" s="944">
        <v>37622</v>
      </c>
      <c r="L47" s="953">
        <v>0</v>
      </c>
      <c r="M47" s="953">
        <v>0</v>
      </c>
      <c r="N47" s="953">
        <v>0</v>
      </c>
      <c r="O47" s="13"/>
      <c r="P47" s="953">
        <v>0</v>
      </c>
      <c r="Q47" s="953">
        <v>0</v>
      </c>
      <c r="R47" s="953">
        <v>0</v>
      </c>
      <c r="S47" s="13"/>
      <c r="T47" s="953">
        <v>0</v>
      </c>
      <c r="U47" s="953">
        <v>0</v>
      </c>
      <c r="V47" s="953">
        <v>0</v>
      </c>
      <c r="W47" s="13"/>
      <c r="X47" s="953">
        <v>0</v>
      </c>
      <c r="Y47" s="953">
        <v>0</v>
      </c>
      <c r="Z47" s="953">
        <v>0</v>
      </c>
      <c r="AA47" s="13">
        <v>0</v>
      </c>
      <c r="AB47" s="953">
        <v>0</v>
      </c>
      <c r="AC47" s="953">
        <v>0</v>
      </c>
      <c r="AD47" s="953">
        <v>0</v>
      </c>
      <c r="AE47" s="13"/>
      <c r="AF47" s="953">
        <v>0</v>
      </c>
      <c r="AG47" s="953">
        <v>0</v>
      </c>
      <c r="AH47" s="953">
        <v>0</v>
      </c>
      <c r="AI47" s="13"/>
      <c r="AJ47" s="953">
        <v>0</v>
      </c>
      <c r="AK47" s="953">
        <v>0</v>
      </c>
      <c r="AL47" s="953">
        <v>0</v>
      </c>
      <c r="AM47" s="1455"/>
      <c r="AN47" s="9">
        <v>13</v>
      </c>
      <c r="AO47" s="955">
        <v>0.35</v>
      </c>
      <c r="AP47" s="13"/>
      <c r="AQ47"/>
      <c r="AR47"/>
      <c r="AS47"/>
      <c r="AT47">
        <v>1</v>
      </c>
      <c r="AU47" t="str">
        <f t="shared" si="4"/>
        <v>2003Q2</v>
      </c>
      <c r="AV47">
        <f t="shared" si="5"/>
        <v>2003</v>
      </c>
      <c r="AW47" s="111">
        <f t="shared" si="1"/>
        <v>37773</v>
      </c>
      <c r="AX47" s="136">
        <f t="shared" si="8"/>
        <v>2.4410302257728262</v>
      </c>
      <c r="AY47" s="1541">
        <v>2.4410302257728262</v>
      </c>
      <c r="AZ47" s="136">
        <f t="shared" si="9"/>
        <v>2.4410302257728262</v>
      </c>
      <c r="BA47" s="137">
        <v>1</v>
      </c>
      <c r="BB47" s="137">
        <v>1</v>
      </c>
      <c r="BC47" s="137">
        <v>1</v>
      </c>
      <c r="BD47" s="137">
        <v>0</v>
      </c>
      <c r="BE47" s="137"/>
      <c r="BF47" s="137">
        <v>0</v>
      </c>
      <c r="BG47" s="145">
        <v>0</v>
      </c>
      <c r="BH47" s="886"/>
      <c r="BI47" s="938"/>
      <c r="BJ47" s="153"/>
      <c r="BK47" s="1443">
        <v>0</v>
      </c>
      <c r="BL47" s="905">
        <f t="shared" si="10"/>
        <v>2.4410302257728262</v>
      </c>
      <c r="BM47" s="1287">
        <f t="shared" si="2"/>
        <v>2.4410302257728262</v>
      </c>
      <c r="BN47" s="1282">
        <f t="shared" si="11"/>
        <v>-2.1220333669588087E-2</v>
      </c>
      <c r="BO47" s="1377">
        <v>2.4</v>
      </c>
      <c r="BQ47" s="1379">
        <f t="shared" si="6"/>
        <v>2.4983706293226078</v>
      </c>
      <c r="BR47" s="1378">
        <f t="shared" si="3"/>
        <v>2.0452728753425307</v>
      </c>
      <c r="BS47" s="153">
        <v>0</v>
      </c>
      <c r="BU47" s="1389">
        <f t="shared" si="7"/>
        <v>37347</v>
      </c>
      <c r="BV47" s="1390">
        <v>2.2522383000058714</v>
      </c>
      <c r="BW47" s="1390">
        <v>1.8489966615926743</v>
      </c>
      <c r="BX47" s="1390"/>
      <c r="BY47" s="1390">
        <v>2.4378951679100833</v>
      </c>
      <c r="BZ47" s="1391">
        <v>2.0014134502405474</v>
      </c>
    </row>
    <row r="48" spans="1:78">
      <c r="A48" s="957"/>
      <c r="B48" s="951">
        <v>36770</v>
      </c>
      <c r="C48" s="952"/>
      <c r="D48" s="952"/>
      <c r="E48" s="952"/>
      <c r="F48" s="950"/>
      <c r="G48" s="952"/>
      <c r="H48" s="952"/>
      <c r="I48" s="952"/>
      <c r="J48" s="9"/>
      <c r="K48" s="944">
        <v>37653</v>
      </c>
      <c r="L48" s="953">
        <v>0</v>
      </c>
      <c r="M48" s="953">
        <v>0</v>
      </c>
      <c r="N48" s="953">
        <v>0</v>
      </c>
      <c r="O48" s="13"/>
      <c r="P48" s="953">
        <v>0</v>
      </c>
      <c r="Q48" s="953">
        <v>0</v>
      </c>
      <c r="R48" s="953">
        <v>0</v>
      </c>
      <c r="S48" s="13"/>
      <c r="T48" s="953">
        <v>0</v>
      </c>
      <c r="U48" s="953">
        <v>0</v>
      </c>
      <c r="V48" s="953">
        <v>0</v>
      </c>
      <c r="W48" s="13"/>
      <c r="X48" s="953">
        <v>0</v>
      </c>
      <c r="Y48" s="953">
        <v>0</v>
      </c>
      <c r="Z48" s="953">
        <v>0</v>
      </c>
      <c r="AA48" s="13">
        <v>0</v>
      </c>
      <c r="AB48" s="953">
        <v>0</v>
      </c>
      <c r="AC48" s="953">
        <v>0</v>
      </c>
      <c r="AD48" s="953">
        <v>0</v>
      </c>
      <c r="AE48" s="13"/>
      <c r="AF48" s="953">
        <v>0</v>
      </c>
      <c r="AG48" s="953">
        <v>0</v>
      </c>
      <c r="AH48" s="953">
        <v>0</v>
      </c>
      <c r="AI48" s="13"/>
      <c r="AJ48" s="953">
        <v>0</v>
      </c>
      <c r="AK48" s="953">
        <v>0</v>
      </c>
      <c r="AL48" s="953">
        <v>0</v>
      </c>
      <c r="AM48" s="1455"/>
      <c r="AN48" s="9">
        <v>13</v>
      </c>
      <c r="AO48" s="955">
        <v>0.35</v>
      </c>
      <c r="AP48" s="13"/>
      <c r="AQ48"/>
      <c r="AR48"/>
      <c r="AS48"/>
      <c r="AT48">
        <v>1</v>
      </c>
      <c r="AU48" t="str">
        <f t="shared" si="4"/>
        <v>2003Q3</v>
      </c>
      <c r="AV48">
        <f t="shared" si="5"/>
        <v>2003</v>
      </c>
      <c r="AW48" s="111">
        <f t="shared" si="1"/>
        <v>37803</v>
      </c>
      <c r="AX48" s="136">
        <f t="shared" si="8"/>
        <v>2.5076608074356694</v>
      </c>
      <c r="AY48" s="1541">
        <v>2.5076608074356694</v>
      </c>
      <c r="AZ48" s="136">
        <f t="shared" si="9"/>
        <v>2.5076608074356694</v>
      </c>
      <c r="BA48" s="137">
        <v>1</v>
      </c>
      <c r="BB48" s="137">
        <v>1</v>
      </c>
      <c r="BC48" s="137">
        <v>1</v>
      </c>
      <c r="BD48" s="137">
        <v>0</v>
      </c>
      <c r="BE48" s="137"/>
      <c r="BF48" s="137">
        <v>0</v>
      </c>
      <c r="BG48" s="145">
        <v>0</v>
      </c>
      <c r="BH48" s="886"/>
      <c r="BI48" s="938"/>
      <c r="BJ48" s="153"/>
      <c r="BK48" s="1443">
        <v>0</v>
      </c>
      <c r="BL48" s="905">
        <f t="shared" si="10"/>
        <v>2.5076608074356694</v>
      </c>
      <c r="BM48" s="1287">
        <f t="shared" si="2"/>
        <v>2.5076608074356694</v>
      </c>
      <c r="BN48" s="1282">
        <f t="shared" si="11"/>
        <v>-1.5128141745038071E-2</v>
      </c>
      <c r="BO48" s="1377">
        <v>2.4</v>
      </c>
      <c r="BQ48" s="1379">
        <f t="shared" si="6"/>
        <v>2.5303489061704298</v>
      </c>
      <c r="BR48" s="1378">
        <f t="shared" si="3"/>
        <v>2.0769045120789356</v>
      </c>
      <c r="BS48" s="153">
        <v>0</v>
      </c>
      <c r="BU48" s="1389">
        <f t="shared" si="7"/>
        <v>37377</v>
      </c>
      <c r="BV48" s="1390">
        <v>2.2313864866997557</v>
      </c>
      <c r="BW48" s="1390">
        <v>1.8262411006813979</v>
      </c>
      <c r="BX48" s="1390"/>
      <c r="BY48" s="1390">
        <v>2.4153244945932277</v>
      </c>
      <c r="BZ48" s="1391">
        <v>1.976782099291343</v>
      </c>
    </row>
    <row r="49" spans="1:78">
      <c r="A49" s="957"/>
      <c r="B49" s="951">
        <v>36800</v>
      </c>
      <c r="C49" s="952"/>
      <c r="D49" s="952"/>
      <c r="E49" s="952"/>
      <c r="F49" s="950"/>
      <c r="G49" s="952"/>
      <c r="H49" s="952"/>
      <c r="I49" s="952"/>
      <c r="J49" s="9"/>
      <c r="K49" s="944">
        <v>37681</v>
      </c>
      <c r="L49" s="953">
        <v>0</v>
      </c>
      <c r="M49" s="953">
        <v>0</v>
      </c>
      <c r="N49" s="953">
        <v>0</v>
      </c>
      <c r="O49" s="13"/>
      <c r="P49" s="953">
        <v>0</v>
      </c>
      <c r="Q49" s="953">
        <v>0</v>
      </c>
      <c r="R49" s="953">
        <v>0</v>
      </c>
      <c r="S49" s="13"/>
      <c r="T49" s="953">
        <v>0</v>
      </c>
      <c r="U49" s="953">
        <v>0</v>
      </c>
      <c r="V49" s="953">
        <v>0</v>
      </c>
      <c r="W49" s="13"/>
      <c r="X49" s="953">
        <v>0</v>
      </c>
      <c r="Y49" s="953">
        <v>0</v>
      </c>
      <c r="Z49" s="953">
        <v>0</v>
      </c>
      <c r="AA49" s="13">
        <v>0</v>
      </c>
      <c r="AB49" s="953">
        <v>0</v>
      </c>
      <c r="AC49" s="953">
        <v>0</v>
      </c>
      <c r="AD49" s="953">
        <v>0</v>
      </c>
      <c r="AE49" s="13"/>
      <c r="AF49" s="953">
        <v>0</v>
      </c>
      <c r="AG49" s="953">
        <v>0</v>
      </c>
      <c r="AH49" s="953">
        <v>0</v>
      </c>
      <c r="AI49" s="13"/>
      <c r="AJ49" s="953">
        <v>0</v>
      </c>
      <c r="AK49" s="953">
        <v>0</v>
      </c>
      <c r="AL49" s="953">
        <v>0</v>
      </c>
      <c r="AM49" s="1455"/>
      <c r="AN49" s="9">
        <v>14</v>
      </c>
      <c r="AO49" s="955">
        <v>0.35</v>
      </c>
      <c r="AP49" s="13"/>
      <c r="AQ49"/>
      <c r="AR49"/>
      <c r="AS49"/>
      <c r="AT49">
        <v>1</v>
      </c>
      <c r="AU49" t="str">
        <f t="shared" si="4"/>
        <v>2003Q3</v>
      </c>
      <c r="AV49">
        <f t="shared" si="5"/>
        <v>2003</v>
      </c>
      <c r="AW49" s="111">
        <f t="shared" si="1"/>
        <v>37834</v>
      </c>
      <c r="AX49" s="136">
        <f t="shared" si="8"/>
        <v>2.602290071795156</v>
      </c>
      <c r="AY49" s="1541">
        <v>2.602290071795156</v>
      </c>
      <c r="AZ49" s="136">
        <f t="shared" si="9"/>
        <v>2.602290071795156</v>
      </c>
      <c r="BA49" s="137">
        <v>1</v>
      </c>
      <c r="BB49" s="137">
        <v>1</v>
      </c>
      <c r="BC49" s="137">
        <v>1</v>
      </c>
      <c r="BD49" s="137">
        <v>0</v>
      </c>
      <c r="BE49" s="137"/>
      <c r="BF49" s="137">
        <v>0</v>
      </c>
      <c r="BG49" s="145">
        <v>0</v>
      </c>
      <c r="BH49" s="886"/>
      <c r="BI49" s="938"/>
      <c r="BJ49" s="153"/>
      <c r="BK49" s="1443">
        <v>0</v>
      </c>
      <c r="BL49" s="905">
        <f t="shared" si="10"/>
        <v>2.602290071795156</v>
      </c>
      <c r="BM49" s="1287">
        <f t="shared" si="2"/>
        <v>2.602290071795156</v>
      </c>
      <c r="BN49" s="1282">
        <f t="shared" si="11"/>
        <v>-8.8105043218769108E-3</v>
      </c>
      <c r="BO49" s="1377">
        <v>2.4</v>
      </c>
      <c r="BQ49" s="1379">
        <f t="shared" si="6"/>
        <v>2.589969422327385</v>
      </c>
      <c r="BR49" s="1378">
        <f t="shared" si="3"/>
        <v>2.1262690360766583</v>
      </c>
      <c r="BS49" s="153">
        <v>0</v>
      </c>
      <c r="BU49" s="1389">
        <f t="shared" si="7"/>
        <v>37408</v>
      </c>
      <c r="BV49" s="1390">
        <v>2.2352658938264747</v>
      </c>
      <c r="BW49" s="1390">
        <v>1.8322520035636216</v>
      </c>
      <c r="BX49" s="1390"/>
      <c r="BY49" s="1390">
        <v>2.4195236896289214</v>
      </c>
      <c r="BZ49" s="1391">
        <v>1.9832884938816986</v>
      </c>
    </row>
    <row r="50" spans="1:78">
      <c r="A50" s="957"/>
      <c r="B50" s="951">
        <v>36831</v>
      </c>
      <c r="C50" s="952"/>
      <c r="D50" s="952"/>
      <c r="E50" s="952"/>
      <c r="F50" s="950"/>
      <c r="G50" s="952"/>
      <c r="H50" s="952"/>
      <c r="I50" s="952"/>
      <c r="J50" s="9"/>
      <c r="K50" s="944">
        <v>37712</v>
      </c>
      <c r="L50" s="953">
        <v>0</v>
      </c>
      <c r="M50" s="953">
        <v>0</v>
      </c>
      <c r="N50" s="953">
        <v>0</v>
      </c>
      <c r="O50" s="13"/>
      <c r="P50" s="953">
        <v>0</v>
      </c>
      <c r="Q50" s="953">
        <v>0</v>
      </c>
      <c r="R50" s="953">
        <v>0</v>
      </c>
      <c r="S50" s="13"/>
      <c r="T50" s="953">
        <v>0</v>
      </c>
      <c r="U50" s="953">
        <v>0</v>
      </c>
      <c r="V50" s="953">
        <v>0</v>
      </c>
      <c r="W50" s="13"/>
      <c r="X50" s="953">
        <v>0</v>
      </c>
      <c r="Y50" s="953">
        <v>0</v>
      </c>
      <c r="Z50" s="953">
        <v>0</v>
      </c>
      <c r="AA50" s="13">
        <v>0</v>
      </c>
      <c r="AB50" s="953">
        <v>0</v>
      </c>
      <c r="AC50" s="953">
        <v>0</v>
      </c>
      <c r="AD50" s="953">
        <v>0</v>
      </c>
      <c r="AE50" s="13"/>
      <c r="AF50" s="953">
        <v>0</v>
      </c>
      <c r="AG50" s="953">
        <v>0</v>
      </c>
      <c r="AH50" s="953">
        <v>0</v>
      </c>
      <c r="AI50" s="13"/>
      <c r="AJ50" s="953">
        <v>0</v>
      </c>
      <c r="AK50" s="953">
        <v>0</v>
      </c>
      <c r="AL50" s="953">
        <v>0</v>
      </c>
      <c r="AM50" s="1455"/>
      <c r="AN50" s="9">
        <v>14</v>
      </c>
      <c r="AO50" s="955">
        <v>0.35</v>
      </c>
      <c r="AP50" s="13"/>
      <c r="AQ50"/>
      <c r="AR50"/>
      <c r="AS50"/>
      <c r="AT50">
        <v>1</v>
      </c>
      <c r="AU50" t="str">
        <f t="shared" si="4"/>
        <v>2003Q3</v>
      </c>
      <c r="AV50">
        <f t="shared" si="5"/>
        <v>2003</v>
      </c>
      <c r="AW50" s="111">
        <f t="shared" si="1"/>
        <v>37865</v>
      </c>
      <c r="AX50" s="136">
        <f t="shared" si="8"/>
        <v>2.7149554934431563</v>
      </c>
      <c r="AY50" s="1541">
        <v>2.7149554934431563</v>
      </c>
      <c r="AZ50" s="136">
        <f t="shared" si="9"/>
        <v>2.7149554934431563</v>
      </c>
      <c r="BA50" s="137">
        <v>1</v>
      </c>
      <c r="BB50" s="137">
        <v>1</v>
      </c>
      <c r="BC50" s="137">
        <v>1</v>
      </c>
      <c r="BD50" s="137">
        <v>0</v>
      </c>
      <c r="BE50" s="137"/>
      <c r="BF50" s="137">
        <v>0</v>
      </c>
      <c r="BG50" s="145">
        <v>0</v>
      </c>
      <c r="BH50" s="886"/>
      <c r="BI50" s="938"/>
      <c r="BJ50" s="153"/>
      <c r="BK50" s="1443">
        <v>0</v>
      </c>
      <c r="BL50" s="905">
        <f t="shared" si="10"/>
        <v>2.7149554934431563</v>
      </c>
      <c r="BM50" s="1287">
        <f t="shared" si="2"/>
        <v>2.7149554934431563</v>
      </c>
      <c r="BN50" s="1282">
        <f t="shared" si="11"/>
        <v>-2.6047071845493042E-3</v>
      </c>
      <c r="BO50" s="1377">
        <v>2.4</v>
      </c>
      <c r="BQ50" s="1379">
        <f t="shared" si="6"/>
        <v>2.6772321777934751</v>
      </c>
      <c r="BR50" s="1378">
        <f t="shared" si="3"/>
        <v>2.1861774389865154</v>
      </c>
      <c r="BS50" s="153">
        <v>0</v>
      </c>
      <c r="BU50" s="1389">
        <f t="shared" si="7"/>
        <v>37438</v>
      </c>
      <c r="BV50" s="1390">
        <v>2.2638765213860284</v>
      </c>
      <c r="BW50" s="1390">
        <v>1.8605891171512488</v>
      </c>
      <c r="BX50" s="1390"/>
      <c r="BY50" s="1390">
        <v>2.4504927530171647</v>
      </c>
      <c r="BZ50" s="1391">
        <v>2.0139614969505191</v>
      </c>
    </row>
    <row r="51" spans="1:78">
      <c r="A51" s="957"/>
      <c r="B51" s="951">
        <v>36861</v>
      </c>
      <c r="C51" s="952"/>
      <c r="D51" s="952"/>
      <c r="E51" s="952"/>
      <c r="F51" s="950"/>
      <c r="G51" s="952"/>
      <c r="H51" s="952"/>
      <c r="I51" s="952"/>
      <c r="J51" s="9"/>
      <c r="K51" s="944">
        <v>37742</v>
      </c>
      <c r="L51" s="953">
        <v>0</v>
      </c>
      <c r="M51" s="953">
        <v>0</v>
      </c>
      <c r="N51" s="953">
        <v>0</v>
      </c>
      <c r="O51" s="13"/>
      <c r="P51" s="953">
        <v>0</v>
      </c>
      <c r="Q51" s="953">
        <v>0</v>
      </c>
      <c r="R51" s="953">
        <v>0</v>
      </c>
      <c r="S51" s="13"/>
      <c r="T51" s="953">
        <v>0</v>
      </c>
      <c r="U51" s="953">
        <v>0</v>
      </c>
      <c r="V51" s="953">
        <v>0</v>
      </c>
      <c r="W51" s="13"/>
      <c r="X51" s="953">
        <v>0</v>
      </c>
      <c r="Y51" s="953">
        <v>0</v>
      </c>
      <c r="Z51" s="953">
        <v>0</v>
      </c>
      <c r="AA51" s="13">
        <v>0</v>
      </c>
      <c r="AB51" s="953">
        <v>0</v>
      </c>
      <c r="AC51" s="953">
        <v>0</v>
      </c>
      <c r="AD51" s="953">
        <v>0</v>
      </c>
      <c r="AE51" s="13"/>
      <c r="AF51" s="953">
        <v>0</v>
      </c>
      <c r="AG51" s="953">
        <v>0</v>
      </c>
      <c r="AH51" s="953">
        <v>0</v>
      </c>
      <c r="AI51" s="13"/>
      <c r="AJ51" s="953">
        <v>0</v>
      </c>
      <c r="AK51" s="953">
        <v>0</v>
      </c>
      <c r="AL51" s="953">
        <v>0</v>
      </c>
      <c r="AM51" s="1455"/>
      <c r="AN51" s="9">
        <v>14</v>
      </c>
      <c r="AO51" s="955">
        <v>0.35</v>
      </c>
      <c r="AP51" s="13"/>
      <c r="AQ51"/>
      <c r="AR51"/>
      <c r="AS51"/>
      <c r="AT51">
        <v>1</v>
      </c>
      <c r="AU51" t="str">
        <f t="shared" si="4"/>
        <v>2003Q4</v>
      </c>
      <c r="AV51">
        <f t="shared" si="5"/>
        <v>2003</v>
      </c>
      <c r="AW51" s="111">
        <f t="shared" si="1"/>
        <v>37895</v>
      </c>
      <c r="AX51" s="136">
        <f t="shared" si="8"/>
        <v>2.8356065322164685</v>
      </c>
      <c r="AY51" s="1541">
        <v>2.8356065322164685</v>
      </c>
      <c r="AZ51" s="136">
        <f t="shared" si="9"/>
        <v>2.8356065322164685</v>
      </c>
      <c r="BA51" s="137">
        <v>1</v>
      </c>
      <c r="BB51" s="137">
        <v>1</v>
      </c>
      <c r="BC51" s="137">
        <v>1</v>
      </c>
      <c r="BD51" s="137">
        <v>0</v>
      </c>
      <c r="BE51" s="137"/>
      <c r="BF51" s="137">
        <v>0</v>
      </c>
      <c r="BG51" s="145">
        <v>0</v>
      </c>
      <c r="BH51" s="886"/>
      <c r="BI51" s="938"/>
      <c r="BJ51" s="153"/>
      <c r="BK51" s="1443">
        <v>0</v>
      </c>
      <c r="BL51" s="905">
        <f t="shared" si="10"/>
        <v>2.8356065322164685</v>
      </c>
      <c r="BM51" s="1287">
        <f t="shared" si="2"/>
        <v>2.8356065322164685</v>
      </c>
      <c r="BN51" s="1282">
        <f t="shared" si="11"/>
        <v>3.2792226451801021E-3</v>
      </c>
      <c r="BO51" s="1377">
        <v>2.4</v>
      </c>
      <c r="BQ51" s="1379">
        <f t="shared" si="6"/>
        <v>2.7921371725686988</v>
      </c>
      <c r="BR51" s="1378">
        <f t="shared" si="3"/>
        <v>2.2494407124593256</v>
      </c>
      <c r="BS51" s="153">
        <v>0</v>
      </c>
      <c r="BU51" s="1389">
        <f t="shared" si="7"/>
        <v>37469</v>
      </c>
      <c r="BV51" s="1390">
        <v>2.3172183693784163</v>
      </c>
      <c r="BW51" s="1390">
        <v>1.9048121883561826</v>
      </c>
      <c r="BX51" s="1390"/>
      <c r="BY51" s="1390">
        <v>2.5082316847579569</v>
      </c>
      <c r="BZ51" s="1391">
        <v>2.0618299714367097</v>
      </c>
    </row>
    <row r="52" spans="1:78">
      <c r="A52" s="957"/>
      <c r="B52" s="951">
        <v>36892</v>
      </c>
      <c r="C52" s="952">
        <v>66.40789126257738</v>
      </c>
      <c r="D52" s="952"/>
      <c r="E52" s="952"/>
      <c r="F52" s="950"/>
      <c r="G52" s="952"/>
      <c r="H52" s="952"/>
      <c r="I52" s="952"/>
      <c r="J52" s="9"/>
      <c r="K52" s="944">
        <v>37773</v>
      </c>
      <c r="L52" s="953">
        <v>0</v>
      </c>
      <c r="M52" s="953">
        <v>0</v>
      </c>
      <c r="N52" s="953">
        <v>0</v>
      </c>
      <c r="O52" s="13"/>
      <c r="P52" s="953">
        <v>0</v>
      </c>
      <c r="Q52" s="953">
        <v>0</v>
      </c>
      <c r="R52" s="953">
        <v>0</v>
      </c>
      <c r="S52" s="13"/>
      <c r="T52" s="953">
        <v>0</v>
      </c>
      <c r="U52" s="953">
        <v>0</v>
      </c>
      <c r="V52" s="953">
        <v>0</v>
      </c>
      <c r="W52" s="13"/>
      <c r="X52" s="953">
        <v>0</v>
      </c>
      <c r="Y52" s="953">
        <v>0</v>
      </c>
      <c r="Z52" s="953">
        <v>0</v>
      </c>
      <c r="AA52" s="13">
        <v>0</v>
      </c>
      <c r="AB52" s="953">
        <v>0</v>
      </c>
      <c r="AC52" s="953">
        <v>0</v>
      </c>
      <c r="AD52" s="953">
        <v>0</v>
      </c>
      <c r="AE52" s="13"/>
      <c r="AF52" s="953">
        <v>0</v>
      </c>
      <c r="AG52" s="953">
        <v>0</v>
      </c>
      <c r="AH52" s="953">
        <v>0</v>
      </c>
      <c r="AI52" s="13"/>
      <c r="AJ52" s="953">
        <v>0</v>
      </c>
      <c r="AK52" s="953">
        <v>0</v>
      </c>
      <c r="AL52" s="953">
        <v>0</v>
      </c>
      <c r="AM52" s="1455"/>
      <c r="AN52" s="9">
        <v>15</v>
      </c>
      <c r="AO52" s="955">
        <v>0.35</v>
      </c>
      <c r="AP52" s="13"/>
      <c r="AQ52"/>
      <c r="AR52"/>
      <c r="AS52"/>
      <c r="AT52">
        <v>1</v>
      </c>
      <c r="AU52" t="str">
        <f t="shared" si="4"/>
        <v>2003Q4</v>
      </c>
      <c r="AV52">
        <f t="shared" si="5"/>
        <v>2003</v>
      </c>
      <c r="AW52" s="111">
        <f t="shared" si="1"/>
        <v>37926</v>
      </c>
      <c r="AX52" s="136">
        <f t="shared" si="8"/>
        <v>2.9545805258802962</v>
      </c>
      <c r="AY52" s="1541">
        <v>2.9545805258802962</v>
      </c>
      <c r="AZ52" s="136">
        <f t="shared" si="9"/>
        <v>2.9545805258802962</v>
      </c>
      <c r="BA52" s="137">
        <v>1</v>
      </c>
      <c r="BB52" s="137">
        <v>1</v>
      </c>
      <c r="BC52" s="137">
        <v>1</v>
      </c>
      <c r="BD52" s="137">
        <v>0</v>
      </c>
      <c r="BE52" s="137"/>
      <c r="BF52" s="137">
        <v>0</v>
      </c>
      <c r="BG52" s="145">
        <v>0</v>
      </c>
      <c r="BH52" s="886"/>
      <c r="BI52" s="938"/>
      <c r="BJ52" s="153"/>
      <c r="BK52" s="1443">
        <v>0</v>
      </c>
      <c r="BL52" s="905">
        <f t="shared" si="10"/>
        <v>2.9545805258802962</v>
      </c>
      <c r="BM52" s="1287">
        <f t="shared" si="2"/>
        <v>2.9545805258802962</v>
      </c>
      <c r="BN52" s="1282">
        <f t="shared" si="11"/>
        <v>8.7422181916458896E-3</v>
      </c>
      <c r="BO52" s="1377">
        <v>2.4</v>
      </c>
      <c r="BQ52" s="1379">
        <f t="shared" si="6"/>
        <v>2.9346844066530564</v>
      </c>
      <c r="BR52" s="1378">
        <f t="shared" si="3"/>
        <v>2.3088698481459042</v>
      </c>
      <c r="BS52" s="153">
        <v>0</v>
      </c>
      <c r="BU52" s="1389">
        <f t="shared" si="7"/>
        <v>37500</v>
      </c>
      <c r="BV52" s="1390">
        <v>2.395291437803639</v>
      </c>
      <c r="BW52" s="1390">
        <v>1.9584809640903247</v>
      </c>
      <c r="BX52" s="1390"/>
      <c r="BY52" s="1390">
        <v>2.5927404848512987</v>
      </c>
      <c r="BZ52" s="1391">
        <v>2.1199227802791727</v>
      </c>
    </row>
    <row r="53" spans="1:78">
      <c r="A53" s="957"/>
      <c r="B53" s="951">
        <v>36923</v>
      </c>
      <c r="C53" s="952">
        <v>62.089797101790666</v>
      </c>
      <c r="D53" s="952"/>
      <c r="E53" s="952"/>
      <c r="F53" s="950"/>
      <c r="G53" s="952"/>
      <c r="H53" s="952"/>
      <c r="I53" s="952"/>
      <c r="J53" s="9"/>
      <c r="K53" s="944">
        <v>37803</v>
      </c>
      <c r="L53" s="953">
        <v>0</v>
      </c>
      <c r="M53" s="953">
        <v>0</v>
      </c>
      <c r="N53" s="953">
        <v>0</v>
      </c>
      <c r="O53" s="13"/>
      <c r="P53" s="953">
        <v>0</v>
      </c>
      <c r="Q53" s="953">
        <v>0</v>
      </c>
      <c r="R53" s="953">
        <v>0</v>
      </c>
      <c r="S53" s="13"/>
      <c r="T53" s="953">
        <v>0</v>
      </c>
      <c r="U53" s="953">
        <v>0</v>
      </c>
      <c r="V53" s="953">
        <v>0</v>
      </c>
      <c r="W53" s="13"/>
      <c r="X53" s="953">
        <v>0</v>
      </c>
      <c r="Y53" s="953">
        <v>0</v>
      </c>
      <c r="Z53" s="953">
        <v>0</v>
      </c>
      <c r="AA53" s="13">
        <v>0</v>
      </c>
      <c r="AB53" s="953">
        <v>0</v>
      </c>
      <c r="AC53" s="953">
        <v>0</v>
      </c>
      <c r="AD53" s="953">
        <v>0</v>
      </c>
      <c r="AE53" s="13"/>
      <c r="AF53" s="953">
        <v>0</v>
      </c>
      <c r="AG53" s="953">
        <v>0</v>
      </c>
      <c r="AH53" s="953">
        <v>0</v>
      </c>
      <c r="AI53" s="13"/>
      <c r="AJ53" s="953">
        <v>0</v>
      </c>
      <c r="AK53" s="953">
        <v>0</v>
      </c>
      <c r="AL53" s="953">
        <v>0</v>
      </c>
      <c r="AM53" s="1455"/>
      <c r="AN53" s="9">
        <v>15</v>
      </c>
      <c r="AO53" s="955">
        <v>0.35</v>
      </c>
      <c r="AP53" s="13"/>
      <c r="AQ53"/>
      <c r="AR53"/>
      <c r="AS53"/>
      <c r="AT53">
        <v>1</v>
      </c>
      <c r="AU53" t="str">
        <f t="shared" si="4"/>
        <v>2003Q4</v>
      </c>
      <c r="AV53">
        <f t="shared" si="5"/>
        <v>2003</v>
      </c>
      <c r="AW53" s="111">
        <f t="shared" si="1"/>
        <v>37956</v>
      </c>
      <c r="AX53" s="136">
        <f t="shared" si="8"/>
        <v>3.0802539078062816</v>
      </c>
      <c r="AY53" s="1541">
        <v>3.0802539078062816</v>
      </c>
      <c r="AZ53" s="136">
        <f t="shared" si="9"/>
        <v>3.0802539078062816</v>
      </c>
      <c r="BA53" s="137">
        <v>1</v>
      </c>
      <c r="BB53" s="137">
        <v>1</v>
      </c>
      <c r="BC53" s="137">
        <v>1</v>
      </c>
      <c r="BD53" s="137">
        <v>0</v>
      </c>
      <c r="BE53" s="137"/>
      <c r="BF53" s="137">
        <v>0</v>
      </c>
      <c r="BG53" s="145">
        <v>0</v>
      </c>
      <c r="BH53" s="886"/>
      <c r="BI53" s="938"/>
      <c r="BJ53" s="153"/>
      <c r="BK53" s="1443">
        <v>0</v>
      </c>
      <c r="BL53" s="905">
        <f t="shared" si="10"/>
        <v>3.0802539078062816</v>
      </c>
      <c r="BM53" s="1287">
        <f t="shared" si="2"/>
        <v>3.0802539078062816</v>
      </c>
      <c r="BN53" s="1282">
        <f t="shared" si="11"/>
        <v>1.3895699552896712E-2</v>
      </c>
      <c r="BO53" s="1377">
        <v>2.4</v>
      </c>
      <c r="BQ53" s="1379">
        <f t="shared" si="6"/>
        <v>2.9966789033624437</v>
      </c>
      <c r="BR53" s="1378">
        <f t="shared" si="3"/>
        <v>2.3572758376970682</v>
      </c>
      <c r="BS53" s="153">
        <v>0</v>
      </c>
      <c r="BU53" s="1389">
        <f t="shared" si="7"/>
        <v>37530</v>
      </c>
      <c r="BV53" s="1390">
        <v>2.4980957266616954</v>
      </c>
      <c r="BW53" s="1390">
        <v>2.0151551912655794</v>
      </c>
      <c r="BX53" s="1390"/>
      <c r="BY53" s="1390">
        <v>2.7040191532971884</v>
      </c>
      <c r="BZ53" s="1391">
        <v>2.1812687864168141</v>
      </c>
    </row>
    <row r="54" spans="1:78">
      <c r="A54" s="957"/>
      <c r="B54" s="951">
        <v>36951</v>
      </c>
      <c r="C54" s="952">
        <v>58.54903764842566</v>
      </c>
      <c r="D54" s="952"/>
      <c r="E54" s="952"/>
      <c r="F54" s="950"/>
      <c r="G54" s="952"/>
      <c r="H54" s="952"/>
      <c r="I54" s="952"/>
      <c r="J54" s="9"/>
      <c r="K54" s="944">
        <v>37834</v>
      </c>
      <c r="L54" s="953">
        <v>0</v>
      </c>
      <c r="M54" s="953">
        <v>0</v>
      </c>
      <c r="N54" s="953">
        <v>0</v>
      </c>
      <c r="O54" s="13"/>
      <c r="P54" s="953">
        <v>0</v>
      </c>
      <c r="Q54" s="953">
        <v>0</v>
      </c>
      <c r="R54" s="953">
        <v>0</v>
      </c>
      <c r="S54" s="13"/>
      <c r="T54" s="953">
        <v>0</v>
      </c>
      <c r="U54" s="953">
        <v>0</v>
      </c>
      <c r="V54" s="953">
        <v>0</v>
      </c>
      <c r="W54" s="13"/>
      <c r="X54" s="953">
        <v>0</v>
      </c>
      <c r="Y54" s="953">
        <v>0</v>
      </c>
      <c r="Z54" s="953">
        <v>0</v>
      </c>
      <c r="AA54" s="13">
        <v>0</v>
      </c>
      <c r="AB54" s="953">
        <v>0</v>
      </c>
      <c r="AC54" s="953">
        <v>0</v>
      </c>
      <c r="AD54" s="953">
        <v>0</v>
      </c>
      <c r="AE54" s="13"/>
      <c r="AF54" s="953">
        <v>0</v>
      </c>
      <c r="AG54" s="953">
        <v>0</v>
      </c>
      <c r="AH54" s="953">
        <v>0</v>
      </c>
      <c r="AI54" s="13"/>
      <c r="AJ54" s="953">
        <v>0</v>
      </c>
      <c r="AK54" s="953">
        <v>0</v>
      </c>
      <c r="AL54" s="953">
        <v>0</v>
      </c>
      <c r="AM54" s="1455"/>
      <c r="AN54" s="9">
        <v>15</v>
      </c>
      <c r="AO54" s="955">
        <v>0.35</v>
      </c>
      <c r="AP54" s="13"/>
      <c r="AQ54"/>
      <c r="AR54"/>
      <c r="AS54"/>
      <c r="AT54">
        <v>1</v>
      </c>
      <c r="AU54" t="str">
        <f t="shared" si="4"/>
        <v>2004Q1</v>
      </c>
      <c r="AV54">
        <f t="shared" si="5"/>
        <v>2004</v>
      </c>
      <c r="AW54" s="111">
        <f t="shared" si="1"/>
        <v>37987</v>
      </c>
      <c r="AX54" s="136">
        <f t="shared" si="8"/>
        <v>2.9585966894973295</v>
      </c>
      <c r="AY54" s="1541">
        <v>2.9585966894973295</v>
      </c>
      <c r="AZ54" s="136">
        <f t="shared" si="9"/>
        <v>2.9585966894973295</v>
      </c>
      <c r="BA54" s="137">
        <v>1</v>
      </c>
      <c r="BB54" s="137">
        <v>1</v>
      </c>
      <c r="BC54" s="137">
        <v>1</v>
      </c>
      <c r="BD54" s="137">
        <v>0</v>
      </c>
      <c r="BE54" s="137"/>
      <c r="BF54" s="137">
        <v>0</v>
      </c>
      <c r="BG54" s="145">
        <v>0</v>
      </c>
      <c r="BH54" s="886"/>
      <c r="BI54" s="938"/>
      <c r="BJ54" s="153"/>
      <c r="BK54" s="1443">
        <v>0</v>
      </c>
      <c r="BL54" s="905">
        <f t="shared" si="10"/>
        <v>2.9585966894973295</v>
      </c>
      <c r="BM54" s="1287">
        <f t="shared" si="2"/>
        <v>2.9585966894973295</v>
      </c>
      <c r="BN54" s="1282">
        <f t="shared" si="11"/>
        <v>1.4464751514342122E-2</v>
      </c>
      <c r="BO54" s="1377">
        <v>2.4</v>
      </c>
      <c r="BQ54" s="1379">
        <f t="shared" si="6"/>
        <v>2.9527746992156785</v>
      </c>
      <c r="BR54" s="1378">
        <f t="shared" si="3"/>
        <v>2.5076695114813892</v>
      </c>
      <c r="BS54" s="153">
        <v>0</v>
      </c>
      <c r="BU54" s="1389">
        <f t="shared" si="7"/>
        <v>37561</v>
      </c>
      <c r="BV54" s="1390">
        <v>2.6256312359525871</v>
      </c>
      <c r="BW54" s="1390">
        <v>2.0683946167938494</v>
      </c>
      <c r="BX54" s="1390"/>
      <c r="BY54" s="1390">
        <v>2.8420676900956283</v>
      </c>
      <c r="BZ54" s="1391">
        <v>2.2388968527885384</v>
      </c>
    </row>
    <row r="55" spans="1:78">
      <c r="A55" s="957"/>
      <c r="B55" s="951">
        <v>36982</v>
      </c>
      <c r="C55" s="952">
        <v>57.043372759706287</v>
      </c>
      <c r="D55" s="952"/>
      <c r="E55" s="952"/>
      <c r="F55" s="950"/>
      <c r="G55" s="952"/>
      <c r="H55" s="952"/>
      <c r="I55" s="952"/>
      <c r="J55" s="9"/>
      <c r="K55" s="944">
        <v>37865</v>
      </c>
      <c r="L55" s="953">
        <v>0</v>
      </c>
      <c r="M55" s="953">
        <v>0</v>
      </c>
      <c r="N55" s="953">
        <v>0</v>
      </c>
      <c r="O55" s="13"/>
      <c r="P55" s="953">
        <v>0</v>
      </c>
      <c r="Q55" s="953">
        <v>0</v>
      </c>
      <c r="R55" s="953">
        <v>0</v>
      </c>
      <c r="S55" s="13"/>
      <c r="T55" s="953">
        <v>0</v>
      </c>
      <c r="U55" s="953">
        <v>0</v>
      </c>
      <c r="V55" s="953">
        <v>0</v>
      </c>
      <c r="W55" s="13"/>
      <c r="X55" s="953">
        <v>0</v>
      </c>
      <c r="Y55" s="953">
        <v>0</v>
      </c>
      <c r="Z55" s="953">
        <v>0</v>
      </c>
      <c r="AA55" s="13">
        <v>0</v>
      </c>
      <c r="AB55" s="953">
        <v>0</v>
      </c>
      <c r="AC55" s="953">
        <v>0</v>
      </c>
      <c r="AD55" s="953">
        <v>0</v>
      </c>
      <c r="AE55" s="13"/>
      <c r="AF55" s="953">
        <v>0</v>
      </c>
      <c r="AG55" s="953">
        <v>0</v>
      </c>
      <c r="AH55" s="953">
        <v>0</v>
      </c>
      <c r="AI55" s="13"/>
      <c r="AJ55" s="953">
        <v>0</v>
      </c>
      <c r="AK55" s="953">
        <v>0</v>
      </c>
      <c r="AL55" s="953">
        <v>0</v>
      </c>
      <c r="AM55" s="1455"/>
      <c r="AN55" s="9">
        <v>16</v>
      </c>
      <c r="AO55" s="955">
        <v>0.35</v>
      </c>
      <c r="AP55" s="13"/>
      <c r="AQ55"/>
      <c r="AR55"/>
      <c r="AS55"/>
      <c r="AT55">
        <v>1</v>
      </c>
      <c r="AU55" t="str">
        <f t="shared" si="4"/>
        <v>2004Q1</v>
      </c>
      <c r="AV55">
        <f t="shared" si="5"/>
        <v>2004</v>
      </c>
      <c r="AW55" s="111">
        <f t="shared" si="1"/>
        <v>38018</v>
      </c>
      <c r="AX55" s="136">
        <f t="shared" si="8"/>
        <v>2.7326108893263523</v>
      </c>
      <c r="AY55" s="1541">
        <v>2.7326108893263523</v>
      </c>
      <c r="AZ55" s="136">
        <f t="shared" si="9"/>
        <v>2.7326108893263523</v>
      </c>
      <c r="BA55" s="137">
        <v>1</v>
      </c>
      <c r="BB55" s="137">
        <v>1</v>
      </c>
      <c r="BC55" s="137">
        <v>1</v>
      </c>
      <c r="BD55" s="137">
        <v>0</v>
      </c>
      <c r="BE55" s="137"/>
      <c r="BF55" s="137">
        <v>0</v>
      </c>
      <c r="BG55" s="145">
        <v>0</v>
      </c>
      <c r="BH55" s="886"/>
      <c r="BI55" s="938"/>
      <c r="BJ55" s="153"/>
      <c r="BK55" s="1443">
        <v>0</v>
      </c>
      <c r="BL55" s="905">
        <f t="shared" si="10"/>
        <v>2.7326108893263523</v>
      </c>
      <c r="BM55" s="1287">
        <f t="shared" si="2"/>
        <v>2.7326108893263523</v>
      </c>
      <c r="BN55" s="1282">
        <f t="shared" si="11"/>
        <v>1.7717350554923739E-2</v>
      </c>
      <c r="BO55" s="1377">
        <v>2.4</v>
      </c>
      <c r="BQ55" s="1379">
        <f t="shared" si="6"/>
        <v>2.7299744594896809</v>
      </c>
      <c r="BR55" s="1378">
        <f t="shared" si="3"/>
        <v>2.335743589817294</v>
      </c>
      <c r="BS55" s="153">
        <v>0</v>
      </c>
      <c r="BU55" s="1389">
        <f t="shared" si="7"/>
        <v>37591</v>
      </c>
      <c r="BV55" s="1390">
        <v>2.6810970593468535</v>
      </c>
      <c r="BW55" s="1390">
        <v>2.1117589875870353</v>
      </c>
      <c r="BX55" s="1390"/>
      <c r="BY55" s="1390">
        <v>2.9021056811184627</v>
      </c>
      <c r="BZ55" s="1391">
        <v>2.2858358423332477</v>
      </c>
    </row>
    <row r="56" spans="1:78">
      <c r="A56" s="957"/>
      <c r="B56" s="951">
        <v>37012</v>
      </c>
      <c r="C56" s="952">
        <v>58.54942077920861</v>
      </c>
      <c r="D56" s="952"/>
      <c r="E56" s="952"/>
      <c r="F56" s="950"/>
      <c r="G56" s="952"/>
      <c r="H56" s="952"/>
      <c r="I56" s="952"/>
      <c r="J56" s="9"/>
      <c r="K56" s="944">
        <v>37895</v>
      </c>
      <c r="L56" s="953">
        <v>0</v>
      </c>
      <c r="M56" s="953">
        <v>0</v>
      </c>
      <c r="N56" s="953">
        <v>0</v>
      </c>
      <c r="O56" s="13"/>
      <c r="P56" s="953">
        <v>0</v>
      </c>
      <c r="Q56" s="953">
        <v>0</v>
      </c>
      <c r="R56" s="953">
        <v>0</v>
      </c>
      <c r="S56" s="13"/>
      <c r="T56" s="953">
        <v>0</v>
      </c>
      <c r="U56" s="953">
        <v>0</v>
      </c>
      <c r="V56" s="953">
        <v>0</v>
      </c>
      <c r="W56" s="13"/>
      <c r="X56" s="953">
        <v>0</v>
      </c>
      <c r="Y56" s="953">
        <v>0</v>
      </c>
      <c r="Z56" s="953">
        <v>0</v>
      </c>
      <c r="AA56" s="13">
        <v>0</v>
      </c>
      <c r="AB56" s="953">
        <v>0</v>
      </c>
      <c r="AC56" s="953">
        <v>0</v>
      </c>
      <c r="AD56" s="953">
        <v>0</v>
      </c>
      <c r="AE56" s="13"/>
      <c r="AF56" s="953">
        <v>0</v>
      </c>
      <c r="AG56" s="953">
        <v>0</v>
      </c>
      <c r="AH56" s="953">
        <v>0</v>
      </c>
      <c r="AI56" s="13"/>
      <c r="AJ56" s="953">
        <v>0</v>
      </c>
      <c r="AK56" s="953">
        <v>0</v>
      </c>
      <c r="AL56" s="953">
        <v>0</v>
      </c>
      <c r="AM56" s="1455"/>
      <c r="AN56" s="9">
        <v>16</v>
      </c>
      <c r="AO56" s="955">
        <v>0.35</v>
      </c>
      <c r="AP56" s="13"/>
      <c r="AQ56"/>
      <c r="AR56"/>
      <c r="AS56"/>
      <c r="AT56">
        <v>1</v>
      </c>
      <c r="AU56" t="str">
        <f t="shared" si="4"/>
        <v>2004Q1</v>
      </c>
      <c r="AV56">
        <f t="shared" si="5"/>
        <v>2004</v>
      </c>
      <c r="AW56" s="111">
        <f t="shared" si="1"/>
        <v>38047</v>
      </c>
      <c r="AX56" s="136">
        <f t="shared" si="8"/>
        <v>2.586055130508254</v>
      </c>
      <c r="AY56" s="1541">
        <v>2.586055130508254</v>
      </c>
      <c r="AZ56" s="136">
        <f t="shared" si="9"/>
        <v>2.586055130508254</v>
      </c>
      <c r="BA56" s="137">
        <v>1</v>
      </c>
      <c r="BB56" s="137">
        <v>1</v>
      </c>
      <c r="BC56" s="137">
        <v>1</v>
      </c>
      <c r="BD56" s="137">
        <v>0</v>
      </c>
      <c r="BE56" s="137"/>
      <c r="BF56" s="137">
        <v>0</v>
      </c>
      <c r="BG56" s="145">
        <v>0</v>
      </c>
      <c r="BH56" s="886"/>
      <c r="BI56" s="938"/>
      <c r="BJ56" s="153"/>
      <c r="BK56" s="1443">
        <v>0</v>
      </c>
      <c r="BL56" s="905">
        <f t="shared" si="10"/>
        <v>2.586055130508254</v>
      </c>
      <c r="BM56" s="1287">
        <f t="shared" si="2"/>
        <v>2.586055130508254</v>
      </c>
      <c r="BN56" s="1282">
        <f t="shared" si="11"/>
        <v>2.1977889786671589E-2</v>
      </c>
      <c r="BO56" s="1377">
        <v>2.4</v>
      </c>
      <c r="BQ56" s="1379">
        <f t="shared" si="6"/>
        <v>2.6489165508942056</v>
      </c>
      <c r="BR56" s="1378">
        <f t="shared" si="3"/>
        <v>2.2197935496252295</v>
      </c>
      <c r="BS56" s="153">
        <v>0</v>
      </c>
      <c r="BU56" s="1389">
        <f t="shared" si="7"/>
        <v>37622</v>
      </c>
      <c r="BV56" s="1390">
        <v>2.5930154630702482</v>
      </c>
      <c r="BW56" s="1390">
        <v>2.1780319754061228</v>
      </c>
      <c r="BX56" s="1390"/>
      <c r="BY56" s="1390">
        <v>2.8628985951766195</v>
      </c>
      <c r="BZ56" s="1391">
        <v>2.4047232928016746</v>
      </c>
    </row>
    <row r="57" spans="1:78">
      <c r="A57" s="957"/>
      <c r="B57" s="951">
        <v>37043</v>
      </c>
      <c r="C57" s="952">
        <v>54.224120003297571</v>
      </c>
      <c r="D57" s="952"/>
      <c r="E57" s="952"/>
      <c r="F57" s="950"/>
      <c r="G57" s="952"/>
      <c r="H57" s="952"/>
      <c r="I57" s="952"/>
      <c r="J57" s="9"/>
      <c r="K57" s="944">
        <v>37926</v>
      </c>
      <c r="L57" s="953">
        <v>0</v>
      </c>
      <c r="M57" s="953">
        <v>0</v>
      </c>
      <c r="N57" s="953">
        <v>0</v>
      </c>
      <c r="O57" s="13"/>
      <c r="P57" s="953">
        <v>0</v>
      </c>
      <c r="Q57" s="953">
        <v>0</v>
      </c>
      <c r="R57" s="953">
        <v>0</v>
      </c>
      <c r="S57" s="13"/>
      <c r="T57" s="953">
        <v>0</v>
      </c>
      <c r="U57" s="953">
        <v>0</v>
      </c>
      <c r="V57" s="953">
        <v>0</v>
      </c>
      <c r="W57" s="13"/>
      <c r="X57" s="953">
        <v>0</v>
      </c>
      <c r="Y57" s="953">
        <v>0</v>
      </c>
      <c r="Z57" s="953">
        <v>0</v>
      </c>
      <c r="AA57" s="13">
        <v>0</v>
      </c>
      <c r="AB57" s="953">
        <v>0</v>
      </c>
      <c r="AC57" s="953">
        <v>0</v>
      </c>
      <c r="AD57" s="953">
        <v>0</v>
      </c>
      <c r="AE57" s="13"/>
      <c r="AF57" s="953">
        <v>0</v>
      </c>
      <c r="AG57" s="953">
        <v>0</v>
      </c>
      <c r="AH57" s="953">
        <v>0</v>
      </c>
      <c r="AI57" s="13"/>
      <c r="AJ57" s="953">
        <v>0</v>
      </c>
      <c r="AK57" s="953">
        <v>0</v>
      </c>
      <c r="AL57" s="953">
        <v>0</v>
      </c>
      <c r="AM57" s="1455"/>
      <c r="AN57" s="9">
        <v>16</v>
      </c>
      <c r="AO57" s="955">
        <v>0.35</v>
      </c>
      <c r="AP57" s="13"/>
      <c r="AQ57"/>
      <c r="AR57"/>
      <c r="AS57"/>
      <c r="AT57">
        <v>1</v>
      </c>
      <c r="AU57" t="str">
        <f t="shared" si="4"/>
        <v>2004Q2</v>
      </c>
      <c r="AV57">
        <f t="shared" si="5"/>
        <v>2004</v>
      </c>
      <c r="AW57" s="111">
        <f t="shared" si="1"/>
        <v>38078</v>
      </c>
      <c r="AX57" s="136">
        <f t="shared" si="8"/>
        <v>2.5084716304797166</v>
      </c>
      <c r="AY57" s="1541">
        <v>2.5084716304797166</v>
      </c>
      <c r="AZ57" s="136">
        <f t="shared" si="9"/>
        <v>2.5084716304797166</v>
      </c>
      <c r="BA57" s="137">
        <v>1</v>
      </c>
      <c r="BB57" s="137">
        <v>1</v>
      </c>
      <c r="BC57" s="137">
        <v>1</v>
      </c>
      <c r="BD57" s="137">
        <v>0</v>
      </c>
      <c r="BE57" s="137"/>
      <c r="BF57" s="137">
        <v>0</v>
      </c>
      <c r="BG57" s="145">
        <v>0</v>
      </c>
      <c r="BH57" s="886"/>
      <c r="BI57" s="938"/>
      <c r="BJ57" s="153"/>
      <c r="BK57" s="1443">
        <v>0</v>
      </c>
      <c r="BL57" s="905">
        <f t="shared" si="10"/>
        <v>2.5084716304797166</v>
      </c>
      <c r="BM57" s="1287">
        <f t="shared" si="2"/>
        <v>2.5084716304797166</v>
      </c>
      <c r="BN57" s="1282">
        <f t="shared" si="11"/>
        <v>2.6895519303587356E-2</v>
      </c>
      <c r="BO57" s="1377">
        <v>2.4</v>
      </c>
      <c r="BQ57" s="1379">
        <f t="shared" si="6"/>
        <v>2.5963686653219669</v>
      </c>
      <c r="BR57" s="1378">
        <f t="shared" si="3"/>
        <v>2.1523226210651929</v>
      </c>
      <c r="BS57" s="153">
        <v>0</v>
      </c>
      <c r="BU57" s="1389">
        <f t="shared" si="7"/>
        <v>37653</v>
      </c>
      <c r="BV57" s="1390">
        <v>2.3973606889560135</v>
      </c>
      <c r="BW57" s="1390">
        <v>2.0287060163548611</v>
      </c>
      <c r="BX57" s="1390"/>
      <c r="BY57" s="1390">
        <v>2.646879915022661</v>
      </c>
      <c r="BZ57" s="1391">
        <v>2.2398553679937474</v>
      </c>
    </row>
    <row r="58" spans="1:78">
      <c r="A58" s="957"/>
      <c r="B58" s="951">
        <v>37073</v>
      </c>
      <c r="C58" s="952">
        <v>68.092815428714005</v>
      </c>
      <c r="D58" s="952"/>
      <c r="E58" s="952"/>
      <c r="F58" s="950"/>
      <c r="G58" s="952"/>
      <c r="H58" s="952"/>
      <c r="I58" s="952"/>
      <c r="J58" s="9"/>
      <c r="K58" s="944">
        <v>37956</v>
      </c>
      <c r="L58" s="953">
        <v>0</v>
      </c>
      <c r="M58" s="953">
        <v>0</v>
      </c>
      <c r="N58" s="953">
        <v>0</v>
      </c>
      <c r="O58" s="13"/>
      <c r="P58" s="953">
        <v>0</v>
      </c>
      <c r="Q58" s="953">
        <v>0</v>
      </c>
      <c r="R58" s="953">
        <v>0</v>
      </c>
      <c r="S58" s="13"/>
      <c r="T58" s="953">
        <v>0</v>
      </c>
      <c r="U58" s="953">
        <v>0</v>
      </c>
      <c r="V58" s="953">
        <v>0</v>
      </c>
      <c r="W58" s="13"/>
      <c r="X58" s="953">
        <v>0</v>
      </c>
      <c r="Y58" s="953">
        <v>0</v>
      </c>
      <c r="Z58" s="953">
        <v>0</v>
      </c>
      <c r="AA58" s="13">
        <v>0</v>
      </c>
      <c r="AB58" s="953">
        <v>0</v>
      </c>
      <c r="AC58" s="953">
        <v>0</v>
      </c>
      <c r="AD58" s="953">
        <v>0</v>
      </c>
      <c r="AE58" s="13"/>
      <c r="AF58" s="953">
        <v>0</v>
      </c>
      <c r="AG58" s="953">
        <v>0</v>
      </c>
      <c r="AH58" s="953">
        <v>0</v>
      </c>
      <c r="AI58" s="13"/>
      <c r="AJ58" s="953">
        <v>0</v>
      </c>
      <c r="AK58" s="953">
        <v>0</v>
      </c>
      <c r="AL58" s="953">
        <v>0</v>
      </c>
      <c r="AM58" s="1455"/>
      <c r="AN58" s="9">
        <v>17</v>
      </c>
      <c r="AO58" s="955">
        <v>0.35</v>
      </c>
      <c r="AP58" s="13"/>
      <c r="AQ58"/>
      <c r="AR58"/>
      <c r="AS58"/>
      <c r="AT58">
        <v>1</v>
      </c>
      <c r="AU58" t="str">
        <f t="shared" si="4"/>
        <v>2004Q2</v>
      </c>
      <c r="AV58">
        <f t="shared" si="5"/>
        <v>2004</v>
      </c>
      <c r="AW58" s="111">
        <f t="shared" si="1"/>
        <v>38108</v>
      </c>
      <c r="AX58" s="136">
        <f t="shared" si="8"/>
        <v>2.4895535133988131</v>
      </c>
      <c r="AY58" s="1541">
        <v>2.4895535133988131</v>
      </c>
      <c r="AZ58" s="136">
        <f t="shared" si="9"/>
        <v>2.4895535133988131</v>
      </c>
      <c r="BA58" s="137">
        <v>1</v>
      </c>
      <c r="BB58" s="137">
        <v>1</v>
      </c>
      <c r="BC58" s="137">
        <v>1</v>
      </c>
      <c r="BD58" s="137">
        <v>0</v>
      </c>
      <c r="BE58" s="137"/>
      <c r="BF58" s="137">
        <v>0</v>
      </c>
      <c r="BG58" s="145">
        <v>0</v>
      </c>
      <c r="BH58" s="886"/>
      <c r="BI58" s="938"/>
      <c r="BJ58" s="153"/>
      <c r="BK58" s="1443">
        <v>0</v>
      </c>
      <c r="BL58" s="905">
        <f t="shared" si="10"/>
        <v>2.4895535133988131</v>
      </c>
      <c r="BM58" s="1287">
        <f t="shared" si="2"/>
        <v>2.4895535133988131</v>
      </c>
      <c r="BN58" s="1282">
        <f t="shared" si="11"/>
        <v>3.2197740105682104E-2</v>
      </c>
      <c r="BO58" s="1377">
        <v>2.4</v>
      </c>
      <c r="BQ58" s="1379">
        <f t="shared" si="6"/>
        <v>2.5723308027729632</v>
      </c>
      <c r="BR58" s="1378">
        <f t="shared" si="3"/>
        <v>2.1258340342971782</v>
      </c>
      <c r="BS58" s="153">
        <v>0</v>
      </c>
      <c r="BU58" s="1389">
        <f t="shared" si="7"/>
        <v>37681</v>
      </c>
      <c r="BV58" s="1390">
        <v>2.32617868836246</v>
      </c>
      <c r="BW58" s="1390">
        <v>1.9279978114133121</v>
      </c>
      <c r="BX58" s="1390"/>
      <c r="BY58" s="1390">
        <v>2.5682892346339474</v>
      </c>
      <c r="BZ58" s="1391">
        <v>2.1286653721930517</v>
      </c>
    </row>
    <row r="59" spans="1:78">
      <c r="A59" s="957"/>
      <c r="B59" s="951">
        <v>37104</v>
      </c>
      <c r="C59" s="952">
        <v>100.08038513136789</v>
      </c>
      <c r="D59" s="952"/>
      <c r="E59" s="952"/>
      <c r="F59" s="950"/>
      <c r="G59" s="952"/>
      <c r="H59" s="952"/>
      <c r="I59" s="952"/>
      <c r="J59" s="9"/>
      <c r="K59" s="944">
        <v>37987</v>
      </c>
      <c r="L59" s="953">
        <v>0</v>
      </c>
      <c r="M59" s="953">
        <v>0</v>
      </c>
      <c r="N59" s="953">
        <v>0</v>
      </c>
      <c r="O59" s="13"/>
      <c r="P59" s="953">
        <v>0</v>
      </c>
      <c r="Q59" s="953">
        <v>0</v>
      </c>
      <c r="R59" s="953">
        <v>0</v>
      </c>
      <c r="S59" s="13"/>
      <c r="T59" s="953">
        <v>0</v>
      </c>
      <c r="U59" s="953">
        <v>0</v>
      </c>
      <c r="V59" s="953">
        <v>0</v>
      </c>
      <c r="W59" s="13"/>
      <c r="X59" s="953">
        <v>0</v>
      </c>
      <c r="Y59" s="953">
        <v>0</v>
      </c>
      <c r="Z59" s="953">
        <v>0</v>
      </c>
      <c r="AA59" s="13">
        <v>0</v>
      </c>
      <c r="AB59" s="953">
        <v>0</v>
      </c>
      <c r="AC59" s="953">
        <v>0</v>
      </c>
      <c r="AD59" s="953">
        <v>0</v>
      </c>
      <c r="AE59" s="13"/>
      <c r="AF59" s="953">
        <v>0</v>
      </c>
      <c r="AG59" s="953">
        <v>0</v>
      </c>
      <c r="AH59" s="953">
        <v>0</v>
      </c>
      <c r="AI59" s="13"/>
      <c r="AJ59" s="953">
        <v>0</v>
      </c>
      <c r="AK59" s="953">
        <v>0</v>
      </c>
      <c r="AL59" s="953">
        <v>0</v>
      </c>
      <c r="AM59" s="1455"/>
      <c r="AN59" s="9">
        <v>17</v>
      </c>
      <c r="AO59" s="955">
        <v>0.35</v>
      </c>
      <c r="AP59" s="13"/>
      <c r="AQ59"/>
      <c r="AR59"/>
      <c r="AS59"/>
      <c r="AT59">
        <v>1</v>
      </c>
      <c r="AU59" t="str">
        <f t="shared" si="4"/>
        <v>2004Q2</v>
      </c>
      <c r="AV59">
        <f t="shared" si="5"/>
        <v>2004</v>
      </c>
      <c r="AW59" s="111">
        <f t="shared" si="1"/>
        <v>38139</v>
      </c>
      <c r="AX59" s="136">
        <f t="shared" si="8"/>
        <v>2.5196258825723734</v>
      </c>
      <c r="AY59" s="1541">
        <v>2.5196258825723734</v>
      </c>
      <c r="AZ59" s="136">
        <f t="shared" si="9"/>
        <v>2.5196258825723734</v>
      </c>
      <c r="BA59" s="137">
        <v>1</v>
      </c>
      <c r="BB59" s="137">
        <v>1</v>
      </c>
      <c r="BC59" s="137">
        <v>1</v>
      </c>
      <c r="BD59" s="137">
        <v>0</v>
      </c>
      <c r="BE59" s="137"/>
      <c r="BF59" s="137">
        <v>0</v>
      </c>
      <c r="BG59" s="145">
        <v>0</v>
      </c>
      <c r="BH59" s="886"/>
      <c r="BI59" s="938"/>
      <c r="BJ59" s="153"/>
      <c r="BK59" s="1443">
        <v>0</v>
      </c>
      <c r="BL59" s="905">
        <f t="shared" si="10"/>
        <v>2.5196258825723734</v>
      </c>
      <c r="BM59" s="1287">
        <f t="shared" si="2"/>
        <v>2.5196258825723734</v>
      </c>
      <c r="BN59" s="1282">
        <f t="shared" si="11"/>
        <v>3.2197740105681882E-2</v>
      </c>
      <c r="BO59" s="1377">
        <v>2.4</v>
      </c>
      <c r="BQ59" s="1379">
        <f t="shared" si="6"/>
        <v>2.5768029632471965</v>
      </c>
      <c r="BR59" s="1378">
        <f t="shared" si="3"/>
        <v>2.1328310194811819</v>
      </c>
      <c r="BS59" s="153">
        <v>0</v>
      </c>
      <c r="BU59" s="1389">
        <f t="shared" si="7"/>
        <v>37712</v>
      </c>
      <c r="BV59" s="1390">
        <v>2.2800331155638798</v>
      </c>
      <c r="BW59" s="1390">
        <v>1.8693960542274977</v>
      </c>
      <c r="BX59" s="1390"/>
      <c r="BY59" s="1390">
        <v>2.517340793554367</v>
      </c>
      <c r="BZ59" s="1391">
        <v>2.0639642970504064</v>
      </c>
    </row>
    <row r="60" spans="1:78">
      <c r="A60" s="957"/>
      <c r="B60" s="951">
        <v>37135</v>
      </c>
      <c r="C60" s="952">
        <v>83.908012083876628</v>
      </c>
      <c r="D60" s="952"/>
      <c r="E60" s="952"/>
      <c r="F60" s="950"/>
      <c r="G60" s="952"/>
      <c r="H60" s="952"/>
      <c r="I60" s="952"/>
      <c r="J60" s="9"/>
      <c r="K60" s="944">
        <v>38018</v>
      </c>
      <c r="L60" s="953">
        <v>0</v>
      </c>
      <c r="M60" s="953">
        <v>0</v>
      </c>
      <c r="N60" s="953">
        <v>0</v>
      </c>
      <c r="O60" s="13"/>
      <c r="P60" s="953">
        <v>0</v>
      </c>
      <c r="Q60" s="953">
        <v>0</v>
      </c>
      <c r="R60" s="953">
        <v>0</v>
      </c>
      <c r="S60" s="13"/>
      <c r="T60" s="953">
        <v>0</v>
      </c>
      <c r="U60" s="953">
        <v>0</v>
      </c>
      <c r="V60" s="953">
        <v>0</v>
      </c>
      <c r="W60" s="13"/>
      <c r="X60" s="953">
        <v>0</v>
      </c>
      <c r="Y60" s="953">
        <v>0</v>
      </c>
      <c r="Z60" s="953">
        <v>0</v>
      </c>
      <c r="AA60" s="13">
        <v>0</v>
      </c>
      <c r="AB60" s="953">
        <v>0</v>
      </c>
      <c r="AC60" s="953">
        <v>0</v>
      </c>
      <c r="AD60" s="953">
        <v>0</v>
      </c>
      <c r="AE60" s="13"/>
      <c r="AF60" s="953">
        <v>0</v>
      </c>
      <c r="AG60" s="953">
        <v>0</v>
      </c>
      <c r="AH60" s="953">
        <v>0</v>
      </c>
      <c r="AI60" s="13"/>
      <c r="AJ60" s="953">
        <v>0</v>
      </c>
      <c r="AK60" s="953">
        <v>0</v>
      </c>
      <c r="AL60" s="953">
        <v>0</v>
      </c>
      <c r="AM60" s="1455"/>
      <c r="AN60" s="9">
        <v>17</v>
      </c>
      <c r="AO60" s="955">
        <v>0.35</v>
      </c>
      <c r="AP60" s="13"/>
      <c r="AQ60"/>
      <c r="AR60"/>
      <c r="AS60"/>
      <c r="AT60">
        <v>1</v>
      </c>
      <c r="AU60" t="str">
        <f t="shared" si="4"/>
        <v>2004Q3</v>
      </c>
      <c r="AV60">
        <f t="shared" si="5"/>
        <v>2004</v>
      </c>
      <c r="AW60" s="111">
        <f t="shared" si="1"/>
        <v>38169</v>
      </c>
      <c r="AX60" s="136">
        <f t="shared" si="8"/>
        <v>2.5884018183866879</v>
      </c>
      <c r="AY60" s="1541">
        <v>2.5884018183866879</v>
      </c>
      <c r="AZ60" s="136">
        <f t="shared" si="9"/>
        <v>2.5884018183866879</v>
      </c>
      <c r="BA60" s="137">
        <v>1</v>
      </c>
      <c r="BB60" s="137">
        <v>1</v>
      </c>
      <c r="BC60" s="137">
        <v>1</v>
      </c>
      <c r="BD60" s="137">
        <v>0</v>
      </c>
      <c r="BE60" s="137"/>
      <c r="BF60" s="137">
        <v>0</v>
      </c>
      <c r="BG60" s="145">
        <v>0</v>
      </c>
      <c r="BH60" s="886"/>
      <c r="BI60" s="938"/>
      <c r="BJ60" s="153"/>
      <c r="BK60" s="1443">
        <v>0</v>
      </c>
      <c r="BL60" s="905">
        <f t="shared" si="10"/>
        <v>2.5884018183866879</v>
      </c>
      <c r="BM60" s="1287">
        <f t="shared" si="2"/>
        <v>2.5884018183866879</v>
      </c>
      <c r="BN60" s="1282">
        <f t="shared" si="11"/>
        <v>3.2197740105682104E-2</v>
      </c>
      <c r="BO60" s="1377">
        <v>2.4</v>
      </c>
      <c r="BQ60" s="1379">
        <f t="shared" si="6"/>
        <v>2.6097851467446658</v>
      </c>
      <c r="BR60" s="1378">
        <f t="shared" si="3"/>
        <v>2.1658168067772001</v>
      </c>
      <c r="BS60" s="153">
        <v>0</v>
      </c>
      <c r="BU60" s="1389">
        <f t="shared" si="7"/>
        <v>37742</v>
      </c>
      <c r="BV60" s="1390">
        <v>2.2589239705602737</v>
      </c>
      <c r="BW60" s="1390">
        <v>1.8463894384434369</v>
      </c>
      <c r="BX60" s="1390"/>
      <c r="BY60" s="1390">
        <v>2.4940345917839202</v>
      </c>
      <c r="BZ60" s="1391">
        <v>2.038563134216627</v>
      </c>
    </row>
    <row r="61" spans="1:78">
      <c r="A61" s="957"/>
      <c r="B61" s="951">
        <v>37165</v>
      </c>
      <c r="C61" s="952">
        <v>70.898158153745754</v>
      </c>
      <c r="D61" s="952"/>
      <c r="E61" s="952"/>
      <c r="F61" s="950"/>
      <c r="G61" s="952"/>
      <c r="H61" s="952"/>
      <c r="I61" s="952"/>
      <c r="J61" s="9"/>
      <c r="K61" s="944">
        <v>38047</v>
      </c>
      <c r="L61" s="953">
        <v>0</v>
      </c>
      <c r="M61" s="953">
        <v>0</v>
      </c>
      <c r="N61" s="953">
        <v>0</v>
      </c>
      <c r="O61" s="13"/>
      <c r="P61" s="953">
        <v>0</v>
      </c>
      <c r="Q61" s="953">
        <v>0</v>
      </c>
      <c r="R61" s="953">
        <v>0</v>
      </c>
      <c r="S61" s="13"/>
      <c r="T61" s="953">
        <v>0</v>
      </c>
      <c r="U61" s="953">
        <v>0</v>
      </c>
      <c r="V61" s="953">
        <v>0</v>
      </c>
      <c r="W61" s="13"/>
      <c r="X61" s="953">
        <v>0</v>
      </c>
      <c r="Y61" s="953">
        <v>0</v>
      </c>
      <c r="Z61" s="953">
        <v>0</v>
      </c>
      <c r="AA61" s="13">
        <v>0</v>
      </c>
      <c r="AB61" s="953">
        <v>0</v>
      </c>
      <c r="AC61" s="953">
        <v>0</v>
      </c>
      <c r="AD61" s="953">
        <v>0</v>
      </c>
      <c r="AE61" s="13"/>
      <c r="AF61" s="953">
        <v>0</v>
      </c>
      <c r="AG61" s="953">
        <v>0</v>
      </c>
      <c r="AH61" s="953">
        <v>0</v>
      </c>
      <c r="AI61" s="13"/>
      <c r="AJ61" s="953">
        <v>0</v>
      </c>
      <c r="AK61" s="953">
        <v>0</v>
      </c>
      <c r="AL61" s="953">
        <v>0</v>
      </c>
      <c r="AM61" s="1455"/>
      <c r="AN61" s="9">
        <v>18</v>
      </c>
      <c r="AO61" s="955">
        <v>0.35</v>
      </c>
      <c r="AP61" s="13"/>
      <c r="AQ61"/>
      <c r="AR61"/>
      <c r="AS61"/>
      <c r="AT61">
        <v>1</v>
      </c>
      <c r="AU61" t="str">
        <f t="shared" si="4"/>
        <v>2004Q3</v>
      </c>
      <c r="AV61">
        <f t="shared" si="5"/>
        <v>2004</v>
      </c>
      <c r="AW61" s="111">
        <f t="shared" si="1"/>
        <v>38200</v>
      </c>
      <c r="AX61" s="136">
        <f t="shared" si="8"/>
        <v>2.6860779312064134</v>
      </c>
      <c r="AY61" s="1541">
        <v>2.6860779312064134</v>
      </c>
      <c r="AZ61" s="136">
        <f t="shared" si="9"/>
        <v>2.6860779312064134</v>
      </c>
      <c r="BA61" s="137">
        <v>1</v>
      </c>
      <c r="BB61" s="137">
        <v>1</v>
      </c>
      <c r="BC61" s="137">
        <v>1</v>
      </c>
      <c r="BD61" s="137">
        <v>0</v>
      </c>
      <c r="BE61" s="137"/>
      <c r="BF61" s="137">
        <v>0</v>
      </c>
      <c r="BG61" s="145">
        <v>0</v>
      </c>
      <c r="BH61" s="886"/>
      <c r="BI61" s="938"/>
      <c r="BJ61" s="153"/>
      <c r="BK61" s="1443">
        <v>0</v>
      </c>
      <c r="BL61" s="905">
        <f t="shared" si="10"/>
        <v>2.6860779312064134</v>
      </c>
      <c r="BM61" s="1287">
        <f t="shared" si="2"/>
        <v>2.6860779312064134</v>
      </c>
      <c r="BN61" s="1282">
        <f t="shared" si="11"/>
        <v>3.2197740105682104E-2</v>
      </c>
      <c r="BO61" s="1377">
        <v>2.4</v>
      </c>
      <c r="BQ61" s="1379">
        <f t="shared" si="6"/>
        <v>2.6712773532653711</v>
      </c>
      <c r="BR61" s="1378">
        <f t="shared" si="3"/>
        <v>2.2172946263452289</v>
      </c>
      <c r="BS61" s="153">
        <v>0</v>
      </c>
      <c r="BU61" s="1389">
        <f t="shared" si="7"/>
        <v>37773</v>
      </c>
      <c r="BV61" s="1390">
        <v>2.2628512533516423</v>
      </c>
      <c r="BW61" s="1390">
        <v>1.8524666577071509</v>
      </c>
      <c r="BX61" s="1390"/>
      <c r="BY61" s="1390">
        <v>2.4983706293226078</v>
      </c>
      <c r="BZ61" s="1391">
        <v>2.0452728753425307</v>
      </c>
    </row>
    <row r="62" spans="1:78">
      <c r="A62" s="957"/>
      <c r="B62" s="951">
        <v>37196</v>
      </c>
      <c r="C62" s="952">
        <v>64.73668254769791</v>
      </c>
      <c r="D62" s="952"/>
      <c r="E62" s="952"/>
      <c r="F62" s="950"/>
      <c r="G62" s="952"/>
      <c r="H62" s="952"/>
      <c r="I62" s="952"/>
      <c r="J62" s="9"/>
      <c r="K62" s="944">
        <v>38078</v>
      </c>
      <c r="L62" s="953">
        <v>0</v>
      </c>
      <c r="M62" s="953">
        <v>0</v>
      </c>
      <c r="N62" s="953">
        <v>0</v>
      </c>
      <c r="O62" s="13"/>
      <c r="P62" s="953">
        <v>0</v>
      </c>
      <c r="Q62" s="953">
        <v>0</v>
      </c>
      <c r="R62" s="953">
        <v>0</v>
      </c>
      <c r="S62" s="13"/>
      <c r="T62" s="953">
        <v>0</v>
      </c>
      <c r="U62" s="953">
        <v>0</v>
      </c>
      <c r="V62" s="953">
        <v>0</v>
      </c>
      <c r="W62" s="13"/>
      <c r="X62" s="953">
        <v>0</v>
      </c>
      <c r="Y62" s="953">
        <v>0</v>
      </c>
      <c r="Z62" s="953">
        <v>0</v>
      </c>
      <c r="AA62" s="13">
        <v>0</v>
      </c>
      <c r="AB62" s="953">
        <v>0</v>
      </c>
      <c r="AC62" s="953">
        <v>0</v>
      </c>
      <c r="AD62" s="953">
        <v>0</v>
      </c>
      <c r="AE62" s="13"/>
      <c r="AF62" s="953">
        <v>0</v>
      </c>
      <c r="AG62" s="953">
        <v>0</v>
      </c>
      <c r="AH62" s="953">
        <v>0</v>
      </c>
      <c r="AI62" s="13"/>
      <c r="AJ62" s="953">
        <v>0</v>
      </c>
      <c r="AK62" s="953">
        <v>0</v>
      </c>
      <c r="AL62" s="953">
        <v>0</v>
      </c>
      <c r="AM62" s="1455"/>
      <c r="AN62" s="9">
        <v>18</v>
      </c>
      <c r="AO62" s="955">
        <v>0.35</v>
      </c>
      <c r="AP62" s="13"/>
      <c r="AQ62"/>
      <c r="AR62"/>
      <c r="AS62"/>
      <c r="AT62">
        <v>1</v>
      </c>
      <c r="AU62" t="str">
        <f t="shared" si="4"/>
        <v>2004Q3</v>
      </c>
      <c r="AV62">
        <f t="shared" si="5"/>
        <v>2004</v>
      </c>
      <c r="AW62" s="111">
        <f t="shared" si="1"/>
        <v>38231</v>
      </c>
      <c r="AX62" s="136">
        <f t="shared" si="8"/>
        <v>2.8023709248195328</v>
      </c>
      <c r="AY62" s="1541">
        <v>2.8023709248195328</v>
      </c>
      <c r="AZ62" s="136">
        <f t="shared" si="9"/>
        <v>2.8023709248195328</v>
      </c>
      <c r="BA62" s="137">
        <v>1</v>
      </c>
      <c r="BB62" s="137">
        <v>1</v>
      </c>
      <c r="BC62" s="137">
        <v>1</v>
      </c>
      <c r="BD62" s="137">
        <v>0</v>
      </c>
      <c r="BE62" s="137"/>
      <c r="BF62" s="137">
        <v>0</v>
      </c>
      <c r="BG62" s="145">
        <v>0</v>
      </c>
      <c r="BH62" s="886"/>
      <c r="BI62" s="938"/>
      <c r="BJ62" s="153"/>
      <c r="BK62" s="1443">
        <v>0</v>
      </c>
      <c r="BL62" s="905">
        <f t="shared" si="10"/>
        <v>2.8023709248195328</v>
      </c>
      <c r="BM62" s="1287">
        <f t="shared" si="2"/>
        <v>2.8023709248195328</v>
      </c>
      <c r="BN62" s="1282">
        <f t="shared" si="11"/>
        <v>3.2197740105682104E-2</v>
      </c>
      <c r="BO62" s="1377">
        <v>2.4</v>
      </c>
      <c r="BQ62" s="1379">
        <f t="shared" si="6"/>
        <v>2.7612795828093128</v>
      </c>
      <c r="BR62" s="1378">
        <f t="shared" si="3"/>
        <v>2.2797677083452634</v>
      </c>
      <c r="BS62" s="153">
        <v>0</v>
      </c>
      <c r="BU62" s="1389">
        <f t="shared" si="7"/>
        <v>37803</v>
      </c>
      <c r="BV62" s="1390">
        <v>2.2918149639379854</v>
      </c>
      <c r="BW62" s="1390">
        <v>1.8811164056646605</v>
      </c>
      <c r="BX62" s="1390"/>
      <c r="BY62" s="1390">
        <v>2.5303489061704298</v>
      </c>
      <c r="BZ62" s="1391">
        <v>2.0769045120789356</v>
      </c>
    </row>
    <row r="63" spans="1:78">
      <c r="A63" s="957"/>
      <c r="B63" s="951">
        <v>37226</v>
      </c>
      <c r="C63" s="952">
        <v>64.831293303104559</v>
      </c>
      <c r="D63" s="952"/>
      <c r="E63" s="952"/>
      <c r="F63" s="950"/>
      <c r="G63" s="952"/>
      <c r="H63" s="952"/>
      <c r="I63" s="952"/>
      <c r="J63" s="9"/>
      <c r="K63" s="944">
        <v>38108</v>
      </c>
      <c r="L63" s="953">
        <v>0</v>
      </c>
      <c r="M63" s="953">
        <v>0</v>
      </c>
      <c r="N63" s="953">
        <v>0</v>
      </c>
      <c r="O63" s="13"/>
      <c r="P63" s="953">
        <v>0</v>
      </c>
      <c r="Q63" s="953">
        <v>0</v>
      </c>
      <c r="R63" s="953">
        <v>0</v>
      </c>
      <c r="S63" s="13"/>
      <c r="T63" s="953">
        <v>0</v>
      </c>
      <c r="U63" s="953">
        <v>0</v>
      </c>
      <c r="V63" s="953">
        <v>0</v>
      </c>
      <c r="W63" s="13"/>
      <c r="X63" s="953">
        <v>0</v>
      </c>
      <c r="Y63" s="953">
        <v>0</v>
      </c>
      <c r="Z63" s="953">
        <v>0</v>
      </c>
      <c r="AA63" s="13">
        <v>0</v>
      </c>
      <c r="AB63" s="953">
        <v>0</v>
      </c>
      <c r="AC63" s="953">
        <v>0</v>
      </c>
      <c r="AD63" s="953">
        <v>0</v>
      </c>
      <c r="AE63" s="13"/>
      <c r="AF63" s="953">
        <v>0</v>
      </c>
      <c r="AG63" s="953">
        <v>0</v>
      </c>
      <c r="AH63" s="953">
        <v>0</v>
      </c>
      <c r="AI63" s="13"/>
      <c r="AJ63" s="953">
        <v>0</v>
      </c>
      <c r="AK63" s="953">
        <v>0</v>
      </c>
      <c r="AL63" s="953">
        <v>0</v>
      </c>
      <c r="AM63" s="1455"/>
      <c r="AN63" s="9">
        <v>18</v>
      </c>
      <c r="AO63" s="955">
        <v>0.35</v>
      </c>
      <c r="AP63" s="13"/>
      <c r="AQ63"/>
      <c r="AR63"/>
      <c r="AS63"/>
      <c r="AT63">
        <v>1</v>
      </c>
      <c r="AU63" t="str">
        <f t="shared" si="4"/>
        <v>2004Q4</v>
      </c>
      <c r="AV63">
        <f t="shared" si="5"/>
        <v>2004</v>
      </c>
      <c r="AW63" s="111">
        <f t="shared" si="1"/>
        <v>38261</v>
      </c>
      <c r="AX63" s="136">
        <f t="shared" si="8"/>
        <v>2.9269066543827487</v>
      </c>
      <c r="AY63" s="1541">
        <v>2.9269066543827487</v>
      </c>
      <c r="AZ63" s="136">
        <f t="shared" si="9"/>
        <v>2.9269066543827487</v>
      </c>
      <c r="BA63" s="137">
        <v>1</v>
      </c>
      <c r="BB63" s="137">
        <v>1</v>
      </c>
      <c r="BC63" s="137">
        <v>1</v>
      </c>
      <c r="BD63" s="137">
        <v>0</v>
      </c>
      <c r="BE63" s="137"/>
      <c r="BF63" s="137">
        <v>0</v>
      </c>
      <c r="BG63" s="145">
        <v>0</v>
      </c>
      <c r="BH63" s="886"/>
      <c r="BI63" s="938"/>
      <c r="BJ63" s="153"/>
      <c r="BK63" s="1443">
        <v>0</v>
      </c>
      <c r="BL63" s="905">
        <f t="shared" si="10"/>
        <v>2.9269066543827487</v>
      </c>
      <c r="BM63" s="1287">
        <f t="shared" si="2"/>
        <v>2.9269066543827487</v>
      </c>
      <c r="BN63" s="1282">
        <f t="shared" si="11"/>
        <v>3.2197740105682104E-2</v>
      </c>
      <c r="BO63" s="1377">
        <v>2.4</v>
      </c>
      <c r="BQ63" s="1379">
        <f t="shared" si="6"/>
        <v>2.8797918353764906</v>
      </c>
      <c r="BR63" s="1378">
        <f t="shared" si="3"/>
        <v>2.3457392829373003</v>
      </c>
      <c r="BS63" s="153">
        <v>0</v>
      </c>
      <c r="BU63" s="1389">
        <f t="shared" si="7"/>
        <v>37834</v>
      </c>
      <c r="BV63" s="1390">
        <v>2.3458151023193019</v>
      </c>
      <c r="BW63" s="1390">
        <v>1.9258273759619864</v>
      </c>
      <c r="BX63" s="1390"/>
      <c r="BY63" s="1390">
        <v>2.589969422327385</v>
      </c>
      <c r="BZ63" s="1391">
        <v>2.1262690360766583</v>
      </c>
    </row>
    <row r="64" spans="1:78">
      <c r="A64" s="957"/>
      <c r="B64" s="951">
        <v>37257</v>
      </c>
      <c r="C64" s="952">
        <v>55.375043821308928</v>
      </c>
      <c r="D64" s="952"/>
      <c r="E64" s="952"/>
      <c r="F64" s="950"/>
      <c r="G64" s="952"/>
      <c r="H64" s="952"/>
      <c r="I64" s="952"/>
      <c r="J64" s="9"/>
      <c r="K64" s="944">
        <v>38139</v>
      </c>
      <c r="L64" s="953">
        <v>0</v>
      </c>
      <c r="M64" s="953">
        <v>0</v>
      </c>
      <c r="N64" s="953">
        <v>0</v>
      </c>
      <c r="O64" s="13"/>
      <c r="P64" s="953">
        <v>0</v>
      </c>
      <c r="Q64" s="953">
        <v>0</v>
      </c>
      <c r="R64" s="953">
        <v>0</v>
      </c>
      <c r="S64" s="13"/>
      <c r="T64" s="953">
        <v>0</v>
      </c>
      <c r="U64" s="953">
        <v>0</v>
      </c>
      <c r="V64" s="953">
        <v>0</v>
      </c>
      <c r="W64" s="13"/>
      <c r="X64" s="953">
        <v>0</v>
      </c>
      <c r="Y64" s="953">
        <v>0</v>
      </c>
      <c r="Z64" s="953">
        <v>0</v>
      </c>
      <c r="AA64" s="13">
        <v>0</v>
      </c>
      <c r="AB64" s="953">
        <v>0</v>
      </c>
      <c r="AC64" s="953">
        <v>0</v>
      </c>
      <c r="AD64" s="953">
        <v>0</v>
      </c>
      <c r="AE64" s="13"/>
      <c r="AF64" s="953">
        <v>0</v>
      </c>
      <c r="AG64" s="953">
        <v>0</v>
      </c>
      <c r="AH64" s="953">
        <v>0</v>
      </c>
      <c r="AI64" s="13"/>
      <c r="AJ64" s="953">
        <v>0</v>
      </c>
      <c r="AK64" s="953">
        <v>0</v>
      </c>
      <c r="AL64" s="953">
        <v>0</v>
      </c>
      <c r="AM64" s="1455"/>
      <c r="AN64" s="9">
        <v>19</v>
      </c>
      <c r="AO64" s="955">
        <v>0.35</v>
      </c>
      <c r="AP64" s="13"/>
      <c r="AQ64"/>
      <c r="AR64"/>
      <c r="AS64"/>
      <c r="AT64">
        <v>1</v>
      </c>
      <c r="AU64" t="str">
        <f t="shared" si="4"/>
        <v>2004Q4</v>
      </c>
      <c r="AV64">
        <f t="shared" si="5"/>
        <v>2004</v>
      </c>
      <c r="AW64" s="111">
        <f t="shared" si="1"/>
        <v>38292</v>
      </c>
      <c r="AX64" s="136">
        <f t="shared" si="8"/>
        <v>3.0497113417738988</v>
      </c>
      <c r="AY64" s="1541">
        <v>3.0497113417738988</v>
      </c>
      <c r="AZ64" s="136">
        <f t="shared" si="9"/>
        <v>3.0497113417738988</v>
      </c>
      <c r="BA64" s="137">
        <v>1</v>
      </c>
      <c r="BB64" s="137">
        <v>1</v>
      </c>
      <c r="BC64" s="137">
        <v>1</v>
      </c>
      <c r="BD64" s="137">
        <v>0</v>
      </c>
      <c r="BE64" s="137"/>
      <c r="BF64" s="137">
        <v>0</v>
      </c>
      <c r="BG64" s="145">
        <v>0</v>
      </c>
      <c r="BH64" s="886"/>
      <c r="BI64" s="938"/>
      <c r="BJ64" s="153"/>
      <c r="BK64" s="1443">
        <v>0</v>
      </c>
      <c r="BL64" s="905">
        <f t="shared" si="10"/>
        <v>3.0497113417738988</v>
      </c>
      <c r="BM64" s="1287">
        <f t="shared" si="2"/>
        <v>3.0497113417738988</v>
      </c>
      <c r="BN64" s="1282">
        <f t="shared" si="11"/>
        <v>3.2197740105681882E-2</v>
      </c>
      <c r="BO64" s="1377">
        <v>2.4</v>
      </c>
      <c r="BQ64" s="1379">
        <f t="shared" si="6"/>
        <v>3.0268141109669044</v>
      </c>
      <c r="BR64" s="1378">
        <f t="shared" si="3"/>
        <v>2.4077125802813351</v>
      </c>
      <c r="BS64" s="153">
        <v>0</v>
      </c>
      <c r="BU64" s="1389">
        <f t="shared" si="7"/>
        <v>37865</v>
      </c>
      <c r="BV64" s="1390">
        <v>2.4248516684955934</v>
      </c>
      <c r="BW64" s="1390">
        <v>1.9800882622451481</v>
      </c>
      <c r="BX64" s="1390"/>
      <c r="BY64" s="1390">
        <v>2.6772321777934751</v>
      </c>
      <c r="BZ64" s="1391">
        <v>2.1861774389865154</v>
      </c>
    </row>
    <row r="65" spans="1:78">
      <c r="A65" s="957"/>
      <c r="B65" s="951">
        <v>37288</v>
      </c>
      <c r="C65" s="952">
        <v>48.745585938595582</v>
      </c>
      <c r="D65" s="952"/>
      <c r="E65" s="952"/>
      <c r="F65" s="950"/>
      <c r="G65" s="952"/>
      <c r="H65" s="952"/>
      <c r="I65" s="952"/>
      <c r="J65" s="9"/>
      <c r="K65" s="944">
        <v>38169</v>
      </c>
      <c r="L65" s="953">
        <v>0</v>
      </c>
      <c r="M65" s="953">
        <v>0</v>
      </c>
      <c r="N65" s="953">
        <v>0</v>
      </c>
      <c r="O65" s="13"/>
      <c r="P65" s="953">
        <v>0</v>
      </c>
      <c r="Q65" s="953">
        <v>0</v>
      </c>
      <c r="R65" s="953">
        <v>0</v>
      </c>
      <c r="S65" s="13"/>
      <c r="T65" s="953">
        <v>0</v>
      </c>
      <c r="U65" s="953">
        <v>0</v>
      </c>
      <c r="V65" s="953">
        <v>0</v>
      </c>
      <c r="W65" s="13"/>
      <c r="X65" s="953">
        <v>0</v>
      </c>
      <c r="Y65" s="953">
        <v>0</v>
      </c>
      <c r="Z65" s="953">
        <v>0</v>
      </c>
      <c r="AA65" s="13">
        <v>0</v>
      </c>
      <c r="AB65" s="953">
        <v>0</v>
      </c>
      <c r="AC65" s="953">
        <v>0</v>
      </c>
      <c r="AD65" s="953">
        <v>0</v>
      </c>
      <c r="AE65" s="13"/>
      <c r="AF65" s="953">
        <v>0</v>
      </c>
      <c r="AG65" s="953">
        <v>0</v>
      </c>
      <c r="AH65" s="953">
        <v>0</v>
      </c>
      <c r="AI65" s="13"/>
      <c r="AJ65" s="953">
        <v>0</v>
      </c>
      <c r="AK65" s="953">
        <v>0</v>
      </c>
      <c r="AL65" s="953">
        <v>0</v>
      </c>
      <c r="AM65" s="1455"/>
      <c r="AN65" s="9">
        <v>19</v>
      </c>
      <c r="AO65" s="955">
        <v>0.35</v>
      </c>
      <c r="AP65" s="13"/>
      <c r="AQ65"/>
      <c r="AR65"/>
      <c r="AS65"/>
      <c r="AT65">
        <v>1</v>
      </c>
      <c r="AU65" t="str">
        <f t="shared" si="4"/>
        <v>2004Q4</v>
      </c>
      <c r="AV65">
        <f t="shared" si="5"/>
        <v>2004</v>
      </c>
      <c r="AW65" s="111">
        <f t="shared" si="1"/>
        <v>38322</v>
      </c>
      <c r="AX65" s="136">
        <f t="shared" si="8"/>
        <v>3.1794311225893401</v>
      </c>
      <c r="AY65" s="1541">
        <v>3.1794311225893401</v>
      </c>
      <c r="AZ65" s="136">
        <f t="shared" si="9"/>
        <v>3.1794311225893401</v>
      </c>
      <c r="BA65" s="137">
        <v>1</v>
      </c>
      <c r="BB65" s="137">
        <v>1</v>
      </c>
      <c r="BC65" s="137">
        <v>1</v>
      </c>
      <c r="BD65" s="137">
        <v>0</v>
      </c>
      <c r="BE65" s="137"/>
      <c r="BF65" s="137">
        <v>0</v>
      </c>
      <c r="BG65" s="145">
        <v>0</v>
      </c>
      <c r="BH65" s="886"/>
      <c r="BI65" s="938"/>
      <c r="BJ65" s="153"/>
      <c r="BK65" s="1443">
        <v>0</v>
      </c>
      <c r="BL65" s="905">
        <f t="shared" si="10"/>
        <v>3.1794311225893401</v>
      </c>
      <c r="BM65" s="1287">
        <f t="shared" si="2"/>
        <v>3.1794311225893401</v>
      </c>
      <c r="BN65" s="1282">
        <f t="shared" si="11"/>
        <v>3.2197740105682104E-2</v>
      </c>
      <c r="BO65" s="1377">
        <v>2.4</v>
      </c>
      <c r="BQ65" s="1379">
        <f t="shared" si="6"/>
        <v>3.0907548253472528</v>
      </c>
      <c r="BR65" s="1378">
        <f t="shared" si="3"/>
        <v>2.4581908305373621</v>
      </c>
      <c r="BS65" s="153">
        <v>0</v>
      </c>
      <c r="BU65" s="1389">
        <f t="shared" si="7"/>
        <v>37895</v>
      </c>
      <c r="BV65" s="1390">
        <v>2.5289246624668591</v>
      </c>
      <c r="BW65" s="1390">
        <v>2.0373877581601678</v>
      </c>
      <c r="BX65" s="1390"/>
      <c r="BY65" s="1390">
        <v>2.7921371725686988</v>
      </c>
      <c r="BZ65" s="1391">
        <v>2.2494407124593256</v>
      </c>
    </row>
    <row r="66" spans="1:78">
      <c r="A66" s="957"/>
      <c r="B66" s="951">
        <v>37316</v>
      </c>
      <c r="C66" s="952">
        <v>44.538369486749062</v>
      </c>
      <c r="D66" s="952"/>
      <c r="E66" s="952"/>
      <c r="F66" s="950"/>
      <c r="G66" s="952"/>
      <c r="H66" s="952"/>
      <c r="I66" s="952"/>
      <c r="J66" s="9"/>
      <c r="K66" s="944">
        <v>38200</v>
      </c>
      <c r="L66" s="953">
        <v>0</v>
      </c>
      <c r="M66" s="953">
        <v>0</v>
      </c>
      <c r="N66" s="953">
        <v>0</v>
      </c>
      <c r="O66" s="13"/>
      <c r="P66" s="953">
        <v>0</v>
      </c>
      <c r="Q66" s="953">
        <v>0</v>
      </c>
      <c r="R66" s="953">
        <v>0</v>
      </c>
      <c r="S66" s="13"/>
      <c r="T66" s="953">
        <v>0</v>
      </c>
      <c r="U66" s="953">
        <v>0</v>
      </c>
      <c r="V66" s="953">
        <v>0</v>
      </c>
      <c r="W66" s="13"/>
      <c r="X66" s="953">
        <v>0</v>
      </c>
      <c r="Y66" s="953">
        <v>0</v>
      </c>
      <c r="Z66" s="953">
        <v>0</v>
      </c>
      <c r="AA66" s="13">
        <v>0</v>
      </c>
      <c r="AB66" s="953">
        <v>0</v>
      </c>
      <c r="AC66" s="953">
        <v>0</v>
      </c>
      <c r="AD66" s="953">
        <v>0</v>
      </c>
      <c r="AE66" s="13"/>
      <c r="AF66" s="953">
        <v>0</v>
      </c>
      <c r="AG66" s="953">
        <v>0</v>
      </c>
      <c r="AH66" s="953">
        <v>0</v>
      </c>
      <c r="AI66" s="13"/>
      <c r="AJ66" s="953">
        <v>0</v>
      </c>
      <c r="AK66" s="953">
        <v>0</v>
      </c>
      <c r="AL66" s="953">
        <v>0</v>
      </c>
      <c r="AM66" s="1455"/>
      <c r="AN66" s="9">
        <v>19</v>
      </c>
      <c r="AO66" s="955">
        <v>0.35</v>
      </c>
      <c r="AP66" s="13"/>
      <c r="AQ66"/>
      <c r="AR66"/>
      <c r="AS66"/>
      <c r="AT66">
        <v>1</v>
      </c>
      <c r="AU66" t="str">
        <f t="shared" si="4"/>
        <v>2005Q1</v>
      </c>
      <c r="AV66">
        <f t="shared" si="5"/>
        <v>2005</v>
      </c>
      <c r="AW66" s="111">
        <f t="shared" si="1"/>
        <v>38353</v>
      </c>
      <c r="AX66" s="136">
        <f t="shared" si="8"/>
        <v>3.0461721177933478</v>
      </c>
      <c r="AY66" s="1541">
        <v>3.0461721177933478</v>
      </c>
      <c r="AZ66" s="136">
        <f t="shared" si="9"/>
        <v>3.0461721177933478</v>
      </c>
      <c r="BA66" s="137">
        <v>1</v>
      </c>
      <c r="BB66" s="137">
        <v>1</v>
      </c>
      <c r="BC66" s="137">
        <v>1</v>
      </c>
      <c r="BD66" s="137">
        <v>0</v>
      </c>
      <c r="BE66" s="137"/>
      <c r="BF66" s="137">
        <v>0</v>
      </c>
      <c r="BG66" s="145">
        <v>0</v>
      </c>
      <c r="BH66" s="153"/>
      <c r="BI66" s="938"/>
      <c r="BJ66" s="153"/>
      <c r="BK66" s="1443">
        <v>0</v>
      </c>
      <c r="BL66" s="905">
        <f t="shared" si="10"/>
        <v>3.0461721177933478</v>
      </c>
      <c r="BM66" s="1287">
        <f t="shared" si="2"/>
        <v>3.0461721177933478</v>
      </c>
      <c r="BN66" s="1282">
        <f t="shared" si="11"/>
        <v>2.9600326603115956E-2</v>
      </c>
      <c r="BO66" s="1377">
        <v>2.4</v>
      </c>
      <c r="BQ66" s="1379">
        <f t="shared" si="6"/>
        <v>3.0434954624846546</v>
      </c>
      <c r="BR66" s="1378">
        <f t="shared" si="3"/>
        <v>2.5970850973887285</v>
      </c>
      <c r="BS66" s="153">
        <v>0</v>
      </c>
      <c r="BU66" s="1389">
        <f t="shared" si="7"/>
        <v>37926</v>
      </c>
      <c r="BV66" s="1390">
        <v>2.6580340842330989</v>
      </c>
      <c r="BW66" s="1390">
        <v>2.0912145573530649</v>
      </c>
      <c r="BX66" s="1390"/>
      <c r="BY66" s="1390">
        <v>2.9346844066530564</v>
      </c>
      <c r="BZ66" s="1391">
        <v>2.3088698481459042</v>
      </c>
    </row>
    <row r="67" spans="1:78">
      <c r="A67" s="957"/>
      <c r="B67" s="951">
        <v>37347</v>
      </c>
      <c r="C67" s="952">
        <v>43.499169556432534</v>
      </c>
      <c r="D67" s="952"/>
      <c r="E67" s="952"/>
      <c r="F67" s="950"/>
      <c r="G67" s="952"/>
      <c r="H67" s="952"/>
      <c r="I67" s="952"/>
      <c r="J67" s="9"/>
      <c r="K67" s="944">
        <v>38231</v>
      </c>
      <c r="L67" s="953">
        <v>0</v>
      </c>
      <c r="M67" s="953">
        <v>0</v>
      </c>
      <c r="N67" s="953">
        <v>0</v>
      </c>
      <c r="O67" s="13"/>
      <c r="P67" s="953">
        <v>0</v>
      </c>
      <c r="Q67" s="953">
        <v>0</v>
      </c>
      <c r="R67" s="953">
        <v>0</v>
      </c>
      <c r="S67" s="13"/>
      <c r="T67" s="953">
        <v>0</v>
      </c>
      <c r="U67" s="953">
        <v>0</v>
      </c>
      <c r="V67" s="953">
        <v>0</v>
      </c>
      <c r="W67" s="13"/>
      <c r="X67" s="953">
        <v>0</v>
      </c>
      <c r="Y67" s="953">
        <v>0</v>
      </c>
      <c r="Z67" s="953">
        <v>0</v>
      </c>
      <c r="AA67" s="13">
        <v>0</v>
      </c>
      <c r="AB67" s="953">
        <v>0</v>
      </c>
      <c r="AC67" s="953">
        <v>0</v>
      </c>
      <c r="AD67" s="953">
        <v>0</v>
      </c>
      <c r="AE67" s="13"/>
      <c r="AF67" s="953">
        <v>0</v>
      </c>
      <c r="AG67" s="953">
        <v>0</v>
      </c>
      <c r="AH67" s="953">
        <v>0</v>
      </c>
      <c r="AI67" s="13"/>
      <c r="AJ67" s="953">
        <v>0</v>
      </c>
      <c r="AK67" s="953">
        <v>0</v>
      </c>
      <c r="AL67" s="953">
        <v>0</v>
      </c>
      <c r="AM67" s="1455"/>
      <c r="AN67" s="9">
        <v>20</v>
      </c>
      <c r="AO67" s="955">
        <v>0.35</v>
      </c>
      <c r="AP67" s="13"/>
      <c r="AQ67"/>
      <c r="AR67"/>
      <c r="AS67"/>
      <c r="AT67">
        <v>1</v>
      </c>
      <c r="AU67" t="str">
        <f t="shared" si="4"/>
        <v>2005Q1</v>
      </c>
      <c r="AV67">
        <f t="shared" si="5"/>
        <v>2005</v>
      </c>
      <c r="AW67" s="111">
        <f t="shared" si="1"/>
        <v>38384</v>
      </c>
      <c r="AX67" s="136">
        <f t="shared" si="8"/>
        <v>2.8134970641296424</v>
      </c>
      <c r="AY67" s="1541">
        <v>2.8134970641296424</v>
      </c>
      <c r="AZ67" s="136">
        <f t="shared" si="9"/>
        <v>2.8134970641296424</v>
      </c>
      <c r="BA67" s="137">
        <v>1</v>
      </c>
      <c r="BB67" s="137">
        <v>1</v>
      </c>
      <c r="BC67" s="137">
        <v>1</v>
      </c>
      <c r="BD67" s="137">
        <v>0</v>
      </c>
      <c r="BE67" s="137"/>
      <c r="BF67" s="137">
        <v>0</v>
      </c>
      <c r="BG67" s="145">
        <v>0</v>
      </c>
      <c r="BH67" s="153"/>
      <c r="BI67" s="938"/>
      <c r="BJ67" s="153"/>
      <c r="BK67" s="1443">
        <v>0</v>
      </c>
      <c r="BL67" s="905">
        <f t="shared" si="10"/>
        <v>2.8134970641296424</v>
      </c>
      <c r="BM67" s="1287">
        <f t="shared" si="2"/>
        <v>2.8134970641296424</v>
      </c>
      <c r="BN67" s="1282">
        <f t="shared" si="11"/>
        <v>2.9600326603115512E-2</v>
      </c>
      <c r="BO67" s="1377">
        <v>2.4</v>
      </c>
      <c r="BQ67" s="1378">
        <f t="shared" si="6"/>
        <v>2.8138499298178092</v>
      </c>
      <c r="BR67" s="1378">
        <f t="shared" si="3"/>
        <v>2.4190288395906774</v>
      </c>
      <c r="BS67" s="153">
        <v>0</v>
      </c>
      <c r="BU67" s="1389">
        <f t="shared" si="7"/>
        <v>37956</v>
      </c>
      <c r="BV67" s="1390">
        <v>2.7141844099426904</v>
      </c>
      <c r="BW67" s="1390">
        <v>2.1350573534698589</v>
      </c>
      <c r="BX67" s="1390"/>
      <c r="BY67" s="1390">
        <v>2.9966789033624437</v>
      </c>
      <c r="BZ67" s="1391">
        <v>2.3572758376970682</v>
      </c>
    </row>
    <row r="68" spans="1:78">
      <c r="A68" s="957"/>
      <c r="B68" s="951">
        <v>37377</v>
      </c>
      <c r="C68" s="952">
        <v>44.528100112124477</v>
      </c>
      <c r="D68" s="952"/>
      <c r="E68" s="952"/>
      <c r="F68" s="950"/>
      <c r="G68" s="952"/>
      <c r="H68" s="952"/>
      <c r="I68" s="952"/>
      <c r="J68" s="9"/>
      <c r="K68" s="944">
        <v>38261</v>
      </c>
      <c r="L68" s="953">
        <v>0</v>
      </c>
      <c r="M68" s="953">
        <v>0</v>
      </c>
      <c r="N68" s="953">
        <v>0</v>
      </c>
      <c r="O68" s="13"/>
      <c r="P68" s="953">
        <v>0</v>
      </c>
      <c r="Q68" s="953">
        <v>0</v>
      </c>
      <c r="R68" s="953">
        <v>0</v>
      </c>
      <c r="S68" s="13"/>
      <c r="T68" s="953">
        <v>0</v>
      </c>
      <c r="U68" s="953">
        <v>0</v>
      </c>
      <c r="V68" s="953">
        <v>0</v>
      </c>
      <c r="W68" s="13"/>
      <c r="X68" s="953">
        <v>0</v>
      </c>
      <c r="Y68" s="953">
        <v>0</v>
      </c>
      <c r="Z68" s="953">
        <v>0</v>
      </c>
      <c r="AA68" s="13">
        <v>0</v>
      </c>
      <c r="AB68" s="953">
        <v>0</v>
      </c>
      <c r="AC68" s="953">
        <v>0</v>
      </c>
      <c r="AD68" s="953">
        <v>0</v>
      </c>
      <c r="AE68" s="13"/>
      <c r="AF68" s="953">
        <v>0</v>
      </c>
      <c r="AG68" s="953">
        <v>0</v>
      </c>
      <c r="AH68" s="953">
        <v>0</v>
      </c>
      <c r="AI68" s="13"/>
      <c r="AJ68" s="953">
        <v>0</v>
      </c>
      <c r="AK68" s="953">
        <v>0</v>
      </c>
      <c r="AL68" s="953">
        <v>0</v>
      </c>
      <c r="AM68" s="1455"/>
      <c r="AN68" s="9">
        <v>20</v>
      </c>
      <c r="AO68" s="955">
        <v>0.35</v>
      </c>
      <c r="AP68" s="13"/>
      <c r="AQ68"/>
      <c r="AR68"/>
      <c r="AS68"/>
      <c r="AT68">
        <v>1</v>
      </c>
      <c r="AU68" t="str">
        <f t="shared" si="4"/>
        <v>2005Q1</v>
      </c>
      <c r="AV68">
        <f t="shared" si="5"/>
        <v>2005</v>
      </c>
      <c r="AW68" s="111">
        <f t="shared" si="1"/>
        <v>38412</v>
      </c>
      <c r="AX68" s="136">
        <f t="shared" si="8"/>
        <v>2.6624588535020224</v>
      </c>
      <c r="AY68" s="1541">
        <v>2.6624588535020224</v>
      </c>
      <c r="AZ68" s="136">
        <f t="shared" si="9"/>
        <v>2.6624588535020224</v>
      </c>
      <c r="BA68" s="137">
        <v>1</v>
      </c>
      <c r="BB68" s="137">
        <v>1</v>
      </c>
      <c r="BC68" s="137">
        <v>1</v>
      </c>
      <c r="BD68" s="137">
        <v>0</v>
      </c>
      <c r="BE68" s="137"/>
      <c r="BF68" s="137">
        <v>0</v>
      </c>
      <c r="BG68" s="145">
        <v>0</v>
      </c>
      <c r="BH68" s="153"/>
      <c r="BI68" s="938"/>
      <c r="BJ68" s="153"/>
      <c r="BK68" s="1443">
        <v>0</v>
      </c>
      <c r="BL68" s="905">
        <f t="shared" si="10"/>
        <v>2.6624588535020224</v>
      </c>
      <c r="BM68" s="1287">
        <f t="shared" si="2"/>
        <v>2.6624588535020224</v>
      </c>
      <c r="BN68" s="1282">
        <f t="shared" si="11"/>
        <v>2.9544506647370739E-2</v>
      </c>
      <c r="BO68" s="1377">
        <v>2.4</v>
      </c>
      <c r="BQ68" s="1378">
        <f t="shared" si="6"/>
        <v>2.7303016059059466</v>
      </c>
      <c r="BR68" s="1378">
        <f t="shared" si="3"/>
        <v>2.2989443866571073</v>
      </c>
      <c r="BS68" s="153">
        <v>0</v>
      </c>
      <c r="BU68" s="1389">
        <f t="shared" si="7"/>
        <v>37987</v>
      </c>
      <c r="BV68" s="1390">
        <v>2.6219794309469635</v>
      </c>
      <c r="BW68" s="1390">
        <v>2.2267387621763022</v>
      </c>
      <c r="BX68" s="1390"/>
      <c r="BY68" s="1390">
        <v>2.9527746992156785</v>
      </c>
      <c r="BZ68" s="1391">
        <v>2.5076695114813892</v>
      </c>
    </row>
    <row r="69" spans="1:78">
      <c r="A69" s="957"/>
      <c r="B69" s="951">
        <v>37408</v>
      </c>
      <c r="C69" s="952">
        <v>41.849395148156191</v>
      </c>
      <c r="D69" s="952"/>
      <c r="E69" s="952"/>
      <c r="F69" s="950"/>
      <c r="G69" s="952"/>
      <c r="H69" s="952"/>
      <c r="I69" s="952"/>
      <c r="J69" s="9"/>
      <c r="K69" s="944">
        <v>38292</v>
      </c>
      <c r="L69" s="953">
        <v>0</v>
      </c>
      <c r="M69" s="953">
        <v>0</v>
      </c>
      <c r="N69" s="953">
        <v>0</v>
      </c>
      <c r="O69" s="13"/>
      <c r="P69" s="953">
        <v>0</v>
      </c>
      <c r="Q69" s="953">
        <v>0</v>
      </c>
      <c r="R69" s="953">
        <v>0</v>
      </c>
      <c r="S69" s="13"/>
      <c r="T69" s="953">
        <v>0</v>
      </c>
      <c r="U69" s="953">
        <v>0</v>
      </c>
      <c r="V69" s="953">
        <v>0</v>
      </c>
      <c r="W69" s="13"/>
      <c r="X69" s="953">
        <v>0</v>
      </c>
      <c r="Y69" s="953">
        <v>0</v>
      </c>
      <c r="Z69" s="953">
        <v>0</v>
      </c>
      <c r="AA69" s="13">
        <v>0</v>
      </c>
      <c r="AB69" s="953">
        <v>0</v>
      </c>
      <c r="AC69" s="953">
        <v>0</v>
      </c>
      <c r="AD69" s="953">
        <v>0</v>
      </c>
      <c r="AE69" s="13"/>
      <c r="AF69" s="953">
        <v>0</v>
      </c>
      <c r="AG69" s="953">
        <v>0</v>
      </c>
      <c r="AH69" s="953">
        <v>0</v>
      </c>
      <c r="AI69" s="13"/>
      <c r="AJ69" s="953">
        <v>0</v>
      </c>
      <c r="AK69" s="953">
        <v>0</v>
      </c>
      <c r="AL69" s="953">
        <v>0</v>
      </c>
      <c r="AM69" s="1455"/>
      <c r="AN69" s="9">
        <v>20</v>
      </c>
      <c r="AO69" s="955">
        <v>0.35</v>
      </c>
      <c r="AP69" s="13"/>
      <c r="AQ69"/>
      <c r="AR69"/>
      <c r="AS69"/>
      <c r="AT69">
        <v>1</v>
      </c>
      <c r="AU69" t="str">
        <f t="shared" si="4"/>
        <v>2005Q2</v>
      </c>
      <c r="AV69">
        <f t="shared" si="5"/>
        <v>2005</v>
      </c>
      <c r="AW69" s="111">
        <f t="shared" si="1"/>
        <v>38443</v>
      </c>
      <c r="AX69" s="136">
        <f t="shared" si="8"/>
        <v>2.5825831872411649</v>
      </c>
      <c r="AY69" s="1541">
        <v>2.5825831872411649</v>
      </c>
      <c r="AZ69" s="136">
        <f t="shared" si="9"/>
        <v>2.5825831872411649</v>
      </c>
      <c r="BA69" s="137">
        <v>1</v>
      </c>
      <c r="BB69" s="137">
        <v>1</v>
      </c>
      <c r="BC69" s="137">
        <v>1</v>
      </c>
      <c r="BD69" s="137">
        <v>0</v>
      </c>
      <c r="BE69" s="137"/>
      <c r="BF69" s="137">
        <v>0</v>
      </c>
      <c r="BG69" s="145">
        <v>0</v>
      </c>
      <c r="BH69" s="153"/>
      <c r="BI69" s="938"/>
      <c r="BJ69" s="153"/>
      <c r="BK69" s="1443">
        <v>0</v>
      </c>
      <c r="BL69" s="905">
        <f t="shared" si="10"/>
        <v>2.5825831872411649</v>
      </c>
      <c r="BM69" s="1287">
        <f t="shared" si="2"/>
        <v>2.5825831872411649</v>
      </c>
      <c r="BN69" s="1282">
        <f t="shared" si="11"/>
        <v>2.9544506647370516E-2</v>
      </c>
      <c r="BO69" s="1377">
        <v>2.4</v>
      </c>
      <c r="BQ69" s="1378">
        <f t="shared" si="6"/>
        <v>2.6761392441975671</v>
      </c>
      <c r="BR69" s="1378">
        <f t="shared" si="3"/>
        <v>2.229067657579384</v>
      </c>
      <c r="BS69" s="153">
        <v>0</v>
      </c>
      <c r="BU69" s="1389">
        <f t="shared" si="7"/>
        <v>38018</v>
      </c>
      <c r="BV69" s="1390">
        <v>2.4241391941260542</v>
      </c>
      <c r="BW69" s="1390">
        <v>2.0740734638826006</v>
      </c>
      <c r="BX69" s="1390"/>
      <c r="BY69" s="1390">
        <v>2.7299744594896809</v>
      </c>
      <c r="BZ69" s="1391">
        <v>2.335743589817294</v>
      </c>
    </row>
    <row r="70" spans="1:78">
      <c r="A70" s="957"/>
      <c r="B70" s="951">
        <v>37438</v>
      </c>
      <c r="C70" s="952">
        <v>55.179330049538343</v>
      </c>
      <c r="D70" s="952"/>
      <c r="E70" s="952"/>
      <c r="F70" s="950"/>
      <c r="G70" s="952"/>
      <c r="H70" s="952"/>
      <c r="I70" s="952"/>
      <c r="J70" s="9"/>
      <c r="K70" s="944">
        <v>38322</v>
      </c>
      <c r="L70" s="953">
        <v>0</v>
      </c>
      <c r="M70" s="953">
        <v>0</v>
      </c>
      <c r="N70" s="953">
        <v>0</v>
      </c>
      <c r="O70" s="13"/>
      <c r="P70" s="953">
        <v>0</v>
      </c>
      <c r="Q70" s="953">
        <v>0</v>
      </c>
      <c r="R70" s="953">
        <v>0</v>
      </c>
      <c r="S70" s="13"/>
      <c r="T70" s="953">
        <v>0</v>
      </c>
      <c r="U70" s="953">
        <v>0</v>
      </c>
      <c r="V70" s="953">
        <v>0</v>
      </c>
      <c r="W70" s="13"/>
      <c r="X70" s="953">
        <v>0</v>
      </c>
      <c r="Y70" s="953">
        <v>0</v>
      </c>
      <c r="Z70" s="953">
        <v>0</v>
      </c>
      <c r="AA70" s="13">
        <v>0</v>
      </c>
      <c r="AB70" s="953">
        <v>0</v>
      </c>
      <c r="AC70" s="953">
        <v>0</v>
      </c>
      <c r="AD70" s="953">
        <v>0</v>
      </c>
      <c r="AE70" s="13"/>
      <c r="AF70" s="953">
        <v>0</v>
      </c>
      <c r="AG70" s="953">
        <v>0</v>
      </c>
      <c r="AH70" s="953">
        <v>0</v>
      </c>
      <c r="AI70" s="13"/>
      <c r="AJ70" s="953">
        <v>0</v>
      </c>
      <c r="AK70" s="953">
        <v>0</v>
      </c>
      <c r="AL70" s="953">
        <v>0</v>
      </c>
      <c r="AM70" s="1455"/>
      <c r="AN70" s="9">
        <v>21</v>
      </c>
      <c r="AO70" s="955">
        <v>0.35</v>
      </c>
      <c r="AP70" s="13"/>
      <c r="AQ70"/>
      <c r="AR70"/>
      <c r="AS70"/>
      <c r="AT70">
        <v>1</v>
      </c>
      <c r="AU70" t="str">
        <f t="shared" si="4"/>
        <v>2005Q2</v>
      </c>
      <c r="AV70">
        <f t="shared" si="5"/>
        <v>2005</v>
      </c>
      <c r="AW70" s="111">
        <f t="shared" si="1"/>
        <v>38473</v>
      </c>
      <c r="AX70" s="136">
        <f t="shared" si="8"/>
        <v>2.5631061437244096</v>
      </c>
      <c r="AY70" s="1541">
        <v>2.5631061437244096</v>
      </c>
      <c r="AZ70" s="136">
        <f t="shared" si="9"/>
        <v>2.5631061437244096</v>
      </c>
      <c r="BA70" s="137">
        <v>1</v>
      </c>
      <c r="BB70" s="137">
        <v>1</v>
      </c>
      <c r="BC70" s="137">
        <v>1</v>
      </c>
      <c r="BD70" s="137">
        <v>0</v>
      </c>
      <c r="BE70" s="137"/>
      <c r="BF70" s="137">
        <v>0</v>
      </c>
      <c r="BG70" s="145">
        <v>0</v>
      </c>
      <c r="BH70" s="153"/>
      <c r="BI70" s="938"/>
      <c r="BJ70" s="153"/>
      <c r="BK70" s="1443">
        <v>0</v>
      </c>
      <c r="BL70" s="905">
        <f t="shared" si="10"/>
        <v>2.5631061437244096</v>
      </c>
      <c r="BM70" s="1287">
        <f t="shared" si="2"/>
        <v>2.5631061437244096</v>
      </c>
      <c r="BN70" s="1282">
        <f t="shared" si="11"/>
        <v>2.9544506647370739E-2</v>
      </c>
      <c r="BO70" s="1377">
        <v>2.4</v>
      </c>
      <c r="BQ70" s="1378">
        <f t="shared" si="6"/>
        <v>2.6513628446926694</v>
      </c>
      <c r="BR70" s="1378">
        <f t="shared" si="3"/>
        <v>2.2016345713488703</v>
      </c>
      <c r="BS70" s="153">
        <v>0</v>
      </c>
      <c r="BU70" s="1389">
        <f t="shared" si="7"/>
        <v>38047</v>
      </c>
      <c r="BV70" s="1390">
        <v>2.3521620909934082</v>
      </c>
      <c r="BW70" s="1390">
        <v>1.9711131464287084</v>
      </c>
      <c r="BX70" s="1390"/>
      <c r="BY70" s="1390">
        <v>2.6489165508942056</v>
      </c>
      <c r="BZ70" s="1391">
        <v>2.2197935496252295</v>
      </c>
    </row>
    <row r="71" spans="1:78">
      <c r="A71" s="957"/>
      <c r="B71" s="951">
        <v>37469</v>
      </c>
      <c r="C71" s="952">
        <v>72.55603259759215</v>
      </c>
      <c r="D71" s="952"/>
      <c r="E71" s="952"/>
      <c r="F71" s="950"/>
      <c r="G71" s="952"/>
      <c r="H71" s="952"/>
      <c r="I71" s="952"/>
      <c r="J71" s="9"/>
      <c r="K71" s="944">
        <v>38353</v>
      </c>
      <c r="L71" s="953">
        <v>0</v>
      </c>
      <c r="M71" s="953">
        <v>0</v>
      </c>
      <c r="N71" s="953">
        <v>0</v>
      </c>
      <c r="O71" s="13"/>
      <c r="P71" s="953">
        <v>0</v>
      </c>
      <c r="Q71" s="953">
        <v>0</v>
      </c>
      <c r="R71" s="953">
        <v>0</v>
      </c>
      <c r="S71" s="13"/>
      <c r="T71" s="953">
        <v>0</v>
      </c>
      <c r="U71" s="953">
        <v>0</v>
      </c>
      <c r="V71" s="953">
        <v>0</v>
      </c>
      <c r="W71" s="13"/>
      <c r="X71" s="953">
        <v>0</v>
      </c>
      <c r="Y71" s="953">
        <v>0</v>
      </c>
      <c r="Z71" s="953">
        <v>0</v>
      </c>
      <c r="AA71" s="13">
        <v>0</v>
      </c>
      <c r="AB71" s="953">
        <v>0</v>
      </c>
      <c r="AC71" s="953">
        <v>0</v>
      </c>
      <c r="AD71" s="953">
        <v>0</v>
      </c>
      <c r="AE71" s="13"/>
      <c r="AF71" s="953">
        <v>0</v>
      </c>
      <c r="AG71" s="953">
        <v>0</v>
      </c>
      <c r="AH71" s="953">
        <v>0</v>
      </c>
      <c r="AI71" s="13"/>
      <c r="AJ71" s="953">
        <v>0</v>
      </c>
      <c r="AK71" s="953">
        <v>0</v>
      </c>
      <c r="AL71" s="953">
        <v>0</v>
      </c>
      <c r="AM71" s="1455"/>
      <c r="AN71" s="9">
        <v>21</v>
      </c>
      <c r="AO71" s="955">
        <v>0.35</v>
      </c>
      <c r="AP71" s="13"/>
      <c r="AQ71"/>
      <c r="AR71"/>
      <c r="AS71"/>
      <c r="AT71">
        <v>1</v>
      </c>
      <c r="AU71" t="str">
        <f t="shared" si="4"/>
        <v>2005Q2</v>
      </c>
      <c r="AV71">
        <f t="shared" si="5"/>
        <v>2005</v>
      </c>
      <c r="AW71" s="111">
        <f t="shared" ref="AW71:AW134" si="12">EOMONTH(AW70,0)+1</f>
        <v>38504</v>
      </c>
      <c r="AX71" s="136">
        <f t="shared" si="8"/>
        <v>2.5940669862089205</v>
      </c>
      <c r="AY71" s="1541">
        <v>2.5940669862089205</v>
      </c>
      <c r="AZ71" s="136">
        <f t="shared" si="9"/>
        <v>2.5940669862089205</v>
      </c>
      <c r="BA71" s="137">
        <v>1</v>
      </c>
      <c r="BB71" s="137">
        <v>1</v>
      </c>
      <c r="BC71" s="137">
        <v>1</v>
      </c>
      <c r="BD71" s="137">
        <v>0</v>
      </c>
      <c r="BE71" s="137"/>
      <c r="BF71" s="137">
        <v>0</v>
      </c>
      <c r="BG71" s="145">
        <v>0</v>
      </c>
      <c r="BH71" s="153"/>
      <c r="BI71" s="938"/>
      <c r="BJ71" s="153"/>
      <c r="BK71" s="1443">
        <v>0</v>
      </c>
      <c r="BL71" s="905">
        <f t="shared" si="10"/>
        <v>2.5940669862089205</v>
      </c>
      <c r="BM71" s="1287">
        <f t="shared" ref="BM71:BM134" si="13">AY71</f>
        <v>2.5940669862089205</v>
      </c>
      <c r="BN71" s="1282">
        <f t="shared" si="11"/>
        <v>2.9544506647370739E-2</v>
      </c>
      <c r="BO71" s="1377">
        <v>2.4</v>
      </c>
      <c r="BQ71" s="1378">
        <f t="shared" si="6"/>
        <v>2.6559724073912547</v>
      </c>
      <c r="BR71" s="1378">
        <f t="shared" ref="BR71:BR134" si="14">VLOOKUP($AW71,$BU$8:$BZ$291,6,FALSE)</f>
        <v>2.2088810469569307</v>
      </c>
      <c r="BS71" s="153">
        <v>0</v>
      </c>
      <c r="BU71" s="1389">
        <f t="shared" si="7"/>
        <v>38078</v>
      </c>
      <c r="BV71" s="1390">
        <v>2.3055010724108653</v>
      </c>
      <c r="BW71" s="1390">
        <v>1.9112008927378668</v>
      </c>
      <c r="BX71" s="1390"/>
      <c r="BY71" s="1390">
        <v>2.5963686653219669</v>
      </c>
      <c r="BZ71" s="1391">
        <v>2.1523226210651929</v>
      </c>
    </row>
    <row r="72" spans="1:78">
      <c r="A72" s="957"/>
      <c r="B72" s="951">
        <v>37500</v>
      </c>
      <c r="C72" s="952">
        <v>61.819656403540144</v>
      </c>
      <c r="D72" s="952"/>
      <c r="E72" s="952"/>
      <c r="F72" s="950"/>
      <c r="G72" s="952"/>
      <c r="H72" s="952"/>
      <c r="I72" s="952"/>
      <c r="J72" s="9"/>
      <c r="K72" s="944">
        <v>38384</v>
      </c>
      <c r="L72" s="953">
        <v>0</v>
      </c>
      <c r="M72" s="953">
        <v>0</v>
      </c>
      <c r="N72" s="953">
        <v>0</v>
      </c>
      <c r="O72" s="13"/>
      <c r="P72" s="953">
        <v>0</v>
      </c>
      <c r="Q72" s="953">
        <v>0</v>
      </c>
      <c r="R72" s="953">
        <v>0</v>
      </c>
      <c r="S72" s="13"/>
      <c r="T72" s="953">
        <v>0</v>
      </c>
      <c r="U72" s="953">
        <v>0</v>
      </c>
      <c r="V72" s="953">
        <v>0</v>
      </c>
      <c r="W72" s="13"/>
      <c r="X72" s="953">
        <v>0</v>
      </c>
      <c r="Y72" s="953">
        <v>0</v>
      </c>
      <c r="Z72" s="953">
        <v>0</v>
      </c>
      <c r="AA72" s="13">
        <v>0</v>
      </c>
      <c r="AB72" s="953">
        <v>0</v>
      </c>
      <c r="AC72" s="953">
        <v>0</v>
      </c>
      <c r="AD72" s="953">
        <v>0</v>
      </c>
      <c r="AE72" s="13"/>
      <c r="AF72" s="953">
        <v>0</v>
      </c>
      <c r="AG72" s="953">
        <v>0</v>
      </c>
      <c r="AH72" s="953">
        <v>0</v>
      </c>
      <c r="AI72" s="13"/>
      <c r="AJ72" s="953">
        <v>0</v>
      </c>
      <c r="AK72" s="953">
        <v>0</v>
      </c>
      <c r="AL72" s="953">
        <v>0</v>
      </c>
      <c r="AM72" s="1455"/>
      <c r="AN72" s="9">
        <v>21</v>
      </c>
      <c r="AO72" s="955">
        <v>0.35</v>
      </c>
      <c r="AP72" s="13"/>
      <c r="AQ72"/>
      <c r="AR72"/>
      <c r="AS72"/>
      <c r="AT72">
        <v>1</v>
      </c>
      <c r="AU72" t="str">
        <f t="shared" ref="AU72:AU135" si="15">AV72&amp;"Q"&amp;ROUNDUP(MONTH(AW72)/3,0)</f>
        <v>2005Q3</v>
      </c>
      <c r="AV72">
        <f t="shared" ref="AV72:AV135" si="16">YEAR(AW72)</f>
        <v>2005</v>
      </c>
      <c r="AW72" s="111">
        <f t="shared" si="12"/>
        <v>38534</v>
      </c>
      <c r="AX72" s="136">
        <f t="shared" si="8"/>
        <v>2.6648748731160796</v>
      </c>
      <c r="AY72" s="1541">
        <v>2.6648748731160796</v>
      </c>
      <c r="AZ72" s="136">
        <f t="shared" si="9"/>
        <v>2.6648748731160796</v>
      </c>
      <c r="BA72" s="137">
        <v>1</v>
      </c>
      <c r="BB72" s="137">
        <v>1</v>
      </c>
      <c r="BC72" s="137">
        <v>1</v>
      </c>
      <c r="BD72" s="137">
        <v>0</v>
      </c>
      <c r="BE72" s="137"/>
      <c r="BF72" s="137">
        <v>0</v>
      </c>
      <c r="BG72" s="145">
        <v>0</v>
      </c>
      <c r="BH72" s="153"/>
      <c r="BI72" s="938"/>
      <c r="BJ72" s="153"/>
      <c r="BK72" s="1443">
        <v>0</v>
      </c>
      <c r="BL72" s="905">
        <f t="shared" si="10"/>
        <v>2.6648748731160796</v>
      </c>
      <c r="BM72" s="1287">
        <f t="shared" si="13"/>
        <v>2.6648748731160796</v>
      </c>
      <c r="BN72" s="1282">
        <f t="shared" si="11"/>
        <v>2.9544506647370516E-2</v>
      </c>
      <c r="BO72" s="1377">
        <v>2.4</v>
      </c>
      <c r="BQ72" s="1378">
        <f t="shared" ref="BQ72:BQ135" si="17">VLOOKUP($AW72,$BU$8:$BZ$291,5,FALSE)</f>
        <v>2.6899679322933232</v>
      </c>
      <c r="BR72" s="1378">
        <f t="shared" si="14"/>
        <v>2.2430430033949285</v>
      </c>
      <c r="BS72" s="153">
        <v>0</v>
      </c>
      <c r="BU72" s="1389">
        <f t="shared" si="7"/>
        <v>38108</v>
      </c>
      <c r="BV72" s="1390">
        <v>2.284156138378425</v>
      </c>
      <c r="BW72" s="1390">
        <v>1.8876797857333139</v>
      </c>
      <c r="BX72" s="1390"/>
      <c r="BY72" s="1390">
        <v>2.5723308027729632</v>
      </c>
      <c r="BZ72" s="1391">
        <v>2.1258340342971782</v>
      </c>
    </row>
    <row r="73" spans="1:78">
      <c r="A73" s="957"/>
      <c r="B73" s="951">
        <v>37530</v>
      </c>
      <c r="C73" s="952">
        <v>56.114697127160156</v>
      </c>
      <c r="D73" s="952"/>
      <c r="E73" s="952"/>
      <c r="F73" s="950"/>
      <c r="G73" s="952"/>
      <c r="H73" s="952"/>
      <c r="I73" s="952"/>
      <c r="J73" s="9"/>
      <c r="K73" s="944">
        <v>38412</v>
      </c>
      <c r="L73" s="953">
        <v>0</v>
      </c>
      <c r="M73" s="953">
        <v>0</v>
      </c>
      <c r="N73" s="953">
        <v>0</v>
      </c>
      <c r="O73" s="13"/>
      <c r="P73" s="953">
        <v>0</v>
      </c>
      <c r="Q73" s="953">
        <v>0</v>
      </c>
      <c r="R73" s="953">
        <v>0</v>
      </c>
      <c r="S73" s="13"/>
      <c r="T73" s="953">
        <v>0</v>
      </c>
      <c r="U73" s="953">
        <v>0</v>
      </c>
      <c r="V73" s="953">
        <v>0</v>
      </c>
      <c r="W73" s="13"/>
      <c r="X73" s="953">
        <v>0</v>
      </c>
      <c r="Y73" s="953">
        <v>0</v>
      </c>
      <c r="Z73" s="953">
        <v>0</v>
      </c>
      <c r="AA73" s="13">
        <v>0</v>
      </c>
      <c r="AB73" s="953">
        <v>0</v>
      </c>
      <c r="AC73" s="953">
        <v>0</v>
      </c>
      <c r="AD73" s="953">
        <v>0</v>
      </c>
      <c r="AE73" s="13"/>
      <c r="AF73" s="953">
        <v>0</v>
      </c>
      <c r="AG73" s="953">
        <v>0</v>
      </c>
      <c r="AH73" s="953">
        <v>0</v>
      </c>
      <c r="AI73" s="13"/>
      <c r="AJ73" s="953">
        <v>0</v>
      </c>
      <c r="AK73" s="953">
        <v>0</v>
      </c>
      <c r="AL73" s="953">
        <v>0</v>
      </c>
      <c r="AM73" s="1455"/>
      <c r="AN73" s="9">
        <v>22</v>
      </c>
      <c r="AO73" s="955">
        <v>0.35</v>
      </c>
      <c r="AP73" s="13"/>
      <c r="AQ73"/>
      <c r="AR73"/>
      <c r="AS73"/>
      <c r="AT73">
        <v>1</v>
      </c>
      <c r="AU73" t="str">
        <f t="shared" si="15"/>
        <v>2005Q3</v>
      </c>
      <c r="AV73">
        <f t="shared" si="16"/>
        <v>2005</v>
      </c>
      <c r="AW73" s="111">
        <f t="shared" si="12"/>
        <v>38565</v>
      </c>
      <c r="AX73" s="136">
        <f t="shared" si="8"/>
        <v>2.7654367785002969</v>
      </c>
      <c r="AY73" s="1541">
        <v>2.7654367785002969</v>
      </c>
      <c r="AZ73" s="136">
        <f t="shared" si="9"/>
        <v>2.7654367785002969</v>
      </c>
      <c r="BA73" s="137">
        <v>1</v>
      </c>
      <c r="BB73" s="137">
        <v>1</v>
      </c>
      <c r="BC73" s="137">
        <v>1</v>
      </c>
      <c r="BD73" s="137">
        <v>0</v>
      </c>
      <c r="BE73" s="137"/>
      <c r="BF73" s="137">
        <v>0</v>
      </c>
      <c r="BG73" s="145">
        <v>0</v>
      </c>
      <c r="BH73" s="153"/>
      <c r="BI73" s="938"/>
      <c r="BJ73" s="153"/>
      <c r="BK73" s="1443">
        <v>0</v>
      </c>
      <c r="BL73" s="905">
        <f t="shared" si="10"/>
        <v>2.7654367785002969</v>
      </c>
      <c r="BM73" s="1287">
        <f t="shared" si="13"/>
        <v>2.7654367785002969</v>
      </c>
      <c r="BN73" s="1282">
        <f t="shared" si="11"/>
        <v>2.9544506647370739E-2</v>
      </c>
      <c r="BO73" s="1377">
        <v>2.4</v>
      </c>
      <c r="BQ73" s="1378">
        <f t="shared" si="17"/>
        <v>2.7533494193988739</v>
      </c>
      <c r="BR73" s="1378">
        <f t="shared" si="14"/>
        <v>2.2963563596542294</v>
      </c>
      <c r="BS73" s="153">
        <v>0</v>
      </c>
      <c r="BU73" s="1389">
        <f t="shared" ref="BU73:BU136" si="18">EDATE(BU72,1)</f>
        <v>38139</v>
      </c>
      <c r="BV73" s="1390">
        <v>2.2881272888960882</v>
      </c>
      <c r="BW73" s="1390">
        <v>1.89389290833829</v>
      </c>
      <c r="BX73" s="1390"/>
      <c r="BY73" s="1390">
        <v>2.5768029632471965</v>
      </c>
      <c r="BZ73" s="1391">
        <v>2.1328310194811819</v>
      </c>
    </row>
    <row r="74" spans="1:78">
      <c r="A74" s="957"/>
      <c r="B74" s="951">
        <v>37561</v>
      </c>
      <c r="C74" s="952">
        <v>47.808711884238278</v>
      </c>
      <c r="D74" s="952"/>
      <c r="E74" s="952"/>
      <c r="F74" s="950"/>
      <c r="G74" s="952"/>
      <c r="H74" s="952"/>
      <c r="I74" s="952"/>
      <c r="J74" s="9"/>
      <c r="K74" s="944">
        <v>38443</v>
      </c>
      <c r="L74" s="953">
        <v>0</v>
      </c>
      <c r="M74" s="953">
        <v>0</v>
      </c>
      <c r="N74" s="953">
        <v>0</v>
      </c>
      <c r="O74" s="13"/>
      <c r="P74" s="953">
        <v>0</v>
      </c>
      <c r="Q74" s="953">
        <v>0</v>
      </c>
      <c r="R74" s="953">
        <v>0</v>
      </c>
      <c r="S74" s="13"/>
      <c r="T74" s="953">
        <v>0</v>
      </c>
      <c r="U74" s="953">
        <v>0</v>
      </c>
      <c r="V74" s="953">
        <v>0</v>
      </c>
      <c r="W74" s="13"/>
      <c r="X74" s="953">
        <v>0</v>
      </c>
      <c r="Y74" s="953">
        <v>0</v>
      </c>
      <c r="Z74" s="953">
        <v>0</v>
      </c>
      <c r="AA74" s="13">
        <v>0</v>
      </c>
      <c r="AB74" s="953">
        <v>0</v>
      </c>
      <c r="AC74" s="953">
        <v>0</v>
      </c>
      <c r="AD74" s="953">
        <v>0</v>
      </c>
      <c r="AE74" s="13"/>
      <c r="AF74" s="953">
        <v>0</v>
      </c>
      <c r="AG74" s="953">
        <v>0</v>
      </c>
      <c r="AH74" s="953">
        <v>0</v>
      </c>
      <c r="AI74" s="13"/>
      <c r="AJ74" s="953">
        <v>0</v>
      </c>
      <c r="AK74" s="953">
        <v>0</v>
      </c>
      <c r="AL74" s="953">
        <v>0</v>
      </c>
      <c r="AM74" s="1455"/>
      <c r="AN74" s="9">
        <v>22</v>
      </c>
      <c r="AO74" s="955">
        <v>0.35</v>
      </c>
      <c r="AP74" s="13"/>
      <c r="AQ74"/>
      <c r="AR74"/>
      <c r="AS74"/>
      <c r="AT74">
        <v>1</v>
      </c>
      <c r="AU74" t="str">
        <f t="shared" si="15"/>
        <v>2005Q3</v>
      </c>
      <c r="AV74">
        <f t="shared" si="16"/>
        <v>2005</v>
      </c>
      <c r="AW74" s="111">
        <f t="shared" si="12"/>
        <v>38596</v>
      </c>
      <c r="AX74" s="136">
        <f t="shared" si="8"/>
        <v>2.8851655912362619</v>
      </c>
      <c r="AY74" s="1541">
        <v>2.8851655912362619</v>
      </c>
      <c r="AZ74" s="136">
        <f t="shared" si="9"/>
        <v>2.8851655912362619</v>
      </c>
      <c r="BA74" s="137">
        <v>1</v>
      </c>
      <c r="BB74" s="137">
        <v>1</v>
      </c>
      <c r="BC74" s="137">
        <v>1</v>
      </c>
      <c r="BD74" s="137">
        <v>0</v>
      </c>
      <c r="BE74" s="137"/>
      <c r="BF74" s="137">
        <v>0</v>
      </c>
      <c r="BG74" s="145">
        <v>0</v>
      </c>
      <c r="BH74" s="153"/>
      <c r="BI74" s="938"/>
      <c r="BJ74" s="153"/>
      <c r="BK74" s="1443">
        <v>0</v>
      </c>
      <c r="BL74" s="905">
        <f t="shared" si="10"/>
        <v>2.8851655912362619</v>
      </c>
      <c r="BM74" s="1287">
        <f t="shared" si="13"/>
        <v>2.8851655912362619</v>
      </c>
      <c r="BN74" s="1282">
        <f t="shared" si="11"/>
        <v>2.9544506647370739E-2</v>
      </c>
      <c r="BO74" s="1377">
        <v>2.4</v>
      </c>
      <c r="BQ74" s="1378">
        <f t="shared" si="17"/>
        <v>2.8461168687079077</v>
      </c>
      <c r="BR74" s="1378">
        <f t="shared" si="14"/>
        <v>2.3610570347261954</v>
      </c>
      <c r="BS74" s="153">
        <v>0</v>
      </c>
      <c r="BU74" s="1389">
        <f t="shared" si="18"/>
        <v>38169</v>
      </c>
      <c r="BV74" s="1390">
        <v>2.3174145239638548</v>
      </c>
      <c r="BW74" s="1390">
        <v>1.923183343476035</v>
      </c>
      <c r="BX74" s="1390"/>
      <c r="BY74" s="1390">
        <v>2.6097851467446658</v>
      </c>
      <c r="BZ74" s="1391">
        <v>2.1658168067772001</v>
      </c>
    </row>
    <row r="75" spans="1:78">
      <c r="A75" s="957"/>
      <c r="B75" s="951">
        <v>37591</v>
      </c>
      <c r="C75" s="952">
        <v>46.555718598913735</v>
      </c>
      <c r="D75" s="952"/>
      <c r="E75" s="952"/>
      <c r="F75" s="950"/>
      <c r="G75" s="952"/>
      <c r="H75" s="952"/>
      <c r="I75" s="952"/>
      <c r="J75" s="9"/>
      <c r="K75" s="944">
        <v>38473</v>
      </c>
      <c r="L75" s="953">
        <v>0</v>
      </c>
      <c r="M75" s="953">
        <v>0</v>
      </c>
      <c r="N75" s="953">
        <v>0</v>
      </c>
      <c r="O75" s="13"/>
      <c r="P75" s="953">
        <v>0</v>
      </c>
      <c r="Q75" s="953">
        <v>0</v>
      </c>
      <c r="R75" s="953">
        <v>0</v>
      </c>
      <c r="S75" s="13"/>
      <c r="T75" s="953">
        <v>0</v>
      </c>
      <c r="U75" s="953">
        <v>0</v>
      </c>
      <c r="V75" s="953">
        <v>0</v>
      </c>
      <c r="W75" s="13"/>
      <c r="X75" s="953">
        <v>0</v>
      </c>
      <c r="Y75" s="953">
        <v>0</v>
      </c>
      <c r="Z75" s="953">
        <v>0</v>
      </c>
      <c r="AA75" s="13">
        <v>0</v>
      </c>
      <c r="AB75" s="953">
        <v>0</v>
      </c>
      <c r="AC75" s="953">
        <v>0</v>
      </c>
      <c r="AD75" s="953">
        <v>0</v>
      </c>
      <c r="AE75" s="13"/>
      <c r="AF75" s="953">
        <v>0</v>
      </c>
      <c r="AG75" s="953">
        <v>0</v>
      </c>
      <c r="AH75" s="953">
        <v>0</v>
      </c>
      <c r="AI75" s="13"/>
      <c r="AJ75" s="953">
        <v>0</v>
      </c>
      <c r="AK75" s="953">
        <v>0</v>
      </c>
      <c r="AL75" s="953">
        <v>0</v>
      </c>
      <c r="AM75" s="1455"/>
      <c r="AN75" s="9">
        <v>22</v>
      </c>
      <c r="AO75" s="955">
        <v>0.35</v>
      </c>
      <c r="AP75" s="13"/>
      <c r="AQ75"/>
      <c r="AR75"/>
      <c r="AS75"/>
      <c r="AT75">
        <v>1</v>
      </c>
      <c r="AU75" t="str">
        <f t="shared" si="15"/>
        <v>2005Q4</v>
      </c>
      <c r="AV75">
        <f t="shared" si="16"/>
        <v>2005</v>
      </c>
      <c r="AW75" s="111">
        <f t="shared" si="12"/>
        <v>38626</v>
      </c>
      <c r="AX75" s="136">
        <f t="shared" si="8"/>
        <v>3.0133806674893933</v>
      </c>
      <c r="AY75" s="1541">
        <v>3.0133806674893933</v>
      </c>
      <c r="AZ75" s="136">
        <f t="shared" si="9"/>
        <v>3.0133806674893933</v>
      </c>
      <c r="BA75" s="137">
        <v>1</v>
      </c>
      <c r="BB75" s="137">
        <v>1</v>
      </c>
      <c r="BC75" s="137">
        <v>1</v>
      </c>
      <c r="BD75" s="137">
        <v>0</v>
      </c>
      <c r="BE75" s="137"/>
      <c r="BF75" s="137">
        <v>0</v>
      </c>
      <c r="BG75" s="145">
        <v>0</v>
      </c>
      <c r="BH75" s="153"/>
      <c r="BI75" s="938"/>
      <c r="BJ75" s="153"/>
      <c r="BK75" s="1443">
        <v>0</v>
      </c>
      <c r="BL75" s="905">
        <f t="shared" si="10"/>
        <v>3.0133806674893933</v>
      </c>
      <c r="BM75" s="1287">
        <f t="shared" si="13"/>
        <v>3.0133806674893933</v>
      </c>
      <c r="BN75" s="1282">
        <f t="shared" si="11"/>
        <v>2.9544506647370739E-2</v>
      </c>
      <c r="BO75" s="1377">
        <v>2.4</v>
      </c>
      <c r="BQ75" s="1378">
        <f t="shared" si="17"/>
        <v>2.9682702802204251</v>
      </c>
      <c r="BR75" s="1378">
        <f t="shared" si="14"/>
        <v>2.4293809476021928</v>
      </c>
      <c r="BS75" s="153">
        <v>0</v>
      </c>
      <c r="BU75" s="1389">
        <f t="shared" si="18"/>
        <v>38200</v>
      </c>
      <c r="BV75" s="1390">
        <v>2.3720178435817241</v>
      </c>
      <c r="BW75" s="1390">
        <v>1.9688941740697889</v>
      </c>
      <c r="BX75" s="1390"/>
      <c r="BY75" s="1390">
        <v>2.6712773532653711</v>
      </c>
      <c r="BZ75" s="1391">
        <v>2.2172946263452289</v>
      </c>
    </row>
    <row r="76" spans="1:78">
      <c r="A76" s="957"/>
      <c r="B76" s="951">
        <v>37622</v>
      </c>
      <c r="C76" s="952">
        <v>43.768469262796906</v>
      </c>
      <c r="D76" s="952"/>
      <c r="E76" s="952"/>
      <c r="F76" s="950"/>
      <c r="G76" s="952"/>
      <c r="H76" s="952"/>
      <c r="I76" s="952"/>
      <c r="J76" s="9"/>
      <c r="K76" s="944">
        <v>38504</v>
      </c>
      <c r="L76" s="953">
        <v>0</v>
      </c>
      <c r="M76" s="953">
        <v>0</v>
      </c>
      <c r="N76" s="953">
        <v>0</v>
      </c>
      <c r="O76" s="13"/>
      <c r="P76" s="953">
        <v>0</v>
      </c>
      <c r="Q76" s="953">
        <v>0</v>
      </c>
      <c r="R76" s="953">
        <v>0</v>
      </c>
      <c r="S76" s="13"/>
      <c r="T76" s="953">
        <v>0</v>
      </c>
      <c r="U76" s="953">
        <v>0</v>
      </c>
      <c r="V76" s="953">
        <v>0</v>
      </c>
      <c r="W76" s="13"/>
      <c r="X76" s="953">
        <v>0</v>
      </c>
      <c r="Y76" s="953">
        <v>0</v>
      </c>
      <c r="Z76" s="953">
        <v>0</v>
      </c>
      <c r="AA76" s="13">
        <v>0</v>
      </c>
      <c r="AB76" s="953">
        <v>0</v>
      </c>
      <c r="AC76" s="953">
        <v>0</v>
      </c>
      <c r="AD76" s="953">
        <v>0</v>
      </c>
      <c r="AE76" s="13"/>
      <c r="AF76" s="953">
        <v>0</v>
      </c>
      <c r="AG76" s="953">
        <v>0</v>
      </c>
      <c r="AH76" s="953">
        <v>0</v>
      </c>
      <c r="AI76" s="13"/>
      <c r="AJ76" s="953">
        <v>0</v>
      </c>
      <c r="AK76" s="953">
        <v>0</v>
      </c>
      <c r="AL76" s="953">
        <v>0</v>
      </c>
      <c r="AM76" s="1455"/>
      <c r="AN76" s="9">
        <v>23</v>
      </c>
      <c r="AO76" s="955">
        <v>0.35</v>
      </c>
      <c r="AP76" s="13"/>
      <c r="AQ76"/>
      <c r="AR76"/>
      <c r="AS76"/>
      <c r="AT76">
        <v>1</v>
      </c>
      <c r="AU76" t="str">
        <f t="shared" si="15"/>
        <v>2005Q4</v>
      </c>
      <c r="AV76">
        <f t="shared" si="16"/>
        <v>2005</v>
      </c>
      <c r="AW76" s="111">
        <f t="shared" si="12"/>
        <v>38657</v>
      </c>
      <c r="AX76" s="136">
        <f t="shared" si="8"/>
        <v>3.1398135587834992</v>
      </c>
      <c r="AY76" s="1541">
        <v>3.1398135587834992</v>
      </c>
      <c r="AZ76" s="136">
        <f t="shared" si="9"/>
        <v>3.1398135587834992</v>
      </c>
      <c r="BA76" s="137">
        <v>1</v>
      </c>
      <c r="BB76" s="137">
        <v>1</v>
      </c>
      <c r="BC76" s="137">
        <v>1</v>
      </c>
      <c r="BD76" s="137">
        <v>0</v>
      </c>
      <c r="BE76" s="137"/>
      <c r="BF76" s="137">
        <v>0</v>
      </c>
      <c r="BG76" s="145">
        <v>0</v>
      </c>
      <c r="BH76" s="153"/>
      <c r="BI76" s="938"/>
      <c r="BJ76" s="153"/>
      <c r="BK76" s="1443">
        <v>0</v>
      </c>
      <c r="BL76" s="905">
        <f t="shared" si="10"/>
        <v>3.1398135587834992</v>
      </c>
      <c r="BM76" s="1287">
        <f t="shared" si="13"/>
        <v>3.1398135587834992</v>
      </c>
      <c r="BN76" s="1282">
        <f t="shared" si="11"/>
        <v>2.9544506647370516E-2</v>
      </c>
      <c r="BO76" s="1377">
        <v>2.4</v>
      </c>
      <c r="BQ76" s="1378">
        <f t="shared" si="17"/>
        <v>3.1198096539364251</v>
      </c>
      <c r="BR76" s="1378">
        <f t="shared" si="14"/>
        <v>2.4935640172735836</v>
      </c>
      <c r="BS76" s="153">
        <v>0</v>
      </c>
      <c r="BU76" s="1389">
        <f t="shared" si="18"/>
        <v>38231</v>
      </c>
      <c r="BV76" s="1390">
        <v>2.4519372477496972</v>
      </c>
      <c r="BW76" s="1390">
        <v>2.024368483042791</v>
      </c>
      <c r="BX76" s="1390"/>
      <c r="BY76" s="1390">
        <v>2.7612795828093128</v>
      </c>
      <c r="BZ76" s="1391">
        <v>2.2797677083452634</v>
      </c>
    </row>
    <row r="77" spans="1:78">
      <c r="A77" s="957"/>
      <c r="B77" s="951">
        <v>37653</v>
      </c>
      <c r="C77" s="952">
        <v>36.969033246952733</v>
      </c>
      <c r="D77" s="952"/>
      <c r="E77" s="952"/>
      <c r="F77" s="950"/>
      <c r="G77" s="952"/>
      <c r="H77" s="952"/>
      <c r="I77" s="952"/>
      <c r="J77" s="9"/>
      <c r="K77" s="944">
        <v>38534</v>
      </c>
      <c r="L77" s="953">
        <v>0</v>
      </c>
      <c r="M77" s="953">
        <v>0</v>
      </c>
      <c r="N77" s="953">
        <v>0</v>
      </c>
      <c r="O77" s="13"/>
      <c r="P77" s="953">
        <v>0</v>
      </c>
      <c r="Q77" s="953">
        <v>0</v>
      </c>
      <c r="R77" s="953">
        <v>0</v>
      </c>
      <c r="S77" s="13"/>
      <c r="T77" s="953">
        <v>0</v>
      </c>
      <c r="U77" s="953">
        <v>0</v>
      </c>
      <c r="V77" s="953">
        <v>0</v>
      </c>
      <c r="W77" s="13"/>
      <c r="X77" s="953">
        <v>0</v>
      </c>
      <c r="Y77" s="953">
        <v>0</v>
      </c>
      <c r="Z77" s="953">
        <v>0</v>
      </c>
      <c r="AA77" s="13">
        <v>0</v>
      </c>
      <c r="AB77" s="953">
        <v>0</v>
      </c>
      <c r="AC77" s="953">
        <v>0</v>
      </c>
      <c r="AD77" s="953">
        <v>0</v>
      </c>
      <c r="AE77" s="13"/>
      <c r="AF77" s="953">
        <v>0</v>
      </c>
      <c r="AG77" s="953">
        <v>0</v>
      </c>
      <c r="AH77" s="953">
        <v>0</v>
      </c>
      <c r="AI77" s="13"/>
      <c r="AJ77" s="953">
        <v>0</v>
      </c>
      <c r="AK77" s="953">
        <v>0</v>
      </c>
      <c r="AL77" s="953">
        <v>0</v>
      </c>
      <c r="AM77" s="1455"/>
      <c r="AN77" s="9">
        <v>23</v>
      </c>
      <c r="AO77" s="955">
        <v>0.35</v>
      </c>
      <c r="AP77" s="13"/>
      <c r="AQ77"/>
      <c r="AR77"/>
      <c r="AS77"/>
      <c r="AT77">
        <v>1</v>
      </c>
      <c r="AU77" t="str">
        <f t="shared" si="15"/>
        <v>2005Q4</v>
      </c>
      <c r="AV77">
        <f t="shared" si="16"/>
        <v>2005</v>
      </c>
      <c r="AW77" s="111">
        <f t="shared" si="12"/>
        <v>38687</v>
      </c>
      <c r="AX77" s="136">
        <f t="shared" si="8"/>
        <v>3.2733658465255377</v>
      </c>
      <c r="AY77" s="1541">
        <v>3.2733658465255377</v>
      </c>
      <c r="AZ77" s="136">
        <f t="shared" si="9"/>
        <v>3.2733658465255377</v>
      </c>
      <c r="BA77" s="137">
        <v>1</v>
      </c>
      <c r="BB77" s="137">
        <v>1</v>
      </c>
      <c r="BC77" s="137">
        <v>1</v>
      </c>
      <c r="BD77" s="137">
        <v>0</v>
      </c>
      <c r="BE77" s="137"/>
      <c r="BF77" s="137">
        <v>0</v>
      </c>
      <c r="BG77" s="145">
        <v>0</v>
      </c>
      <c r="BH77" s="153"/>
      <c r="BI77" s="938"/>
      <c r="BJ77" s="153"/>
      <c r="BK77" s="1443">
        <v>0</v>
      </c>
      <c r="BL77" s="905">
        <f t="shared" si="10"/>
        <v>3.2733658465255377</v>
      </c>
      <c r="BM77" s="1287">
        <f t="shared" si="13"/>
        <v>3.2733658465255377</v>
      </c>
      <c r="BN77" s="1282">
        <f t="shared" si="11"/>
        <v>2.9544506647370516E-2</v>
      </c>
      <c r="BO77" s="1377">
        <v>2.4</v>
      </c>
      <c r="BQ77" s="1378">
        <f t="shared" si="17"/>
        <v>3.1857148766194516</v>
      </c>
      <c r="BR77" s="1378">
        <f t="shared" si="14"/>
        <v>2.5458421627317311</v>
      </c>
      <c r="BS77" s="153">
        <v>0</v>
      </c>
      <c r="BU77" s="1389">
        <f t="shared" si="18"/>
        <v>38261</v>
      </c>
      <c r="BV77" s="1390">
        <v>2.557172736467773</v>
      </c>
      <c r="BW77" s="1390">
        <v>2.0829493533182815</v>
      </c>
      <c r="BX77" s="1390"/>
      <c r="BY77" s="1390">
        <v>2.8797918353764906</v>
      </c>
      <c r="BZ77" s="1391">
        <v>2.3457392829373003</v>
      </c>
    </row>
    <row r="78" spans="1:78">
      <c r="A78" s="957"/>
      <c r="B78" s="951">
        <v>37681</v>
      </c>
      <c r="C78" s="952">
        <v>33.177558591531835</v>
      </c>
      <c r="D78" s="952"/>
      <c r="E78" s="952"/>
      <c r="F78" s="950"/>
      <c r="G78" s="952"/>
      <c r="H78" s="952"/>
      <c r="I78" s="952"/>
      <c r="J78" s="9"/>
      <c r="K78" s="944">
        <v>38565</v>
      </c>
      <c r="L78" s="953">
        <v>0</v>
      </c>
      <c r="M78" s="953">
        <v>0</v>
      </c>
      <c r="N78" s="953">
        <v>0</v>
      </c>
      <c r="O78" s="13"/>
      <c r="P78" s="953">
        <v>0</v>
      </c>
      <c r="Q78" s="953">
        <v>0</v>
      </c>
      <c r="R78" s="953">
        <v>0</v>
      </c>
      <c r="S78" s="13"/>
      <c r="T78" s="953">
        <v>0</v>
      </c>
      <c r="U78" s="953">
        <v>0</v>
      </c>
      <c r="V78" s="953">
        <v>0</v>
      </c>
      <c r="W78" s="13"/>
      <c r="X78" s="953">
        <v>0</v>
      </c>
      <c r="Y78" s="953">
        <v>0</v>
      </c>
      <c r="Z78" s="953">
        <v>0</v>
      </c>
      <c r="AA78" s="13">
        <v>0</v>
      </c>
      <c r="AB78" s="953">
        <v>0</v>
      </c>
      <c r="AC78" s="953">
        <v>0</v>
      </c>
      <c r="AD78" s="953">
        <v>0</v>
      </c>
      <c r="AE78" s="13"/>
      <c r="AF78" s="953">
        <v>0</v>
      </c>
      <c r="AG78" s="953">
        <v>0</v>
      </c>
      <c r="AH78" s="953">
        <v>0</v>
      </c>
      <c r="AI78" s="13"/>
      <c r="AJ78" s="953">
        <v>0</v>
      </c>
      <c r="AK78" s="953">
        <v>0</v>
      </c>
      <c r="AL78" s="953">
        <v>0</v>
      </c>
      <c r="AM78" s="1455"/>
      <c r="AN78" s="9">
        <v>23</v>
      </c>
      <c r="AO78" s="955">
        <v>0.35</v>
      </c>
      <c r="AP78" s="13"/>
      <c r="AQ78"/>
      <c r="AR78"/>
      <c r="AS78"/>
      <c r="AT78">
        <v>1</v>
      </c>
      <c r="AU78" t="str">
        <f t="shared" si="15"/>
        <v>2006Q1</v>
      </c>
      <c r="AV78">
        <f t="shared" si="16"/>
        <v>2006</v>
      </c>
      <c r="AW78" s="111">
        <f t="shared" si="12"/>
        <v>38718</v>
      </c>
      <c r="AX78" s="136">
        <f t="shared" si="8"/>
        <v>3.1477490545285347</v>
      </c>
      <c r="AY78" s="1541">
        <v>3.1477490545285347</v>
      </c>
      <c r="AZ78" s="136">
        <f t="shared" si="9"/>
        <v>3.1477490545285347</v>
      </c>
      <c r="BA78" s="137">
        <v>1</v>
      </c>
      <c r="BB78" s="137">
        <v>1</v>
      </c>
      <c r="BC78" s="137">
        <v>1</v>
      </c>
      <c r="BD78" s="137">
        <v>0</v>
      </c>
      <c r="BE78" s="137"/>
      <c r="BF78" s="137">
        <v>0</v>
      </c>
      <c r="BG78" s="145">
        <v>0</v>
      </c>
      <c r="BH78" s="153"/>
      <c r="BI78" s="938"/>
      <c r="BJ78" s="153"/>
      <c r="BK78" s="1443">
        <v>0</v>
      </c>
      <c r="BL78" s="905">
        <f t="shared" si="10"/>
        <v>3.1477490545285347</v>
      </c>
      <c r="BM78" s="1287">
        <f t="shared" si="13"/>
        <v>3.1477490545285347</v>
      </c>
      <c r="BN78" s="1282">
        <f t="shared" si="11"/>
        <v>3.334576406298706E-2</v>
      </c>
      <c r="BO78" s="1377">
        <v>2.4</v>
      </c>
      <c r="BQ78" s="1378">
        <f t="shared" si="17"/>
        <v>3.1445010965478262</v>
      </c>
      <c r="BR78" s="1378">
        <f t="shared" si="14"/>
        <v>2.7238450333415338</v>
      </c>
      <c r="BS78" s="153">
        <v>0</v>
      </c>
      <c r="BU78" s="1389">
        <f t="shared" si="18"/>
        <v>38292</v>
      </c>
      <c r="BV78" s="1390">
        <v>2.6877243097359522</v>
      </c>
      <c r="BW78" s="1390">
        <v>2.1379798678194999</v>
      </c>
      <c r="BX78" s="1390"/>
      <c r="BY78" s="1390">
        <v>3.0268141109669044</v>
      </c>
      <c r="BZ78" s="1391">
        <v>2.4077125802813351</v>
      </c>
    </row>
    <row r="79" spans="1:78">
      <c r="A79" s="957"/>
      <c r="B79" s="951">
        <v>37712</v>
      </c>
      <c r="C79" s="952">
        <v>31.973320679429719</v>
      </c>
      <c r="D79" s="952"/>
      <c r="E79" s="952"/>
      <c r="F79" s="950"/>
      <c r="G79" s="952"/>
      <c r="H79" s="952"/>
      <c r="I79" s="952"/>
      <c r="J79" s="9"/>
      <c r="K79" s="944">
        <v>38596</v>
      </c>
      <c r="L79" s="953">
        <v>0</v>
      </c>
      <c r="M79" s="953">
        <v>0</v>
      </c>
      <c r="N79" s="953">
        <v>0</v>
      </c>
      <c r="O79" s="13"/>
      <c r="P79" s="953">
        <v>0</v>
      </c>
      <c r="Q79" s="953">
        <v>0</v>
      </c>
      <c r="R79" s="953">
        <v>0</v>
      </c>
      <c r="S79" s="13"/>
      <c r="T79" s="953">
        <v>0</v>
      </c>
      <c r="U79" s="953">
        <v>0</v>
      </c>
      <c r="V79" s="953">
        <v>0</v>
      </c>
      <c r="W79" s="13"/>
      <c r="X79" s="953">
        <v>0</v>
      </c>
      <c r="Y79" s="953">
        <v>0</v>
      </c>
      <c r="Z79" s="953">
        <v>0</v>
      </c>
      <c r="AA79" s="13">
        <v>0</v>
      </c>
      <c r="AB79" s="953">
        <v>0</v>
      </c>
      <c r="AC79" s="953">
        <v>0</v>
      </c>
      <c r="AD79" s="953">
        <v>0</v>
      </c>
      <c r="AE79" s="13"/>
      <c r="AF79" s="953">
        <v>0</v>
      </c>
      <c r="AG79" s="953">
        <v>0</v>
      </c>
      <c r="AH79" s="953">
        <v>0</v>
      </c>
      <c r="AI79" s="13"/>
      <c r="AJ79" s="953">
        <v>0</v>
      </c>
      <c r="AK79" s="953">
        <v>0</v>
      </c>
      <c r="AL79" s="953">
        <v>0</v>
      </c>
      <c r="AM79" s="1455"/>
      <c r="AN79" s="9">
        <v>24</v>
      </c>
      <c r="AO79" s="955">
        <v>0.35</v>
      </c>
      <c r="AP79" s="13"/>
      <c r="AQ79"/>
      <c r="AR79"/>
      <c r="AS79"/>
      <c r="AT79">
        <v>1</v>
      </c>
      <c r="AU79" t="str">
        <f t="shared" si="15"/>
        <v>2006Q1</v>
      </c>
      <c r="AV79">
        <f t="shared" si="16"/>
        <v>2006</v>
      </c>
      <c r="AW79" s="111">
        <f t="shared" si="12"/>
        <v>38749</v>
      </c>
      <c r="AX79" s="136">
        <f t="shared" si="8"/>
        <v>2.9073152734220171</v>
      </c>
      <c r="AY79" s="1541">
        <v>2.9073152734220171</v>
      </c>
      <c r="AZ79" s="136">
        <f t="shared" si="9"/>
        <v>2.9073152734220171</v>
      </c>
      <c r="BA79" s="137">
        <v>1</v>
      </c>
      <c r="BB79" s="137">
        <v>1</v>
      </c>
      <c r="BC79" s="137">
        <v>1</v>
      </c>
      <c r="BD79" s="137">
        <v>0</v>
      </c>
      <c r="BE79" s="137"/>
      <c r="BF79" s="137">
        <v>0</v>
      </c>
      <c r="BG79" s="145">
        <v>0</v>
      </c>
      <c r="BH79" s="153"/>
      <c r="BI79" s="938"/>
      <c r="BJ79" s="153"/>
      <c r="BK79" s="1443">
        <v>0</v>
      </c>
      <c r="BL79" s="905">
        <f t="shared" si="10"/>
        <v>2.9073152734220171</v>
      </c>
      <c r="BM79" s="1287">
        <f t="shared" si="13"/>
        <v>2.9073152734220171</v>
      </c>
      <c r="BN79" s="1282">
        <f t="shared" si="11"/>
        <v>3.3345764062987282E-2</v>
      </c>
      <c r="BO79" s="1377">
        <v>2.4</v>
      </c>
      <c r="BQ79" s="1378">
        <f t="shared" si="17"/>
        <v>2.9072342308043568</v>
      </c>
      <c r="BR79" s="1378">
        <f t="shared" si="14"/>
        <v>2.5370981092818461</v>
      </c>
      <c r="BS79" s="153">
        <v>0</v>
      </c>
      <c r="BU79" s="1389">
        <f t="shared" si="18"/>
        <v>38322</v>
      </c>
      <c r="BV79" s="1390">
        <v>2.7445018342622425</v>
      </c>
      <c r="BW79" s="1390">
        <v>2.1828031094696847</v>
      </c>
      <c r="BX79" s="1390"/>
      <c r="BY79" s="1390">
        <v>3.0907548253472528</v>
      </c>
      <c r="BZ79" s="1391">
        <v>2.4581908305373621</v>
      </c>
    </row>
    <row r="80" spans="1:78">
      <c r="A80" s="957"/>
      <c r="B80" s="951">
        <v>37742</v>
      </c>
      <c r="C80" s="952">
        <v>32.770661530587255</v>
      </c>
      <c r="D80" s="952"/>
      <c r="E80" s="952"/>
      <c r="F80" s="950"/>
      <c r="G80" s="952"/>
      <c r="H80" s="952"/>
      <c r="I80" s="952"/>
      <c r="J80" s="9"/>
      <c r="K80" s="944">
        <v>38626</v>
      </c>
      <c r="L80" s="953">
        <v>0</v>
      </c>
      <c r="M80" s="953">
        <v>0</v>
      </c>
      <c r="N80" s="953">
        <v>0</v>
      </c>
      <c r="O80" s="13"/>
      <c r="P80" s="953">
        <v>0</v>
      </c>
      <c r="Q80" s="953">
        <v>0</v>
      </c>
      <c r="R80" s="953">
        <v>0</v>
      </c>
      <c r="S80" s="13"/>
      <c r="T80" s="953">
        <v>0</v>
      </c>
      <c r="U80" s="953">
        <v>0</v>
      </c>
      <c r="V80" s="953">
        <v>0</v>
      </c>
      <c r="W80" s="13"/>
      <c r="X80" s="953">
        <v>0</v>
      </c>
      <c r="Y80" s="953">
        <v>0</v>
      </c>
      <c r="Z80" s="953">
        <v>0</v>
      </c>
      <c r="AA80" s="13">
        <v>0</v>
      </c>
      <c r="AB80" s="953">
        <v>0</v>
      </c>
      <c r="AC80" s="953">
        <v>0</v>
      </c>
      <c r="AD80" s="953">
        <v>0</v>
      </c>
      <c r="AE80" s="13"/>
      <c r="AF80" s="953">
        <v>0</v>
      </c>
      <c r="AG80" s="953">
        <v>0</v>
      </c>
      <c r="AH80" s="953">
        <v>0</v>
      </c>
      <c r="AI80" s="13"/>
      <c r="AJ80" s="953">
        <v>0</v>
      </c>
      <c r="AK80" s="953">
        <v>0</v>
      </c>
      <c r="AL80" s="953">
        <v>0</v>
      </c>
      <c r="AM80" s="1455"/>
      <c r="AN80" s="9">
        <v>24</v>
      </c>
      <c r="AO80" s="955">
        <v>0.35</v>
      </c>
      <c r="AP80" s="13"/>
      <c r="AQ80"/>
      <c r="AR80"/>
      <c r="AS80"/>
      <c r="AT80">
        <v>1</v>
      </c>
      <c r="AU80" t="str">
        <f t="shared" si="15"/>
        <v>2006Q1</v>
      </c>
      <c r="AV80">
        <f t="shared" si="16"/>
        <v>2006</v>
      </c>
      <c r="AW80" s="111">
        <f t="shared" si="12"/>
        <v>38777</v>
      </c>
      <c r="AX80" s="136">
        <f t="shared" si="8"/>
        <v>2.7512405782583125</v>
      </c>
      <c r="AY80" s="1541">
        <v>2.7512405782583125</v>
      </c>
      <c r="AZ80" s="136">
        <f t="shared" si="9"/>
        <v>2.7512405782583125</v>
      </c>
      <c r="BA80" s="137">
        <v>1</v>
      </c>
      <c r="BB80" s="137">
        <v>1</v>
      </c>
      <c r="BC80" s="137">
        <v>1</v>
      </c>
      <c r="BD80" s="137">
        <v>0</v>
      </c>
      <c r="BE80" s="137"/>
      <c r="BF80" s="137">
        <v>0</v>
      </c>
      <c r="BG80" s="145">
        <v>0</v>
      </c>
      <c r="BH80" s="153"/>
      <c r="BI80" s="938"/>
      <c r="BJ80" s="153"/>
      <c r="BK80" s="1443">
        <v>0</v>
      </c>
      <c r="BL80" s="905">
        <f t="shared" si="10"/>
        <v>2.7512405782583125</v>
      </c>
      <c r="BM80" s="1287">
        <f t="shared" si="13"/>
        <v>2.7512405782583125</v>
      </c>
      <c r="BN80" s="1282">
        <f t="shared" si="11"/>
        <v>3.3345764062987282E-2</v>
      </c>
      <c r="BO80" s="1377">
        <v>2.4</v>
      </c>
      <c r="BQ80" s="1378">
        <f t="shared" si="17"/>
        <v>2.8209131570935697</v>
      </c>
      <c r="BR80" s="1378">
        <f t="shared" si="14"/>
        <v>2.4111525093346136</v>
      </c>
      <c r="BS80" s="153">
        <v>0</v>
      </c>
      <c r="BU80" s="1389">
        <f t="shared" si="18"/>
        <v>38353</v>
      </c>
      <c r="BV80" s="1390">
        <v>2.6495459534312773</v>
      </c>
      <c r="BW80" s="1390">
        <v>2.2609188662582653</v>
      </c>
      <c r="BX80" s="1390"/>
      <c r="BY80" s="1390">
        <v>3.0434954624846546</v>
      </c>
      <c r="BZ80" s="1391">
        <v>2.5970850973887285</v>
      </c>
    </row>
    <row r="81" spans="1:78">
      <c r="A81" s="957"/>
      <c r="B81" s="951">
        <v>37773</v>
      </c>
      <c r="C81" s="952">
        <v>31.464071832954943</v>
      </c>
      <c r="D81" s="952"/>
      <c r="E81" s="952"/>
      <c r="F81" s="950"/>
      <c r="G81" s="952"/>
      <c r="H81" s="952"/>
      <c r="I81" s="952"/>
      <c r="J81" s="9"/>
      <c r="K81" s="944">
        <v>38657</v>
      </c>
      <c r="L81" s="953">
        <v>0</v>
      </c>
      <c r="M81" s="953">
        <v>0</v>
      </c>
      <c r="N81" s="953">
        <v>0</v>
      </c>
      <c r="O81" s="13"/>
      <c r="P81" s="953">
        <v>0</v>
      </c>
      <c r="Q81" s="953">
        <v>0</v>
      </c>
      <c r="R81" s="953">
        <v>0</v>
      </c>
      <c r="S81" s="13"/>
      <c r="T81" s="953">
        <v>0</v>
      </c>
      <c r="U81" s="953">
        <v>0</v>
      </c>
      <c r="V81" s="953">
        <v>0</v>
      </c>
      <c r="W81" s="13"/>
      <c r="X81" s="953">
        <v>0</v>
      </c>
      <c r="Y81" s="953">
        <v>0</v>
      </c>
      <c r="Z81" s="953">
        <v>0</v>
      </c>
      <c r="AA81" s="13">
        <v>0</v>
      </c>
      <c r="AB81" s="953">
        <v>0</v>
      </c>
      <c r="AC81" s="953">
        <v>0</v>
      </c>
      <c r="AD81" s="953">
        <v>0</v>
      </c>
      <c r="AE81" s="13"/>
      <c r="AF81" s="953">
        <v>0</v>
      </c>
      <c r="AG81" s="953">
        <v>0</v>
      </c>
      <c r="AH81" s="953">
        <v>0</v>
      </c>
      <c r="AI81" s="13"/>
      <c r="AJ81" s="953">
        <v>0</v>
      </c>
      <c r="AK81" s="953">
        <v>0</v>
      </c>
      <c r="AL81" s="953">
        <v>0</v>
      </c>
      <c r="AM81" s="1455"/>
      <c r="AN81" s="9">
        <v>24</v>
      </c>
      <c r="AO81" s="955">
        <v>0.35</v>
      </c>
      <c r="AP81" s="13"/>
      <c r="AQ81"/>
      <c r="AR81"/>
      <c r="AS81"/>
      <c r="AT81">
        <v>1</v>
      </c>
      <c r="AU81" t="str">
        <f t="shared" si="15"/>
        <v>2006Q2</v>
      </c>
      <c r="AV81">
        <f t="shared" si="16"/>
        <v>2006</v>
      </c>
      <c r="AW81" s="111">
        <f t="shared" si="12"/>
        <v>38808</v>
      </c>
      <c r="AX81" s="136">
        <f t="shared" si="8"/>
        <v>2.6687013968759459</v>
      </c>
      <c r="AY81" s="1541">
        <v>2.6687013968759459</v>
      </c>
      <c r="AZ81" s="136">
        <f t="shared" si="9"/>
        <v>2.6687013968759459</v>
      </c>
      <c r="BA81" s="137">
        <v>1</v>
      </c>
      <c r="BB81" s="137">
        <v>1</v>
      </c>
      <c r="BC81" s="137">
        <v>1</v>
      </c>
      <c r="BD81" s="137">
        <v>0</v>
      </c>
      <c r="BE81" s="137"/>
      <c r="BF81" s="137">
        <v>0</v>
      </c>
      <c r="BG81" s="145">
        <v>0</v>
      </c>
      <c r="BH81" s="153"/>
      <c r="BI81" s="938"/>
      <c r="BJ81" s="153"/>
      <c r="BK81" s="1443">
        <v>0</v>
      </c>
      <c r="BL81" s="905">
        <f t="shared" si="10"/>
        <v>2.6687013968759459</v>
      </c>
      <c r="BM81" s="1287">
        <f t="shared" si="13"/>
        <v>2.6687013968759459</v>
      </c>
      <c r="BN81" s="1282">
        <f t="shared" si="11"/>
        <v>3.334576406298706E-2</v>
      </c>
      <c r="BO81" s="1377">
        <v>2.4</v>
      </c>
      <c r="BQ81" s="1378">
        <f t="shared" si="17"/>
        <v>2.7649532886189898</v>
      </c>
      <c r="BR81" s="1378">
        <f t="shared" si="14"/>
        <v>2.3378651990204924</v>
      </c>
      <c r="BS81" s="153">
        <v>0</v>
      </c>
      <c r="BU81" s="1389">
        <f t="shared" si="18"/>
        <v>38384</v>
      </c>
      <c r="BV81" s="1390">
        <v>2.4496256974949411</v>
      </c>
      <c r="BW81" s="1390">
        <v>2.1059101786662691</v>
      </c>
      <c r="BX81" s="1390"/>
      <c r="BY81" s="1390">
        <v>2.8138499298178092</v>
      </c>
      <c r="BZ81" s="1391">
        <v>2.4190288395906774</v>
      </c>
    </row>
    <row r="82" spans="1:78">
      <c r="A82" s="957"/>
      <c r="B82" s="951">
        <v>37803</v>
      </c>
      <c r="C82" s="952">
        <v>43.482757489934457</v>
      </c>
      <c r="D82" s="952"/>
      <c r="E82" s="952"/>
      <c r="F82" s="950"/>
      <c r="G82" s="952"/>
      <c r="H82" s="952"/>
      <c r="I82" s="952"/>
      <c r="J82" s="9"/>
      <c r="K82" s="944">
        <v>38687</v>
      </c>
      <c r="L82" s="953">
        <v>0</v>
      </c>
      <c r="M82" s="953">
        <v>0</v>
      </c>
      <c r="N82" s="953">
        <v>0</v>
      </c>
      <c r="O82" s="13"/>
      <c r="P82" s="953">
        <v>0</v>
      </c>
      <c r="Q82" s="953">
        <v>0</v>
      </c>
      <c r="R82" s="953">
        <v>0</v>
      </c>
      <c r="S82" s="13"/>
      <c r="T82" s="953">
        <v>0</v>
      </c>
      <c r="U82" s="953">
        <v>0</v>
      </c>
      <c r="V82" s="953">
        <v>0</v>
      </c>
      <c r="W82" s="13"/>
      <c r="X82" s="953">
        <v>0</v>
      </c>
      <c r="Y82" s="953">
        <v>0</v>
      </c>
      <c r="Z82" s="953">
        <v>0</v>
      </c>
      <c r="AA82" s="13">
        <v>0</v>
      </c>
      <c r="AB82" s="953">
        <v>0</v>
      </c>
      <c r="AC82" s="953">
        <v>0</v>
      </c>
      <c r="AD82" s="953">
        <v>0</v>
      </c>
      <c r="AE82" s="13"/>
      <c r="AF82" s="953">
        <v>0</v>
      </c>
      <c r="AG82" s="953">
        <v>0</v>
      </c>
      <c r="AH82" s="953">
        <v>0</v>
      </c>
      <c r="AI82" s="13"/>
      <c r="AJ82" s="953">
        <v>0</v>
      </c>
      <c r="AK82" s="953">
        <v>0</v>
      </c>
      <c r="AL82" s="953">
        <v>0</v>
      </c>
      <c r="AM82" s="1455"/>
      <c r="AN82" s="9">
        <v>25</v>
      </c>
      <c r="AO82" s="955">
        <v>0.35</v>
      </c>
      <c r="AP82" s="13"/>
      <c r="AQ82"/>
      <c r="AR82"/>
      <c r="AS82"/>
      <c r="AT82">
        <v>1</v>
      </c>
      <c r="AU82" t="str">
        <f t="shared" si="15"/>
        <v>2006Q2</v>
      </c>
      <c r="AV82">
        <f t="shared" si="16"/>
        <v>2006</v>
      </c>
      <c r="AW82" s="111">
        <f t="shared" si="12"/>
        <v>38838</v>
      </c>
      <c r="AX82" s="136">
        <f t="shared" si="8"/>
        <v>2.6485748764614367</v>
      </c>
      <c r="AY82" s="1541">
        <v>2.6485748764614367</v>
      </c>
      <c r="AZ82" s="136">
        <f t="shared" si="9"/>
        <v>2.6485748764614367</v>
      </c>
      <c r="BA82" s="137">
        <v>1</v>
      </c>
      <c r="BB82" s="137">
        <v>1</v>
      </c>
      <c r="BC82" s="137">
        <v>1</v>
      </c>
      <c r="BD82" s="137">
        <v>0</v>
      </c>
      <c r="BE82" s="137"/>
      <c r="BF82" s="137">
        <v>0</v>
      </c>
      <c r="BG82" s="145">
        <v>0</v>
      </c>
      <c r="BH82" s="153"/>
      <c r="BI82" s="938"/>
      <c r="BJ82" s="153"/>
      <c r="BK82" s="1443">
        <v>0</v>
      </c>
      <c r="BL82" s="905">
        <f t="shared" si="10"/>
        <v>2.6485748764614367</v>
      </c>
      <c r="BM82" s="1287">
        <f t="shared" si="13"/>
        <v>2.6485748764614367</v>
      </c>
      <c r="BN82" s="1282">
        <f t="shared" si="11"/>
        <v>3.3345764062987282E-2</v>
      </c>
      <c r="BO82" s="1377">
        <v>2.4</v>
      </c>
      <c r="BQ82" s="1378">
        <f t="shared" si="17"/>
        <v>2.739354625380618</v>
      </c>
      <c r="BR82" s="1378">
        <f t="shared" si="14"/>
        <v>2.3090931438601334</v>
      </c>
      <c r="BS82" s="153">
        <v>0</v>
      </c>
      <c r="BU82" s="1389">
        <f t="shared" si="18"/>
        <v>38412</v>
      </c>
      <c r="BV82" s="1390">
        <v>2.3768918537073369</v>
      </c>
      <c r="BW82" s="1390">
        <v>2.0013694358716663</v>
      </c>
      <c r="BX82" s="1390"/>
      <c r="BY82" s="1390">
        <v>2.7303016059059466</v>
      </c>
      <c r="BZ82" s="1391">
        <v>2.2989443866571073</v>
      </c>
    </row>
    <row r="83" spans="1:78">
      <c r="A83" s="957"/>
      <c r="B83" s="951">
        <v>37834</v>
      </c>
      <c r="C83" s="952">
        <v>58.358469087456982</v>
      </c>
      <c r="D83" s="952"/>
      <c r="E83" s="952"/>
      <c r="F83" s="950"/>
      <c r="G83" s="952"/>
      <c r="H83" s="952"/>
      <c r="I83" s="952"/>
      <c r="J83" s="9"/>
      <c r="K83" s="944">
        <v>38718</v>
      </c>
      <c r="L83" s="953">
        <v>0</v>
      </c>
      <c r="M83" s="953">
        <v>0</v>
      </c>
      <c r="N83" s="953">
        <v>0</v>
      </c>
      <c r="O83" s="13"/>
      <c r="P83" s="953">
        <v>0</v>
      </c>
      <c r="Q83" s="953">
        <v>0</v>
      </c>
      <c r="R83" s="953">
        <v>0</v>
      </c>
      <c r="S83" s="13"/>
      <c r="T83" s="953">
        <v>0</v>
      </c>
      <c r="U83" s="953">
        <v>0</v>
      </c>
      <c r="V83" s="953">
        <v>0</v>
      </c>
      <c r="W83" s="13"/>
      <c r="X83" s="953">
        <v>0</v>
      </c>
      <c r="Y83" s="953">
        <v>0</v>
      </c>
      <c r="Z83" s="953">
        <v>0</v>
      </c>
      <c r="AA83" s="13">
        <v>0</v>
      </c>
      <c r="AB83" s="953">
        <v>0</v>
      </c>
      <c r="AC83" s="953">
        <v>0</v>
      </c>
      <c r="AD83" s="953">
        <v>0</v>
      </c>
      <c r="AE83" s="13"/>
      <c r="AF83" s="953">
        <v>0</v>
      </c>
      <c r="AG83" s="953">
        <v>0</v>
      </c>
      <c r="AH83" s="953">
        <v>0</v>
      </c>
      <c r="AI83" s="13"/>
      <c r="AJ83" s="953">
        <v>0</v>
      </c>
      <c r="AK83" s="953">
        <v>0</v>
      </c>
      <c r="AL83" s="953">
        <v>0</v>
      </c>
      <c r="AM83" s="1455"/>
      <c r="AN83" s="9">
        <v>25</v>
      </c>
      <c r="AO83" s="955">
        <v>0.35</v>
      </c>
      <c r="AP83" s="13"/>
      <c r="AQ83"/>
      <c r="AR83"/>
      <c r="AS83"/>
      <c r="AT83">
        <v>1</v>
      </c>
      <c r="AU83" t="str">
        <f t="shared" si="15"/>
        <v>2006Q2</v>
      </c>
      <c r="AV83">
        <f t="shared" si="16"/>
        <v>2006</v>
      </c>
      <c r="AW83" s="111">
        <f t="shared" si="12"/>
        <v>38869</v>
      </c>
      <c r="AX83" s="136">
        <f t="shared" ref="AX83:AX146" si="19">AY83</f>
        <v>2.6805681318946277</v>
      </c>
      <c r="AY83" s="1541">
        <v>2.6805681318946277</v>
      </c>
      <c r="AZ83" s="136">
        <f t="shared" ref="AZ83:AZ146" si="20">AY83</f>
        <v>2.6805681318946277</v>
      </c>
      <c r="BA83" s="137">
        <v>1</v>
      </c>
      <c r="BB83" s="137">
        <v>1</v>
      </c>
      <c r="BC83" s="137">
        <v>1</v>
      </c>
      <c r="BD83" s="137">
        <v>0</v>
      </c>
      <c r="BE83" s="137"/>
      <c r="BF83" s="137">
        <v>0</v>
      </c>
      <c r="BG83" s="145">
        <v>0</v>
      </c>
      <c r="BH83" s="153"/>
      <c r="BI83" s="938"/>
      <c r="BJ83" s="153"/>
      <c r="BK83" s="1443">
        <v>0</v>
      </c>
      <c r="BL83" s="905">
        <f t="shared" ref="BL83:BL146" si="21">+AY83</f>
        <v>2.6805681318946277</v>
      </c>
      <c r="BM83" s="1287">
        <f t="shared" si="13"/>
        <v>2.6805681318946277</v>
      </c>
      <c r="BN83" s="1282">
        <f t="shared" ref="BN83:BN146" si="22">+BM83/BM71-1</f>
        <v>3.3345764062987282E-2</v>
      </c>
      <c r="BO83" s="1377">
        <v>2.4</v>
      </c>
      <c r="BQ83" s="1378">
        <f t="shared" si="17"/>
        <v>2.7441171673784548</v>
      </c>
      <c r="BR83" s="1378">
        <f t="shared" si="14"/>
        <v>2.3166933093741902</v>
      </c>
      <c r="BS83" s="153">
        <v>0</v>
      </c>
      <c r="BU83" s="1389">
        <f t="shared" si="18"/>
        <v>38443</v>
      </c>
      <c r="BV83" s="1390">
        <v>2.3297402584243385</v>
      </c>
      <c r="BW83" s="1390">
        <v>1.9405375381248073</v>
      </c>
      <c r="BX83" s="1390"/>
      <c r="BY83" s="1390">
        <v>2.6761392441975671</v>
      </c>
      <c r="BZ83" s="1391">
        <v>2.229067657579384</v>
      </c>
    </row>
    <row r="84" spans="1:78">
      <c r="A84" s="957"/>
      <c r="B84" s="951">
        <v>37865</v>
      </c>
      <c r="C84" s="952">
        <v>50.31531639146656</v>
      </c>
      <c r="D84" s="952"/>
      <c r="E84" s="952"/>
      <c r="F84" s="950"/>
      <c r="G84" s="952"/>
      <c r="H84" s="952"/>
      <c r="I84" s="952"/>
      <c r="J84" s="9"/>
      <c r="K84" s="944">
        <v>38749</v>
      </c>
      <c r="L84" s="953">
        <v>0</v>
      </c>
      <c r="M84" s="953">
        <v>0</v>
      </c>
      <c r="N84" s="953">
        <v>0</v>
      </c>
      <c r="O84" s="13"/>
      <c r="P84" s="953">
        <v>0</v>
      </c>
      <c r="Q84" s="953">
        <v>0</v>
      </c>
      <c r="R84" s="953">
        <v>0</v>
      </c>
      <c r="S84" s="13"/>
      <c r="T84" s="953">
        <v>0</v>
      </c>
      <c r="U84" s="953">
        <v>0</v>
      </c>
      <c r="V84" s="953">
        <v>0</v>
      </c>
      <c r="W84" s="13"/>
      <c r="X84" s="953">
        <v>0</v>
      </c>
      <c r="Y84" s="953">
        <v>0</v>
      </c>
      <c r="Z84" s="953">
        <v>0</v>
      </c>
      <c r="AA84" s="13">
        <v>0</v>
      </c>
      <c r="AB84" s="953">
        <v>0</v>
      </c>
      <c r="AC84" s="953">
        <v>0</v>
      </c>
      <c r="AD84" s="953">
        <v>0</v>
      </c>
      <c r="AE84" s="13"/>
      <c r="AF84" s="953">
        <v>0</v>
      </c>
      <c r="AG84" s="953">
        <v>0</v>
      </c>
      <c r="AH84" s="953">
        <v>0</v>
      </c>
      <c r="AI84" s="13"/>
      <c r="AJ84" s="953">
        <v>0</v>
      </c>
      <c r="AK84" s="953">
        <v>0</v>
      </c>
      <c r="AL84" s="953">
        <v>0</v>
      </c>
      <c r="AM84" s="1455"/>
      <c r="AN84" s="9">
        <v>25</v>
      </c>
      <c r="AO84" s="955">
        <v>0.35</v>
      </c>
      <c r="AP84" s="13"/>
      <c r="AQ84"/>
      <c r="AR84"/>
      <c r="AS84"/>
      <c r="AT84">
        <v>1</v>
      </c>
      <c r="AU84" t="str">
        <f t="shared" si="15"/>
        <v>2006Q3</v>
      </c>
      <c r="AV84">
        <f t="shared" si="16"/>
        <v>2006</v>
      </c>
      <c r="AW84" s="111">
        <f t="shared" si="12"/>
        <v>38899</v>
      </c>
      <c r="AX84" s="136">
        <f t="shared" si="19"/>
        <v>2.7537371618923916</v>
      </c>
      <c r="AY84" s="1541">
        <v>2.7537371618923916</v>
      </c>
      <c r="AZ84" s="136">
        <f t="shared" si="20"/>
        <v>2.7537371618923916</v>
      </c>
      <c r="BA84" s="137">
        <v>1</v>
      </c>
      <c r="BB84" s="137">
        <v>1</v>
      </c>
      <c r="BC84" s="137">
        <v>1</v>
      </c>
      <c r="BD84" s="137">
        <v>0</v>
      </c>
      <c r="BE84" s="137"/>
      <c r="BF84" s="137">
        <v>0</v>
      </c>
      <c r="BG84" s="145">
        <v>0</v>
      </c>
      <c r="BH84" s="153"/>
      <c r="BI84" s="938"/>
      <c r="BJ84" s="153"/>
      <c r="BK84" s="1443">
        <v>0</v>
      </c>
      <c r="BL84" s="905">
        <f t="shared" si="21"/>
        <v>2.7537371618923916</v>
      </c>
      <c r="BM84" s="1287">
        <f t="shared" si="13"/>
        <v>2.7537371618923916</v>
      </c>
      <c r="BN84" s="1282">
        <f t="shared" si="22"/>
        <v>3.3345764062987282E-2</v>
      </c>
      <c r="BO84" s="1377">
        <v>2.4</v>
      </c>
      <c r="BQ84" s="1378">
        <f t="shared" si="17"/>
        <v>2.7792409146124997</v>
      </c>
      <c r="BR84" s="1378">
        <f t="shared" si="14"/>
        <v>2.3525226610833165</v>
      </c>
      <c r="BS84" s="153">
        <v>0</v>
      </c>
      <c r="BU84" s="1389">
        <f t="shared" si="18"/>
        <v>38473</v>
      </c>
      <c r="BV84" s="1390">
        <v>2.308170911645945</v>
      </c>
      <c r="BW84" s="1390">
        <v>1.9166553856760404</v>
      </c>
      <c r="BX84" s="1390"/>
      <c r="BY84" s="1390">
        <v>2.6513628446926694</v>
      </c>
      <c r="BZ84" s="1391">
        <v>2.2016345713488703</v>
      </c>
    </row>
    <row r="85" spans="1:78">
      <c r="A85" s="957"/>
      <c r="B85" s="951">
        <v>37895</v>
      </c>
      <c r="C85" s="952">
        <v>43.054664818865398</v>
      </c>
      <c r="D85" s="952"/>
      <c r="E85" s="952"/>
      <c r="F85" s="950"/>
      <c r="G85" s="952"/>
      <c r="H85" s="952"/>
      <c r="I85" s="952"/>
      <c r="J85" s="9"/>
      <c r="K85" s="944">
        <v>38777</v>
      </c>
      <c r="L85" s="953">
        <v>0</v>
      </c>
      <c r="M85" s="953">
        <v>0</v>
      </c>
      <c r="N85" s="953">
        <v>0</v>
      </c>
      <c r="O85" s="13"/>
      <c r="P85" s="953">
        <v>0</v>
      </c>
      <c r="Q85" s="953">
        <v>0</v>
      </c>
      <c r="R85" s="953">
        <v>0</v>
      </c>
      <c r="S85" s="13"/>
      <c r="T85" s="953">
        <v>0</v>
      </c>
      <c r="U85" s="953">
        <v>0</v>
      </c>
      <c r="V85" s="953">
        <v>0</v>
      </c>
      <c r="W85" s="13"/>
      <c r="X85" s="953">
        <v>0</v>
      </c>
      <c r="Y85" s="953">
        <v>0</v>
      </c>
      <c r="Z85" s="953">
        <v>0</v>
      </c>
      <c r="AA85" s="13">
        <v>0</v>
      </c>
      <c r="AB85" s="953">
        <v>0</v>
      </c>
      <c r="AC85" s="953">
        <v>0</v>
      </c>
      <c r="AD85" s="953">
        <v>0</v>
      </c>
      <c r="AE85" s="13"/>
      <c r="AF85" s="953">
        <v>0</v>
      </c>
      <c r="AG85" s="953">
        <v>0</v>
      </c>
      <c r="AH85" s="953">
        <v>0</v>
      </c>
      <c r="AI85" s="13"/>
      <c r="AJ85" s="953">
        <v>0</v>
      </c>
      <c r="AK85" s="953">
        <v>0</v>
      </c>
      <c r="AL85" s="953">
        <v>0</v>
      </c>
      <c r="AM85" s="1455"/>
      <c r="AN85" s="9">
        <v>26</v>
      </c>
      <c r="AO85" s="955">
        <v>0.35</v>
      </c>
      <c r="AP85" s="13"/>
      <c r="AQ85"/>
      <c r="AR85"/>
      <c r="AS85"/>
      <c r="AT85">
        <v>1</v>
      </c>
      <c r="AU85" t="str">
        <f t="shared" si="15"/>
        <v>2006Q3</v>
      </c>
      <c r="AV85">
        <f t="shared" si="16"/>
        <v>2006</v>
      </c>
      <c r="AW85" s="111">
        <f t="shared" si="12"/>
        <v>38930</v>
      </c>
      <c r="AX85" s="136">
        <f t="shared" si="19"/>
        <v>2.8576523808472754</v>
      </c>
      <c r="AY85" s="1541">
        <v>2.8576523808472754</v>
      </c>
      <c r="AZ85" s="136">
        <f t="shared" si="20"/>
        <v>2.8576523808472754</v>
      </c>
      <c r="BA85" s="137">
        <v>1</v>
      </c>
      <c r="BB85" s="137">
        <v>1</v>
      </c>
      <c r="BC85" s="137">
        <v>1</v>
      </c>
      <c r="BD85" s="137">
        <v>0</v>
      </c>
      <c r="BE85" s="137"/>
      <c r="BF85" s="137">
        <v>0</v>
      </c>
      <c r="BG85" s="145">
        <v>0</v>
      </c>
      <c r="BH85" s="153"/>
      <c r="BI85" s="938"/>
      <c r="BJ85" s="153"/>
      <c r="BK85" s="1443">
        <v>0</v>
      </c>
      <c r="BL85" s="905">
        <f t="shared" si="21"/>
        <v>2.8576523808472754</v>
      </c>
      <c r="BM85" s="1287">
        <f t="shared" si="13"/>
        <v>2.8576523808472754</v>
      </c>
      <c r="BN85" s="1282">
        <f t="shared" si="22"/>
        <v>3.3345764062987282E-2</v>
      </c>
      <c r="BO85" s="1377">
        <v>2.4</v>
      </c>
      <c r="BQ85" s="1378">
        <f t="shared" si="17"/>
        <v>2.8447258670827522</v>
      </c>
      <c r="BR85" s="1378">
        <f t="shared" si="14"/>
        <v>2.4084381645081656</v>
      </c>
      <c r="BS85" s="153">
        <v>0</v>
      </c>
      <c r="BU85" s="1389">
        <f t="shared" si="18"/>
        <v>38504</v>
      </c>
      <c r="BV85" s="1390">
        <v>2.3121838133721577</v>
      </c>
      <c r="BW85" s="1390">
        <v>1.9229638787757146</v>
      </c>
      <c r="BX85" s="1390"/>
      <c r="BY85" s="1390">
        <v>2.6559724073912547</v>
      </c>
      <c r="BZ85" s="1391">
        <v>2.2088810469569307</v>
      </c>
    </row>
    <row r="86" spans="1:78">
      <c r="A86" s="957"/>
      <c r="B86" s="951">
        <v>37926</v>
      </c>
      <c r="C86" s="952">
        <v>45.319782854701572</v>
      </c>
      <c r="D86" s="952"/>
      <c r="E86" s="952"/>
      <c r="F86" s="950"/>
      <c r="G86" s="952"/>
      <c r="H86" s="952"/>
      <c r="I86" s="952"/>
      <c r="J86" s="9"/>
      <c r="K86" s="944">
        <v>38808</v>
      </c>
      <c r="L86" s="953">
        <v>0</v>
      </c>
      <c r="M86" s="953">
        <v>0</v>
      </c>
      <c r="N86" s="953">
        <v>0</v>
      </c>
      <c r="O86" s="13"/>
      <c r="P86" s="953">
        <v>0</v>
      </c>
      <c r="Q86" s="953">
        <v>0</v>
      </c>
      <c r="R86" s="953">
        <v>0</v>
      </c>
      <c r="S86" s="13"/>
      <c r="T86" s="953">
        <v>0</v>
      </c>
      <c r="U86" s="953">
        <v>0</v>
      </c>
      <c r="V86" s="953">
        <v>0</v>
      </c>
      <c r="W86" s="13"/>
      <c r="X86" s="953">
        <v>0</v>
      </c>
      <c r="Y86" s="953">
        <v>0</v>
      </c>
      <c r="Z86" s="953">
        <v>0</v>
      </c>
      <c r="AA86" s="13">
        <v>0</v>
      </c>
      <c r="AB86" s="953">
        <v>0</v>
      </c>
      <c r="AC86" s="953">
        <v>0</v>
      </c>
      <c r="AD86" s="953">
        <v>0</v>
      </c>
      <c r="AE86" s="13"/>
      <c r="AF86" s="953">
        <v>0</v>
      </c>
      <c r="AG86" s="953">
        <v>0</v>
      </c>
      <c r="AH86" s="953">
        <v>0</v>
      </c>
      <c r="AI86" s="13"/>
      <c r="AJ86" s="953">
        <v>0</v>
      </c>
      <c r="AK86" s="953">
        <v>0</v>
      </c>
      <c r="AL86" s="953">
        <v>0</v>
      </c>
      <c r="AM86" s="1455"/>
      <c r="AN86" s="9">
        <v>26</v>
      </c>
      <c r="AO86" s="955">
        <v>0.35</v>
      </c>
      <c r="AP86" s="13"/>
      <c r="AQ86"/>
      <c r="AR86"/>
      <c r="AS86"/>
      <c r="AT86">
        <v>1</v>
      </c>
      <c r="AU86" t="str">
        <f t="shared" si="15"/>
        <v>2006Q3</v>
      </c>
      <c r="AV86">
        <f t="shared" si="16"/>
        <v>2006</v>
      </c>
      <c r="AW86" s="111">
        <f t="shared" si="12"/>
        <v>38961</v>
      </c>
      <c r="AX86" s="136">
        <f t="shared" si="19"/>
        <v>2.9813736423242752</v>
      </c>
      <c r="AY86" s="1541">
        <v>2.9813736423242752</v>
      </c>
      <c r="AZ86" s="136">
        <f t="shared" si="20"/>
        <v>2.9813736423242752</v>
      </c>
      <c r="BA86" s="137">
        <v>1</v>
      </c>
      <c r="BB86" s="137">
        <v>1</v>
      </c>
      <c r="BC86" s="137">
        <v>1</v>
      </c>
      <c r="BD86" s="137">
        <v>0</v>
      </c>
      <c r="BE86" s="137"/>
      <c r="BF86" s="137">
        <v>0</v>
      </c>
      <c r="BG86" s="145">
        <v>0</v>
      </c>
      <c r="BH86" s="153"/>
      <c r="BI86" s="938"/>
      <c r="BJ86" s="153"/>
      <c r="BK86" s="1443">
        <v>0</v>
      </c>
      <c r="BL86" s="905">
        <f t="shared" si="21"/>
        <v>2.9813736423242752</v>
      </c>
      <c r="BM86" s="1287">
        <f t="shared" si="13"/>
        <v>2.9813736423242752</v>
      </c>
      <c r="BN86" s="1282">
        <f t="shared" si="22"/>
        <v>3.334576406298706E-2</v>
      </c>
      <c r="BO86" s="1377">
        <v>2.4</v>
      </c>
      <c r="BQ86" s="1378">
        <f t="shared" si="17"/>
        <v>2.9405720247892133</v>
      </c>
      <c r="BR86" s="1378">
        <f t="shared" si="14"/>
        <v>2.4762967851693896</v>
      </c>
      <c r="BS86" s="153">
        <v>0</v>
      </c>
      <c r="BU86" s="1389">
        <f t="shared" si="18"/>
        <v>38534</v>
      </c>
      <c r="BV86" s="1390">
        <v>2.3417789636029762</v>
      </c>
      <c r="BW86" s="1390">
        <v>1.9527039176741789</v>
      </c>
      <c r="BX86" s="1390"/>
      <c r="BY86" s="1390">
        <v>2.6899679322933232</v>
      </c>
      <c r="BZ86" s="1391">
        <v>2.2430430033949285</v>
      </c>
    </row>
    <row r="87" spans="1:78">
      <c r="A87" s="957"/>
      <c r="B87" s="951">
        <v>37956</v>
      </c>
      <c r="C87" s="952">
        <v>44.613866541672827</v>
      </c>
      <c r="D87" s="952"/>
      <c r="E87" s="952"/>
      <c r="F87" s="950"/>
      <c r="G87" s="952"/>
      <c r="H87" s="952"/>
      <c r="I87" s="952"/>
      <c r="J87" s="9"/>
      <c r="K87" s="944">
        <v>38838</v>
      </c>
      <c r="L87" s="953">
        <v>0</v>
      </c>
      <c r="M87" s="953">
        <v>0</v>
      </c>
      <c r="N87" s="953">
        <v>0</v>
      </c>
      <c r="O87" s="13"/>
      <c r="P87" s="953">
        <v>0</v>
      </c>
      <c r="Q87" s="953">
        <v>0</v>
      </c>
      <c r="R87" s="953">
        <v>0</v>
      </c>
      <c r="S87" s="13"/>
      <c r="T87" s="953">
        <v>0</v>
      </c>
      <c r="U87" s="953">
        <v>0</v>
      </c>
      <c r="V87" s="953">
        <v>0</v>
      </c>
      <c r="W87" s="13"/>
      <c r="X87" s="953">
        <v>0</v>
      </c>
      <c r="Y87" s="953">
        <v>0</v>
      </c>
      <c r="Z87" s="953">
        <v>0</v>
      </c>
      <c r="AA87" s="13">
        <v>0</v>
      </c>
      <c r="AB87" s="953">
        <v>0</v>
      </c>
      <c r="AC87" s="953">
        <v>0</v>
      </c>
      <c r="AD87" s="953">
        <v>0</v>
      </c>
      <c r="AE87" s="13"/>
      <c r="AF87" s="953">
        <v>0</v>
      </c>
      <c r="AG87" s="953">
        <v>0</v>
      </c>
      <c r="AH87" s="953">
        <v>0</v>
      </c>
      <c r="AI87" s="13"/>
      <c r="AJ87" s="953">
        <v>0</v>
      </c>
      <c r="AK87" s="953">
        <v>0</v>
      </c>
      <c r="AL87" s="953">
        <v>0</v>
      </c>
      <c r="AM87" s="1455"/>
      <c r="AN87" s="9">
        <v>26</v>
      </c>
      <c r="AO87" s="955">
        <v>0.35</v>
      </c>
      <c r="AP87" s="13"/>
      <c r="AQ87"/>
      <c r="AR87"/>
      <c r="AS87"/>
      <c r="AT87">
        <v>1</v>
      </c>
      <c r="AU87" t="str">
        <f t="shared" si="15"/>
        <v>2006Q4</v>
      </c>
      <c r="AV87">
        <f t="shared" si="16"/>
        <v>2006</v>
      </c>
      <c r="AW87" s="111">
        <f t="shared" si="12"/>
        <v>38991</v>
      </c>
      <c r="AX87" s="136">
        <f t="shared" si="19"/>
        <v>3.1138641482594616</v>
      </c>
      <c r="AY87" s="1541">
        <v>3.1138641482594616</v>
      </c>
      <c r="AZ87" s="136">
        <f t="shared" si="20"/>
        <v>3.1138641482594616</v>
      </c>
      <c r="BA87" s="137">
        <v>1</v>
      </c>
      <c r="BB87" s="137">
        <v>1</v>
      </c>
      <c r="BC87" s="137">
        <v>1</v>
      </c>
      <c r="BD87" s="137">
        <v>0</v>
      </c>
      <c r="BE87" s="137"/>
      <c r="BF87" s="137">
        <v>0</v>
      </c>
      <c r="BG87" s="145">
        <v>0</v>
      </c>
      <c r="BH87" s="153"/>
      <c r="BI87" s="938"/>
      <c r="BJ87" s="153"/>
      <c r="BK87" s="1443">
        <v>0</v>
      </c>
      <c r="BL87" s="905">
        <f t="shared" si="21"/>
        <v>3.1138641482594616</v>
      </c>
      <c r="BM87" s="1287">
        <f t="shared" si="13"/>
        <v>3.1138641482594616</v>
      </c>
      <c r="BN87" s="1282">
        <f t="shared" si="22"/>
        <v>3.3345764062987282E-2</v>
      </c>
      <c r="BO87" s="1377">
        <v>2.4</v>
      </c>
      <c r="BQ87" s="1378">
        <f t="shared" si="17"/>
        <v>3.0667793877318816</v>
      </c>
      <c r="BR87" s="1378">
        <f t="shared" si="14"/>
        <v>2.5479554885876423</v>
      </c>
      <c r="BS87" s="153">
        <v>0</v>
      </c>
      <c r="BU87" s="1389">
        <f t="shared" si="18"/>
        <v>38565</v>
      </c>
      <c r="BV87" s="1390">
        <v>2.3969563623384</v>
      </c>
      <c r="BW87" s="1390">
        <v>1.9991164026217829</v>
      </c>
      <c r="BX87" s="1390"/>
      <c r="BY87" s="1390">
        <v>2.7533494193988739</v>
      </c>
      <c r="BZ87" s="1391">
        <v>2.2963563596542294</v>
      </c>
    </row>
    <row r="88" spans="1:78">
      <c r="A88" s="957"/>
      <c r="B88" s="951">
        <v>37987</v>
      </c>
      <c r="C88" s="952">
        <v>39.001832219815114</v>
      </c>
      <c r="D88" s="952"/>
      <c r="E88" s="952"/>
      <c r="F88" s="950"/>
      <c r="G88" s="952"/>
      <c r="H88" s="952"/>
      <c r="I88" s="952"/>
      <c r="J88" s="9"/>
      <c r="K88" s="944">
        <v>38869</v>
      </c>
      <c r="L88" s="953">
        <v>0</v>
      </c>
      <c r="M88" s="953">
        <v>0</v>
      </c>
      <c r="N88" s="953">
        <v>0</v>
      </c>
      <c r="O88" s="13"/>
      <c r="P88" s="953">
        <v>0</v>
      </c>
      <c r="Q88" s="953">
        <v>0</v>
      </c>
      <c r="R88" s="953">
        <v>0</v>
      </c>
      <c r="S88" s="13"/>
      <c r="T88" s="953">
        <v>0</v>
      </c>
      <c r="U88" s="953">
        <v>0</v>
      </c>
      <c r="V88" s="953">
        <v>0</v>
      </c>
      <c r="W88" s="13"/>
      <c r="X88" s="953">
        <v>0</v>
      </c>
      <c r="Y88" s="953">
        <v>0</v>
      </c>
      <c r="Z88" s="953">
        <v>0</v>
      </c>
      <c r="AA88" s="13">
        <v>0</v>
      </c>
      <c r="AB88" s="953">
        <v>0</v>
      </c>
      <c r="AC88" s="953">
        <v>0</v>
      </c>
      <c r="AD88" s="953">
        <v>0</v>
      </c>
      <c r="AE88" s="13"/>
      <c r="AF88" s="953">
        <v>0</v>
      </c>
      <c r="AG88" s="953">
        <v>0</v>
      </c>
      <c r="AH88" s="953">
        <v>0</v>
      </c>
      <c r="AI88" s="13"/>
      <c r="AJ88" s="953">
        <v>0</v>
      </c>
      <c r="AK88" s="953">
        <v>0</v>
      </c>
      <c r="AL88" s="953">
        <v>0</v>
      </c>
      <c r="AM88" s="1455"/>
      <c r="AN88" s="9">
        <v>27</v>
      </c>
      <c r="AO88" s="955">
        <v>0.35</v>
      </c>
      <c r="AP88" s="13"/>
      <c r="AQ88"/>
      <c r="AR88"/>
      <c r="AS88"/>
      <c r="AT88">
        <v>1</v>
      </c>
      <c r="AU88" t="str">
        <f t="shared" si="15"/>
        <v>2006Q4</v>
      </c>
      <c r="AV88">
        <f t="shared" si="16"/>
        <v>2006</v>
      </c>
      <c r="AW88" s="111">
        <f t="shared" si="12"/>
        <v>39022</v>
      </c>
      <c r="AX88" s="136">
        <f t="shared" si="19"/>
        <v>3.2445130409164622</v>
      </c>
      <c r="AY88" s="1541">
        <v>3.2445130409164622</v>
      </c>
      <c r="AZ88" s="136">
        <f t="shared" si="20"/>
        <v>3.2445130409164622</v>
      </c>
      <c r="BA88" s="137">
        <v>1</v>
      </c>
      <c r="BB88" s="137">
        <v>1</v>
      </c>
      <c r="BC88" s="137">
        <v>1</v>
      </c>
      <c r="BD88" s="137">
        <v>0</v>
      </c>
      <c r="BE88" s="137"/>
      <c r="BF88" s="137">
        <v>0</v>
      </c>
      <c r="BG88" s="145">
        <v>0</v>
      </c>
      <c r="BH88" s="153"/>
      <c r="BI88" s="938"/>
      <c r="BJ88" s="153"/>
      <c r="BK88" s="1443">
        <v>0</v>
      </c>
      <c r="BL88" s="905">
        <f t="shared" si="21"/>
        <v>3.2445130409164622</v>
      </c>
      <c r="BM88" s="1287">
        <f t="shared" si="13"/>
        <v>3.2445130409164622</v>
      </c>
      <c r="BN88" s="1282">
        <f t="shared" si="22"/>
        <v>3.3345764062987282E-2</v>
      </c>
      <c r="BO88" s="1377">
        <v>2.4</v>
      </c>
      <c r="BQ88" s="1378">
        <f t="shared" si="17"/>
        <v>3.2233479559107598</v>
      </c>
      <c r="BR88" s="1378">
        <f t="shared" si="14"/>
        <v>2.6152712402835778</v>
      </c>
      <c r="BS88" s="153">
        <v>0</v>
      </c>
      <c r="BU88" s="1389">
        <f t="shared" si="18"/>
        <v>38596</v>
      </c>
      <c r="BV88" s="1390">
        <v>2.4777160095784296</v>
      </c>
      <c r="BW88" s="1390">
        <v>2.0554422338688747</v>
      </c>
      <c r="BX88" s="1390"/>
      <c r="BY88" s="1390">
        <v>2.8461168687079077</v>
      </c>
      <c r="BZ88" s="1391">
        <v>2.3610570347261954</v>
      </c>
    </row>
    <row r="89" spans="1:78">
      <c r="A89" s="957"/>
      <c r="B89" s="951">
        <v>38018</v>
      </c>
      <c r="C89" s="952">
        <v>31.61790918037152</v>
      </c>
      <c r="D89" s="952"/>
      <c r="E89" s="952"/>
      <c r="F89" s="950"/>
      <c r="G89" s="952"/>
      <c r="H89" s="952"/>
      <c r="I89" s="952"/>
      <c r="J89" s="9"/>
      <c r="K89" s="944">
        <v>38899</v>
      </c>
      <c r="L89" s="953">
        <v>0</v>
      </c>
      <c r="M89" s="953">
        <v>0</v>
      </c>
      <c r="N89" s="953">
        <v>0</v>
      </c>
      <c r="O89" s="13"/>
      <c r="P89" s="953">
        <v>0</v>
      </c>
      <c r="Q89" s="953">
        <v>0</v>
      </c>
      <c r="R89" s="953">
        <v>0</v>
      </c>
      <c r="S89" s="13"/>
      <c r="T89" s="953">
        <v>0</v>
      </c>
      <c r="U89" s="953">
        <v>0</v>
      </c>
      <c r="V89" s="953">
        <v>0</v>
      </c>
      <c r="W89" s="13"/>
      <c r="X89" s="953">
        <v>0</v>
      </c>
      <c r="Y89" s="953">
        <v>0</v>
      </c>
      <c r="Z89" s="953">
        <v>0</v>
      </c>
      <c r="AA89" s="13">
        <v>0</v>
      </c>
      <c r="AB89" s="953">
        <v>0</v>
      </c>
      <c r="AC89" s="953">
        <v>0</v>
      </c>
      <c r="AD89" s="953">
        <v>0</v>
      </c>
      <c r="AE89" s="13"/>
      <c r="AF89" s="953">
        <v>0</v>
      </c>
      <c r="AG89" s="953">
        <v>0</v>
      </c>
      <c r="AH89" s="953">
        <v>0</v>
      </c>
      <c r="AI89" s="13"/>
      <c r="AJ89" s="953">
        <v>0</v>
      </c>
      <c r="AK89" s="953">
        <v>0</v>
      </c>
      <c r="AL89" s="953">
        <v>0</v>
      </c>
      <c r="AM89" s="1455"/>
      <c r="AN89" s="9">
        <v>27</v>
      </c>
      <c r="AO89" s="955">
        <v>0.35</v>
      </c>
      <c r="AP89" s="13"/>
      <c r="AQ89"/>
      <c r="AR89"/>
      <c r="AS89"/>
      <c r="AT89">
        <v>1</v>
      </c>
      <c r="AU89" t="str">
        <f t="shared" si="15"/>
        <v>2006Q4</v>
      </c>
      <c r="AV89">
        <f t="shared" si="16"/>
        <v>2006</v>
      </c>
      <c r="AW89" s="111">
        <f t="shared" si="12"/>
        <v>39052</v>
      </c>
      <c r="AX89" s="136">
        <f t="shared" si="19"/>
        <v>3.3825187317356189</v>
      </c>
      <c r="AY89" s="1541">
        <v>3.3825187317356189</v>
      </c>
      <c r="AZ89" s="136">
        <f t="shared" si="20"/>
        <v>3.3825187317356189</v>
      </c>
      <c r="BA89" s="137">
        <v>1</v>
      </c>
      <c r="BB89" s="137">
        <v>1</v>
      </c>
      <c r="BC89" s="137">
        <v>1</v>
      </c>
      <c r="BD89" s="137">
        <v>0</v>
      </c>
      <c r="BE89" s="137"/>
      <c r="BF89" s="137">
        <v>0</v>
      </c>
      <c r="BG89" s="145">
        <v>0</v>
      </c>
      <c r="BH89" s="153"/>
      <c r="BI89" s="938"/>
      <c r="BJ89" s="153"/>
      <c r="BK89" s="1443">
        <v>0</v>
      </c>
      <c r="BL89" s="905">
        <f t="shared" si="21"/>
        <v>3.3825187317356189</v>
      </c>
      <c r="BM89" s="1287">
        <f t="shared" si="13"/>
        <v>3.3825187317356189</v>
      </c>
      <c r="BN89" s="1282">
        <f t="shared" si="22"/>
        <v>3.3345764062987282E-2</v>
      </c>
      <c r="BO89" s="1377">
        <v>2.4</v>
      </c>
      <c r="BQ89" s="1378">
        <f t="shared" si="17"/>
        <v>3.2914404001248276</v>
      </c>
      <c r="BR89" s="1378">
        <f t="shared" si="14"/>
        <v>2.6701010057778456</v>
      </c>
      <c r="BS89" s="153">
        <v>0</v>
      </c>
      <c r="BU89" s="1389">
        <f t="shared" si="18"/>
        <v>38626</v>
      </c>
      <c r="BV89" s="1390">
        <v>2.5840579053230655</v>
      </c>
      <c r="BW89" s="1390">
        <v>2.1149223116658042</v>
      </c>
      <c r="BX89" s="1390"/>
      <c r="BY89" s="1390">
        <v>2.9682702802204251</v>
      </c>
      <c r="BZ89" s="1391">
        <v>2.4293809476021928</v>
      </c>
    </row>
    <row r="90" spans="1:78">
      <c r="A90" s="957"/>
      <c r="B90" s="951">
        <v>38047</v>
      </c>
      <c r="C90" s="952">
        <v>29.579534075733044</v>
      </c>
      <c r="D90" s="952"/>
      <c r="E90" s="952"/>
      <c r="F90" s="950"/>
      <c r="G90" s="952"/>
      <c r="H90" s="952"/>
      <c r="I90" s="952"/>
      <c r="J90" s="9"/>
      <c r="K90" s="944">
        <v>38930</v>
      </c>
      <c r="L90" s="953">
        <v>0</v>
      </c>
      <c r="M90" s="953">
        <v>0</v>
      </c>
      <c r="N90" s="953">
        <v>0</v>
      </c>
      <c r="O90" s="13"/>
      <c r="P90" s="953">
        <v>0</v>
      </c>
      <c r="Q90" s="953">
        <v>0</v>
      </c>
      <c r="R90" s="953">
        <v>0</v>
      </c>
      <c r="S90" s="13"/>
      <c r="T90" s="953">
        <v>0</v>
      </c>
      <c r="U90" s="953">
        <v>0</v>
      </c>
      <c r="V90" s="953">
        <v>0</v>
      </c>
      <c r="W90" s="13"/>
      <c r="X90" s="953">
        <v>0</v>
      </c>
      <c r="Y90" s="953">
        <v>0</v>
      </c>
      <c r="Z90" s="953">
        <v>0</v>
      </c>
      <c r="AA90" s="13">
        <v>0</v>
      </c>
      <c r="AB90" s="953">
        <v>0</v>
      </c>
      <c r="AC90" s="953">
        <v>0</v>
      </c>
      <c r="AD90" s="953">
        <v>0</v>
      </c>
      <c r="AE90" s="13"/>
      <c r="AF90" s="953">
        <v>0</v>
      </c>
      <c r="AG90" s="953">
        <v>0</v>
      </c>
      <c r="AH90" s="953">
        <v>0</v>
      </c>
      <c r="AI90" s="13"/>
      <c r="AJ90" s="953">
        <v>0</v>
      </c>
      <c r="AK90" s="953">
        <v>0</v>
      </c>
      <c r="AL90" s="953">
        <v>0</v>
      </c>
      <c r="AM90" s="1455"/>
      <c r="AN90" s="9">
        <v>27</v>
      </c>
      <c r="AO90" s="955">
        <v>0.35</v>
      </c>
      <c r="AP90" s="13"/>
      <c r="AQ90"/>
      <c r="AR90"/>
      <c r="AS90"/>
      <c r="AT90">
        <v>1</v>
      </c>
      <c r="AU90" t="str">
        <f t="shared" si="15"/>
        <v>2007Q1</v>
      </c>
      <c r="AV90">
        <f t="shared" si="16"/>
        <v>2007</v>
      </c>
      <c r="AW90" s="111">
        <f t="shared" si="12"/>
        <v>39083</v>
      </c>
      <c r="AX90" s="136">
        <f t="shared" si="19"/>
        <v>3.2445479561774047</v>
      </c>
      <c r="AY90" s="1541">
        <v>3.2445479561774047</v>
      </c>
      <c r="AZ90" s="136">
        <f t="shared" si="20"/>
        <v>3.2445479561774047</v>
      </c>
      <c r="BA90" s="137">
        <v>1</v>
      </c>
      <c r="BB90" s="137">
        <v>1</v>
      </c>
      <c r="BC90" s="137">
        <v>1</v>
      </c>
      <c r="BD90" s="137">
        <v>0</v>
      </c>
      <c r="BE90" s="137"/>
      <c r="BF90" s="137">
        <v>0</v>
      </c>
      <c r="BG90" s="145">
        <v>0</v>
      </c>
      <c r="BH90" s="153"/>
      <c r="BI90" s="938"/>
      <c r="BJ90" s="153"/>
      <c r="BK90" s="1443">
        <v>0</v>
      </c>
      <c r="BL90" s="905">
        <f t="shared" si="21"/>
        <v>3.2445479561774047</v>
      </c>
      <c r="BM90" s="1287">
        <f t="shared" si="13"/>
        <v>3.2445479561774047</v>
      </c>
      <c r="BN90" s="1282">
        <f t="shared" si="22"/>
        <v>3.0751784837997009E-2</v>
      </c>
      <c r="BO90" s="1377">
        <v>2.4</v>
      </c>
      <c r="BQ90" s="1378">
        <f t="shared" si="17"/>
        <v>3.2606830806024503</v>
      </c>
      <c r="BR90" s="1378">
        <f t="shared" si="14"/>
        <v>2.8496238805081244</v>
      </c>
      <c r="BS90" s="153">
        <v>0</v>
      </c>
      <c r="BU90" s="1389">
        <f t="shared" si="18"/>
        <v>38657</v>
      </c>
      <c r="BV90" s="1390">
        <v>2.715982049572307</v>
      </c>
      <c r="BW90" s="1390">
        <v>2.1707975362629197</v>
      </c>
      <c r="BX90" s="1390"/>
      <c r="BY90" s="1390">
        <v>3.1198096539364251</v>
      </c>
      <c r="BZ90" s="1391">
        <v>2.4935640172735836</v>
      </c>
    </row>
    <row r="91" spans="1:78">
      <c r="A91" s="957"/>
      <c r="B91" s="951">
        <v>38078</v>
      </c>
      <c r="C91" s="952">
        <v>29.147259031879717</v>
      </c>
      <c r="D91" s="952"/>
      <c r="E91" s="952"/>
      <c r="F91" s="950"/>
      <c r="G91" s="952"/>
      <c r="H91" s="952"/>
      <c r="I91" s="952"/>
      <c r="J91" s="9"/>
      <c r="K91" s="944">
        <v>38961</v>
      </c>
      <c r="L91" s="953">
        <v>0</v>
      </c>
      <c r="M91" s="953">
        <v>0</v>
      </c>
      <c r="N91" s="953">
        <v>0</v>
      </c>
      <c r="O91" s="13"/>
      <c r="P91" s="953">
        <v>0</v>
      </c>
      <c r="Q91" s="953">
        <v>0</v>
      </c>
      <c r="R91" s="953">
        <v>0</v>
      </c>
      <c r="S91" s="13"/>
      <c r="T91" s="953">
        <v>0</v>
      </c>
      <c r="U91" s="953">
        <v>0</v>
      </c>
      <c r="V91" s="953">
        <v>0</v>
      </c>
      <c r="W91" s="13"/>
      <c r="X91" s="953">
        <v>0</v>
      </c>
      <c r="Y91" s="953">
        <v>0</v>
      </c>
      <c r="Z91" s="953">
        <v>0</v>
      </c>
      <c r="AA91" s="13">
        <v>0</v>
      </c>
      <c r="AB91" s="953">
        <v>0</v>
      </c>
      <c r="AC91" s="953">
        <v>0</v>
      </c>
      <c r="AD91" s="953">
        <v>0</v>
      </c>
      <c r="AE91" s="13"/>
      <c r="AF91" s="953">
        <v>0</v>
      </c>
      <c r="AG91" s="953">
        <v>0</v>
      </c>
      <c r="AH91" s="953">
        <v>0</v>
      </c>
      <c r="AI91" s="13"/>
      <c r="AJ91" s="953">
        <v>0</v>
      </c>
      <c r="AK91" s="953">
        <v>0</v>
      </c>
      <c r="AL91" s="953">
        <v>0</v>
      </c>
      <c r="AM91" s="1455"/>
      <c r="AN91" s="9">
        <v>28</v>
      </c>
      <c r="AO91" s="955">
        <v>0.35</v>
      </c>
      <c r="AP91" s="13"/>
      <c r="AQ91"/>
      <c r="AR91"/>
      <c r="AS91"/>
      <c r="AT91">
        <v>1</v>
      </c>
      <c r="AU91" t="str">
        <f t="shared" si="15"/>
        <v>2007Q1</v>
      </c>
      <c r="AV91">
        <f t="shared" si="16"/>
        <v>2007</v>
      </c>
      <c r="AW91" s="111">
        <f t="shared" si="12"/>
        <v>39114</v>
      </c>
      <c r="AX91" s="136">
        <f t="shared" si="19"/>
        <v>2.9967204071665132</v>
      </c>
      <c r="AY91" s="1541">
        <v>2.9967204071665132</v>
      </c>
      <c r="AZ91" s="136">
        <f t="shared" si="20"/>
        <v>2.9967204071665132</v>
      </c>
      <c r="BA91" s="137">
        <v>1</v>
      </c>
      <c r="BB91" s="137">
        <v>1</v>
      </c>
      <c r="BC91" s="137">
        <v>1</v>
      </c>
      <c r="BD91" s="137">
        <v>0</v>
      </c>
      <c r="BE91" s="137"/>
      <c r="BF91" s="137">
        <v>0</v>
      </c>
      <c r="BG91" s="145">
        <v>0</v>
      </c>
      <c r="BH91" s="153"/>
      <c r="BI91" s="938"/>
      <c r="BJ91" s="153"/>
      <c r="BK91" s="1443">
        <v>0</v>
      </c>
      <c r="BL91" s="905">
        <f t="shared" si="21"/>
        <v>2.9967204071665132</v>
      </c>
      <c r="BM91" s="1287">
        <f t="shared" si="13"/>
        <v>2.9967204071665132</v>
      </c>
      <c r="BN91" s="1282">
        <f t="shared" si="22"/>
        <v>3.0751784837997009E-2</v>
      </c>
      <c r="BO91" s="1377">
        <v>2.4</v>
      </c>
      <c r="BQ91" s="1378">
        <f t="shared" si="17"/>
        <v>3.0146497573618722</v>
      </c>
      <c r="BR91" s="1378">
        <f t="shared" si="14"/>
        <v>2.6542535536730889</v>
      </c>
      <c r="BS91" s="153">
        <v>0</v>
      </c>
      <c r="BU91" s="1389">
        <f t="shared" si="18"/>
        <v>38687</v>
      </c>
      <c r="BV91" s="1390">
        <v>2.7733565120028327</v>
      </c>
      <c r="BW91" s="1390">
        <v>2.2163088079105688</v>
      </c>
      <c r="BX91" s="1390"/>
      <c r="BY91" s="1390">
        <v>3.1857148766194516</v>
      </c>
      <c r="BZ91" s="1391">
        <v>2.5458421627317311</v>
      </c>
    </row>
    <row r="92" spans="1:78">
      <c r="A92" s="957"/>
      <c r="B92" s="951">
        <v>38108</v>
      </c>
      <c r="C92" s="952">
        <v>29.992235825187688</v>
      </c>
      <c r="D92" s="952"/>
      <c r="E92" s="952"/>
      <c r="F92" s="950"/>
      <c r="G92" s="952"/>
      <c r="H92" s="952"/>
      <c r="I92" s="952"/>
      <c r="J92" s="9"/>
      <c r="K92" s="944">
        <v>38991</v>
      </c>
      <c r="L92" s="953">
        <v>0</v>
      </c>
      <c r="M92" s="953">
        <v>0</v>
      </c>
      <c r="N92" s="953">
        <v>0</v>
      </c>
      <c r="O92" s="13"/>
      <c r="P92" s="953">
        <v>0</v>
      </c>
      <c r="Q92" s="953">
        <v>0</v>
      </c>
      <c r="R92" s="953">
        <v>0</v>
      </c>
      <c r="S92" s="13"/>
      <c r="T92" s="953">
        <v>0</v>
      </c>
      <c r="U92" s="953">
        <v>0</v>
      </c>
      <c r="V92" s="953">
        <v>0</v>
      </c>
      <c r="W92" s="13"/>
      <c r="X92" s="953">
        <v>0</v>
      </c>
      <c r="Y92" s="953">
        <v>0</v>
      </c>
      <c r="Z92" s="953">
        <v>0</v>
      </c>
      <c r="AA92" s="13">
        <v>0</v>
      </c>
      <c r="AB92" s="953">
        <v>0</v>
      </c>
      <c r="AC92" s="953">
        <v>0</v>
      </c>
      <c r="AD92" s="953">
        <v>0</v>
      </c>
      <c r="AE92" s="13"/>
      <c r="AF92" s="953">
        <v>0</v>
      </c>
      <c r="AG92" s="953">
        <v>0</v>
      </c>
      <c r="AH92" s="953">
        <v>0</v>
      </c>
      <c r="AI92" s="13"/>
      <c r="AJ92" s="953">
        <v>0</v>
      </c>
      <c r="AK92" s="953">
        <v>0</v>
      </c>
      <c r="AL92" s="953">
        <v>0</v>
      </c>
      <c r="AM92" s="1455"/>
      <c r="AN92" s="9">
        <v>28</v>
      </c>
      <c r="AO92" s="955">
        <v>0.35</v>
      </c>
      <c r="AP92" s="13"/>
      <c r="AQ92"/>
      <c r="AR92"/>
      <c r="AS92"/>
      <c r="AT92">
        <v>1</v>
      </c>
      <c r="AU92" t="str">
        <f t="shared" si="15"/>
        <v>2007Q1</v>
      </c>
      <c r="AV92">
        <f t="shared" si="16"/>
        <v>2007</v>
      </c>
      <c r="AW92" s="111">
        <f t="shared" si="12"/>
        <v>39142</v>
      </c>
      <c r="AX92" s="136">
        <f t="shared" si="19"/>
        <v>2.8358461365584784</v>
      </c>
      <c r="AY92" s="1541">
        <v>2.8358461365584784</v>
      </c>
      <c r="AZ92" s="136">
        <f t="shared" si="20"/>
        <v>2.8358461365584784</v>
      </c>
      <c r="BA92" s="137">
        <v>1</v>
      </c>
      <c r="BB92" s="137">
        <v>1</v>
      </c>
      <c r="BC92" s="137">
        <v>1</v>
      </c>
      <c r="BD92" s="137">
        <v>0</v>
      </c>
      <c r="BE92" s="137"/>
      <c r="BF92" s="137">
        <v>0</v>
      </c>
      <c r="BG92" s="145">
        <v>0</v>
      </c>
      <c r="BH92" s="153"/>
      <c r="BI92" s="938"/>
      <c r="BJ92" s="153"/>
      <c r="BK92" s="1443">
        <v>0</v>
      </c>
      <c r="BL92" s="905">
        <f t="shared" si="21"/>
        <v>2.8358461365584784</v>
      </c>
      <c r="BM92" s="1287">
        <f t="shared" si="13"/>
        <v>2.8358461365584784</v>
      </c>
      <c r="BN92" s="1282">
        <f t="shared" si="22"/>
        <v>3.0751784837997009E-2</v>
      </c>
      <c r="BO92" s="1377">
        <v>2.4</v>
      </c>
      <c r="BQ92" s="1378">
        <f t="shared" si="17"/>
        <v>2.925139321236661</v>
      </c>
      <c r="BR92" s="1378">
        <f t="shared" si="14"/>
        <v>2.5224921704587615</v>
      </c>
      <c r="BS92" s="153">
        <v>0</v>
      </c>
      <c r="BU92" s="1389">
        <f t="shared" si="18"/>
        <v>38718</v>
      </c>
      <c r="BV92" s="1390">
        <v>2.683801408100317</v>
      </c>
      <c r="BW92" s="1390">
        <v>2.3247755085710078</v>
      </c>
      <c r="BX92" s="1390"/>
      <c r="BY92" s="1390">
        <v>3.1445010965478262</v>
      </c>
      <c r="BZ92" s="1391">
        <v>2.7238450333415338</v>
      </c>
    </row>
    <row r="93" spans="1:78">
      <c r="A93" s="957"/>
      <c r="B93" s="951">
        <v>38139</v>
      </c>
      <c r="C93" s="952">
        <v>28.317522421024002</v>
      </c>
      <c r="D93" s="952"/>
      <c r="E93" s="952"/>
      <c r="F93" s="950"/>
      <c r="G93" s="952"/>
      <c r="H93" s="952"/>
      <c r="I93" s="952"/>
      <c r="J93" s="9"/>
      <c r="K93" s="944">
        <v>39022</v>
      </c>
      <c r="L93" s="953">
        <v>0</v>
      </c>
      <c r="M93" s="953">
        <v>0</v>
      </c>
      <c r="N93" s="953">
        <v>0</v>
      </c>
      <c r="O93" s="13"/>
      <c r="P93" s="953">
        <v>0</v>
      </c>
      <c r="Q93" s="953">
        <v>0</v>
      </c>
      <c r="R93" s="953">
        <v>0</v>
      </c>
      <c r="S93" s="13"/>
      <c r="T93" s="953">
        <v>0</v>
      </c>
      <c r="U93" s="953">
        <v>0</v>
      </c>
      <c r="V93" s="953">
        <v>0</v>
      </c>
      <c r="W93" s="13"/>
      <c r="X93" s="953">
        <v>0</v>
      </c>
      <c r="Y93" s="953">
        <v>0</v>
      </c>
      <c r="Z93" s="953">
        <v>0</v>
      </c>
      <c r="AA93" s="13">
        <v>0</v>
      </c>
      <c r="AB93" s="953">
        <v>0</v>
      </c>
      <c r="AC93" s="953">
        <v>0</v>
      </c>
      <c r="AD93" s="953">
        <v>0</v>
      </c>
      <c r="AE93" s="13"/>
      <c r="AF93" s="953">
        <v>0</v>
      </c>
      <c r="AG93" s="953">
        <v>0</v>
      </c>
      <c r="AH93" s="953">
        <v>0</v>
      </c>
      <c r="AI93" s="13"/>
      <c r="AJ93" s="953">
        <v>0</v>
      </c>
      <c r="AK93" s="953">
        <v>0</v>
      </c>
      <c r="AL93" s="953">
        <v>0</v>
      </c>
      <c r="AM93" s="1455"/>
      <c r="AN93" s="9">
        <v>28</v>
      </c>
      <c r="AO93" s="955">
        <v>0.35</v>
      </c>
      <c r="AP93" s="13"/>
      <c r="AQ93"/>
      <c r="AR93"/>
      <c r="AS93"/>
      <c r="AT93">
        <v>1</v>
      </c>
      <c r="AU93" t="str">
        <f t="shared" si="15"/>
        <v>2007Q2</v>
      </c>
      <c r="AV93">
        <f t="shared" si="16"/>
        <v>2007</v>
      </c>
      <c r="AW93" s="111">
        <f t="shared" si="12"/>
        <v>39173</v>
      </c>
      <c r="AX93" s="136">
        <f t="shared" si="19"/>
        <v>2.7507687280295374</v>
      </c>
      <c r="AY93" s="1541">
        <v>2.7507687280295374</v>
      </c>
      <c r="AZ93" s="136">
        <f t="shared" si="20"/>
        <v>2.7507687280295374</v>
      </c>
      <c r="BA93" s="137">
        <v>1</v>
      </c>
      <c r="BB93" s="137">
        <v>1</v>
      </c>
      <c r="BC93" s="137">
        <v>1</v>
      </c>
      <c r="BD93" s="137">
        <v>0</v>
      </c>
      <c r="BE93" s="137"/>
      <c r="BF93" s="137">
        <v>0</v>
      </c>
      <c r="BG93" s="145">
        <v>0</v>
      </c>
      <c r="BH93" s="153"/>
      <c r="BI93" s="938"/>
      <c r="BJ93" s="153"/>
      <c r="BK93" s="1443">
        <v>0</v>
      </c>
      <c r="BL93" s="905">
        <f t="shared" si="21"/>
        <v>2.7507687280295374</v>
      </c>
      <c r="BM93" s="1287">
        <f t="shared" si="13"/>
        <v>2.7507687280295374</v>
      </c>
      <c r="BN93" s="1282">
        <f t="shared" si="22"/>
        <v>3.0751784837997231E-2</v>
      </c>
      <c r="BO93" s="1377">
        <v>2.4</v>
      </c>
      <c r="BQ93" s="1378">
        <f t="shared" si="17"/>
        <v>2.8671118660934205</v>
      </c>
      <c r="BR93" s="1378">
        <f t="shared" si="14"/>
        <v>2.4458206759159427</v>
      </c>
      <c r="BS93" s="153">
        <v>0</v>
      </c>
      <c r="BU93" s="1389">
        <f t="shared" si="18"/>
        <v>38749</v>
      </c>
      <c r="BV93" s="1390">
        <v>2.481296422785809</v>
      </c>
      <c r="BW93" s="1390">
        <v>2.1653888070366931</v>
      </c>
      <c r="BX93" s="1390"/>
      <c r="BY93" s="1390">
        <v>2.9072342308043568</v>
      </c>
      <c r="BZ93" s="1391">
        <v>2.5370981092818461</v>
      </c>
    </row>
    <row r="94" spans="1:78">
      <c r="A94" s="957"/>
      <c r="B94" s="951">
        <v>38169</v>
      </c>
      <c r="C94" s="952">
        <v>39.499535420557152</v>
      </c>
      <c r="D94" s="952"/>
      <c r="E94" s="952"/>
      <c r="F94" s="950"/>
      <c r="G94" s="952"/>
      <c r="H94" s="952"/>
      <c r="I94" s="952"/>
      <c r="J94" s="9"/>
      <c r="K94" s="944">
        <v>39052</v>
      </c>
      <c r="L94" s="953">
        <v>0</v>
      </c>
      <c r="M94" s="953">
        <v>0</v>
      </c>
      <c r="N94" s="953">
        <v>0</v>
      </c>
      <c r="O94" s="13"/>
      <c r="P94" s="953">
        <v>0</v>
      </c>
      <c r="Q94" s="953">
        <v>0</v>
      </c>
      <c r="R94" s="953">
        <v>0</v>
      </c>
      <c r="S94" s="13"/>
      <c r="T94" s="953">
        <v>0</v>
      </c>
      <c r="U94" s="953">
        <v>0</v>
      </c>
      <c r="V94" s="953">
        <v>0</v>
      </c>
      <c r="W94" s="13"/>
      <c r="X94" s="953">
        <v>0</v>
      </c>
      <c r="Y94" s="953">
        <v>0</v>
      </c>
      <c r="Z94" s="953">
        <v>0</v>
      </c>
      <c r="AA94" s="13">
        <v>0</v>
      </c>
      <c r="AB94" s="953">
        <v>0</v>
      </c>
      <c r="AC94" s="953">
        <v>0</v>
      </c>
      <c r="AD94" s="953">
        <v>0</v>
      </c>
      <c r="AE94" s="13"/>
      <c r="AF94" s="953">
        <v>0</v>
      </c>
      <c r="AG94" s="953">
        <v>0</v>
      </c>
      <c r="AH94" s="953">
        <v>0</v>
      </c>
      <c r="AI94" s="13"/>
      <c r="AJ94" s="953">
        <v>0</v>
      </c>
      <c r="AK94" s="953">
        <v>0</v>
      </c>
      <c r="AL94" s="953">
        <v>0</v>
      </c>
      <c r="AM94" s="1455"/>
      <c r="AN94" s="9">
        <v>29</v>
      </c>
      <c r="AO94" s="955">
        <v>0.35</v>
      </c>
      <c r="AP94" s="13"/>
      <c r="AQ94"/>
      <c r="AR94"/>
      <c r="AS94"/>
      <c r="AT94">
        <v>1</v>
      </c>
      <c r="AU94" t="str">
        <f t="shared" si="15"/>
        <v>2007Q2</v>
      </c>
      <c r="AV94">
        <f t="shared" si="16"/>
        <v>2007</v>
      </c>
      <c r="AW94" s="111">
        <f t="shared" si="12"/>
        <v>39203</v>
      </c>
      <c r="AX94" s="136">
        <f t="shared" si="19"/>
        <v>2.7300232811897032</v>
      </c>
      <c r="AY94" s="1541">
        <v>2.7300232811897032</v>
      </c>
      <c r="AZ94" s="136">
        <f t="shared" si="20"/>
        <v>2.7300232811897032</v>
      </c>
      <c r="BA94" s="137">
        <v>1</v>
      </c>
      <c r="BB94" s="137">
        <v>1</v>
      </c>
      <c r="BC94" s="137">
        <v>1</v>
      </c>
      <c r="BD94" s="137">
        <v>0</v>
      </c>
      <c r="BE94" s="137"/>
      <c r="BF94" s="137">
        <v>0</v>
      </c>
      <c r="BG94" s="145">
        <v>0</v>
      </c>
      <c r="BH94" s="153"/>
      <c r="BI94" s="938"/>
      <c r="BJ94" s="153"/>
      <c r="BK94" s="1443">
        <v>0</v>
      </c>
      <c r="BL94" s="905">
        <f t="shared" si="21"/>
        <v>2.7300232811897032</v>
      </c>
      <c r="BM94" s="1287">
        <f t="shared" si="13"/>
        <v>2.7300232811897032</v>
      </c>
      <c r="BN94" s="1282">
        <f t="shared" si="22"/>
        <v>3.0751784837997009E-2</v>
      </c>
      <c r="BO94" s="1377">
        <v>2.4</v>
      </c>
      <c r="BQ94" s="1378">
        <f t="shared" si="17"/>
        <v>2.8405673919321504</v>
      </c>
      <c r="BR94" s="1378">
        <f t="shared" si="14"/>
        <v>2.4157200150954283</v>
      </c>
      <c r="BS94" s="153">
        <v>0</v>
      </c>
      <c r="BU94" s="1389">
        <f t="shared" si="18"/>
        <v>38777</v>
      </c>
      <c r="BV94" s="1390">
        <v>2.4076222175428605</v>
      </c>
      <c r="BW94" s="1390">
        <v>2.0578954501879685</v>
      </c>
      <c r="BX94" s="1390"/>
      <c r="BY94" s="1390">
        <v>2.8209131570935697</v>
      </c>
      <c r="BZ94" s="1391">
        <v>2.4111525093346136</v>
      </c>
    </row>
    <row r="95" spans="1:78">
      <c r="A95" s="957"/>
      <c r="B95" s="951">
        <v>38200</v>
      </c>
      <c r="C95" s="952">
        <v>47.509035361576586</v>
      </c>
      <c r="D95" s="952"/>
      <c r="E95" s="952"/>
      <c r="F95" s="950"/>
      <c r="G95" s="952"/>
      <c r="H95" s="952"/>
      <c r="I95" s="952"/>
      <c r="J95" s="9"/>
      <c r="K95" s="944">
        <v>39083</v>
      </c>
      <c r="L95" s="953">
        <v>0</v>
      </c>
      <c r="M95" s="953">
        <v>0</v>
      </c>
      <c r="N95" s="953">
        <v>0</v>
      </c>
      <c r="O95" s="13"/>
      <c r="P95" s="953">
        <v>0</v>
      </c>
      <c r="Q95" s="953">
        <v>0</v>
      </c>
      <c r="R95" s="953">
        <v>0</v>
      </c>
      <c r="S95" s="13"/>
      <c r="T95" s="953">
        <v>0</v>
      </c>
      <c r="U95" s="953">
        <v>0</v>
      </c>
      <c r="V95" s="953">
        <v>0</v>
      </c>
      <c r="W95" s="13"/>
      <c r="X95" s="953">
        <v>0</v>
      </c>
      <c r="Y95" s="953">
        <v>0</v>
      </c>
      <c r="Z95" s="953">
        <v>0</v>
      </c>
      <c r="AA95" s="13">
        <v>0</v>
      </c>
      <c r="AB95" s="953">
        <v>0</v>
      </c>
      <c r="AC95" s="953">
        <v>0</v>
      </c>
      <c r="AD95" s="953">
        <v>0</v>
      </c>
      <c r="AE95" s="13"/>
      <c r="AF95" s="953">
        <v>0</v>
      </c>
      <c r="AG95" s="953">
        <v>0</v>
      </c>
      <c r="AH95" s="953">
        <v>0</v>
      </c>
      <c r="AI95" s="13"/>
      <c r="AJ95" s="953">
        <v>0</v>
      </c>
      <c r="AK95" s="953">
        <v>0</v>
      </c>
      <c r="AL95" s="953">
        <v>0</v>
      </c>
      <c r="AM95" s="1455"/>
      <c r="AN95" s="9">
        <v>29</v>
      </c>
      <c r="AO95" s="955">
        <v>0.35</v>
      </c>
      <c r="AP95" s="13"/>
      <c r="AQ95"/>
      <c r="AR95"/>
      <c r="AS95"/>
      <c r="AT95">
        <v>1</v>
      </c>
      <c r="AU95" t="str">
        <f t="shared" si="15"/>
        <v>2007Q2</v>
      </c>
      <c r="AV95">
        <f t="shared" si="16"/>
        <v>2007</v>
      </c>
      <c r="AW95" s="111">
        <f t="shared" si="12"/>
        <v>39234</v>
      </c>
      <c r="AX95" s="136">
        <f t="shared" si="19"/>
        <v>2.7630003863302428</v>
      </c>
      <c r="AY95" s="1541">
        <v>2.7630003863302428</v>
      </c>
      <c r="AZ95" s="136">
        <f t="shared" si="20"/>
        <v>2.7630003863302428</v>
      </c>
      <c r="BA95" s="137">
        <v>1</v>
      </c>
      <c r="BB95" s="137">
        <v>1</v>
      </c>
      <c r="BC95" s="137">
        <v>1</v>
      </c>
      <c r="BD95" s="137">
        <v>0</v>
      </c>
      <c r="BE95" s="137"/>
      <c r="BF95" s="137">
        <v>0</v>
      </c>
      <c r="BG95" s="145">
        <v>0</v>
      </c>
      <c r="BH95" s="153"/>
      <c r="BI95" s="938"/>
      <c r="BJ95" s="153"/>
      <c r="BK95" s="1443">
        <v>0</v>
      </c>
      <c r="BL95" s="905">
        <f t="shared" si="21"/>
        <v>2.7630003863302428</v>
      </c>
      <c r="BM95" s="1287">
        <f t="shared" si="13"/>
        <v>2.7630003863302428</v>
      </c>
      <c r="BN95" s="1393">
        <f t="shared" si="22"/>
        <v>3.0751784837997009E-2</v>
      </c>
      <c r="BO95" s="1377">
        <v>2.4</v>
      </c>
      <c r="BQ95" s="1378">
        <f t="shared" si="17"/>
        <v>2.8455058987528519</v>
      </c>
      <c r="BR95" s="1378">
        <f t="shared" si="14"/>
        <v>2.4236711330480172</v>
      </c>
      <c r="BS95" s="153">
        <v>0</v>
      </c>
      <c r="BU95" s="1389">
        <f t="shared" si="18"/>
        <v>38808</v>
      </c>
      <c r="BV95" s="1390">
        <v>2.3598610086267415</v>
      </c>
      <c r="BW95" s="1390">
        <v>1.9953454365044441</v>
      </c>
      <c r="BX95" s="1390"/>
      <c r="BY95" s="1390">
        <v>2.7649532886189898</v>
      </c>
      <c r="BZ95" s="1391">
        <v>2.3378651990204924</v>
      </c>
    </row>
    <row r="96" spans="1:78">
      <c r="A96" s="957"/>
      <c r="B96" s="951">
        <v>38231</v>
      </c>
      <c r="C96" s="952">
        <v>42.418136536676521</v>
      </c>
      <c r="D96" s="952"/>
      <c r="E96" s="952"/>
      <c r="F96" s="950"/>
      <c r="G96" s="952"/>
      <c r="H96" s="952"/>
      <c r="I96" s="952"/>
      <c r="J96" s="9"/>
      <c r="K96" s="944">
        <v>39114</v>
      </c>
      <c r="L96" s="953">
        <v>0</v>
      </c>
      <c r="M96" s="953">
        <v>0</v>
      </c>
      <c r="N96" s="953">
        <v>0</v>
      </c>
      <c r="O96" s="13"/>
      <c r="P96" s="953">
        <v>0</v>
      </c>
      <c r="Q96" s="953">
        <v>0</v>
      </c>
      <c r="R96" s="953">
        <v>0</v>
      </c>
      <c r="S96" s="13"/>
      <c r="T96" s="953">
        <v>0</v>
      </c>
      <c r="U96" s="953">
        <v>0</v>
      </c>
      <c r="V96" s="953">
        <v>0</v>
      </c>
      <c r="W96" s="13"/>
      <c r="X96" s="953">
        <v>0</v>
      </c>
      <c r="Y96" s="953">
        <v>0</v>
      </c>
      <c r="Z96" s="953">
        <v>0</v>
      </c>
      <c r="AA96" s="13">
        <v>0</v>
      </c>
      <c r="AB96" s="953">
        <v>0</v>
      </c>
      <c r="AC96" s="953">
        <v>0</v>
      </c>
      <c r="AD96" s="953">
        <v>0</v>
      </c>
      <c r="AE96" s="13"/>
      <c r="AF96" s="953">
        <v>0</v>
      </c>
      <c r="AG96" s="953">
        <v>0</v>
      </c>
      <c r="AH96" s="953">
        <v>0</v>
      </c>
      <c r="AI96" s="13"/>
      <c r="AJ96" s="953">
        <v>0</v>
      </c>
      <c r="AK96" s="953">
        <v>0</v>
      </c>
      <c r="AL96" s="953">
        <v>0</v>
      </c>
      <c r="AM96" s="1455"/>
      <c r="AN96" s="9">
        <v>29</v>
      </c>
      <c r="AO96" s="955">
        <v>0.35</v>
      </c>
      <c r="AP96" s="13"/>
      <c r="AQ96"/>
      <c r="AR96"/>
      <c r="AS96"/>
      <c r="AT96">
        <v>1</v>
      </c>
      <c r="AU96" t="str">
        <f t="shared" si="15"/>
        <v>2007Q3</v>
      </c>
      <c r="AV96">
        <f t="shared" si="16"/>
        <v>2007</v>
      </c>
      <c r="AW96" s="111">
        <f t="shared" si="12"/>
        <v>39264</v>
      </c>
      <c r="AX96" s="136">
        <f t="shared" si="19"/>
        <v>2.838419494595303</v>
      </c>
      <c r="AY96" s="1541">
        <v>2.838419494595303</v>
      </c>
      <c r="AZ96" s="136">
        <f t="shared" si="20"/>
        <v>2.838419494595303</v>
      </c>
      <c r="BA96" s="137">
        <v>1</v>
      </c>
      <c r="BB96" s="137">
        <v>1</v>
      </c>
      <c r="BC96" s="137">
        <v>1</v>
      </c>
      <c r="BD96" s="137">
        <v>0</v>
      </c>
      <c r="BE96" s="137"/>
      <c r="BF96" s="137">
        <v>0</v>
      </c>
      <c r="BG96" s="145">
        <v>0</v>
      </c>
      <c r="BH96" s="153"/>
      <c r="BI96" s="938"/>
      <c r="BJ96" s="153"/>
      <c r="BK96" s="1443">
        <v>0</v>
      </c>
      <c r="BL96" s="905">
        <f t="shared" si="21"/>
        <v>2.838419494595303</v>
      </c>
      <c r="BM96" s="1287">
        <f t="shared" si="13"/>
        <v>2.838419494595303</v>
      </c>
      <c r="BN96" s="1393">
        <f t="shared" si="22"/>
        <v>3.0751784837997009E-2</v>
      </c>
      <c r="BO96" s="1377">
        <v>2.4</v>
      </c>
      <c r="BP96" s="208">
        <f>+AY96/AY84-1</f>
        <v>3.0751784837997009E-2</v>
      </c>
      <c r="BQ96" s="1378">
        <f t="shared" si="17"/>
        <v>2.8819273865555242</v>
      </c>
      <c r="BR96" s="1378">
        <f t="shared" si="14"/>
        <v>2.4611549748245065</v>
      </c>
      <c r="BS96" s="153">
        <v>0</v>
      </c>
      <c r="BU96" s="1389">
        <f t="shared" si="18"/>
        <v>38838</v>
      </c>
      <c r="BV96" s="1390">
        <v>2.3380127960374528</v>
      </c>
      <c r="BW96" s="1390">
        <v>1.9707887644657269</v>
      </c>
      <c r="BX96" s="1390"/>
      <c r="BY96" s="1390">
        <v>2.739354625380618</v>
      </c>
      <c r="BZ96" s="1391">
        <v>2.3090931438601334</v>
      </c>
    </row>
    <row r="97" spans="1:78">
      <c r="A97" s="957"/>
      <c r="B97" s="951">
        <v>38261</v>
      </c>
      <c r="C97" s="952">
        <v>38.090440003829293</v>
      </c>
      <c r="D97" s="952"/>
      <c r="E97" s="952"/>
      <c r="F97" s="950"/>
      <c r="G97" s="952"/>
      <c r="H97" s="952"/>
      <c r="I97" s="952"/>
      <c r="J97" s="9"/>
      <c r="K97" s="944">
        <v>39142</v>
      </c>
      <c r="L97" s="953">
        <v>0</v>
      </c>
      <c r="M97" s="953">
        <v>0</v>
      </c>
      <c r="N97" s="953">
        <v>0</v>
      </c>
      <c r="O97" s="13"/>
      <c r="P97" s="953">
        <v>0</v>
      </c>
      <c r="Q97" s="953">
        <v>0</v>
      </c>
      <c r="R97" s="953">
        <v>0</v>
      </c>
      <c r="S97" s="13"/>
      <c r="T97" s="953">
        <v>0</v>
      </c>
      <c r="U97" s="953">
        <v>0</v>
      </c>
      <c r="V97" s="953">
        <v>0</v>
      </c>
      <c r="W97" s="13"/>
      <c r="X97" s="953">
        <v>0</v>
      </c>
      <c r="Y97" s="953">
        <v>0</v>
      </c>
      <c r="Z97" s="953">
        <v>0</v>
      </c>
      <c r="AA97" s="13">
        <v>0</v>
      </c>
      <c r="AB97" s="953">
        <v>0</v>
      </c>
      <c r="AC97" s="953">
        <v>0</v>
      </c>
      <c r="AD97" s="953">
        <v>0</v>
      </c>
      <c r="AE97" s="13"/>
      <c r="AF97" s="953">
        <v>0</v>
      </c>
      <c r="AG97" s="953">
        <v>0</v>
      </c>
      <c r="AH97" s="953">
        <v>0</v>
      </c>
      <c r="AI97" s="13"/>
      <c r="AJ97" s="953">
        <v>0</v>
      </c>
      <c r="AK97" s="953">
        <v>0</v>
      </c>
      <c r="AL97" s="953">
        <v>0</v>
      </c>
      <c r="AM97" s="1455"/>
      <c r="AN97" s="9">
        <v>30</v>
      </c>
      <c r="AO97" s="955">
        <v>0.35</v>
      </c>
      <c r="AP97" s="13"/>
      <c r="AQ97"/>
      <c r="AR97"/>
      <c r="AS97"/>
      <c r="AT97">
        <v>1</v>
      </c>
      <c r="AU97" t="str">
        <f t="shared" si="15"/>
        <v>2007Q3</v>
      </c>
      <c r="AV97">
        <f t="shared" si="16"/>
        <v>2007</v>
      </c>
      <c r="AW97" s="111">
        <f t="shared" si="12"/>
        <v>39295</v>
      </c>
      <c r="AX97" s="136">
        <f t="shared" si="19"/>
        <v>2.9455302920048809</v>
      </c>
      <c r="AY97" s="1541">
        <v>2.9455302920048809</v>
      </c>
      <c r="AZ97" s="136">
        <f t="shared" si="20"/>
        <v>2.9455302920048809</v>
      </c>
      <c r="BA97" s="137">
        <v>1</v>
      </c>
      <c r="BB97" s="137">
        <v>1</v>
      </c>
      <c r="BC97" s="137">
        <v>1</v>
      </c>
      <c r="BD97" s="137">
        <v>0</v>
      </c>
      <c r="BE97" s="137"/>
      <c r="BF97" s="137">
        <v>0</v>
      </c>
      <c r="BG97" s="145">
        <v>0</v>
      </c>
      <c r="BH97" s="153"/>
      <c r="BI97" s="938"/>
      <c r="BJ97" s="153"/>
      <c r="BK97" s="1443">
        <v>0</v>
      </c>
      <c r="BL97" s="905">
        <f t="shared" si="21"/>
        <v>2.9455302920048809</v>
      </c>
      <c r="BM97" s="1287">
        <f t="shared" si="13"/>
        <v>2.9455302920048809</v>
      </c>
      <c r="BN97" s="1393">
        <f t="shared" si="22"/>
        <v>3.0751784837997009E-2</v>
      </c>
      <c r="BO97" s="1377">
        <v>2.4</v>
      </c>
      <c r="BP97" s="208">
        <f t="shared" ref="BP97:BP160" si="23">+AY97/AY85-1</f>
        <v>3.0751784837997009E-2</v>
      </c>
      <c r="BQ97" s="1378">
        <f t="shared" si="17"/>
        <v>2.9498318553401672</v>
      </c>
      <c r="BR97" s="1378">
        <f t="shared" si="14"/>
        <v>2.519652485475695</v>
      </c>
      <c r="BS97" s="153">
        <v>0</v>
      </c>
      <c r="BU97" s="1389">
        <f t="shared" si="18"/>
        <v>38869</v>
      </c>
      <c r="BV97" s="1390">
        <v>2.3420775797749949</v>
      </c>
      <c r="BW97" s="1390">
        <v>1.9772754325514257</v>
      </c>
      <c r="BX97" s="1390"/>
      <c r="BY97" s="1390">
        <v>2.7441171673784548</v>
      </c>
      <c r="BZ97" s="1391">
        <v>2.3166933093741902</v>
      </c>
    </row>
    <row r="98" spans="1:78">
      <c r="A98" s="957"/>
      <c r="B98" s="951">
        <v>38292</v>
      </c>
      <c r="C98" s="952">
        <v>39.043985694686867</v>
      </c>
      <c r="D98" s="952"/>
      <c r="E98" s="952"/>
      <c r="F98" s="950"/>
      <c r="G98" s="952"/>
      <c r="H98" s="952"/>
      <c r="I98" s="952"/>
      <c r="J98" s="9"/>
      <c r="K98" s="944">
        <v>39173</v>
      </c>
      <c r="L98" s="953">
        <v>0</v>
      </c>
      <c r="M98" s="953">
        <v>0</v>
      </c>
      <c r="N98" s="953">
        <v>0</v>
      </c>
      <c r="O98" s="13"/>
      <c r="P98" s="953">
        <v>0</v>
      </c>
      <c r="Q98" s="953">
        <v>0</v>
      </c>
      <c r="R98" s="953">
        <v>0</v>
      </c>
      <c r="S98" s="13"/>
      <c r="T98" s="953">
        <v>0</v>
      </c>
      <c r="U98" s="953">
        <v>0</v>
      </c>
      <c r="V98" s="953">
        <v>0</v>
      </c>
      <c r="W98" s="13"/>
      <c r="X98" s="953">
        <v>0</v>
      </c>
      <c r="Y98" s="953">
        <v>0</v>
      </c>
      <c r="Z98" s="953">
        <v>0</v>
      </c>
      <c r="AA98" s="13">
        <v>0</v>
      </c>
      <c r="AB98" s="953">
        <v>0</v>
      </c>
      <c r="AC98" s="953">
        <v>0</v>
      </c>
      <c r="AD98" s="953">
        <v>0</v>
      </c>
      <c r="AE98" s="13"/>
      <c r="AF98" s="953">
        <v>0</v>
      </c>
      <c r="AG98" s="953">
        <v>0</v>
      </c>
      <c r="AH98" s="953">
        <v>0</v>
      </c>
      <c r="AI98" s="13"/>
      <c r="AJ98" s="953">
        <v>0</v>
      </c>
      <c r="AK98" s="953">
        <v>0</v>
      </c>
      <c r="AL98" s="953">
        <v>0</v>
      </c>
      <c r="AM98" s="1455"/>
      <c r="AN98" s="9">
        <v>30</v>
      </c>
      <c r="AO98" s="955">
        <v>0.35</v>
      </c>
      <c r="AP98" s="13"/>
      <c r="AQ98"/>
      <c r="AR98"/>
      <c r="AS98"/>
      <c r="AT98">
        <v>1</v>
      </c>
      <c r="AU98" t="str">
        <f t="shared" si="15"/>
        <v>2007Q3</v>
      </c>
      <c r="AV98">
        <f t="shared" si="16"/>
        <v>2007</v>
      </c>
      <c r="AW98" s="111">
        <f t="shared" si="12"/>
        <v>39326</v>
      </c>
      <c r="AX98" s="136">
        <f t="shared" si="19"/>
        <v>3.0730562030947071</v>
      </c>
      <c r="AY98" s="1541">
        <v>3.0730562030947071</v>
      </c>
      <c r="AZ98" s="136">
        <f t="shared" si="20"/>
        <v>3.0730562030947071</v>
      </c>
      <c r="BA98" s="137">
        <v>1</v>
      </c>
      <c r="BB98" s="137">
        <v>1</v>
      </c>
      <c r="BC98" s="137">
        <v>1</v>
      </c>
      <c r="BD98" s="137">
        <v>0</v>
      </c>
      <c r="BE98" s="137"/>
      <c r="BF98" s="137">
        <v>0</v>
      </c>
      <c r="BG98" s="145">
        <v>0</v>
      </c>
      <c r="BH98" s="153"/>
      <c r="BI98" s="938"/>
      <c r="BJ98" s="153"/>
      <c r="BK98" s="1443">
        <v>0</v>
      </c>
      <c r="BL98" s="905">
        <f t="shared" si="21"/>
        <v>3.0730562030947071</v>
      </c>
      <c r="BM98" s="1287">
        <f t="shared" si="13"/>
        <v>3.0730562030947071</v>
      </c>
      <c r="BN98" s="1393">
        <f t="shared" si="22"/>
        <v>3.0751784837997231E-2</v>
      </c>
      <c r="BO98" s="1377">
        <v>2.4</v>
      </c>
      <c r="BP98" s="208">
        <f t="shared" si="23"/>
        <v>3.0751784837997231E-2</v>
      </c>
      <c r="BQ98" s="1378">
        <f t="shared" si="17"/>
        <v>3.0492193051067815</v>
      </c>
      <c r="BR98" s="1378">
        <f t="shared" si="14"/>
        <v>2.5906446100523794</v>
      </c>
      <c r="BS98" s="153">
        <v>0</v>
      </c>
      <c r="BU98" s="1389">
        <f t="shared" si="18"/>
        <v>38899</v>
      </c>
      <c r="BV98" s="1390">
        <v>2.3720553598393677</v>
      </c>
      <c r="BW98" s="1390">
        <v>2.007855439241149</v>
      </c>
      <c r="BX98" s="1390"/>
      <c r="BY98" s="1390">
        <v>2.7792409146124997</v>
      </c>
      <c r="BZ98" s="1391">
        <v>2.3525226610833165</v>
      </c>
    </row>
    <row r="99" spans="1:78">
      <c r="A99" s="957"/>
      <c r="B99" s="951">
        <v>38322</v>
      </c>
      <c r="C99" s="952">
        <v>41.206291341671239</v>
      </c>
      <c r="D99" s="952"/>
      <c r="E99" s="952"/>
      <c r="F99" s="950"/>
      <c r="G99" s="952"/>
      <c r="H99" s="952"/>
      <c r="I99" s="952"/>
      <c r="J99" s="9"/>
      <c r="K99" s="944">
        <v>39203</v>
      </c>
      <c r="L99" s="953">
        <v>0</v>
      </c>
      <c r="M99" s="953">
        <v>0</v>
      </c>
      <c r="N99" s="953">
        <v>0</v>
      </c>
      <c r="O99" s="13"/>
      <c r="P99" s="953">
        <v>0</v>
      </c>
      <c r="Q99" s="953">
        <v>0</v>
      </c>
      <c r="R99" s="953">
        <v>0</v>
      </c>
      <c r="S99" s="13"/>
      <c r="T99" s="953">
        <v>0</v>
      </c>
      <c r="U99" s="953">
        <v>0</v>
      </c>
      <c r="V99" s="953">
        <v>0</v>
      </c>
      <c r="W99" s="13"/>
      <c r="X99" s="953">
        <v>0</v>
      </c>
      <c r="Y99" s="953">
        <v>0</v>
      </c>
      <c r="Z99" s="953">
        <v>0</v>
      </c>
      <c r="AA99" s="13">
        <v>0</v>
      </c>
      <c r="AB99" s="953">
        <v>0</v>
      </c>
      <c r="AC99" s="953">
        <v>0</v>
      </c>
      <c r="AD99" s="953">
        <v>0</v>
      </c>
      <c r="AE99" s="13"/>
      <c r="AF99" s="953">
        <v>0</v>
      </c>
      <c r="AG99" s="953">
        <v>0</v>
      </c>
      <c r="AH99" s="953">
        <v>0</v>
      </c>
      <c r="AI99" s="13"/>
      <c r="AJ99" s="953">
        <v>0</v>
      </c>
      <c r="AK99" s="953">
        <v>0</v>
      </c>
      <c r="AL99" s="953">
        <v>0</v>
      </c>
      <c r="AM99" s="1455"/>
      <c r="AN99" s="9">
        <v>30</v>
      </c>
      <c r="AO99" s="955">
        <v>0.35</v>
      </c>
      <c r="AP99" s="13"/>
      <c r="AQ99"/>
      <c r="AR99"/>
      <c r="AS99"/>
      <c r="AT99">
        <v>1</v>
      </c>
      <c r="AU99" t="str">
        <f t="shared" si="15"/>
        <v>2007Q4</v>
      </c>
      <c r="AV99">
        <f t="shared" si="16"/>
        <v>2007</v>
      </c>
      <c r="AW99" s="111">
        <f t="shared" si="12"/>
        <v>39356</v>
      </c>
      <c r="AX99" s="136">
        <f t="shared" si="19"/>
        <v>3.2096210285614895</v>
      </c>
      <c r="AY99" s="1541">
        <v>3.2096210285614895</v>
      </c>
      <c r="AZ99" s="136">
        <f t="shared" si="20"/>
        <v>3.2096210285614895</v>
      </c>
      <c r="BA99" s="137">
        <v>1</v>
      </c>
      <c r="BB99" s="137">
        <v>1</v>
      </c>
      <c r="BC99" s="137">
        <v>1</v>
      </c>
      <c r="BD99" s="137">
        <v>0</v>
      </c>
      <c r="BE99" s="137"/>
      <c r="BF99" s="137">
        <v>0</v>
      </c>
      <c r="BG99" s="145">
        <v>0</v>
      </c>
      <c r="BH99" s="153"/>
      <c r="BI99" s="938"/>
      <c r="BJ99" s="153"/>
      <c r="BK99" s="1443">
        <v>0</v>
      </c>
      <c r="BL99" s="905">
        <f t="shared" si="21"/>
        <v>3.2096210285614895</v>
      </c>
      <c r="BM99" s="1287">
        <f t="shared" si="13"/>
        <v>3.2096210285614895</v>
      </c>
      <c r="BN99" s="1393">
        <f t="shared" si="22"/>
        <v>3.0751784837997009E-2</v>
      </c>
      <c r="BO99" s="1377">
        <v>2.4</v>
      </c>
      <c r="BP99" s="208">
        <f t="shared" si="23"/>
        <v>3.0751784837997009E-2</v>
      </c>
      <c r="BQ99" s="1378">
        <f t="shared" si="17"/>
        <v>3.180089735855367</v>
      </c>
      <c r="BR99" s="1378">
        <f t="shared" si="14"/>
        <v>2.665612293605359</v>
      </c>
      <c r="BS99" s="153">
        <v>0</v>
      </c>
      <c r="BU99" s="1389">
        <f t="shared" si="18"/>
        <v>38930</v>
      </c>
      <c r="BV99" s="1390">
        <v>2.4279461362305703</v>
      </c>
      <c r="BW99" s="1390">
        <v>2.0555787830145054</v>
      </c>
      <c r="BX99" s="1390"/>
      <c r="BY99" s="1390">
        <v>2.8447258670827522</v>
      </c>
      <c r="BZ99" s="1391">
        <v>2.4084381645081656</v>
      </c>
    </row>
    <row r="100" spans="1:78">
      <c r="A100" s="957"/>
      <c r="B100" s="951">
        <v>38353</v>
      </c>
      <c r="C100" s="952">
        <v>38.500919492176237</v>
      </c>
      <c r="D100" s="952"/>
      <c r="E100" s="952"/>
      <c r="F100" s="950"/>
      <c r="G100" s="952"/>
      <c r="H100" s="952"/>
      <c r="I100" s="952"/>
      <c r="J100" s="9"/>
      <c r="K100" s="944">
        <v>39234</v>
      </c>
      <c r="L100" s="953">
        <v>0</v>
      </c>
      <c r="M100" s="953">
        <v>0</v>
      </c>
      <c r="N100" s="953">
        <v>0</v>
      </c>
      <c r="O100" s="13"/>
      <c r="P100" s="953">
        <v>0</v>
      </c>
      <c r="Q100" s="953">
        <v>0</v>
      </c>
      <c r="R100" s="953">
        <v>0</v>
      </c>
      <c r="S100" s="13"/>
      <c r="T100" s="953">
        <v>0</v>
      </c>
      <c r="U100" s="953">
        <v>0</v>
      </c>
      <c r="V100" s="953">
        <v>0</v>
      </c>
      <c r="W100" s="13"/>
      <c r="X100" s="953">
        <v>0</v>
      </c>
      <c r="Y100" s="953">
        <v>0</v>
      </c>
      <c r="Z100" s="953">
        <v>0</v>
      </c>
      <c r="AA100" s="13">
        <v>0</v>
      </c>
      <c r="AB100" s="953">
        <v>0</v>
      </c>
      <c r="AC100" s="953">
        <v>0</v>
      </c>
      <c r="AD100" s="953">
        <v>0</v>
      </c>
      <c r="AE100" s="13"/>
      <c r="AF100" s="953">
        <v>0</v>
      </c>
      <c r="AG100" s="953">
        <v>0</v>
      </c>
      <c r="AH100" s="953">
        <v>0</v>
      </c>
      <c r="AI100" s="13"/>
      <c r="AJ100" s="953">
        <v>0</v>
      </c>
      <c r="AK100" s="953">
        <v>0</v>
      </c>
      <c r="AL100" s="953">
        <v>0</v>
      </c>
      <c r="AM100" s="1455"/>
      <c r="AN100" s="9">
        <v>31</v>
      </c>
      <c r="AO100" s="955">
        <v>0.35</v>
      </c>
      <c r="AP100" s="13"/>
      <c r="AQ100"/>
      <c r="AR100"/>
      <c r="AS100"/>
      <c r="AT100">
        <v>1</v>
      </c>
      <c r="AU100" t="str">
        <f t="shared" si="15"/>
        <v>2007Q4</v>
      </c>
      <c r="AV100">
        <f t="shared" si="16"/>
        <v>2007</v>
      </c>
      <c r="AW100" s="111">
        <f t="shared" si="12"/>
        <v>39387</v>
      </c>
      <c r="AX100" s="136">
        <f t="shared" si="19"/>
        <v>3.3442876078548012</v>
      </c>
      <c r="AY100" s="1541">
        <v>3.3442876078548012</v>
      </c>
      <c r="AZ100" s="136">
        <f t="shared" si="20"/>
        <v>3.3442876078548012</v>
      </c>
      <c r="BA100" s="137">
        <v>1</v>
      </c>
      <c r="BB100" s="137">
        <v>1</v>
      </c>
      <c r="BC100" s="137">
        <v>1</v>
      </c>
      <c r="BD100" s="137">
        <v>0</v>
      </c>
      <c r="BE100" s="137"/>
      <c r="BF100" s="137">
        <v>0</v>
      </c>
      <c r="BG100" s="145">
        <v>0</v>
      </c>
      <c r="BH100" s="153"/>
      <c r="BI100" s="938"/>
      <c r="BJ100" s="153"/>
      <c r="BK100" s="1443">
        <v>0</v>
      </c>
      <c r="BL100" s="905">
        <f t="shared" si="21"/>
        <v>3.3442876078548012</v>
      </c>
      <c r="BM100" s="1287">
        <f t="shared" si="13"/>
        <v>3.3442876078548012</v>
      </c>
      <c r="BN100" s="1393">
        <f t="shared" si="22"/>
        <v>3.0751784837997231E-2</v>
      </c>
      <c r="BO100" s="1377">
        <v>2.4</v>
      </c>
      <c r="BP100" s="208">
        <f t="shared" si="23"/>
        <v>3.0751784837997231E-2</v>
      </c>
      <c r="BQ100" s="1378">
        <f t="shared" si="17"/>
        <v>3.3424431475859242</v>
      </c>
      <c r="BR100" s="1378">
        <f t="shared" si="14"/>
        <v>2.7360364811854314</v>
      </c>
      <c r="BS100" s="153">
        <v>0</v>
      </c>
      <c r="BU100" s="1389">
        <f t="shared" si="18"/>
        <v>38961</v>
      </c>
      <c r="BV100" s="1390">
        <v>2.5097499089486037</v>
      </c>
      <c r="BW100" s="1390">
        <v>2.1134954623511022</v>
      </c>
      <c r="BX100" s="1390"/>
      <c r="BY100" s="1390">
        <v>2.9405720247892133</v>
      </c>
      <c r="BZ100" s="1391">
        <v>2.4762967851693896</v>
      </c>
    </row>
    <row r="101" spans="1:78">
      <c r="A101" s="957"/>
      <c r="B101" s="951">
        <v>38384</v>
      </c>
      <c r="C101" s="952">
        <v>31.874665451494607</v>
      </c>
      <c r="D101" s="952"/>
      <c r="E101" s="952"/>
      <c r="F101" s="950"/>
      <c r="G101" s="952"/>
      <c r="H101" s="952"/>
      <c r="I101" s="952"/>
      <c r="J101" s="9"/>
      <c r="K101" s="944">
        <v>39264</v>
      </c>
      <c r="L101" s="953">
        <v>0</v>
      </c>
      <c r="M101" s="953">
        <v>0</v>
      </c>
      <c r="N101" s="953">
        <v>0</v>
      </c>
      <c r="O101" s="13"/>
      <c r="P101" s="953">
        <v>0</v>
      </c>
      <c r="Q101" s="953">
        <v>0</v>
      </c>
      <c r="R101" s="953">
        <v>0</v>
      </c>
      <c r="S101" s="13"/>
      <c r="T101" s="953">
        <v>0</v>
      </c>
      <c r="U101" s="953">
        <v>0</v>
      </c>
      <c r="V101" s="953">
        <v>0</v>
      </c>
      <c r="W101" s="13"/>
      <c r="X101" s="953">
        <v>0</v>
      </c>
      <c r="Y101" s="953">
        <v>0</v>
      </c>
      <c r="Z101" s="953">
        <v>0</v>
      </c>
      <c r="AA101" s="13">
        <v>0</v>
      </c>
      <c r="AB101" s="953">
        <v>0</v>
      </c>
      <c r="AC101" s="953">
        <v>0</v>
      </c>
      <c r="AD101" s="953">
        <v>0</v>
      </c>
      <c r="AE101" s="13"/>
      <c r="AF101" s="953">
        <v>0</v>
      </c>
      <c r="AG101" s="953">
        <v>0</v>
      </c>
      <c r="AH101" s="953">
        <v>0</v>
      </c>
      <c r="AI101" s="13"/>
      <c r="AJ101" s="953">
        <v>0</v>
      </c>
      <c r="AK101" s="953">
        <v>0</v>
      </c>
      <c r="AL101" s="953">
        <v>0</v>
      </c>
      <c r="AM101" s="1455"/>
      <c r="AN101" s="9">
        <v>31</v>
      </c>
      <c r="AO101" s="955">
        <v>0.35</v>
      </c>
      <c r="AP101" s="13"/>
      <c r="AQ101"/>
      <c r="AR101"/>
      <c r="AS101"/>
      <c r="AT101">
        <v>1</v>
      </c>
      <c r="AU101" t="str">
        <f t="shared" si="15"/>
        <v>2007Q4</v>
      </c>
      <c r="AV101">
        <f t="shared" si="16"/>
        <v>2007</v>
      </c>
      <c r="AW101" s="111">
        <f t="shared" si="12"/>
        <v>39417</v>
      </c>
      <c r="AX101" s="136">
        <f t="shared" si="19"/>
        <v>3.4865372199844473</v>
      </c>
      <c r="AY101" s="1541">
        <v>3.4865372199844473</v>
      </c>
      <c r="AZ101" s="136">
        <f t="shared" si="20"/>
        <v>3.4865372199844473</v>
      </c>
      <c r="BA101" s="137">
        <v>1</v>
      </c>
      <c r="BB101" s="137">
        <v>1</v>
      </c>
      <c r="BC101" s="137">
        <v>1</v>
      </c>
      <c r="BD101" s="137">
        <v>0</v>
      </c>
      <c r="BE101" s="137"/>
      <c r="BF101" s="137">
        <v>0</v>
      </c>
      <c r="BG101" s="145">
        <v>0</v>
      </c>
      <c r="BH101" s="153"/>
      <c r="BI101" s="938"/>
      <c r="BJ101" s="153"/>
      <c r="BK101" s="1443">
        <v>0</v>
      </c>
      <c r="BL101" s="905">
        <f t="shared" si="21"/>
        <v>3.4865372199844473</v>
      </c>
      <c r="BM101" s="1287">
        <f t="shared" si="13"/>
        <v>3.4865372199844473</v>
      </c>
      <c r="BN101" s="1393">
        <f t="shared" si="22"/>
        <v>3.0751784837997009E-2</v>
      </c>
      <c r="BO101" s="1377">
        <v>2.4</v>
      </c>
      <c r="BP101" s="208">
        <f t="shared" si="23"/>
        <v>3.0751784837997009E-2</v>
      </c>
      <c r="BQ101" s="1378">
        <f t="shared" si="17"/>
        <v>3.4130514488549015</v>
      </c>
      <c r="BR101" s="1378">
        <f t="shared" si="14"/>
        <v>2.7933981178433909</v>
      </c>
      <c r="BS101" s="153">
        <v>0</v>
      </c>
      <c r="BU101" s="1389">
        <f t="shared" si="18"/>
        <v>38991</v>
      </c>
      <c r="BV101" s="1390">
        <v>2.617466677993467</v>
      </c>
      <c r="BW101" s="1390">
        <v>2.1746554757305492</v>
      </c>
      <c r="BX101" s="1390"/>
      <c r="BY101" s="1390">
        <v>3.0667793877318816</v>
      </c>
      <c r="BZ101" s="1391">
        <v>2.5479554885876423</v>
      </c>
    </row>
    <row r="102" spans="1:78">
      <c r="A102" s="957"/>
      <c r="B102" s="951">
        <v>38412</v>
      </c>
      <c r="C102" s="952">
        <v>28.05787239467265</v>
      </c>
      <c r="D102" s="952"/>
      <c r="E102" s="952"/>
      <c r="F102" s="950"/>
      <c r="G102" s="952"/>
      <c r="H102" s="952"/>
      <c r="I102" s="952"/>
      <c r="J102" s="9"/>
      <c r="K102" s="944">
        <v>39295</v>
      </c>
      <c r="L102" s="953">
        <v>0</v>
      </c>
      <c r="M102" s="953">
        <v>0</v>
      </c>
      <c r="N102" s="953">
        <v>0</v>
      </c>
      <c r="O102" s="13"/>
      <c r="P102" s="953">
        <v>0</v>
      </c>
      <c r="Q102" s="953">
        <v>0</v>
      </c>
      <c r="R102" s="953">
        <v>0</v>
      </c>
      <c r="S102" s="13"/>
      <c r="T102" s="953">
        <v>0</v>
      </c>
      <c r="U102" s="953">
        <v>0</v>
      </c>
      <c r="V102" s="953">
        <v>0</v>
      </c>
      <c r="W102" s="13"/>
      <c r="X102" s="953">
        <v>0</v>
      </c>
      <c r="Y102" s="953">
        <v>0</v>
      </c>
      <c r="Z102" s="953">
        <v>0</v>
      </c>
      <c r="AA102" s="13">
        <v>0</v>
      </c>
      <c r="AB102" s="953">
        <v>0</v>
      </c>
      <c r="AC102" s="953">
        <v>0</v>
      </c>
      <c r="AD102" s="953">
        <v>0</v>
      </c>
      <c r="AE102" s="13"/>
      <c r="AF102" s="953">
        <v>0</v>
      </c>
      <c r="AG102" s="953">
        <v>0</v>
      </c>
      <c r="AH102" s="953">
        <v>0</v>
      </c>
      <c r="AI102" s="13"/>
      <c r="AJ102" s="953">
        <v>0</v>
      </c>
      <c r="AK102" s="953">
        <v>0</v>
      </c>
      <c r="AL102" s="953">
        <v>0</v>
      </c>
      <c r="AM102" s="1455"/>
      <c r="AN102" s="9">
        <v>31</v>
      </c>
      <c r="AO102" s="955">
        <v>0.35</v>
      </c>
      <c r="AP102" s="13"/>
      <c r="AQ102"/>
      <c r="AR102"/>
      <c r="AS102"/>
      <c r="AT102">
        <v>1</v>
      </c>
      <c r="AU102" t="str">
        <f t="shared" si="15"/>
        <v>2008Q1</v>
      </c>
      <c r="AV102">
        <f t="shared" si="16"/>
        <v>2008</v>
      </c>
      <c r="AW102" s="111">
        <f t="shared" si="12"/>
        <v>39448</v>
      </c>
      <c r="AX102" s="136">
        <f t="shared" si="19"/>
        <v>3.341436315830201</v>
      </c>
      <c r="AY102" s="1541">
        <v>3.341436315830201</v>
      </c>
      <c r="AZ102" s="136">
        <f t="shared" si="20"/>
        <v>3.341436315830201</v>
      </c>
      <c r="BA102" s="137">
        <v>1</v>
      </c>
      <c r="BB102" s="137">
        <v>1</v>
      </c>
      <c r="BC102" s="137">
        <v>1</v>
      </c>
      <c r="BD102" s="137">
        <v>0</v>
      </c>
      <c r="BE102" s="137"/>
      <c r="BF102" s="137">
        <v>0</v>
      </c>
      <c r="BG102" s="145">
        <v>0</v>
      </c>
      <c r="BH102" s="153"/>
      <c r="BI102" s="938"/>
      <c r="BJ102" s="153"/>
      <c r="BK102" s="1443">
        <v>0</v>
      </c>
      <c r="BL102" s="905">
        <f t="shared" si="21"/>
        <v>3.341436315830201</v>
      </c>
      <c r="BM102" s="1287">
        <f t="shared" si="13"/>
        <v>3.341436315830201</v>
      </c>
      <c r="BN102" s="1393">
        <f t="shared" si="22"/>
        <v>2.986189785493143E-2</v>
      </c>
      <c r="BO102" s="1377">
        <v>2.4</v>
      </c>
      <c r="BP102" s="208">
        <f t="shared" si="23"/>
        <v>2.986189785493143E-2</v>
      </c>
      <c r="BQ102" s="1378">
        <f t="shared" si="17"/>
        <v>3.3848900353952573</v>
      </c>
      <c r="BR102" s="1378">
        <f t="shared" si="14"/>
        <v>2.9742627989171515</v>
      </c>
      <c r="BS102" s="153">
        <v>0</v>
      </c>
      <c r="BU102" s="1389">
        <f t="shared" si="18"/>
        <v>39022</v>
      </c>
      <c r="BV102" s="1390">
        <v>2.7510964433651619</v>
      </c>
      <c r="BW102" s="1390">
        <v>2.2321088216324543</v>
      </c>
      <c r="BX102" s="1390"/>
      <c r="BY102" s="1390">
        <v>3.2233479559107598</v>
      </c>
      <c r="BZ102" s="1391">
        <v>2.6152712402835778</v>
      </c>
    </row>
    <row r="103" spans="1:78">
      <c r="A103" s="957"/>
      <c r="B103" s="951">
        <v>38443</v>
      </c>
      <c r="C103" s="952">
        <v>28.794482790257799</v>
      </c>
      <c r="D103" s="952"/>
      <c r="E103" s="952"/>
      <c r="F103" s="950"/>
      <c r="G103" s="952"/>
      <c r="H103" s="952"/>
      <c r="I103" s="952"/>
      <c r="J103" s="9"/>
      <c r="K103" s="944">
        <v>39326</v>
      </c>
      <c r="L103" s="953">
        <v>0</v>
      </c>
      <c r="M103" s="953">
        <v>0</v>
      </c>
      <c r="N103" s="953">
        <v>0</v>
      </c>
      <c r="O103" s="13"/>
      <c r="P103" s="953">
        <v>0</v>
      </c>
      <c r="Q103" s="953">
        <v>0</v>
      </c>
      <c r="R103" s="953">
        <v>0</v>
      </c>
      <c r="S103" s="13"/>
      <c r="T103" s="953">
        <v>0</v>
      </c>
      <c r="U103" s="953">
        <v>0</v>
      </c>
      <c r="V103" s="953">
        <v>0</v>
      </c>
      <c r="W103" s="13"/>
      <c r="X103" s="953">
        <v>0</v>
      </c>
      <c r="Y103" s="953">
        <v>0</v>
      </c>
      <c r="Z103" s="953">
        <v>0</v>
      </c>
      <c r="AA103" s="13">
        <v>0</v>
      </c>
      <c r="AB103" s="953">
        <v>0</v>
      </c>
      <c r="AC103" s="953">
        <v>0</v>
      </c>
      <c r="AD103" s="953">
        <v>0</v>
      </c>
      <c r="AE103" s="13"/>
      <c r="AF103" s="953">
        <v>0</v>
      </c>
      <c r="AG103" s="953">
        <v>0</v>
      </c>
      <c r="AH103" s="953">
        <v>0</v>
      </c>
      <c r="AI103" s="13"/>
      <c r="AJ103" s="953">
        <v>0</v>
      </c>
      <c r="AK103" s="953">
        <v>0</v>
      </c>
      <c r="AL103" s="953">
        <v>0</v>
      </c>
      <c r="AM103" s="1455"/>
      <c r="AN103" s="9">
        <v>32</v>
      </c>
      <c r="AO103" s="955">
        <v>0.35</v>
      </c>
      <c r="AP103" s="13"/>
      <c r="AQ103"/>
      <c r="AR103"/>
      <c r="AS103"/>
      <c r="AT103">
        <v>1</v>
      </c>
      <c r="AU103" t="str">
        <f t="shared" si="15"/>
        <v>2008Q1</v>
      </c>
      <c r="AV103">
        <f t="shared" si="16"/>
        <v>2008</v>
      </c>
      <c r="AW103" s="111">
        <f t="shared" si="12"/>
        <v>39479</v>
      </c>
      <c r="AX103" s="136">
        <f t="shared" si="19"/>
        <v>3.0862081658651079</v>
      </c>
      <c r="AY103" s="1541">
        <v>3.0862081658651079</v>
      </c>
      <c r="AZ103" s="136">
        <f t="shared" si="20"/>
        <v>3.0862081658651079</v>
      </c>
      <c r="BA103" s="137">
        <v>1</v>
      </c>
      <c r="BB103" s="137">
        <v>1</v>
      </c>
      <c r="BC103" s="137">
        <v>1</v>
      </c>
      <c r="BD103" s="137">
        <v>0</v>
      </c>
      <c r="BE103" s="137"/>
      <c r="BF103" s="137">
        <v>0</v>
      </c>
      <c r="BG103" s="145">
        <v>0</v>
      </c>
      <c r="BH103" s="153"/>
      <c r="BI103" s="938"/>
      <c r="BJ103" s="153"/>
      <c r="BK103" s="1443">
        <v>0</v>
      </c>
      <c r="BL103" s="905">
        <f t="shared" si="21"/>
        <v>3.0862081658651079</v>
      </c>
      <c r="BM103" s="1287">
        <f t="shared" si="13"/>
        <v>3.0862081658651079</v>
      </c>
      <c r="BN103" s="1393">
        <f t="shared" si="22"/>
        <v>2.986189785493143E-2</v>
      </c>
      <c r="BO103" s="1377">
        <v>2.4</v>
      </c>
      <c r="BP103" s="208">
        <f t="shared" si="23"/>
        <v>2.986189785493143E-2</v>
      </c>
      <c r="BQ103" s="1378">
        <f t="shared" si="17"/>
        <v>3.129484734228011</v>
      </c>
      <c r="BR103" s="1378">
        <f t="shared" si="14"/>
        <v>2.7703472228678248</v>
      </c>
      <c r="BS103" s="153">
        <v>0</v>
      </c>
      <c r="BU103" s="1389">
        <f t="shared" si="18"/>
        <v>39052</v>
      </c>
      <c r="BV103" s="1390">
        <v>2.8092126888526687</v>
      </c>
      <c r="BW103" s="1390">
        <v>2.2789054985364237</v>
      </c>
      <c r="BX103" s="1390"/>
      <c r="BY103" s="1390">
        <v>3.2914404001248276</v>
      </c>
      <c r="BZ103" s="1391">
        <v>2.6701010057778456</v>
      </c>
    </row>
    <row r="104" spans="1:78">
      <c r="A104" s="957"/>
      <c r="B104" s="951">
        <v>38473</v>
      </c>
      <c r="C104" s="952">
        <v>29.241568196812558</v>
      </c>
      <c r="D104" s="952"/>
      <c r="E104" s="952"/>
      <c r="F104" s="950"/>
      <c r="G104" s="952"/>
      <c r="H104" s="952"/>
      <c r="I104" s="952"/>
      <c r="J104" s="9"/>
      <c r="K104" s="944">
        <v>39356</v>
      </c>
      <c r="L104" s="953">
        <v>0</v>
      </c>
      <c r="M104" s="953">
        <v>0</v>
      </c>
      <c r="N104" s="953">
        <v>0</v>
      </c>
      <c r="O104" s="13"/>
      <c r="P104" s="953">
        <v>0</v>
      </c>
      <c r="Q104" s="953">
        <v>0</v>
      </c>
      <c r="R104" s="953">
        <v>0</v>
      </c>
      <c r="S104" s="13"/>
      <c r="T104" s="953">
        <v>0</v>
      </c>
      <c r="U104" s="953">
        <v>0</v>
      </c>
      <c r="V104" s="953">
        <v>0</v>
      </c>
      <c r="W104" s="13"/>
      <c r="X104" s="953">
        <v>0</v>
      </c>
      <c r="Y104" s="953">
        <v>0</v>
      </c>
      <c r="Z104" s="953">
        <v>0</v>
      </c>
      <c r="AA104" s="13">
        <v>0</v>
      </c>
      <c r="AB104" s="953">
        <v>0</v>
      </c>
      <c r="AC104" s="953">
        <v>0</v>
      </c>
      <c r="AD104" s="953">
        <v>0</v>
      </c>
      <c r="AE104" s="13"/>
      <c r="AF104" s="953">
        <v>0</v>
      </c>
      <c r="AG104" s="953">
        <v>0</v>
      </c>
      <c r="AH104" s="953">
        <v>0</v>
      </c>
      <c r="AI104" s="13"/>
      <c r="AJ104" s="953">
        <v>0</v>
      </c>
      <c r="AK104" s="953">
        <v>0</v>
      </c>
      <c r="AL104" s="953">
        <v>0</v>
      </c>
      <c r="AM104" s="1455"/>
      <c r="AN104" s="9">
        <v>32</v>
      </c>
      <c r="AO104" s="955">
        <v>0.35</v>
      </c>
      <c r="AP104" s="13"/>
      <c r="AQ104"/>
      <c r="AR104"/>
      <c r="AS104"/>
      <c r="AT104">
        <v>1</v>
      </c>
      <c r="AU104" t="str">
        <f t="shared" si="15"/>
        <v>2008Q1</v>
      </c>
      <c r="AV104">
        <f t="shared" si="16"/>
        <v>2008</v>
      </c>
      <c r="AW104" s="111">
        <f t="shared" si="12"/>
        <v>39508</v>
      </c>
      <c r="AX104" s="136">
        <f t="shared" si="19"/>
        <v>2.9206882298267671</v>
      </c>
      <c r="AY104" s="1541">
        <v>2.9206882298267671</v>
      </c>
      <c r="AZ104" s="136">
        <f t="shared" si="20"/>
        <v>2.9206882298267671</v>
      </c>
      <c r="BA104" s="137">
        <v>1</v>
      </c>
      <c r="BB104" s="137">
        <v>1</v>
      </c>
      <c r="BC104" s="137">
        <v>1</v>
      </c>
      <c r="BD104" s="137">
        <v>0</v>
      </c>
      <c r="BE104" s="137"/>
      <c r="BF104" s="137">
        <v>0</v>
      </c>
      <c r="BG104" s="145">
        <v>0</v>
      </c>
      <c r="BH104" s="153"/>
      <c r="BI104" s="938"/>
      <c r="BJ104" s="153"/>
      <c r="BK104" s="1443">
        <v>0</v>
      </c>
      <c r="BL104" s="905">
        <f t="shared" si="21"/>
        <v>2.9206882298267671</v>
      </c>
      <c r="BM104" s="1287">
        <f t="shared" si="13"/>
        <v>2.9206882298267671</v>
      </c>
      <c r="BN104" s="1393">
        <f t="shared" si="22"/>
        <v>2.991773501902717E-2</v>
      </c>
      <c r="BO104" s="1377">
        <v>2.4</v>
      </c>
      <c r="BP104" s="208">
        <f t="shared" si="23"/>
        <v>2.991773501902717E-2</v>
      </c>
      <c r="BQ104" s="1378">
        <f t="shared" si="17"/>
        <v>3.0365646387098257</v>
      </c>
      <c r="BR104" s="1378">
        <f t="shared" si="14"/>
        <v>2.6328227646019995</v>
      </c>
      <c r="BS104" s="153">
        <v>0</v>
      </c>
      <c r="BU104" s="1389">
        <f t="shared" si="18"/>
        <v>39083</v>
      </c>
      <c r="BV104" s="1390">
        <v>2.7283937380359822</v>
      </c>
      <c r="BW104" s="1390">
        <v>2.3844377877716525</v>
      </c>
      <c r="BX104" s="1390"/>
      <c r="BY104" s="1390">
        <v>3.2606830806024503</v>
      </c>
      <c r="BZ104" s="1391">
        <v>2.8496238805081244</v>
      </c>
    </row>
    <row r="105" spans="1:78">
      <c r="A105" s="957"/>
      <c r="B105" s="951">
        <v>38504</v>
      </c>
      <c r="C105" s="952">
        <v>27.319777951800653</v>
      </c>
      <c r="D105" s="952"/>
      <c r="E105" s="952"/>
      <c r="F105" s="950"/>
      <c r="G105" s="952"/>
      <c r="H105" s="952"/>
      <c r="I105" s="952"/>
      <c r="J105" s="9"/>
      <c r="K105" s="944">
        <v>39387</v>
      </c>
      <c r="L105" s="953">
        <v>0</v>
      </c>
      <c r="M105" s="953">
        <v>0</v>
      </c>
      <c r="N105" s="953">
        <v>0</v>
      </c>
      <c r="O105" s="13"/>
      <c r="P105" s="953">
        <v>0</v>
      </c>
      <c r="Q105" s="953">
        <v>0</v>
      </c>
      <c r="R105" s="953">
        <v>0</v>
      </c>
      <c r="S105" s="13"/>
      <c r="T105" s="953">
        <v>0</v>
      </c>
      <c r="U105" s="953">
        <v>0</v>
      </c>
      <c r="V105" s="953">
        <v>0</v>
      </c>
      <c r="W105" s="13"/>
      <c r="X105" s="953">
        <v>0</v>
      </c>
      <c r="Y105" s="953">
        <v>0</v>
      </c>
      <c r="Z105" s="953">
        <v>0</v>
      </c>
      <c r="AA105" s="13">
        <v>0</v>
      </c>
      <c r="AB105" s="953">
        <v>0</v>
      </c>
      <c r="AC105" s="953">
        <v>0</v>
      </c>
      <c r="AD105" s="953">
        <v>0</v>
      </c>
      <c r="AE105" s="13"/>
      <c r="AF105" s="953">
        <v>0</v>
      </c>
      <c r="AG105" s="953">
        <v>0</v>
      </c>
      <c r="AH105" s="953">
        <v>0</v>
      </c>
      <c r="AI105" s="13"/>
      <c r="AJ105" s="953">
        <v>0</v>
      </c>
      <c r="AK105" s="953">
        <v>0</v>
      </c>
      <c r="AL105" s="953">
        <v>0</v>
      </c>
      <c r="AM105" s="1455"/>
      <c r="AN105" s="9">
        <v>32</v>
      </c>
      <c r="AO105" s="955">
        <v>0.35</v>
      </c>
      <c r="AP105" s="13"/>
      <c r="AQ105"/>
      <c r="AR105"/>
      <c r="AS105"/>
      <c r="AT105">
        <v>1</v>
      </c>
      <c r="AU105" t="str">
        <f t="shared" si="15"/>
        <v>2008Q2</v>
      </c>
      <c r="AV105">
        <f t="shared" si="16"/>
        <v>2008</v>
      </c>
      <c r="AW105" s="111">
        <f t="shared" si="12"/>
        <v>39539</v>
      </c>
      <c r="AX105" s="136">
        <f t="shared" si="19"/>
        <v>2.8330654979333523</v>
      </c>
      <c r="AY105" s="1541">
        <v>2.8330654979333523</v>
      </c>
      <c r="AZ105" s="136">
        <f t="shared" si="20"/>
        <v>2.8330654979333523</v>
      </c>
      <c r="BA105" s="137">
        <v>1</v>
      </c>
      <c r="BB105" s="137">
        <v>1</v>
      </c>
      <c r="BC105" s="137">
        <v>1</v>
      </c>
      <c r="BD105" s="137">
        <v>0</v>
      </c>
      <c r="BE105" s="137"/>
      <c r="BF105" s="137">
        <v>0</v>
      </c>
      <c r="BG105" s="145">
        <v>0</v>
      </c>
      <c r="BH105" s="153"/>
      <c r="BI105" s="938"/>
      <c r="BJ105" s="153"/>
      <c r="BK105" s="1443">
        <v>0</v>
      </c>
      <c r="BL105" s="905">
        <f t="shared" si="21"/>
        <v>2.8330654979333523</v>
      </c>
      <c r="BM105" s="1287">
        <f t="shared" si="13"/>
        <v>2.8330654979333523</v>
      </c>
      <c r="BN105" s="1393">
        <f t="shared" si="22"/>
        <v>2.9917735019027392E-2</v>
      </c>
      <c r="BO105" s="1377">
        <v>2.4</v>
      </c>
      <c r="BP105" s="208">
        <f t="shared" si="23"/>
        <v>2.9917735019027392E-2</v>
      </c>
      <c r="BQ105" s="1378">
        <f t="shared" si="17"/>
        <v>2.9763267836842431</v>
      </c>
      <c r="BR105" s="1378">
        <f t="shared" si="14"/>
        <v>2.5527977565593853</v>
      </c>
      <c r="BS105" s="153">
        <v>0</v>
      </c>
      <c r="BU105" s="1389">
        <f t="shared" si="18"/>
        <v>39114</v>
      </c>
      <c r="BV105" s="1390">
        <v>2.5225240592342786</v>
      </c>
      <c r="BW105" s="1390">
        <v>2.220960637997174</v>
      </c>
      <c r="BX105" s="1390"/>
      <c r="BY105" s="1390">
        <v>3.0146497573618722</v>
      </c>
      <c r="BZ105" s="1391">
        <v>2.6542535536730889</v>
      </c>
    </row>
    <row r="106" spans="1:78">
      <c r="A106" s="957"/>
      <c r="B106" s="951">
        <v>38534</v>
      </c>
      <c r="C106" s="952">
        <v>40.502898155152472</v>
      </c>
      <c r="D106" s="952"/>
      <c r="E106" s="952"/>
      <c r="F106" s="950"/>
      <c r="G106" s="952"/>
      <c r="H106" s="952"/>
      <c r="I106" s="952"/>
      <c r="J106" s="9"/>
      <c r="K106" s="944">
        <v>39417</v>
      </c>
      <c r="L106" s="953">
        <v>0</v>
      </c>
      <c r="M106" s="953">
        <v>0</v>
      </c>
      <c r="N106" s="953">
        <v>0</v>
      </c>
      <c r="O106" s="13"/>
      <c r="P106" s="953">
        <v>0</v>
      </c>
      <c r="Q106" s="953">
        <v>0</v>
      </c>
      <c r="R106" s="953">
        <v>0</v>
      </c>
      <c r="S106" s="13"/>
      <c r="T106" s="953">
        <v>0</v>
      </c>
      <c r="U106" s="953">
        <v>0</v>
      </c>
      <c r="V106" s="953">
        <v>0</v>
      </c>
      <c r="W106" s="13"/>
      <c r="X106" s="953">
        <v>0</v>
      </c>
      <c r="Y106" s="953">
        <v>0</v>
      </c>
      <c r="Z106" s="953">
        <v>0</v>
      </c>
      <c r="AA106" s="13">
        <v>0</v>
      </c>
      <c r="AB106" s="953">
        <v>0</v>
      </c>
      <c r="AC106" s="953">
        <v>0</v>
      </c>
      <c r="AD106" s="953">
        <v>0</v>
      </c>
      <c r="AE106" s="13"/>
      <c r="AF106" s="953">
        <v>0</v>
      </c>
      <c r="AG106" s="953">
        <v>0</v>
      </c>
      <c r="AH106" s="953">
        <v>0</v>
      </c>
      <c r="AI106" s="13"/>
      <c r="AJ106" s="953">
        <v>0</v>
      </c>
      <c r="AK106" s="953">
        <v>0</v>
      </c>
      <c r="AL106" s="953">
        <v>0</v>
      </c>
      <c r="AM106" s="1455"/>
      <c r="AN106" s="9">
        <v>33</v>
      </c>
      <c r="AO106" s="955">
        <v>0.35</v>
      </c>
      <c r="AP106" s="13"/>
      <c r="AQ106"/>
      <c r="AR106"/>
      <c r="AS106"/>
      <c r="AT106">
        <v>1</v>
      </c>
      <c r="AU106" t="str">
        <f t="shared" si="15"/>
        <v>2008Q2</v>
      </c>
      <c r="AV106">
        <f t="shared" si="16"/>
        <v>2008</v>
      </c>
      <c r="AW106" s="111">
        <f t="shared" si="12"/>
        <v>39569</v>
      </c>
      <c r="AX106" s="136">
        <f t="shared" si="19"/>
        <v>2.8116993943121127</v>
      </c>
      <c r="AY106" s="1541">
        <v>2.8116993943121127</v>
      </c>
      <c r="AZ106" s="136">
        <f t="shared" si="20"/>
        <v>2.8116993943121127</v>
      </c>
      <c r="BA106" s="137">
        <v>1</v>
      </c>
      <c r="BB106" s="137">
        <v>1</v>
      </c>
      <c r="BC106" s="137">
        <v>1</v>
      </c>
      <c r="BD106" s="137">
        <v>0</v>
      </c>
      <c r="BE106" s="137"/>
      <c r="BF106" s="137">
        <v>0</v>
      </c>
      <c r="BG106" s="145">
        <v>0</v>
      </c>
      <c r="BH106" s="153"/>
      <c r="BI106" s="938"/>
      <c r="BJ106" s="153"/>
      <c r="BK106" s="1443">
        <v>0</v>
      </c>
      <c r="BL106" s="905">
        <f t="shared" si="21"/>
        <v>2.8116993943121127</v>
      </c>
      <c r="BM106" s="1287">
        <f t="shared" si="13"/>
        <v>2.8116993943121127</v>
      </c>
      <c r="BN106" s="1393">
        <f t="shared" si="22"/>
        <v>2.9917735019027392E-2</v>
      </c>
      <c r="BO106" s="1377">
        <v>2.4</v>
      </c>
      <c r="BP106" s="208">
        <f t="shared" si="23"/>
        <v>2.9917735019027392E-2</v>
      </c>
      <c r="BQ106" s="1378">
        <f t="shared" si="17"/>
        <v>2.9487711691512635</v>
      </c>
      <c r="BR106" s="1378">
        <f t="shared" si="14"/>
        <v>2.5213805311796924</v>
      </c>
      <c r="BS106" s="153">
        <v>0</v>
      </c>
      <c r="BU106" s="1389">
        <f t="shared" si="18"/>
        <v>39142</v>
      </c>
      <c r="BV106" s="1390">
        <v>2.4476257304559499</v>
      </c>
      <c r="BW106" s="1390">
        <v>2.1107086067539202</v>
      </c>
      <c r="BX106" s="1390"/>
      <c r="BY106" s="1390">
        <v>2.925139321236661</v>
      </c>
      <c r="BZ106" s="1391">
        <v>2.5224921704587615</v>
      </c>
    </row>
    <row r="107" spans="1:78">
      <c r="A107" s="957"/>
      <c r="B107" s="951">
        <v>38565</v>
      </c>
      <c r="C107" s="952">
        <v>57.076770553230375</v>
      </c>
      <c r="D107" s="952"/>
      <c r="E107" s="952"/>
      <c r="F107" s="950"/>
      <c r="G107" s="952"/>
      <c r="H107" s="952"/>
      <c r="I107" s="952"/>
      <c r="J107" s="9"/>
      <c r="K107" s="944">
        <v>39448</v>
      </c>
      <c r="L107" s="953">
        <v>0</v>
      </c>
      <c r="M107" s="953">
        <v>0</v>
      </c>
      <c r="N107" s="953">
        <v>0</v>
      </c>
      <c r="O107" s="13"/>
      <c r="P107" s="953">
        <v>0</v>
      </c>
      <c r="Q107" s="953">
        <v>0</v>
      </c>
      <c r="R107" s="953">
        <v>0</v>
      </c>
      <c r="S107" s="13"/>
      <c r="T107" s="953">
        <v>0</v>
      </c>
      <c r="U107" s="953">
        <v>0</v>
      </c>
      <c r="V107" s="953">
        <v>0</v>
      </c>
      <c r="W107" s="13"/>
      <c r="X107" s="953">
        <v>0</v>
      </c>
      <c r="Y107" s="953">
        <v>0</v>
      </c>
      <c r="Z107" s="953">
        <v>0</v>
      </c>
      <c r="AA107" s="13">
        <v>0</v>
      </c>
      <c r="AB107" s="953">
        <v>0</v>
      </c>
      <c r="AC107" s="953">
        <v>0</v>
      </c>
      <c r="AD107" s="953">
        <v>0</v>
      </c>
      <c r="AE107" s="13"/>
      <c r="AF107" s="953">
        <v>0</v>
      </c>
      <c r="AG107" s="953">
        <v>0</v>
      </c>
      <c r="AH107" s="953">
        <v>0</v>
      </c>
      <c r="AI107" s="13"/>
      <c r="AJ107" s="953">
        <v>0</v>
      </c>
      <c r="AK107" s="953">
        <v>0</v>
      </c>
      <c r="AL107" s="953">
        <v>0</v>
      </c>
      <c r="AM107" s="1455"/>
      <c r="AN107" s="9">
        <v>33</v>
      </c>
      <c r="AO107" s="955">
        <v>0.35</v>
      </c>
      <c r="AP107" s="13"/>
      <c r="AQ107"/>
      <c r="AR107"/>
      <c r="AS107"/>
      <c r="AT107">
        <v>1</v>
      </c>
      <c r="AU107" t="str">
        <f t="shared" si="15"/>
        <v>2008Q2</v>
      </c>
      <c r="AV107">
        <f t="shared" si="16"/>
        <v>2008</v>
      </c>
      <c r="AW107" s="111">
        <f t="shared" si="12"/>
        <v>39600</v>
      </c>
      <c r="AX107" s="136">
        <f t="shared" si="19"/>
        <v>2.8456630997459404</v>
      </c>
      <c r="AY107" s="1541">
        <v>2.8456630997459404</v>
      </c>
      <c r="AZ107" s="136">
        <f t="shared" si="20"/>
        <v>2.8456630997459404</v>
      </c>
      <c r="BA107" s="137">
        <v>1</v>
      </c>
      <c r="BB107" s="137">
        <v>1</v>
      </c>
      <c r="BC107" s="137">
        <v>1</v>
      </c>
      <c r="BD107" s="137">
        <v>0</v>
      </c>
      <c r="BE107" s="137"/>
      <c r="BF107" s="137">
        <v>0</v>
      </c>
      <c r="BG107" s="145">
        <v>0</v>
      </c>
      <c r="BH107" s="153"/>
      <c r="BI107" s="938"/>
      <c r="BJ107" s="153"/>
      <c r="BK107" s="1443">
        <v>0</v>
      </c>
      <c r="BL107" s="905">
        <f t="shared" si="21"/>
        <v>2.8456630997459404</v>
      </c>
      <c r="BM107" s="1287">
        <f t="shared" si="13"/>
        <v>2.8456630997459404</v>
      </c>
      <c r="BN107" s="1393">
        <f t="shared" si="22"/>
        <v>2.991773501902717E-2</v>
      </c>
      <c r="BO107" s="1377">
        <v>2.4</v>
      </c>
      <c r="BP107" s="208">
        <f t="shared" si="23"/>
        <v>2.991773501902717E-2</v>
      </c>
      <c r="BQ107" s="1378">
        <f t="shared" si="17"/>
        <v>2.9538977951108873</v>
      </c>
      <c r="BR107" s="1378">
        <f t="shared" si="14"/>
        <v>2.5296794209026303</v>
      </c>
      <c r="BS107" s="153">
        <v>0</v>
      </c>
      <c r="BU107" s="1389">
        <f t="shared" si="18"/>
        <v>39173</v>
      </c>
      <c r="BV107" s="1390">
        <v>2.3990709517996538</v>
      </c>
      <c r="BW107" s="1390">
        <v>2.0465533299528897</v>
      </c>
      <c r="BX107" s="1390"/>
      <c r="BY107" s="1390">
        <v>2.8671118660934205</v>
      </c>
      <c r="BZ107" s="1391">
        <v>2.4458206759159427</v>
      </c>
    </row>
    <row r="108" spans="1:78">
      <c r="A108" s="957"/>
      <c r="B108" s="951">
        <v>38596</v>
      </c>
      <c r="C108" s="952">
        <v>46.579668737013527</v>
      </c>
      <c r="D108" s="952"/>
      <c r="E108" s="952"/>
      <c r="F108" s="950"/>
      <c r="G108" s="952"/>
      <c r="H108" s="952"/>
      <c r="I108" s="952"/>
      <c r="J108" s="9"/>
      <c r="K108" s="944">
        <v>39479</v>
      </c>
      <c r="L108" s="953">
        <v>0</v>
      </c>
      <c r="M108" s="953">
        <v>0</v>
      </c>
      <c r="N108" s="953">
        <v>0</v>
      </c>
      <c r="O108" s="13"/>
      <c r="P108" s="953">
        <v>0</v>
      </c>
      <c r="Q108" s="953">
        <v>0</v>
      </c>
      <c r="R108" s="953">
        <v>0</v>
      </c>
      <c r="S108" s="13"/>
      <c r="T108" s="953">
        <v>0</v>
      </c>
      <c r="U108" s="953">
        <v>0</v>
      </c>
      <c r="V108" s="953">
        <v>0</v>
      </c>
      <c r="W108" s="13"/>
      <c r="X108" s="953">
        <v>0</v>
      </c>
      <c r="Y108" s="953">
        <v>0</v>
      </c>
      <c r="Z108" s="953">
        <v>0</v>
      </c>
      <c r="AA108" s="13">
        <v>0</v>
      </c>
      <c r="AB108" s="953">
        <v>0</v>
      </c>
      <c r="AC108" s="953">
        <v>0</v>
      </c>
      <c r="AD108" s="953">
        <v>0</v>
      </c>
      <c r="AE108" s="13"/>
      <c r="AF108" s="953">
        <v>0</v>
      </c>
      <c r="AG108" s="953">
        <v>0</v>
      </c>
      <c r="AH108" s="953">
        <v>0</v>
      </c>
      <c r="AI108" s="13"/>
      <c r="AJ108" s="953">
        <v>0</v>
      </c>
      <c r="AK108" s="953">
        <v>0</v>
      </c>
      <c r="AL108" s="953">
        <v>0</v>
      </c>
      <c r="AM108" s="1455"/>
      <c r="AN108" s="9">
        <v>33</v>
      </c>
      <c r="AO108" s="955">
        <v>0.35</v>
      </c>
      <c r="AP108" s="13"/>
      <c r="AQ108"/>
      <c r="AR108"/>
      <c r="AS108"/>
      <c r="AT108">
        <v>1</v>
      </c>
      <c r="AU108" t="str">
        <f t="shared" si="15"/>
        <v>2008Q3</v>
      </c>
      <c r="AV108">
        <f t="shared" si="16"/>
        <v>2008</v>
      </c>
      <c r="AW108" s="111">
        <f t="shared" si="12"/>
        <v>39630</v>
      </c>
      <c r="AX108" s="136">
        <f t="shared" si="19"/>
        <v>2.9233385769074474</v>
      </c>
      <c r="AY108" s="1541">
        <v>2.9233385769074474</v>
      </c>
      <c r="AZ108" s="136">
        <f t="shared" si="20"/>
        <v>2.9233385769074474</v>
      </c>
      <c r="BA108" s="137">
        <v>1</v>
      </c>
      <c r="BB108" s="137">
        <v>1</v>
      </c>
      <c r="BC108" s="137">
        <v>1</v>
      </c>
      <c r="BD108" s="137">
        <v>0</v>
      </c>
      <c r="BE108" s="137"/>
      <c r="BF108" s="137">
        <v>0</v>
      </c>
      <c r="BG108" s="145">
        <v>0</v>
      </c>
      <c r="BH108" s="153"/>
      <c r="BI108" s="938"/>
      <c r="BJ108" s="153"/>
      <c r="BK108" s="1443">
        <v>0</v>
      </c>
      <c r="BL108" s="905">
        <f t="shared" si="21"/>
        <v>2.9233385769074474</v>
      </c>
      <c r="BM108" s="1287">
        <f t="shared" si="13"/>
        <v>2.9233385769074474</v>
      </c>
      <c r="BN108" s="1393">
        <f t="shared" si="22"/>
        <v>2.9917735019027614E-2</v>
      </c>
      <c r="BO108" s="1377">
        <v>2.4</v>
      </c>
      <c r="BP108" s="208">
        <f t="shared" si="23"/>
        <v>2.9917735019027614E-2</v>
      </c>
      <c r="BQ108" s="1378">
        <f t="shared" si="17"/>
        <v>2.9917066615631147</v>
      </c>
      <c r="BR108" s="1378">
        <f t="shared" si="14"/>
        <v>2.5688027581679083</v>
      </c>
      <c r="BS108" s="153">
        <v>0</v>
      </c>
      <c r="BU108" s="1389">
        <f t="shared" si="18"/>
        <v>39203</v>
      </c>
      <c r="BV108" s="1390">
        <v>2.3768597232653903</v>
      </c>
      <c r="BW108" s="1390">
        <v>2.0213664435050775</v>
      </c>
      <c r="BX108" s="1390"/>
      <c r="BY108" s="1390">
        <v>2.8405673919321504</v>
      </c>
      <c r="BZ108" s="1391">
        <v>2.4157200150954283</v>
      </c>
    </row>
    <row r="109" spans="1:78">
      <c r="A109" s="957"/>
      <c r="B109" s="951">
        <v>38626</v>
      </c>
      <c r="C109" s="952">
        <v>40.590399334797041</v>
      </c>
      <c r="D109" s="952"/>
      <c r="E109" s="952"/>
      <c r="F109" s="950"/>
      <c r="G109" s="952"/>
      <c r="H109" s="952"/>
      <c r="I109" s="952"/>
      <c r="J109" s="9"/>
      <c r="K109" s="944">
        <v>39508</v>
      </c>
      <c r="L109" s="953">
        <v>0</v>
      </c>
      <c r="M109" s="953">
        <v>0</v>
      </c>
      <c r="N109" s="953">
        <v>0</v>
      </c>
      <c r="O109" s="13"/>
      <c r="P109" s="953">
        <v>0</v>
      </c>
      <c r="Q109" s="953">
        <v>0</v>
      </c>
      <c r="R109" s="953">
        <v>0</v>
      </c>
      <c r="S109" s="13"/>
      <c r="T109" s="953">
        <v>0</v>
      </c>
      <c r="U109" s="953">
        <v>0</v>
      </c>
      <c r="V109" s="953">
        <v>0</v>
      </c>
      <c r="W109" s="13"/>
      <c r="X109" s="953">
        <v>0</v>
      </c>
      <c r="Y109" s="953">
        <v>0</v>
      </c>
      <c r="Z109" s="953">
        <v>0</v>
      </c>
      <c r="AA109" s="13">
        <v>0</v>
      </c>
      <c r="AB109" s="953">
        <v>0</v>
      </c>
      <c r="AC109" s="953">
        <v>0</v>
      </c>
      <c r="AD109" s="953">
        <v>0</v>
      </c>
      <c r="AE109" s="13"/>
      <c r="AF109" s="953">
        <v>0</v>
      </c>
      <c r="AG109" s="953">
        <v>0</v>
      </c>
      <c r="AH109" s="953">
        <v>0</v>
      </c>
      <c r="AI109" s="13"/>
      <c r="AJ109" s="953">
        <v>0</v>
      </c>
      <c r="AK109" s="953">
        <v>0</v>
      </c>
      <c r="AL109" s="953">
        <v>0</v>
      </c>
      <c r="AM109" s="1455"/>
      <c r="AN109" s="9">
        <v>34</v>
      </c>
      <c r="AO109" s="955">
        <v>0.35</v>
      </c>
      <c r="AP109" s="13"/>
      <c r="AQ109"/>
      <c r="AR109"/>
      <c r="AS109"/>
      <c r="AT109">
        <v>1</v>
      </c>
      <c r="AU109" t="str">
        <f t="shared" si="15"/>
        <v>2008Q3</v>
      </c>
      <c r="AV109">
        <f t="shared" si="16"/>
        <v>2008</v>
      </c>
      <c r="AW109" s="111">
        <f t="shared" si="12"/>
        <v>39661</v>
      </c>
      <c r="AX109" s="136">
        <f t="shared" si="19"/>
        <v>3.0336538867716007</v>
      </c>
      <c r="AY109" s="1541">
        <v>3.0336538867716007</v>
      </c>
      <c r="AZ109" s="136">
        <f t="shared" si="20"/>
        <v>3.0336538867716007</v>
      </c>
      <c r="BA109" s="137">
        <v>1</v>
      </c>
      <c r="BB109" s="137">
        <v>1</v>
      </c>
      <c r="BC109" s="137">
        <v>1</v>
      </c>
      <c r="BD109" s="137">
        <v>0</v>
      </c>
      <c r="BE109" s="137"/>
      <c r="BF109" s="137">
        <v>0</v>
      </c>
      <c r="BG109" s="145">
        <v>0</v>
      </c>
      <c r="BH109" s="153"/>
      <c r="BI109" s="938"/>
      <c r="BJ109" s="153"/>
      <c r="BK109" s="1443">
        <v>0</v>
      </c>
      <c r="BL109" s="905">
        <f t="shared" si="21"/>
        <v>3.0336538867716007</v>
      </c>
      <c r="BM109" s="1287">
        <f t="shared" si="13"/>
        <v>3.0336538867716007</v>
      </c>
      <c r="BN109" s="1393">
        <f t="shared" si="22"/>
        <v>2.991773501902717E-2</v>
      </c>
      <c r="BO109" s="1377">
        <v>2.4</v>
      </c>
      <c r="BP109" s="208">
        <f t="shared" si="23"/>
        <v>2.991773501902717E-2</v>
      </c>
      <c r="BQ109" s="1378">
        <f t="shared" si="17"/>
        <v>3.0621977685079456</v>
      </c>
      <c r="BR109" s="1378">
        <f t="shared" si="14"/>
        <v>2.6298588754152359</v>
      </c>
      <c r="BS109" s="153">
        <v>0</v>
      </c>
      <c r="BU109" s="1389">
        <f t="shared" si="18"/>
        <v>39234</v>
      </c>
      <c r="BV109" s="1390">
        <v>2.3809920448531603</v>
      </c>
      <c r="BW109" s="1390">
        <v>2.0280195833214809</v>
      </c>
      <c r="BX109" s="1390"/>
      <c r="BY109" s="1390">
        <v>2.8455058987528519</v>
      </c>
      <c r="BZ109" s="1391">
        <v>2.4236711330480172</v>
      </c>
    </row>
    <row r="110" spans="1:78">
      <c r="A110" s="957"/>
      <c r="B110" s="951">
        <v>38657</v>
      </c>
      <c r="C110" s="952">
        <v>43.217177076519704</v>
      </c>
      <c r="D110" s="952"/>
      <c r="E110" s="952"/>
      <c r="F110" s="950"/>
      <c r="G110" s="952"/>
      <c r="H110" s="952"/>
      <c r="I110" s="952"/>
      <c r="J110" s="9"/>
      <c r="K110" s="944">
        <v>39539</v>
      </c>
      <c r="L110" s="953">
        <v>0</v>
      </c>
      <c r="M110" s="953">
        <v>0</v>
      </c>
      <c r="N110" s="953">
        <v>0</v>
      </c>
      <c r="O110" s="13"/>
      <c r="P110" s="953">
        <v>0</v>
      </c>
      <c r="Q110" s="953">
        <v>0</v>
      </c>
      <c r="R110" s="953">
        <v>0</v>
      </c>
      <c r="S110" s="13"/>
      <c r="T110" s="953">
        <v>0</v>
      </c>
      <c r="U110" s="953">
        <v>0</v>
      </c>
      <c r="V110" s="953">
        <v>0</v>
      </c>
      <c r="W110" s="13"/>
      <c r="X110" s="953">
        <v>0</v>
      </c>
      <c r="Y110" s="953">
        <v>0</v>
      </c>
      <c r="Z110" s="953">
        <v>0</v>
      </c>
      <c r="AA110" s="13">
        <v>0</v>
      </c>
      <c r="AB110" s="953">
        <v>0</v>
      </c>
      <c r="AC110" s="953">
        <v>0</v>
      </c>
      <c r="AD110" s="953">
        <v>0</v>
      </c>
      <c r="AE110" s="13"/>
      <c r="AF110" s="953">
        <v>0</v>
      </c>
      <c r="AG110" s="953">
        <v>0</v>
      </c>
      <c r="AH110" s="953">
        <v>0</v>
      </c>
      <c r="AI110" s="13"/>
      <c r="AJ110" s="953">
        <v>0</v>
      </c>
      <c r="AK110" s="953">
        <v>0</v>
      </c>
      <c r="AL110" s="953">
        <v>0</v>
      </c>
      <c r="AM110" s="1455"/>
      <c r="AN110" s="9">
        <v>34</v>
      </c>
      <c r="AO110" s="955">
        <v>0.35</v>
      </c>
      <c r="AP110" s="13"/>
      <c r="AQ110"/>
      <c r="AR110"/>
      <c r="AS110"/>
      <c r="AT110">
        <v>1</v>
      </c>
      <c r="AU110" t="str">
        <f t="shared" si="15"/>
        <v>2008Q3</v>
      </c>
      <c r="AV110">
        <f t="shared" si="16"/>
        <v>2008</v>
      </c>
      <c r="AW110" s="111">
        <f t="shared" si="12"/>
        <v>39692</v>
      </c>
      <c r="AX110" s="136">
        <f t="shared" si="19"/>
        <v>3.1649950842774728</v>
      </c>
      <c r="AY110" s="1541">
        <v>3.1649950842774728</v>
      </c>
      <c r="AZ110" s="136">
        <f t="shared" si="20"/>
        <v>3.1649950842774728</v>
      </c>
      <c r="BA110" s="137">
        <v>1</v>
      </c>
      <c r="BB110" s="137">
        <v>1</v>
      </c>
      <c r="BC110" s="137">
        <v>1</v>
      </c>
      <c r="BD110" s="137">
        <v>0</v>
      </c>
      <c r="BE110" s="137"/>
      <c r="BF110" s="137">
        <v>0</v>
      </c>
      <c r="BG110" s="145">
        <v>0</v>
      </c>
      <c r="BH110" s="153"/>
      <c r="BI110" s="938"/>
      <c r="BJ110" s="153"/>
      <c r="BK110" s="1443">
        <v>0</v>
      </c>
      <c r="BL110" s="905">
        <f t="shared" si="21"/>
        <v>3.1649950842774728</v>
      </c>
      <c r="BM110" s="1287">
        <f t="shared" si="13"/>
        <v>3.1649950842774728</v>
      </c>
      <c r="BN110" s="1393">
        <f t="shared" si="22"/>
        <v>2.9917735019027392E-2</v>
      </c>
      <c r="BO110" s="1377">
        <v>2.4</v>
      </c>
      <c r="BP110" s="208">
        <f t="shared" si="23"/>
        <v>2.9917735019027392E-2</v>
      </c>
      <c r="BQ110" s="1378">
        <f t="shared" si="17"/>
        <v>3.1653711159453803</v>
      </c>
      <c r="BR110" s="1378">
        <f t="shared" si="14"/>
        <v>2.7039561050843228</v>
      </c>
      <c r="BS110" s="153">
        <v>0</v>
      </c>
      <c r="BU110" s="1389">
        <f t="shared" si="18"/>
        <v>39264</v>
      </c>
      <c r="BV110" s="1390">
        <v>2.4114679165629633</v>
      </c>
      <c r="BW110" s="1390">
        <v>2.0593843853130958</v>
      </c>
      <c r="BX110" s="1390"/>
      <c r="BY110" s="1390">
        <v>2.8819273865555242</v>
      </c>
      <c r="BZ110" s="1391">
        <v>2.4611549748245065</v>
      </c>
    </row>
    <row r="111" spans="1:78">
      <c r="A111" s="957"/>
      <c r="B111" s="951">
        <v>38687</v>
      </c>
      <c r="C111" s="952">
        <v>42.721515154384818</v>
      </c>
      <c r="D111" s="952"/>
      <c r="E111" s="952"/>
      <c r="F111" s="950"/>
      <c r="G111" s="952"/>
      <c r="H111" s="952"/>
      <c r="I111" s="952"/>
      <c r="J111" s="9"/>
      <c r="K111" s="944">
        <v>39569</v>
      </c>
      <c r="L111" s="953">
        <v>0</v>
      </c>
      <c r="M111" s="953">
        <v>0</v>
      </c>
      <c r="N111" s="953">
        <v>0</v>
      </c>
      <c r="O111" s="13"/>
      <c r="P111" s="953">
        <v>0</v>
      </c>
      <c r="Q111" s="953">
        <v>0</v>
      </c>
      <c r="R111" s="953">
        <v>0</v>
      </c>
      <c r="S111" s="13"/>
      <c r="T111" s="953">
        <v>0</v>
      </c>
      <c r="U111" s="953">
        <v>0</v>
      </c>
      <c r="V111" s="953">
        <v>0</v>
      </c>
      <c r="W111" s="13"/>
      <c r="X111" s="953">
        <v>0</v>
      </c>
      <c r="Y111" s="953">
        <v>0</v>
      </c>
      <c r="Z111" s="953">
        <v>0</v>
      </c>
      <c r="AA111" s="13">
        <v>0</v>
      </c>
      <c r="AB111" s="953">
        <v>0</v>
      </c>
      <c r="AC111" s="953">
        <v>0</v>
      </c>
      <c r="AD111" s="953">
        <v>0</v>
      </c>
      <c r="AE111" s="13"/>
      <c r="AF111" s="953">
        <v>0</v>
      </c>
      <c r="AG111" s="953">
        <v>0</v>
      </c>
      <c r="AH111" s="953">
        <v>0</v>
      </c>
      <c r="AI111" s="13"/>
      <c r="AJ111" s="953">
        <v>0</v>
      </c>
      <c r="AK111" s="953">
        <v>0</v>
      </c>
      <c r="AL111" s="953">
        <v>0</v>
      </c>
      <c r="AM111" s="1455"/>
      <c r="AN111" s="9">
        <v>34</v>
      </c>
      <c r="AO111" s="955">
        <v>0.35</v>
      </c>
      <c r="AP111" s="13"/>
      <c r="AQ111"/>
      <c r="AR111"/>
      <c r="AS111"/>
      <c r="AT111">
        <v>1</v>
      </c>
      <c r="AU111" t="str">
        <f t="shared" si="15"/>
        <v>2008Q4</v>
      </c>
      <c r="AV111">
        <f t="shared" si="16"/>
        <v>2008</v>
      </c>
      <c r="AW111" s="111">
        <f t="shared" si="12"/>
        <v>39722</v>
      </c>
      <c r="AX111" s="136">
        <f t="shared" si="19"/>
        <v>3.3056456200054898</v>
      </c>
      <c r="AY111" s="1541">
        <v>3.3056456200054898</v>
      </c>
      <c r="AZ111" s="136">
        <f t="shared" si="20"/>
        <v>3.3056456200054898</v>
      </c>
      <c r="BA111" s="137">
        <v>1</v>
      </c>
      <c r="BB111" s="137">
        <v>1</v>
      </c>
      <c r="BC111" s="137">
        <v>1</v>
      </c>
      <c r="BD111" s="137">
        <v>0</v>
      </c>
      <c r="BE111" s="137"/>
      <c r="BF111" s="137">
        <v>0</v>
      </c>
      <c r="BG111" s="145">
        <v>0</v>
      </c>
      <c r="BH111" s="153"/>
      <c r="BI111" s="938"/>
      <c r="BJ111" s="153"/>
      <c r="BK111" s="1443">
        <v>0</v>
      </c>
      <c r="BL111" s="905">
        <f t="shared" si="21"/>
        <v>3.3056456200054898</v>
      </c>
      <c r="BM111" s="1287">
        <f t="shared" si="13"/>
        <v>3.3056456200054898</v>
      </c>
      <c r="BN111" s="1393">
        <f t="shared" si="22"/>
        <v>2.991773501902717E-2</v>
      </c>
      <c r="BO111" s="1377">
        <v>2.4</v>
      </c>
      <c r="BP111" s="208">
        <f t="shared" si="23"/>
        <v>2.991773501902717E-2</v>
      </c>
      <c r="BQ111" s="1378">
        <f t="shared" si="17"/>
        <v>3.3012267038754173</v>
      </c>
      <c r="BR111" s="1378">
        <f t="shared" si="14"/>
        <v>2.7822027796148792</v>
      </c>
      <c r="BS111" s="153">
        <v>0</v>
      </c>
      <c r="BU111" s="1389">
        <f t="shared" si="18"/>
        <v>39295</v>
      </c>
      <c r="BV111" s="1390">
        <v>2.468287338394799</v>
      </c>
      <c r="BW111" s="1390">
        <v>2.1083324853909198</v>
      </c>
      <c r="BX111" s="1390"/>
      <c r="BY111" s="1390">
        <v>2.9498318553401672</v>
      </c>
      <c r="BZ111" s="1391">
        <v>2.519652485475695</v>
      </c>
    </row>
    <row r="112" spans="1:78">
      <c r="A112" s="957"/>
      <c r="B112" s="951">
        <v>38718</v>
      </c>
      <c r="C112" s="952">
        <v>41.690054837768258</v>
      </c>
      <c r="D112" s="952"/>
      <c r="E112" s="952"/>
      <c r="F112" s="950"/>
      <c r="G112" s="952"/>
      <c r="H112" s="952"/>
      <c r="I112" s="952"/>
      <c r="J112" s="9"/>
      <c r="K112" s="944">
        <v>39600</v>
      </c>
      <c r="L112" s="953">
        <v>0</v>
      </c>
      <c r="M112" s="953">
        <v>0</v>
      </c>
      <c r="N112" s="953">
        <v>0</v>
      </c>
      <c r="O112" s="13"/>
      <c r="P112" s="953">
        <v>0</v>
      </c>
      <c r="Q112" s="953">
        <v>0</v>
      </c>
      <c r="R112" s="953">
        <v>0</v>
      </c>
      <c r="S112" s="13"/>
      <c r="T112" s="953">
        <v>0</v>
      </c>
      <c r="U112" s="953">
        <v>0</v>
      </c>
      <c r="V112" s="953">
        <v>0</v>
      </c>
      <c r="W112" s="13"/>
      <c r="X112" s="953">
        <v>0</v>
      </c>
      <c r="Y112" s="953">
        <v>0</v>
      </c>
      <c r="Z112" s="953">
        <v>0</v>
      </c>
      <c r="AA112" s="13">
        <v>0</v>
      </c>
      <c r="AB112" s="953">
        <v>0</v>
      </c>
      <c r="AC112" s="953">
        <v>0</v>
      </c>
      <c r="AD112" s="953">
        <v>0</v>
      </c>
      <c r="AE112" s="13"/>
      <c r="AF112" s="953">
        <v>0</v>
      </c>
      <c r="AG112" s="953">
        <v>0</v>
      </c>
      <c r="AH112" s="953">
        <v>0</v>
      </c>
      <c r="AI112" s="13"/>
      <c r="AJ112" s="953">
        <v>0</v>
      </c>
      <c r="AK112" s="953">
        <v>0</v>
      </c>
      <c r="AL112" s="953">
        <v>0</v>
      </c>
      <c r="AM112" s="1455"/>
      <c r="AN112" s="9">
        <v>35</v>
      </c>
      <c r="AO112" s="955">
        <v>0.35</v>
      </c>
      <c r="AP112" s="13"/>
      <c r="AQ112"/>
      <c r="AR112"/>
      <c r="AS112"/>
      <c r="AT112">
        <v>1</v>
      </c>
      <c r="AU112" t="str">
        <f t="shared" si="15"/>
        <v>2008Q4</v>
      </c>
      <c r="AV112">
        <f t="shared" si="16"/>
        <v>2008</v>
      </c>
      <c r="AW112" s="111">
        <f t="shared" si="12"/>
        <v>39753</v>
      </c>
      <c r="AX112" s="136">
        <f t="shared" si="19"/>
        <v>3.4443411183340182</v>
      </c>
      <c r="AY112" s="1541">
        <v>3.4443411183340182</v>
      </c>
      <c r="AZ112" s="136">
        <f t="shared" si="20"/>
        <v>3.4443411183340182</v>
      </c>
      <c r="BA112" s="137">
        <v>1</v>
      </c>
      <c r="BB112" s="137">
        <v>1</v>
      </c>
      <c r="BC112" s="137">
        <v>1</v>
      </c>
      <c r="BD112" s="137">
        <v>0</v>
      </c>
      <c r="BE112" s="137"/>
      <c r="BF112" s="137">
        <v>0</v>
      </c>
      <c r="BG112" s="145">
        <v>0</v>
      </c>
      <c r="BH112" s="153"/>
      <c r="BI112" s="938"/>
      <c r="BJ112" s="153"/>
      <c r="BK112" s="1443">
        <v>0</v>
      </c>
      <c r="BL112" s="905">
        <f t="shared" si="21"/>
        <v>3.4443411183340182</v>
      </c>
      <c r="BM112" s="1287">
        <f t="shared" si="13"/>
        <v>3.4443411183340182</v>
      </c>
      <c r="BN112" s="1393">
        <f t="shared" si="22"/>
        <v>2.9917735019027392E-2</v>
      </c>
      <c r="BO112" s="1377">
        <v>2.4</v>
      </c>
      <c r="BP112" s="208">
        <f t="shared" si="23"/>
        <v>2.9917735019027392E-2</v>
      </c>
      <c r="BQ112" s="1378">
        <f t="shared" si="17"/>
        <v>3.469764532298059</v>
      </c>
      <c r="BR112" s="1378">
        <f t="shared" si="14"/>
        <v>2.8557072314466145</v>
      </c>
      <c r="BS112" s="153">
        <v>0</v>
      </c>
      <c r="BU112" s="1389">
        <f t="shared" si="18"/>
        <v>39326</v>
      </c>
      <c r="BV112" s="1390">
        <v>2.5514503103486676</v>
      </c>
      <c r="BW112" s="1390">
        <v>2.1677355194659484</v>
      </c>
      <c r="BX112" s="1390"/>
      <c r="BY112" s="1390">
        <v>3.0492193051067815</v>
      </c>
      <c r="BZ112" s="1391">
        <v>2.5906446100523794</v>
      </c>
    </row>
    <row r="113" spans="1:78">
      <c r="A113" s="957"/>
      <c r="B113" s="951">
        <v>38749</v>
      </c>
      <c r="C113" s="952">
        <v>32.363585120598721</v>
      </c>
      <c r="D113" s="952"/>
      <c r="E113" s="952"/>
      <c r="F113" s="950"/>
      <c r="G113" s="952"/>
      <c r="H113" s="952"/>
      <c r="I113" s="952"/>
      <c r="J113" s="9"/>
      <c r="K113" s="944">
        <v>39630</v>
      </c>
      <c r="L113" s="953">
        <v>0</v>
      </c>
      <c r="M113" s="953">
        <v>0</v>
      </c>
      <c r="N113" s="953">
        <v>0</v>
      </c>
      <c r="O113" s="13"/>
      <c r="P113" s="953">
        <v>0</v>
      </c>
      <c r="Q113" s="953">
        <v>0</v>
      </c>
      <c r="R113" s="953">
        <v>0</v>
      </c>
      <c r="S113" s="13"/>
      <c r="T113" s="953">
        <v>0</v>
      </c>
      <c r="U113" s="953">
        <v>0</v>
      </c>
      <c r="V113" s="953">
        <v>0</v>
      </c>
      <c r="W113" s="13"/>
      <c r="X113" s="953">
        <v>0</v>
      </c>
      <c r="Y113" s="953">
        <v>0</v>
      </c>
      <c r="Z113" s="953">
        <v>0</v>
      </c>
      <c r="AA113" s="13">
        <v>0</v>
      </c>
      <c r="AB113" s="953">
        <v>0</v>
      </c>
      <c r="AC113" s="953">
        <v>0</v>
      </c>
      <c r="AD113" s="953">
        <v>0</v>
      </c>
      <c r="AE113" s="13"/>
      <c r="AF113" s="953">
        <v>0</v>
      </c>
      <c r="AG113" s="953">
        <v>0</v>
      </c>
      <c r="AH113" s="953">
        <v>0</v>
      </c>
      <c r="AI113" s="13"/>
      <c r="AJ113" s="953">
        <v>0</v>
      </c>
      <c r="AK113" s="953">
        <v>0</v>
      </c>
      <c r="AL113" s="953">
        <v>0</v>
      </c>
      <c r="AM113" s="1455"/>
      <c r="AN113" s="9">
        <v>35</v>
      </c>
      <c r="AO113" s="955">
        <v>0.35</v>
      </c>
      <c r="AP113" s="13"/>
      <c r="AQ113"/>
      <c r="AR113"/>
      <c r="AS113"/>
      <c r="AT113">
        <v>1</v>
      </c>
      <c r="AU113" t="str">
        <f t="shared" si="15"/>
        <v>2008Q4</v>
      </c>
      <c r="AV113">
        <f t="shared" si="16"/>
        <v>2008</v>
      </c>
      <c r="AW113" s="111">
        <f t="shared" si="12"/>
        <v>39783</v>
      </c>
      <c r="AX113" s="136">
        <f t="shared" si="19"/>
        <v>3.5908465166659185</v>
      </c>
      <c r="AY113" s="1541">
        <v>3.5908465166659185</v>
      </c>
      <c r="AZ113" s="136">
        <f t="shared" si="20"/>
        <v>3.5908465166659185</v>
      </c>
      <c r="BA113" s="137">
        <v>1</v>
      </c>
      <c r="BB113" s="137">
        <v>1</v>
      </c>
      <c r="BC113" s="137">
        <v>1</v>
      </c>
      <c r="BD113" s="137">
        <v>0</v>
      </c>
      <c r="BE113" s="137"/>
      <c r="BF113" s="137">
        <v>0</v>
      </c>
      <c r="BG113" s="145">
        <v>0</v>
      </c>
      <c r="BH113" s="153"/>
      <c r="BI113" s="938"/>
      <c r="BJ113" s="153"/>
      <c r="BK113" s="1443">
        <v>0</v>
      </c>
      <c r="BL113" s="905">
        <f t="shared" si="21"/>
        <v>3.5908465166659185</v>
      </c>
      <c r="BM113" s="1287">
        <f t="shared" si="13"/>
        <v>3.5908465166659185</v>
      </c>
      <c r="BN113" s="1393">
        <f t="shared" si="22"/>
        <v>2.9917735019027392E-2</v>
      </c>
      <c r="BO113" s="1377">
        <v>2.4</v>
      </c>
      <c r="BP113" s="208">
        <f t="shared" si="23"/>
        <v>2.9917735019027392E-2</v>
      </c>
      <c r="BQ113" s="1378">
        <f t="shared" si="17"/>
        <v>3.5430624669557842</v>
      </c>
      <c r="BR113" s="1378">
        <f t="shared" si="14"/>
        <v>2.915577793019235</v>
      </c>
      <c r="BS113" s="153">
        <v>0</v>
      </c>
      <c r="BU113" s="1389">
        <f t="shared" si="18"/>
        <v>39356</v>
      </c>
      <c r="BV113" s="1390">
        <v>2.6609568324245698</v>
      </c>
      <c r="BW113" s="1390">
        <v>2.230465123449179</v>
      </c>
      <c r="BX113" s="1390"/>
      <c r="BY113" s="1390">
        <v>3.180089735855367</v>
      </c>
      <c r="BZ113" s="1391">
        <v>2.665612293605359</v>
      </c>
    </row>
    <row r="114" spans="1:78">
      <c r="A114" s="957"/>
      <c r="B114" s="951">
        <v>38777</v>
      </c>
      <c r="C114" s="952">
        <v>30.377311903884326</v>
      </c>
      <c r="D114" s="952"/>
      <c r="E114" s="952"/>
      <c r="F114" s="950"/>
      <c r="G114" s="952"/>
      <c r="H114" s="952"/>
      <c r="I114" s="952"/>
      <c r="J114" s="9"/>
      <c r="K114" s="944">
        <v>39661</v>
      </c>
      <c r="L114" s="953">
        <v>0</v>
      </c>
      <c r="M114" s="953">
        <v>0</v>
      </c>
      <c r="N114" s="953">
        <v>0</v>
      </c>
      <c r="O114" s="13"/>
      <c r="P114" s="953">
        <v>0</v>
      </c>
      <c r="Q114" s="953">
        <v>0</v>
      </c>
      <c r="R114" s="953">
        <v>0</v>
      </c>
      <c r="S114" s="13"/>
      <c r="T114" s="953">
        <v>0</v>
      </c>
      <c r="U114" s="953">
        <v>0</v>
      </c>
      <c r="V114" s="953">
        <v>0</v>
      </c>
      <c r="W114" s="13"/>
      <c r="X114" s="953">
        <v>0</v>
      </c>
      <c r="Y114" s="953">
        <v>0</v>
      </c>
      <c r="Z114" s="953">
        <v>0</v>
      </c>
      <c r="AA114" s="13">
        <v>0</v>
      </c>
      <c r="AB114" s="953">
        <v>0</v>
      </c>
      <c r="AC114" s="953">
        <v>0</v>
      </c>
      <c r="AD114" s="953">
        <v>0</v>
      </c>
      <c r="AE114" s="13"/>
      <c r="AF114" s="953">
        <v>0</v>
      </c>
      <c r="AG114" s="953">
        <v>0</v>
      </c>
      <c r="AH114" s="953">
        <v>0</v>
      </c>
      <c r="AI114" s="13"/>
      <c r="AJ114" s="953">
        <v>0</v>
      </c>
      <c r="AK114" s="953">
        <v>0</v>
      </c>
      <c r="AL114" s="953">
        <v>0</v>
      </c>
      <c r="AM114" s="1455"/>
      <c r="AN114" s="9">
        <v>35</v>
      </c>
      <c r="AO114" s="955">
        <v>0.35</v>
      </c>
      <c r="AP114" s="13"/>
      <c r="AQ114"/>
      <c r="AR114"/>
      <c r="AS114"/>
      <c r="AT114">
        <v>1</v>
      </c>
      <c r="AU114" t="str">
        <f t="shared" si="15"/>
        <v>2009Q1</v>
      </c>
      <c r="AV114">
        <f t="shared" si="16"/>
        <v>2009</v>
      </c>
      <c r="AW114" s="111">
        <f t="shared" si="12"/>
        <v>39814</v>
      </c>
      <c r="AX114" s="136">
        <f t="shared" si="19"/>
        <v>3.4317676538293602</v>
      </c>
      <c r="AY114" s="1541">
        <v>3.4317676538293602</v>
      </c>
      <c r="AZ114" s="136">
        <f t="shared" si="20"/>
        <v>3.4317676538293602</v>
      </c>
      <c r="BA114" s="137">
        <v>1</v>
      </c>
      <c r="BB114" s="137">
        <v>1</v>
      </c>
      <c r="BC114" s="137">
        <v>1</v>
      </c>
      <c r="BD114" s="137">
        <v>0</v>
      </c>
      <c r="BE114" s="137"/>
      <c r="BF114" s="137">
        <v>0</v>
      </c>
      <c r="BG114" s="145">
        <v>0</v>
      </c>
      <c r="BH114" s="153"/>
      <c r="BI114" s="938"/>
      <c r="BJ114" s="153"/>
      <c r="BK114" s="1443">
        <v>0</v>
      </c>
      <c r="BL114" s="905">
        <f t="shared" si="21"/>
        <v>3.4317676538293602</v>
      </c>
      <c r="BM114" s="1287">
        <f t="shared" si="13"/>
        <v>3.4317676538293602</v>
      </c>
      <c r="BN114" s="1393">
        <f t="shared" si="22"/>
        <v>2.7033685355968284E-2</v>
      </c>
      <c r="BO114" s="1377">
        <v>2.4</v>
      </c>
      <c r="BP114" s="208">
        <f t="shared" si="23"/>
        <v>2.7033685355968284E-2</v>
      </c>
      <c r="BQ114" s="1378">
        <f t="shared" si="17"/>
        <v>3.5073684854442964</v>
      </c>
      <c r="BR114" s="1378">
        <f t="shared" si="14"/>
        <v>3.0664340618744479</v>
      </c>
      <c r="BS114" s="153">
        <v>0</v>
      </c>
      <c r="BU114" s="1389">
        <f t="shared" si="18"/>
        <v>39387</v>
      </c>
      <c r="BV114" s="1390">
        <v>2.7968069046225055</v>
      </c>
      <c r="BW114" s="1390">
        <v>2.2893929332516083</v>
      </c>
      <c r="BX114" s="1390"/>
      <c r="BY114" s="1390">
        <v>3.3424431475859242</v>
      </c>
      <c r="BZ114" s="1391">
        <v>2.7360364811854314</v>
      </c>
    </row>
    <row r="115" spans="1:78">
      <c r="A115" s="957"/>
      <c r="B115" s="951">
        <v>38808</v>
      </c>
      <c r="C115" s="952">
        <v>29.94711947379653</v>
      </c>
      <c r="D115" s="952"/>
      <c r="E115" s="952"/>
      <c r="F115" s="950"/>
      <c r="G115" s="952"/>
      <c r="H115" s="952"/>
      <c r="I115" s="952"/>
      <c r="J115" s="9"/>
      <c r="K115" s="944">
        <v>39692</v>
      </c>
      <c r="L115" s="953">
        <v>0</v>
      </c>
      <c r="M115" s="953">
        <v>0</v>
      </c>
      <c r="N115" s="953">
        <v>0</v>
      </c>
      <c r="O115" s="13"/>
      <c r="P115" s="953">
        <v>0</v>
      </c>
      <c r="Q115" s="953">
        <v>0</v>
      </c>
      <c r="R115" s="953">
        <v>0</v>
      </c>
      <c r="S115" s="13"/>
      <c r="T115" s="953">
        <v>0</v>
      </c>
      <c r="U115" s="953">
        <v>0</v>
      </c>
      <c r="V115" s="953">
        <v>0</v>
      </c>
      <c r="W115" s="13"/>
      <c r="X115" s="953">
        <v>0</v>
      </c>
      <c r="Y115" s="953">
        <v>0</v>
      </c>
      <c r="Z115" s="953">
        <v>0</v>
      </c>
      <c r="AA115" s="13">
        <v>0</v>
      </c>
      <c r="AB115" s="953">
        <v>0</v>
      </c>
      <c r="AC115" s="953">
        <v>0</v>
      </c>
      <c r="AD115" s="953">
        <v>0</v>
      </c>
      <c r="AE115" s="13"/>
      <c r="AF115" s="953">
        <v>0</v>
      </c>
      <c r="AG115" s="953">
        <v>0</v>
      </c>
      <c r="AH115" s="953">
        <v>0</v>
      </c>
      <c r="AI115" s="13"/>
      <c r="AJ115" s="953">
        <v>0</v>
      </c>
      <c r="AK115" s="953">
        <v>0</v>
      </c>
      <c r="AL115" s="953">
        <v>0</v>
      </c>
      <c r="AM115" s="1455"/>
      <c r="AN115" s="9">
        <v>36</v>
      </c>
      <c r="AO115" s="955">
        <v>0.35</v>
      </c>
      <c r="AP115" s="13"/>
      <c r="AQ115"/>
      <c r="AR115"/>
      <c r="AS115"/>
      <c r="AT115">
        <v>1</v>
      </c>
      <c r="AU115" t="str">
        <f t="shared" si="15"/>
        <v>2009Q1</v>
      </c>
      <c r="AV115">
        <f t="shared" si="16"/>
        <v>2009</v>
      </c>
      <c r="AW115" s="111">
        <f t="shared" si="12"/>
        <v>39845</v>
      </c>
      <c r="AX115" s="136">
        <f t="shared" si="19"/>
        <v>3.1696397463641253</v>
      </c>
      <c r="AY115" s="1541">
        <v>3.1696397463641253</v>
      </c>
      <c r="AZ115" s="136">
        <f t="shared" si="20"/>
        <v>3.1696397463641253</v>
      </c>
      <c r="BA115" s="137">
        <v>1</v>
      </c>
      <c r="BB115" s="137">
        <v>1</v>
      </c>
      <c r="BC115" s="137">
        <v>1</v>
      </c>
      <c r="BD115" s="137">
        <v>0</v>
      </c>
      <c r="BE115" s="137"/>
      <c r="BF115" s="137">
        <v>0</v>
      </c>
      <c r="BG115" s="145">
        <v>0</v>
      </c>
      <c r="BH115" s="153"/>
      <c r="BI115" s="938"/>
      <c r="BJ115" s="153"/>
      <c r="BK115" s="1443">
        <v>0</v>
      </c>
      <c r="BL115" s="905">
        <f t="shared" si="21"/>
        <v>3.1696397463641253</v>
      </c>
      <c r="BM115" s="1287">
        <f t="shared" si="13"/>
        <v>3.1696397463641253</v>
      </c>
      <c r="BN115" s="1393">
        <f t="shared" si="22"/>
        <v>2.7033685355968284E-2</v>
      </c>
      <c r="BO115" s="1377">
        <v>2.4</v>
      </c>
      <c r="BP115" s="208">
        <f t="shared" si="23"/>
        <v>2.7033685355968284E-2</v>
      </c>
      <c r="BQ115" s="1378">
        <f t="shared" si="17"/>
        <v>3.2427216298708021</v>
      </c>
      <c r="BR115" s="1378">
        <f t="shared" si="14"/>
        <v>2.8561992203627771</v>
      </c>
      <c r="BS115" s="153">
        <v>0</v>
      </c>
      <c r="BU115" s="1389">
        <f t="shared" si="18"/>
        <v>39417</v>
      </c>
      <c r="BV115" s="1390">
        <v>2.8558887725236453</v>
      </c>
      <c r="BW115" s="1390">
        <v>2.33739058478423</v>
      </c>
      <c r="BX115" s="1390"/>
      <c r="BY115" s="1390">
        <v>3.4130514488549015</v>
      </c>
      <c r="BZ115" s="1391">
        <v>2.7933981178433909</v>
      </c>
    </row>
    <row r="116" spans="1:78">
      <c r="A116" s="957"/>
      <c r="B116" s="951">
        <v>38838</v>
      </c>
      <c r="C116" s="952">
        <v>29.960904184502787</v>
      </c>
      <c r="D116" s="952"/>
      <c r="E116" s="952"/>
      <c r="F116" s="950"/>
      <c r="G116" s="952"/>
      <c r="H116" s="952"/>
      <c r="I116" s="952"/>
      <c r="J116" s="9"/>
      <c r="K116" s="944">
        <v>39722</v>
      </c>
      <c r="L116" s="953">
        <v>0</v>
      </c>
      <c r="M116" s="953">
        <v>0</v>
      </c>
      <c r="N116" s="953">
        <v>0</v>
      </c>
      <c r="O116" s="13"/>
      <c r="P116" s="953">
        <v>0</v>
      </c>
      <c r="Q116" s="953">
        <v>0</v>
      </c>
      <c r="R116" s="953">
        <v>0</v>
      </c>
      <c r="S116" s="13"/>
      <c r="T116" s="953">
        <v>0</v>
      </c>
      <c r="U116" s="953">
        <v>0</v>
      </c>
      <c r="V116" s="953">
        <v>0</v>
      </c>
      <c r="W116" s="13"/>
      <c r="X116" s="953">
        <v>0</v>
      </c>
      <c r="Y116" s="953">
        <v>0</v>
      </c>
      <c r="Z116" s="953">
        <v>0</v>
      </c>
      <c r="AA116" s="13">
        <v>0</v>
      </c>
      <c r="AB116" s="953">
        <v>0</v>
      </c>
      <c r="AC116" s="953">
        <v>0</v>
      </c>
      <c r="AD116" s="953">
        <v>0</v>
      </c>
      <c r="AE116" s="13"/>
      <c r="AF116" s="953">
        <v>0</v>
      </c>
      <c r="AG116" s="953">
        <v>0</v>
      </c>
      <c r="AH116" s="953">
        <v>0</v>
      </c>
      <c r="AI116" s="13"/>
      <c r="AJ116" s="953">
        <v>0</v>
      </c>
      <c r="AK116" s="953">
        <v>0</v>
      </c>
      <c r="AL116" s="953">
        <v>0</v>
      </c>
      <c r="AM116" s="1455"/>
      <c r="AN116" s="9">
        <v>36</v>
      </c>
      <c r="AO116" s="955">
        <v>0.35</v>
      </c>
      <c r="AP116" s="13"/>
      <c r="AQ116"/>
      <c r="AR116"/>
      <c r="AS116"/>
      <c r="AT116">
        <v>1</v>
      </c>
      <c r="AU116" t="str">
        <f t="shared" si="15"/>
        <v>2009Q1</v>
      </c>
      <c r="AV116">
        <f t="shared" si="16"/>
        <v>2009</v>
      </c>
      <c r="AW116" s="111">
        <f t="shared" si="12"/>
        <v>39873</v>
      </c>
      <c r="AX116" s="136">
        <f t="shared" si="19"/>
        <v>2.9994825701834138</v>
      </c>
      <c r="AY116" s="1541">
        <v>2.9994825701834138</v>
      </c>
      <c r="AZ116" s="136">
        <f t="shared" si="20"/>
        <v>2.9994825701834138</v>
      </c>
      <c r="BA116" s="137">
        <v>1</v>
      </c>
      <c r="BB116" s="137">
        <v>1</v>
      </c>
      <c r="BC116" s="137">
        <v>1</v>
      </c>
      <c r="BD116" s="137">
        <v>0</v>
      </c>
      <c r="BE116" s="137"/>
      <c r="BF116" s="137">
        <v>0</v>
      </c>
      <c r="BG116" s="145">
        <v>0</v>
      </c>
      <c r="BH116" s="153"/>
      <c r="BI116" s="938"/>
      <c r="BJ116" s="153"/>
      <c r="BK116" s="1443">
        <v>0</v>
      </c>
      <c r="BL116" s="905">
        <f t="shared" si="21"/>
        <v>2.9994825701834138</v>
      </c>
      <c r="BM116" s="1287">
        <f t="shared" si="13"/>
        <v>2.9994825701834138</v>
      </c>
      <c r="BN116" s="1393">
        <f t="shared" si="22"/>
        <v>2.6978004551112322E-2</v>
      </c>
      <c r="BO116" s="1377">
        <v>2.4</v>
      </c>
      <c r="BP116" s="208">
        <f t="shared" si="23"/>
        <v>2.6978004551112322E-2</v>
      </c>
      <c r="BQ116" s="1378">
        <f t="shared" si="17"/>
        <v>3.1464393248986995</v>
      </c>
      <c r="BR116" s="1378">
        <f t="shared" si="14"/>
        <v>2.7144129319014167</v>
      </c>
      <c r="BS116" s="153">
        <v>0</v>
      </c>
      <c r="BU116" s="1389">
        <f t="shared" si="18"/>
        <v>39448</v>
      </c>
      <c r="BV116" s="1390">
        <v>2.7767887858008535</v>
      </c>
      <c r="BW116" s="1390">
        <v>2.4399314304736062</v>
      </c>
      <c r="BX116" s="1390"/>
      <c r="BY116" s="1390">
        <v>3.3848900353952573</v>
      </c>
      <c r="BZ116" s="1391">
        <v>2.9742627989171515</v>
      </c>
    </row>
    <row r="117" spans="1:78">
      <c r="A117" s="957"/>
      <c r="B117" s="951">
        <v>38869</v>
      </c>
      <c r="C117" s="952">
        <v>29.415353293269661</v>
      </c>
      <c r="D117" s="952"/>
      <c r="E117" s="952"/>
      <c r="F117" s="950"/>
      <c r="G117" s="952"/>
      <c r="H117" s="952"/>
      <c r="I117" s="952"/>
      <c r="J117" s="9"/>
      <c r="K117" s="944">
        <v>39753</v>
      </c>
      <c r="L117" s="953">
        <v>0</v>
      </c>
      <c r="M117" s="953">
        <v>0</v>
      </c>
      <c r="N117" s="953">
        <v>0</v>
      </c>
      <c r="O117" s="13"/>
      <c r="P117" s="953">
        <v>0</v>
      </c>
      <c r="Q117" s="953">
        <v>0</v>
      </c>
      <c r="R117" s="953">
        <v>0</v>
      </c>
      <c r="S117" s="13"/>
      <c r="T117" s="953">
        <v>0</v>
      </c>
      <c r="U117" s="953">
        <v>0</v>
      </c>
      <c r="V117" s="953">
        <v>0</v>
      </c>
      <c r="W117" s="13"/>
      <c r="X117" s="953">
        <v>0</v>
      </c>
      <c r="Y117" s="953">
        <v>0</v>
      </c>
      <c r="Z117" s="953">
        <v>0</v>
      </c>
      <c r="AA117" s="13">
        <v>0</v>
      </c>
      <c r="AB117" s="953">
        <v>0</v>
      </c>
      <c r="AC117" s="953">
        <v>0</v>
      </c>
      <c r="AD117" s="953">
        <v>0</v>
      </c>
      <c r="AE117" s="13"/>
      <c r="AF117" s="953">
        <v>0</v>
      </c>
      <c r="AG117" s="953">
        <v>0</v>
      </c>
      <c r="AH117" s="953">
        <v>0</v>
      </c>
      <c r="AI117" s="13"/>
      <c r="AJ117" s="953">
        <v>0</v>
      </c>
      <c r="AK117" s="953">
        <v>0</v>
      </c>
      <c r="AL117" s="953">
        <v>0</v>
      </c>
      <c r="AM117" s="1455"/>
      <c r="AN117" s="9">
        <v>36</v>
      </c>
      <c r="AO117" s="955">
        <v>0.35</v>
      </c>
      <c r="AP117" s="13"/>
      <c r="AQ117"/>
      <c r="AR117"/>
      <c r="AS117"/>
      <c r="AT117">
        <v>1</v>
      </c>
      <c r="AU117" t="str">
        <f t="shared" si="15"/>
        <v>2009Q2</v>
      </c>
      <c r="AV117">
        <f t="shared" si="16"/>
        <v>2009</v>
      </c>
      <c r="AW117" s="111">
        <f t="shared" si="12"/>
        <v>39904</v>
      </c>
      <c r="AX117" s="136">
        <f t="shared" si="19"/>
        <v>2.9094959518301975</v>
      </c>
      <c r="AY117" s="1541">
        <v>2.9094959518301975</v>
      </c>
      <c r="AZ117" s="136">
        <f t="shared" si="20"/>
        <v>2.9094959518301975</v>
      </c>
      <c r="BA117" s="137">
        <v>1</v>
      </c>
      <c r="BB117" s="137">
        <v>1</v>
      </c>
      <c r="BC117" s="137">
        <v>1</v>
      </c>
      <c r="BD117" s="137">
        <v>0</v>
      </c>
      <c r="BE117" s="137"/>
      <c r="BF117" s="137">
        <v>0</v>
      </c>
      <c r="BG117" s="145">
        <v>0</v>
      </c>
      <c r="BH117" s="153"/>
      <c r="BI117" s="938"/>
      <c r="BJ117" s="153"/>
      <c r="BK117" s="1443">
        <v>0</v>
      </c>
      <c r="BL117" s="905">
        <f t="shared" si="21"/>
        <v>2.9094959518301975</v>
      </c>
      <c r="BM117" s="1287">
        <f t="shared" si="13"/>
        <v>2.9094959518301975</v>
      </c>
      <c r="BN117" s="1393">
        <f t="shared" si="22"/>
        <v>2.6978004551112322E-2</v>
      </c>
      <c r="BO117" s="1377">
        <v>2.4</v>
      </c>
      <c r="BP117" s="208">
        <f t="shared" si="23"/>
        <v>2.6978004551112322E-2</v>
      </c>
      <c r="BQ117" s="1378">
        <f t="shared" si="17"/>
        <v>3.0840218306409217</v>
      </c>
      <c r="BR117" s="1378">
        <f t="shared" si="14"/>
        <v>2.6319079795639886</v>
      </c>
      <c r="BS117" s="153">
        <v>0</v>
      </c>
      <c r="BU117" s="1389">
        <f t="shared" si="18"/>
        <v>39479</v>
      </c>
      <c r="BV117" s="1390">
        <v>2.5672674812092011</v>
      </c>
      <c r="BW117" s="1390">
        <v>2.2726496343434781</v>
      </c>
      <c r="BX117" s="1390"/>
      <c r="BY117" s="1390">
        <v>3.129484734228011</v>
      </c>
      <c r="BZ117" s="1391">
        <v>2.7703472228678248</v>
      </c>
    </row>
    <row r="118" spans="1:78">
      <c r="A118" s="957"/>
      <c r="B118" s="951">
        <v>38899</v>
      </c>
      <c r="C118" s="952">
        <v>42.482321493204864</v>
      </c>
      <c r="D118" s="952"/>
      <c r="E118" s="952"/>
      <c r="F118" s="950"/>
      <c r="G118" s="952"/>
      <c r="H118" s="952"/>
      <c r="I118" s="952"/>
      <c r="J118" s="9"/>
      <c r="K118" s="944">
        <v>39783</v>
      </c>
      <c r="L118" s="953">
        <v>0</v>
      </c>
      <c r="M118" s="953">
        <v>0</v>
      </c>
      <c r="N118" s="953">
        <v>0</v>
      </c>
      <c r="O118" s="13"/>
      <c r="P118" s="953">
        <v>0</v>
      </c>
      <c r="Q118" s="953">
        <v>0</v>
      </c>
      <c r="R118" s="953">
        <v>0</v>
      </c>
      <c r="S118" s="13"/>
      <c r="T118" s="953">
        <v>0</v>
      </c>
      <c r="U118" s="953">
        <v>0</v>
      </c>
      <c r="V118" s="953">
        <v>0</v>
      </c>
      <c r="W118" s="13"/>
      <c r="X118" s="953">
        <v>0</v>
      </c>
      <c r="Y118" s="953">
        <v>0</v>
      </c>
      <c r="Z118" s="953">
        <v>0</v>
      </c>
      <c r="AA118" s="13">
        <v>0</v>
      </c>
      <c r="AB118" s="953">
        <v>0</v>
      </c>
      <c r="AC118" s="953">
        <v>0</v>
      </c>
      <c r="AD118" s="953">
        <v>0</v>
      </c>
      <c r="AE118" s="13"/>
      <c r="AF118" s="953">
        <v>0</v>
      </c>
      <c r="AG118" s="953">
        <v>0</v>
      </c>
      <c r="AH118" s="953">
        <v>0</v>
      </c>
      <c r="AI118" s="13"/>
      <c r="AJ118" s="953">
        <v>0</v>
      </c>
      <c r="AK118" s="953">
        <v>0</v>
      </c>
      <c r="AL118" s="953">
        <v>0</v>
      </c>
      <c r="AM118" s="1455"/>
      <c r="AN118" s="9">
        <v>37</v>
      </c>
      <c r="AO118" s="955">
        <v>0.35</v>
      </c>
      <c r="AP118" s="13"/>
      <c r="AQ118"/>
      <c r="AR118"/>
      <c r="AS118"/>
      <c r="AT118">
        <v>1</v>
      </c>
      <c r="AU118" t="str">
        <f t="shared" si="15"/>
        <v>2009Q2</v>
      </c>
      <c r="AV118">
        <f t="shared" si="16"/>
        <v>2009</v>
      </c>
      <c r="AW118" s="111">
        <f t="shared" si="12"/>
        <v>39934</v>
      </c>
      <c r="AX118" s="136">
        <f t="shared" si="19"/>
        <v>2.887553433368224</v>
      </c>
      <c r="AY118" s="1541">
        <v>2.887553433368224</v>
      </c>
      <c r="AZ118" s="136">
        <f t="shared" si="20"/>
        <v>2.887553433368224</v>
      </c>
      <c r="BA118" s="137">
        <v>1</v>
      </c>
      <c r="BB118" s="137">
        <v>1</v>
      </c>
      <c r="BC118" s="137">
        <v>1</v>
      </c>
      <c r="BD118" s="137">
        <v>0</v>
      </c>
      <c r="BE118" s="137"/>
      <c r="BF118" s="137">
        <v>0</v>
      </c>
      <c r="BG118" s="145">
        <v>0</v>
      </c>
      <c r="BH118" s="153"/>
      <c r="BI118" s="938"/>
      <c r="BJ118" s="153"/>
      <c r="BK118" s="1443">
        <v>0</v>
      </c>
      <c r="BL118" s="905">
        <f t="shared" si="21"/>
        <v>2.887553433368224</v>
      </c>
      <c r="BM118" s="1287">
        <f t="shared" si="13"/>
        <v>2.887553433368224</v>
      </c>
      <c r="BN118" s="1393">
        <f t="shared" si="22"/>
        <v>2.69780045511121E-2</v>
      </c>
      <c r="BO118" s="1377">
        <v>2.4</v>
      </c>
      <c r="BP118" s="208">
        <f t="shared" si="23"/>
        <v>2.69780045511121E-2</v>
      </c>
      <c r="BQ118" s="1378">
        <f t="shared" si="17"/>
        <v>3.0554691470974706</v>
      </c>
      <c r="BR118" s="1378">
        <f t="shared" si="14"/>
        <v>2.5995171464241089</v>
      </c>
      <c r="BS118" s="153">
        <v>0</v>
      </c>
      <c r="BU118" s="1389">
        <f t="shared" si="18"/>
        <v>39508</v>
      </c>
      <c r="BV118" s="1390">
        <v>2.4910406388266209</v>
      </c>
      <c r="BW118" s="1390">
        <v>2.1598316788138563</v>
      </c>
      <c r="BX118" s="1390"/>
      <c r="BY118" s="1390">
        <v>3.0365646387098257</v>
      </c>
      <c r="BZ118" s="1391">
        <v>2.6328227646019995</v>
      </c>
    </row>
    <row r="119" spans="1:78">
      <c r="A119" s="957"/>
      <c r="B119" s="951">
        <v>38930</v>
      </c>
      <c r="C119" s="952">
        <v>60.945004743999753</v>
      </c>
      <c r="D119" s="952"/>
      <c r="E119" s="952"/>
      <c r="F119" s="950"/>
      <c r="G119" s="952"/>
      <c r="H119" s="952"/>
      <c r="I119" s="952"/>
      <c r="J119" s="9"/>
      <c r="K119" s="944">
        <v>39814</v>
      </c>
      <c r="L119" s="953">
        <v>0</v>
      </c>
      <c r="M119" s="953">
        <v>0</v>
      </c>
      <c r="N119" s="953">
        <v>0</v>
      </c>
      <c r="O119" s="13"/>
      <c r="P119" s="953">
        <v>0</v>
      </c>
      <c r="Q119" s="953">
        <v>0</v>
      </c>
      <c r="R119" s="953">
        <v>0</v>
      </c>
      <c r="S119" s="13"/>
      <c r="T119" s="953">
        <v>0</v>
      </c>
      <c r="U119" s="953">
        <v>0</v>
      </c>
      <c r="V119" s="953">
        <v>0</v>
      </c>
      <c r="W119" s="13"/>
      <c r="X119" s="953">
        <v>0</v>
      </c>
      <c r="Y119" s="953">
        <v>0</v>
      </c>
      <c r="Z119" s="953">
        <v>0</v>
      </c>
      <c r="AA119" s="13">
        <v>0</v>
      </c>
      <c r="AB119" s="953">
        <v>0</v>
      </c>
      <c r="AC119" s="953">
        <v>0</v>
      </c>
      <c r="AD119" s="953">
        <v>0</v>
      </c>
      <c r="AE119" s="13"/>
      <c r="AF119" s="953">
        <v>0</v>
      </c>
      <c r="AG119" s="953">
        <v>0</v>
      </c>
      <c r="AH119" s="953">
        <v>0</v>
      </c>
      <c r="AI119" s="13"/>
      <c r="AJ119" s="953">
        <v>0</v>
      </c>
      <c r="AK119" s="953">
        <v>0</v>
      </c>
      <c r="AL119" s="953">
        <v>0</v>
      </c>
      <c r="AM119" s="1455"/>
      <c r="AN119" s="9">
        <v>37</v>
      </c>
      <c r="AO119" s="955">
        <v>0.35</v>
      </c>
      <c r="AP119" s="13"/>
      <c r="AQ119"/>
      <c r="AR119"/>
      <c r="AS119"/>
      <c r="AT119">
        <v>1</v>
      </c>
      <c r="AU119" t="str">
        <f t="shared" si="15"/>
        <v>2009Q2</v>
      </c>
      <c r="AV119">
        <f t="shared" si="16"/>
        <v>2009</v>
      </c>
      <c r="AW119" s="111">
        <f t="shared" si="12"/>
        <v>39965</v>
      </c>
      <c r="AX119" s="136">
        <f t="shared" si="19"/>
        <v>2.92243341180182</v>
      </c>
      <c r="AY119" s="1541">
        <v>2.92243341180182</v>
      </c>
      <c r="AZ119" s="136">
        <f t="shared" si="20"/>
        <v>2.92243341180182</v>
      </c>
      <c r="BA119" s="137">
        <v>1</v>
      </c>
      <c r="BB119" s="137">
        <v>1</v>
      </c>
      <c r="BC119" s="137">
        <v>1</v>
      </c>
      <c r="BD119" s="137">
        <v>0</v>
      </c>
      <c r="BE119" s="137"/>
      <c r="BF119" s="137">
        <v>0</v>
      </c>
      <c r="BG119" s="145">
        <v>0</v>
      </c>
      <c r="BH119" s="153"/>
      <c r="BI119" s="938"/>
      <c r="BJ119" s="153"/>
      <c r="BK119" s="1443">
        <v>0</v>
      </c>
      <c r="BL119" s="905">
        <f t="shared" si="21"/>
        <v>2.92243341180182</v>
      </c>
      <c r="BM119" s="1287">
        <f t="shared" si="13"/>
        <v>2.92243341180182</v>
      </c>
      <c r="BN119" s="1393">
        <f t="shared" si="22"/>
        <v>2.6978004551112766E-2</v>
      </c>
      <c r="BO119" s="1377">
        <v>2.4</v>
      </c>
      <c r="BP119" s="208">
        <f t="shared" si="23"/>
        <v>2.6978004551112766E-2</v>
      </c>
      <c r="BQ119" s="1378">
        <f t="shared" si="17"/>
        <v>3.0607812742683453</v>
      </c>
      <c r="BR119" s="1378">
        <f t="shared" si="14"/>
        <v>2.6080732155553972</v>
      </c>
      <c r="BS119" s="153">
        <v>0</v>
      </c>
      <c r="BU119" s="1389">
        <f t="shared" si="18"/>
        <v>39539</v>
      </c>
      <c r="BV119" s="1390">
        <v>2.4416246168682578</v>
      </c>
      <c r="BW119" s="1390">
        <v>2.0941832995186025</v>
      </c>
      <c r="BX119" s="1390"/>
      <c r="BY119" s="1390">
        <v>2.9763267836842431</v>
      </c>
      <c r="BZ119" s="1391">
        <v>2.5527977565593853</v>
      </c>
    </row>
    <row r="120" spans="1:78">
      <c r="A120" s="957"/>
      <c r="B120" s="951">
        <v>38961</v>
      </c>
      <c r="C120" s="952">
        <v>49.320759869177678</v>
      </c>
      <c r="D120" s="952"/>
      <c r="E120" s="952"/>
      <c r="F120" s="950"/>
      <c r="G120" s="952"/>
      <c r="H120" s="952"/>
      <c r="I120" s="952"/>
      <c r="J120" s="9"/>
      <c r="K120" s="944">
        <v>39845</v>
      </c>
      <c r="L120" s="953">
        <v>0</v>
      </c>
      <c r="M120" s="953">
        <v>0</v>
      </c>
      <c r="N120" s="953">
        <v>0</v>
      </c>
      <c r="O120" s="13"/>
      <c r="P120" s="953">
        <v>0</v>
      </c>
      <c r="Q120" s="953">
        <v>0</v>
      </c>
      <c r="R120" s="953">
        <v>0</v>
      </c>
      <c r="S120" s="13"/>
      <c r="T120" s="953">
        <v>0</v>
      </c>
      <c r="U120" s="953">
        <v>0</v>
      </c>
      <c r="V120" s="953">
        <v>0</v>
      </c>
      <c r="W120" s="13"/>
      <c r="X120" s="953">
        <v>0</v>
      </c>
      <c r="Y120" s="953">
        <v>0</v>
      </c>
      <c r="Z120" s="953">
        <v>0</v>
      </c>
      <c r="AA120" s="13">
        <v>0</v>
      </c>
      <c r="AB120" s="953">
        <v>0</v>
      </c>
      <c r="AC120" s="953">
        <v>0</v>
      </c>
      <c r="AD120" s="953">
        <v>0</v>
      </c>
      <c r="AE120" s="13"/>
      <c r="AF120" s="953">
        <v>0</v>
      </c>
      <c r="AG120" s="953">
        <v>0</v>
      </c>
      <c r="AH120" s="953">
        <v>0</v>
      </c>
      <c r="AI120" s="13"/>
      <c r="AJ120" s="953">
        <v>0</v>
      </c>
      <c r="AK120" s="953">
        <v>0</v>
      </c>
      <c r="AL120" s="953">
        <v>0</v>
      </c>
      <c r="AM120" s="1455"/>
      <c r="AN120" s="9">
        <v>37</v>
      </c>
      <c r="AO120" s="955">
        <v>0.35</v>
      </c>
      <c r="AP120" s="13"/>
      <c r="AQ120"/>
      <c r="AR120"/>
      <c r="AS120"/>
      <c r="AT120">
        <v>1</v>
      </c>
      <c r="AU120" t="str">
        <f t="shared" si="15"/>
        <v>2009Q3</v>
      </c>
      <c r="AV120">
        <f t="shared" si="16"/>
        <v>2009</v>
      </c>
      <c r="AW120" s="111">
        <f t="shared" si="12"/>
        <v>39995</v>
      </c>
      <c r="AX120" s="136">
        <f t="shared" si="19"/>
        <v>3.0022044183396979</v>
      </c>
      <c r="AY120" s="1541">
        <v>3.0022044183396979</v>
      </c>
      <c r="AZ120" s="136">
        <f t="shared" si="20"/>
        <v>3.0022044183396979</v>
      </c>
      <c r="BA120" s="137">
        <v>1</v>
      </c>
      <c r="BB120" s="137">
        <v>1</v>
      </c>
      <c r="BC120" s="137">
        <v>1</v>
      </c>
      <c r="BD120" s="137">
        <v>0</v>
      </c>
      <c r="BE120" s="137"/>
      <c r="BF120" s="137">
        <v>0</v>
      </c>
      <c r="BG120" s="145">
        <v>0</v>
      </c>
      <c r="BH120" s="153"/>
      <c r="BI120" s="938"/>
      <c r="BJ120" s="153"/>
      <c r="BK120" s="1443">
        <v>0</v>
      </c>
      <c r="BL120" s="905">
        <f t="shared" si="21"/>
        <v>3.0022044183396979</v>
      </c>
      <c r="BM120" s="1287">
        <f t="shared" si="13"/>
        <v>3.0022044183396979</v>
      </c>
      <c r="BN120" s="1393">
        <f t="shared" si="22"/>
        <v>2.69780045511121E-2</v>
      </c>
      <c r="BO120" s="1377">
        <v>2.4</v>
      </c>
      <c r="BP120" s="208">
        <f t="shared" si="23"/>
        <v>2.69780045511121E-2</v>
      </c>
      <c r="BQ120" s="1378">
        <f t="shared" si="17"/>
        <v>3.0999582121535458</v>
      </c>
      <c r="BR120" s="1378">
        <f t="shared" si="14"/>
        <v>2.6484089700314741</v>
      </c>
      <c r="BS120" s="153">
        <v>0</v>
      </c>
      <c r="BU120" s="1389">
        <f t="shared" si="18"/>
        <v>39569</v>
      </c>
      <c r="BV120" s="1390">
        <v>2.4190194153341129</v>
      </c>
      <c r="BW120" s="1390">
        <v>2.0684102320915767</v>
      </c>
      <c r="BX120" s="1390"/>
      <c r="BY120" s="1390">
        <v>2.9487711691512635</v>
      </c>
      <c r="BZ120" s="1391">
        <v>2.5213805311796924</v>
      </c>
    </row>
    <row r="121" spans="1:78">
      <c r="A121" s="957"/>
      <c r="B121" s="951">
        <v>38991</v>
      </c>
      <c r="C121" s="952">
        <v>42.983365629251544</v>
      </c>
      <c r="D121" s="952"/>
      <c r="E121" s="952"/>
      <c r="F121" s="950"/>
      <c r="G121" s="952"/>
      <c r="H121" s="952"/>
      <c r="I121" s="952"/>
      <c r="J121" s="9"/>
      <c r="K121" s="944">
        <v>39873</v>
      </c>
      <c r="L121" s="953">
        <v>0</v>
      </c>
      <c r="M121" s="953">
        <v>0</v>
      </c>
      <c r="N121" s="953">
        <v>0</v>
      </c>
      <c r="O121" s="13"/>
      <c r="P121" s="953">
        <v>0</v>
      </c>
      <c r="Q121" s="953">
        <v>0</v>
      </c>
      <c r="R121" s="953">
        <v>0</v>
      </c>
      <c r="S121" s="13"/>
      <c r="T121" s="953">
        <v>0</v>
      </c>
      <c r="U121" s="953">
        <v>0</v>
      </c>
      <c r="V121" s="953">
        <v>0</v>
      </c>
      <c r="W121" s="13"/>
      <c r="X121" s="953">
        <v>0</v>
      </c>
      <c r="Y121" s="953">
        <v>0</v>
      </c>
      <c r="Z121" s="953">
        <v>0</v>
      </c>
      <c r="AA121" s="13">
        <v>0</v>
      </c>
      <c r="AB121" s="953">
        <v>0</v>
      </c>
      <c r="AC121" s="953">
        <v>0</v>
      </c>
      <c r="AD121" s="953">
        <v>0</v>
      </c>
      <c r="AE121" s="13"/>
      <c r="AF121" s="953">
        <v>0</v>
      </c>
      <c r="AG121" s="953">
        <v>0</v>
      </c>
      <c r="AH121" s="953">
        <v>0</v>
      </c>
      <c r="AI121" s="13"/>
      <c r="AJ121" s="953">
        <v>0</v>
      </c>
      <c r="AK121" s="953">
        <v>0</v>
      </c>
      <c r="AL121" s="953">
        <v>0</v>
      </c>
      <c r="AM121" s="1455"/>
      <c r="AN121" s="9">
        <v>38</v>
      </c>
      <c r="AO121" s="955">
        <v>0.35</v>
      </c>
      <c r="AP121" s="13"/>
      <c r="AQ121"/>
      <c r="AR121"/>
      <c r="AS121"/>
      <c r="AT121">
        <v>1</v>
      </c>
      <c r="AU121" t="str">
        <f t="shared" si="15"/>
        <v>2009Q3</v>
      </c>
      <c r="AV121">
        <f t="shared" si="16"/>
        <v>2009</v>
      </c>
      <c r="AW121" s="111">
        <f t="shared" si="12"/>
        <v>40026</v>
      </c>
      <c r="AX121" s="136">
        <f t="shared" si="19"/>
        <v>3.1154958151354246</v>
      </c>
      <c r="AY121" s="1541">
        <v>3.1154958151354246</v>
      </c>
      <c r="AZ121" s="136">
        <f t="shared" si="20"/>
        <v>3.1154958151354246</v>
      </c>
      <c r="BA121" s="137">
        <v>1</v>
      </c>
      <c r="BB121" s="137">
        <v>1</v>
      </c>
      <c r="BC121" s="137">
        <v>1</v>
      </c>
      <c r="BD121" s="137">
        <v>0</v>
      </c>
      <c r="BE121" s="137"/>
      <c r="BF121" s="137">
        <v>0</v>
      </c>
      <c r="BG121" s="145">
        <v>0</v>
      </c>
      <c r="BH121" s="153"/>
      <c r="BI121" s="938"/>
      <c r="BJ121" s="153"/>
      <c r="BK121" s="1443">
        <v>0</v>
      </c>
      <c r="BL121" s="905">
        <f t="shared" si="21"/>
        <v>3.1154958151354246</v>
      </c>
      <c r="BM121" s="1287">
        <f t="shared" si="13"/>
        <v>3.1154958151354246</v>
      </c>
      <c r="BN121" s="1393">
        <f t="shared" si="22"/>
        <v>2.6978004551112322E-2</v>
      </c>
      <c r="BO121" s="1377">
        <v>2.4</v>
      </c>
      <c r="BP121" s="208">
        <f t="shared" si="23"/>
        <v>2.6978004551112322E-2</v>
      </c>
      <c r="BQ121" s="1378">
        <f t="shared" si="17"/>
        <v>3.1729999607530726</v>
      </c>
      <c r="BR121" s="1378">
        <f t="shared" si="14"/>
        <v>2.7113571929259574</v>
      </c>
      <c r="BS121" s="153">
        <v>0</v>
      </c>
      <c r="BU121" s="1389">
        <f t="shared" si="18"/>
        <v>39600</v>
      </c>
      <c r="BV121" s="1390">
        <v>2.4232250342241861</v>
      </c>
      <c r="BW121" s="1390">
        <v>2.0752182121666403</v>
      </c>
      <c r="BX121" s="1390"/>
      <c r="BY121" s="1390">
        <v>2.9538977951108873</v>
      </c>
      <c r="BZ121" s="1391">
        <v>2.5296794209026303</v>
      </c>
    </row>
    <row r="122" spans="1:78">
      <c r="A122" s="957"/>
      <c r="B122" s="951">
        <v>39022</v>
      </c>
      <c r="C122" s="952">
        <v>45.711405060552231</v>
      </c>
      <c r="D122" s="952"/>
      <c r="E122" s="952"/>
      <c r="F122" s="950"/>
      <c r="G122" s="952"/>
      <c r="H122" s="952"/>
      <c r="I122" s="952"/>
      <c r="J122" s="9"/>
      <c r="K122" s="944">
        <v>39904</v>
      </c>
      <c r="L122" s="953">
        <v>0</v>
      </c>
      <c r="M122" s="953">
        <v>0</v>
      </c>
      <c r="N122" s="953">
        <v>0</v>
      </c>
      <c r="O122" s="13"/>
      <c r="P122" s="953">
        <v>0</v>
      </c>
      <c r="Q122" s="953">
        <v>0</v>
      </c>
      <c r="R122" s="953">
        <v>0</v>
      </c>
      <c r="S122" s="13"/>
      <c r="T122" s="953">
        <v>0</v>
      </c>
      <c r="U122" s="953">
        <v>0</v>
      </c>
      <c r="V122" s="953">
        <v>0</v>
      </c>
      <c r="W122" s="13"/>
      <c r="X122" s="953">
        <v>0</v>
      </c>
      <c r="Y122" s="953">
        <v>0</v>
      </c>
      <c r="Z122" s="953">
        <v>0</v>
      </c>
      <c r="AA122" s="13">
        <v>0</v>
      </c>
      <c r="AB122" s="953">
        <v>0</v>
      </c>
      <c r="AC122" s="953">
        <v>0</v>
      </c>
      <c r="AD122" s="953">
        <v>0</v>
      </c>
      <c r="AE122" s="13"/>
      <c r="AF122" s="953">
        <v>0</v>
      </c>
      <c r="AG122" s="953">
        <v>0</v>
      </c>
      <c r="AH122" s="953">
        <v>0</v>
      </c>
      <c r="AI122" s="13"/>
      <c r="AJ122" s="953">
        <v>0</v>
      </c>
      <c r="AK122" s="953">
        <v>0</v>
      </c>
      <c r="AL122" s="953">
        <v>0</v>
      </c>
      <c r="AM122" s="1455"/>
      <c r="AN122" s="9">
        <v>38</v>
      </c>
      <c r="AO122" s="955">
        <v>0.35</v>
      </c>
      <c r="AP122" s="13"/>
      <c r="AQ122"/>
      <c r="AR122"/>
      <c r="AS122"/>
      <c r="AT122">
        <v>1</v>
      </c>
      <c r="AU122" t="str">
        <f t="shared" si="15"/>
        <v>2009Q3</v>
      </c>
      <c r="AV122">
        <f t="shared" si="16"/>
        <v>2009</v>
      </c>
      <c r="AW122" s="111">
        <f t="shared" si="12"/>
        <v>40057</v>
      </c>
      <c r="AX122" s="136">
        <f t="shared" si="19"/>
        <v>3.250380336065358</v>
      </c>
      <c r="AY122" s="1541">
        <v>3.250380336065358</v>
      </c>
      <c r="AZ122" s="136">
        <f t="shared" si="20"/>
        <v>3.250380336065358</v>
      </c>
      <c r="BA122" s="137">
        <v>1</v>
      </c>
      <c r="BB122" s="137">
        <v>1</v>
      </c>
      <c r="BC122" s="137">
        <v>1</v>
      </c>
      <c r="BD122" s="137">
        <v>0</v>
      </c>
      <c r="BE122" s="137"/>
      <c r="BF122" s="137">
        <v>0</v>
      </c>
      <c r="BG122" s="145">
        <v>0</v>
      </c>
      <c r="BH122" s="153"/>
      <c r="BI122" s="938"/>
      <c r="BJ122" s="153"/>
      <c r="BK122" s="1443">
        <v>0</v>
      </c>
      <c r="BL122" s="905">
        <f t="shared" si="21"/>
        <v>3.250380336065358</v>
      </c>
      <c r="BM122" s="1287">
        <f t="shared" si="13"/>
        <v>3.250380336065358</v>
      </c>
      <c r="BN122" s="1393">
        <f t="shared" si="22"/>
        <v>2.69780045511121E-2</v>
      </c>
      <c r="BO122" s="1377">
        <v>2.4</v>
      </c>
      <c r="BP122" s="208">
        <f t="shared" si="23"/>
        <v>2.69780045511121E-2</v>
      </c>
      <c r="BQ122" s="1378">
        <f t="shared" si="17"/>
        <v>3.2799065200669251</v>
      </c>
      <c r="BR122" s="1378">
        <f t="shared" si="14"/>
        <v>2.7877506673124657</v>
      </c>
      <c r="BS122" s="153">
        <v>0</v>
      </c>
      <c r="BU122" s="1389">
        <f t="shared" si="18"/>
        <v>39630</v>
      </c>
      <c r="BV122" s="1390">
        <v>2.4542414735384779</v>
      </c>
      <c r="BW122" s="1390">
        <v>2.1073129753776532</v>
      </c>
      <c r="BX122" s="1390"/>
      <c r="BY122" s="1390">
        <v>2.9917066615631147</v>
      </c>
      <c r="BZ122" s="1391">
        <v>2.5688027581679083</v>
      </c>
    </row>
    <row r="123" spans="1:78">
      <c r="A123" s="957"/>
      <c r="B123" s="951">
        <v>39052</v>
      </c>
      <c r="C123" s="952">
        <v>43.045003586082103</v>
      </c>
      <c r="D123" s="952"/>
      <c r="E123" s="952"/>
      <c r="F123" s="950"/>
      <c r="G123" s="952"/>
      <c r="H123" s="952"/>
      <c r="I123" s="952"/>
      <c r="J123" s="9"/>
      <c r="K123" s="944">
        <v>39934</v>
      </c>
      <c r="L123" s="953">
        <v>0</v>
      </c>
      <c r="M123" s="953">
        <v>0</v>
      </c>
      <c r="N123" s="953">
        <v>0</v>
      </c>
      <c r="O123" s="13"/>
      <c r="P123" s="953">
        <v>0</v>
      </c>
      <c r="Q123" s="953">
        <v>0</v>
      </c>
      <c r="R123" s="953">
        <v>0</v>
      </c>
      <c r="S123" s="13"/>
      <c r="T123" s="953">
        <v>0</v>
      </c>
      <c r="U123" s="953">
        <v>0</v>
      </c>
      <c r="V123" s="953">
        <v>0</v>
      </c>
      <c r="W123" s="13"/>
      <c r="X123" s="953">
        <v>0</v>
      </c>
      <c r="Y123" s="953">
        <v>0</v>
      </c>
      <c r="Z123" s="953">
        <v>0</v>
      </c>
      <c r="AA123" s="13">
        <v>0</v>
      </c>
      <c r="AB123" s="953">
        <v>0</v>
      </c>
      <c r="AC123" s="953">
        <v>0</v>
      </c>
      <c r="AD123" s="953">
        <v>0</v>
      </c>
      <c r="AE123" s="13"/>
      <c r="AF123" s="953">
        <v>0</v>
      </c>
      <c r="AG123" s="953">
        <v>0</v>
      </c>
      <c r="AH123" s="953">
        <v>0</v>
      </c>
      <c r="AI123" s="13"/>
      <c r="AJ123" s="953">
        <v>0</v>
      </c>
      <c r="AK123" s="953">
        <v>0</v>
      </c>
      <c r="AL123" s="953">
        <v>0</v>
      </c>
      <c r="AM123" s="1455"/>
      <c r="AN123" s="9">
        <v>38</v>
      </c>
      <c r="AO123" s="955">
        <v>0.35</v>
      </c>
      <c r="AP123" s="13"/>
      <c r="AQ123"/>
      <c r="AR123"/>
      <c r="AS123"/>
      <c r="AT123">
        <v>1</v>
      </c>
      <c r="AU123" t="str">
        <f t="shared" si="15"/>
        <v>2009Q4</v>
      </c>
      <c r="AV123">
        <f t="shared" si="16"/>
        <v>2009</v>
      </c>
      <c r="AW123" s="111">
        <f t="shared" si="12"/>
        <v>40087</v>
      </c>
      <c r="AX123" s="136">
        <f t="shared" si="19"/>
        <v>3.3948253425863628</v>
      </c>
      <c r="AY123" s="1541">
        <v>3.3948253425863628</v>
      </c>
      <c r="AZ123" s="136">
        <f t="shared" si="20"/>
        <v>3.3948253425863628</v>
      </c>
      <c r="BA123" s="137">
        <v>1</v>
      </c>
      <c r="BB123" s="137">
        <v>1</v>
      </c>
      <c r="BC123" s="137">
        <v>1</v>
      </c>
      <c r="BD123" s="137">
        <v>0</v>
      </c>
      <c r="BE123" s="137"/>
      <c r="BF123" s="137">
        <v>0</v>
      </c>
      <c r="BG123" s="145">
        <v>0</v>
      </c>
      <c r="BH123" s="153"/>
      <c r="BI123" s="938"/>
      <c r="BJ123" s="153"/>
      <c r="BK123" s="1443">
        <v>0</v>
      </c>
      <c r="BL123" s="905">
        <f t="shared" si="21"/>
        <v>3.3948253425863628</v>
      </c>
      <c r="BM123" s="1287">
        <f t="shared" si="13"/>
        <v>3.3948253425863628</v>
      </c>
      <c r="BN123" s="1393">
        <f t="shared" si="22"/>
        <v>2.6978004551112544E-2</v>
      </c>
      <c r="BO123" s="1377">
        <v>2.4</v>
      </c>
      <c r="BP123" s="208">
        <f t="shared" si="23"/>
        <v>2.6978004551112544E-2</v>
      </c>
      <c r="BQ123" s="1378">
        <f t="shared" si="17"/>
        <v>3.4206778900951038</v>
      </c>
      <c r="BR123" s="1378">
        <f t="shared" si="14"/>
        <v>2.8684221762646192</v>
      </c>
      <c r="BS123" s="153">
        <v>0</v>
      </c>
      <c r="BU123" s="1389">
        <f t="shared" si="18"/>
        <v>39661</v>
      </c>
      <c r="BV123" s="1390">
        <v>2.5120687332769873</v>
      </c>
      <c r="BW123" s="1390">
        <v>2.1574002573584767</v>
      </c>
      <c r="BX123" s="1390"/>
      <c r="BY123" s="1390">
        <v>3.0621977685079456</v>
      </c>
      <c r="BZ123" s="1391">
        <v>2.6298588754152359</v>
      </c>
    </row>
    <row r="124" spans="1:78">
      <c r="A124" s="957"/>
      <c r="B124" s="951">
        <v>39083</v>
      </c>
      <c r="C124" s="952">
        <v>42.005821416652722</v>
      </c>
      <c r="D124" s="952"/>
      <c r="E124" s="952"/>
      <c r="F124" s="950"/>
      <c r="G124" s="952"/>
      <c r="H124" s="952"/>
      <c r="I124" s="952"/>
      <c r="J124" s="9"/>
      <c r="K124" s="944">
        <v>39965</v>
      </c>
      <c r="L124" s="953">
        <v>0</v>
      </c>
      <c r="M124" s="953">
        <v>0</v>
      </c>
      <c r="N124" s="953">
        <v>0</v>
      </c>
      <c r="O124" s="13"/>
      <c r="P124" s="953">
        <v>0</v>
      </c>
      <c r="Q124" s="953">
        <v>0</v>
      </c>
      <c r="R124" s="953">
        <v>0</v>
      </c>
      <c r="S124" s="13"/>
      <c r="T124" s="953">
        <v>0</v>
      </c>
      <c r="U124" s="953">
        <v>0</v>
      </c>
      <c r="V124" s="953">
        <v>0</v>
      </c>
      <c r="W124" s="13"/>
      <c r="X124" s="953">
        <v>0</v>
      </c>
      <c r="Y124" s="953">
        <v>0</v>
      </c>
      <c r="Z124" s="953">
        <v>0</v>
      </c>
      <c r="AA124" s="13">
        <v>0</v>
      </c>
      <c r="AB124" s="953">
        <v>0</v>
      </c>
      <c r="AC124" s="953">
        <v>0</v>
      </c>
      <c r="AD124" s="953">
        <v>0</v>
      </c>
      <c r="AE124" s="13"/>
      <c r="AF124" s="953">
        <v>0</v>
      </c>
      <c r="AG124" s="953">
        <v>0</v>
      </c>
      <c r="AH124" s="953">
        <v>0</v>
      </c>
      <c r="AI124" s="13"/>
      <c r="AJ124" s="953">
        <v>0</v>
      </c>
      <c r="AK124" s="953">
        <v>0</v>
      </c>
      <c r="AL124" s="953">
        <v>0</v>
      </c>
      <c r="AM124" s="1455"/>
      <c r="AN124" s="9">
        <v>39</v>
      </c>
      <c r="AO124" s="955">
        <v>0.35</v>
      </c>
      <c r="AP124" s="13"/>
      <c r="AQ124"/>
      <c r="AR124"/>
      <c r="AS124"/>
      <c r="AT124">
        <v>1</v>
      </c>
      <c r="AU124" t="str">
        <f t="shared" si="15"/>
        <v>2009Q4</v>
      </c>
      <c r="AV124">
        <f t="shared" si="16"/>
        <v>2009</v>
      </c>
      <c r="AW124" s="111">
        <f t="shared" si="12"/>
        <v>40118</v>
      </c>
      <c r="AX124" s="136">
        <f t="shared" si="19"/>
        <v>3.5372625687000161</v>
      </c>
      <c r="AY124" s="1541">
        <v>3.5372625687000161</v>
      </c>
      <c r="AZ124" s="136">
        <f t="shared" si="20"/>
        <v>3.5372625687000161</v>
      </c>
      <c r="BA124" s="137">
        <v>1</v>
      </c>
      <c r="BB124" s="137">
        <v>1</v>
      </c>
      <c r="BC124" s="137">
        <v>1</v>
      </c>
      <c r="BD124" s="137">
        <v>0</v>
      </c>
      <c r="BE124" s="137"/>
      <c r="BF124" s="137">
        <v>0</v>
      </c>
      <c r="BG124" s="145">
        <v>0</v>
      </c>
      <c r="BH124" s="153"/>
      <c r="BI124" s="938"/>
      <c r="BJ124" s="153"/>
      <c r="BK124" s="1443">
        <v>0</v>
      </c>
      <c r="BL124" s="905">
        <f t="shared" si="21"/>
        <v>3.5372625687000161</v>
      </c>
      <c r="BM124" s="1287">
        <f t="shared" si="13"/>
        <v>3.5372625687000161</v>
      </c>
      <c r="BN124" s="1393">
        <f t="shared" si="22"/>
        <v>2.69780045511121E-2</v>
      </c>
      <c r="BO124" s="1377">
        <v>2.4</v>
      </c>
      <c r="BP124" s="208">
        <f t="shared" si="23"/>
        <v>2.69780045511121E-2</v>
      </c>
      <c r="BQ124" s="1378">
        <f t="shared" si="17"/>
        <v>3.5953140708376088</v>
      </c>
      <c r="BR124" s="1378">
        <f t="shared" si="14"/>
        <v>2.944204502856036</v>
      </c>
      <c r="BS124" s="153">
        <v>0</v>
      </c>
      <c r="BU124" s="1389">
        <f t="shared" si="18"/>
        <v>39692</v>
      </c>
      <c r="BV124" s="1390">
        <v>2.5967068134397158</v>
      </c>
      <c r="BW124" s="1390">
        <v>2.218185793742971</v>
      </c>
      <c r="BX124" s="1390"/>
      <c r="BY124" s="1390">
        <v>3.1653711159453803</v>
      </c>
      <c r="BZ124" s="1391">
        <v>2.7039561050843228</v>
      </c>
    </row>
    <row r="125" spans="1:78">
      <c r="A125" s="957"/>
      <c r="B125" s="951">
        <v>39114</v>
      </c>
      <c r="C125" s="952">
        <v>35.697569899337736</v>
      </c>
      <c r="D125" s="952"/>
      <c r="E125" s="952"/>
      <c r="F125" s="950"/>
      <c r="G125" s="952"/>
      <c r="H125" s="952"/>
      <c r="I125" s="952"/>
      <c r="J125" s="9"/>
      <c r="K125" s="944">
        <v>39995</v>
      </c>
      <c r="L125" s="953">
        <v>0</v>
      </c>
      <c r="M125" s="953">
        <v>0</v>
      </c>
      <c r="N125" s="953">
        <v>0</v>
      </c>
      <c r="O125" s="13"/>
      <c r="P125" s="953">
        <v>0</v>
      </c>
      <c r="Q125" s="953">
        <v>0</v>
      </c>
      <c r="R125" s="953">
        <v>0</v>
      </c>
      <c r="S125" s="13"/>
      <c r="T125" s="953">
        <v>0</v>
      </c>
      <c r="U125" s="953">
        <v>0</v>
      </c>
      <c r="V125" s="953">
        <v>0</v>
      </c>
      <c r="W125" s="13"/>
      <c r="X125" s="953">
        <v>0</v>
      </c>
      <c r="Y125" s="953">
        <v>0</v>
      </c>
      <c r="Z125" s="953">
        <v>0</v>
      </c>
      <c r="AA125" s="13">
        <v>0</v>
      </c>
      <c r="AB125" s="953">
        <v>0</v>
      </c>
      <c r="AC125" s="953">
        <v>0</v>
      </c>
      <c r="AD125" s="953">
        <v>0</v>
      </c>
      <c r="AE125" s="13"/>
      <c r="AF125" s="953">
        <v>0</v>
      </c>
      <c r="AG125" s="953">
        <v>0</v>
      </c>
      <c r="AH125" s="953">
        <v>0</v>
      </c>
      <c r="AI125" s="13"/>
      <c r="AJ125" s="953">
        <v>0</v>
      </c>
      <c r="AK125" s="953">
        <v>0</v>
      </c>
      <c r="AL125" s="953">
        <v>0</v>
      </c>
      <c r="AM125" s="1455"/>
      <c r="AN125" s="9">
        <v>39</v>
      </c>
      <c r="AO125" s="955">
        <v>0.35</v>
      </c>
      <c r="AP125" s="13"/>
      <c r="AQ125"/>
      <c r="AR125"/>
      <c r="AS125"/>
      <c r="AT125">
        <v>1</v>
      </c>
      <c r="AU125" t="str">
        <f t="shared" si="15"/>
        <v>2009Q4</v>
      </c>
      <c r="AV125">
        <f t="shared" si="16"/>
        <v>2009</v>
      </c>
      <c r="AW125" s="111">
        <f t="shared" si="12"/>
        <v>40148</v>
      </c>
      <c r="AX125" s="136">
        <f t="shared" si="19"/>
        <v>3.6877203903348774</v>
      </c>
      <c r="AY125" s="1541">
        <v>3.6877203903348774</v>
      </c>
      <c r="AZ125" s="136">
        <f t="shared" si="20"/>
        <v>3.6877203903348774</v>
      </c>
      <c r="BA125" s="137">
        <v>1</v>
      </c>
      <c r="BB125" s="137">
        <v>1</v>
      </c>
      <c r="BC125" s="137">
        <v>1</v>
      </c>
      <c r="BD125" s="137">
        <v>0</v>
      </c>
      <c r="BE125" s="137"/>
      <c r="BF125" s="137">
        <v>0</v>
      </c>
      <c r="BG125" s="145">
        <v>0</v>
      </c>
      <c r="BH125" s="153"/>
      <c r="BI125" s="938"/>
      <c r="BJ125" s="153"/>
      <c r="BK125" s="1443">
        <v>0</v>
      </c>
      <c r="BL125" s="905">
        <f t="shared" si="21"/>
        <v>3.6877203903348774</v>
      </c>
      <c r="BM125" s="1287">
        <f t="shared" si="13"/>
        <v>3.6877203903348774</v>
      </c>
      <c r="BN125" s="1393">
        <f t="shared" si="22"/>
        <v>2.6978004551112322E-2</v>
      </c>
      <c r="BO125" s="1377">
        <v>2.4</v>
      </c>
      <c r="BP125" s="208">
        <f t="shared" si="23"/>
        <v>2.6978004551112322E-2</v>
      </c>
      <c r="BQ125" s="1378">
        <f t="shared" si="17"/>
        <v>3.6712642090631893</v>
      </c>
      <c r="BR125" s="1378">
        <f t="shared" si="14"/>
        <v>3.0059304301603329</v>
      </c>
      <c r="BS125" s="153">
        <v>0</v>
      </c>
      <c r="BU125" s="1389">
        <f t="shared" si="18"/>
        <v>39722</v>
      </c>
      <c r="BV125" s="1390">
        <v>2.7081557140266614</v>
      </c>
      <c r="BW125" s="1390">
        <v>2.2823753201649977</v>
      </c>
      <c r="BX125" s="1390"/>
      <c r="BY125" s="1390">
        <v>3.3012267038754173</v>
      </c>
      <c r="BZ125" s="1391">
        <v>2.7822027796148792</v>
      </c>
    </row>
    <row r="126" spans="1:78">
      <c r="A126" s="957"/>
      <c r="B126" s="951">
        <v>39142</v>
      </c>
      <c r="C126" s="952">
        <v>33.114048262063918</v>
      </c>
      <c r="D126" s="952"/>
      <c r="E126" s="952"/>
      <c r="F126" s="950"/>
      <c r="G126" s="952"/>
      <c r="H126" s="952"/>
      <c r="I126" s="952"/>
      <c r="J126" s="9"/>
      <c r="K126" s="944">
        <v>40026</v>
      </c>
      <c r="L126" s="953">
        <v>0</v>
      </c>
      <c r="M126" s="953">
        <v>0</v>
      </c>
      <c r="N126" s="953">
        <v>0</v>
      </c>
      <c r="O126" s="13"/>
      <c r="P126" s="953">
        <v>0</v>
      </c>
      <c r="Q126" s="953">
        <v>0</v>
      </c>
      <c r="R126" s="953">
        <v>0</v>
      </c>
      <c r="S126" s="13"/>
      <c r="T126" s="953">
        <v>0</v>
      </c>
      <c r="U126" s="953">
        <v>0</v>
      </c>
      <c r="V126" s="953">
        <v>0</v>
      </c>
      <c r="W126" s="13"/>
      <c r="X126" s="953">
        <v>0</v>
      </c>
      <c r="Y126" s="953">
        <v>0</v>
      </c>
      <c r="Z126" s="953">
        <v>0</v>
      </c>
      <c r="AA126" s="13">
        <v>0</v>
      </c>
      <c r="AB126" s="953">
        <v>0</v>
      </c>
      <c r="AC126" s="953">
        <v>0</v>
      </c>
      <c r="AD126" s="953">
        <v>0</v>
      </c>
      <c r="AE126" s="13"/>
      <c r="AF126" s="953">
        <v>0</v>
      </c>
      <c r="AG126" s="953">
        <v>0</v>
      </c>
      <c r="AH126" s="953">
        <v>0</v>
      </c>
      <c r="AI126" s="13"/>
      <c r="AJ126" s="953">
        <v>0</v>
      </c>
      <c r="AK126" s="953">
        <v>0</v>
      </c>
      <c r="AL126" s="953">
        <v>0</v>
      </c>
      <c r="AM126" s="1455"/>
      <c r="AN126" s="9">
        <v>39</v>
      </c>
      <c r="AO126" s="955">
        <v>0.35</v>
      </c>
      <c r="AP126" s="13"/>
      <c r="AQ126"/>
      <c r="AR126"/>
      <c r="AS126"/>
      <c r="AT126">
        <v>1</v>
      </c>
      <c r="AU126" t="str">
        <f t="shared" si="15"/>
        <v>2010Q1</v>
      </c>
      <c r="AV126">
        <f t="shared" si="16"/>
        <v>2010</v>
      </c>
      <c r="AW126" s="111">
        <f t="shared" si="12"/>
        <v>40179</v>
      </c>
      <c r="AX126" s="136">
        <f t="shared" si="19"/>
        <v>3.5219671447532508</v>
      </c>
      <c r="AY126" s="1541">
        <v>3.5219671447532508</v>
      </c>
      <c r="AZ126" s="136">
        <f t="shared" si="20"/>
        <v>3.5219671447532508</v>
      </c>
      <c r="BA126" s="137">
        <v>1</v>
      </c>
      <c r="BB126" s="137">
        <v>1</v>
      </c>
      <c r="BC126" s="137">
        <v>1</v>
      </c>
      <c r="BD126" s="137">
        <v>0</v>
      </c>
      <c r="BE126" s="137"/>
      <c r="BF126" s="137">
        <v>0</v>
      </c>
      <c r="BG126" s="145">
        <v>0</v>
      </c>
      <c r="BH126" s="153"/>
      <c r="BI126" s="938"/>
      <c r="BJ126" s="924"/>
      <c r="BK126" s="1443">
        <v>0</v>
      </c>
      <c r="BL126" s="905">
        <f t="shared" si="21"/>
        <v>3.5219671447532508</v>
      </c>
      <c r="BM126" s="1287">
        <f t="shared" si="13"/>
        <v>3.5219671447532508</v>
      </c>
      <c r="BN126" s="1393">
        <f t="shared" si="22"/>
        <v>2.6283682353390292E-2</v>
      </c>
      <c r="BO126" s="1377">
        <v>2.4</v>
      </c>
      <c r="BP126" s="208">
        <f t="shared" si="23"/>
        <v>2.6283682353390292E-2</v>
      </c>
      <c r="BQ126" s="1378">
        <f t="shared" si="17"/>
        <v>3.650790223299532</v>
      </c>
      <c r="BR126" s="1378">
        <f t="shared" si="14"/>
        <v>3.0984881245423685</v>
      </c>
      <c r="BS126" s="153">
        <v>0</v>
      </c>
      <c r="BU126" s="1389">
        <f t="shared" si="18"/>
        <v>39753</v>
      </c>
      <c r="BV126" s="1390">
        <v>2.8464154350378261</v>
      </c>
      <c r="BW126" s="1390">
        <v>2.3426745722584168</v>
      </c>
      <c r="BX126" s="1390"/>
      <c r="BY126" s="1390">
        <v>3.469764532298059</v>
      </c>
      <c r="BZ126" s="1391">
        <v>2.8557072314466145</v>
      </c>
    </row>
    <row r="127" spans="1:78">
      <c r="A127" s="957"/>
      <c r="B127" s="951">
        <v>39173</v>
      </c>
      <c r="C127" s="952">
        <v>31.533535832121</v>
      </c>
      <c r="D127" s="952"/>
      <c r="E127" s="952"/>
      <c r="F127" s="950"/>
      <c r="G127" s="952"/>
      <c r="H127" s="952"/>
      <c r="I127" s="952"/>
      <c r="J127" s="9"/>
      <c r="K127" s="944">
        <v>40057</v>
      </c>
      <c r="L127" s="953">
        <v>0</v>
      </c>
      <c r="M127" s="953">
        <v>0</v>
      </c>
      <c r="N127" s="953">
        <v>0</v>
      </c>
      <c r="O127" s="13"/>
      <c r="P127" s="953">
        <v>0</v>
      </c>
      <c r="Q127" s="953">
        <v>0</v>
      </c>
      <c r="R127" s="953">
        <v>0</v>
      </c>
      <c r="S127" s="13"/>
      <c r="T127" s="953">
        <v>0</v>
      </c>
      <c r="U127" s="953">
        <v>0</v>
      </c>
      <c r="V127" s="953">
        <v>0</v>
      </c>
      <c r="W127" s="13"/>
      <c r="X127" s="953">
        <v>0</v>
      </c>
      <c r="Y127" s="953">
        <v>0</v>
      </c>
      <c r="Z127" s="953">
        <v>0</v>
      </c>
      <c r="AA127" s="13">
        <v>0</v>
      </c>
      <c r="AB127" s="953">
        <v>0</v>
      </c>
      <c r="AC127" s="953">
        <v>0</v>
      </c>
      <c r="AD127" s="953">
        <v>0</v>
      </c>
      <c r="AE127" s="13"/>
      <c r="AF127" s="953">
        <v>0</v>
      </c>
      <c r="AG127" s="953">
        <v>0</v>
      </c>
      <c r="AH127" s="953">
        <v>0</v>
      </c>
      <c r="AI127" s="13"/>
      <c r="AJ127" s="953">
        <v>0</v>
      </c>
      <c r="AK127" s="953">
        <v>0</v>
      </c>
      <c r="AL127" s="953">
        <v>0</v>
      </c>
      <c r="AM127" s="1455"/>
      <c r="AN127" s="9">
        <v>40</v>
      </c>
      <c r="AO127" s="955">
        <v>0.35</v>
      </c>
      <c r="AP127" s="13"/>
      <c r="AQ127"/>
      <c r="AR127"/>
      <c r="AS127"/>
      <c r="AT127"/>
      <c r="AU127" t="str">
        <f t="shared" si="15"/>
        <v>2010Q1</v>
      </c>
      <c r="AV127">
        <f t="shared" si="16"/>
        <v>2010</v>
      </c>
      <c r="AW127" s="111">
        <f t="shared" si="12"/>
        <v>40210</v>
      </c>
      <c r="AX127" s="136">
        <f t="shared" si="19"/>
        <v>3.2529495506322421</v>
      </c>
      <c r="AY127" s="1541">
        <v>3.2529495506322421</v>
      </c>
      <c r="AZ127" s="136">
        <f t="shared" si="20"/>
        <v>3.2529495506322421</v>
      </c>
      <c r="BA127" s="137">
        <v>1</v>
      </c>
      <c r="BB127" s="137">
        <v>1</v>
      </c>
      <c r="BC127" s="137">
        <v>1</v>
      </c>
      <c r="BD127" s="137">
        <v>0</v>
      </c>
      <c r="BE127" s="137"/>
      <c r="BF127" s="137">
        <v>0</v>
      </c>
      <c r="BG127" s="145">
        <v>0</v>
      </c>
      <c r="BH127" s="153"/>
      <c r="BI127" s="938"/>
      <c r="BJ127" s="924"/>
      <c r="BK127" s="1443">
        <v>0</v>
      </c>
      <c r="BL127" s="905">
        <f t="shared" si="21"/>
        <v>3.2529495506322421</v>
      </c>
      <c r="BM127" s="1287">
        <f t="shared" si="13"/>
        <v>3.2529495506322421</v>
      </c>
      <c r="BN127" s="1393">
        <f t="shared" si="22"/>
        <v>2.6283682353390736E-2</v>
      </c>
      <c r="BO127" s="1377">
        <v>2.4</v>
      </c>
      <c r="BP127" s="208">
        <f t="shared" si="23"/>
        <v>2.6283682353390736E-2</v>
      </c>
      <c r="BQ127" s="1378">
        <f t="shared" si="17"/>
        <v>3.3753215472923443</v>
      </c>
      <c r="BR127" s="1378">
        <f t="shared" si="14"/>
        <v>2.8860556552164942</v>
      </c>
      <c r="BS127" s="153">
        <v>0</v>
      </c>
      <c r="BT127">
        <v>10</v>
      </c>
      <c r="BU127" s="1389">
        <f t="shared" si="18"/>
        <v>39783</v>
      </c>
      <c r="BV127" s="1390">
        <v>2.906545271118651</v>
      </c>
      <c r="BW127" s="1390">
        <v>2.391789285657087</v>
      </c>
      <c r="BX127" s="1390"/>
      <c r="BY127" s="1390">
        <v>3.5430624669557842</v>
      </c>
      <c r="BZ127" s="1391">
        <v>2.915577793019235</v>
      </c>
    </row>
    <row r="128" spans="1:78">
      <c r="A128" s="957"/>
      <c r="B128" s="951">
        <v>39203</v>
      </c>
      <c r="C128" s="952">
        <v>32.407860635320404</v>
      </c>
      <c r="D128" s="952"/>
      <c r="E128" s="952"/>
      <c r="F128" s="950"/>
      <c r="G128" s="952"/>
      <c r="H128" s="952"/>
      <c r="I128" s="952"/>
      <c r="J128" s="9"/>
      <c r="K128" s="944">
        <v>40087</v>
      </c>
      <c r="L128" s="953">
        <v>0</v>
      </c>
      <c r="M128" s="953">
        <v>0</v>
      </c>
      <c r="N128" s="953">
        <v>0</v>
      </c>
      <c r="O128" s="13"/>
      <c r="P128" s="953">
        <v>0</v>
      </c>
      <c r="Q128" s="953">
        <v>0</v>
      </c>
      <c r="R128" s="953">
        <v>0</v>
      </c>
      <c r="S128" s="13"/>
      <c r="T128" s="953">
        <v>0</v>
      </c>
      <c r="U128" s="953">
        <v>0</v>
      </c>
      <c r="V128" s="953">
        <v>0</v>
      </c>
      <c r="W128" s="13"/>
      <c r="X128" s="953">
        <v>0</v>
      </c>
      <c r="Y128" s="953">
        <v>0</v>
      </c>
      <c r="Z128" s="953">
        <v>0</v>
      </c>
      <c r="AA128" s="13">
        <v>0</v>
      </c>
      <c r="AB128" s="953">
        <v>0</v>
      </c>
      <c r="AC128" s="953">
        <v>0</v>
      </c>
      <c r="AD128" s="953">
        <v>0</v>
      </c>
      <c r="AE128" s="13"/>
      <c r="AF128" s="953">
        <v>0</v>
      </c>
      <c r="AG128" s="953">
        <v>0</v>
      </c>
      <c r="AH128" s="953">
        <v>0</v>
      </c>
      <c r="AI128" s="13"/>
      <c r="AJ128" s="953">
        <v>0</v>
      </c>
      <c r="AK128" s="953">
        <v>0</v>
      </c>
      <c r="AL128" s="953">
        <v>0</v>
      </c>
      <c r="AM128" s="1455"/>
      <c r="AN128" s="9">
        <v>40</v>
      </c>
      <c r="AO128" s="955">
        <v>0.35</v>
      </c>
      <c r="AP128" s="13"/>
      <c r="AQ128"/>
      <c r="AR128"/>
      <c r="AS128"/>
      <c r="AT128"/>
      <c r="AU128" t="str">
        <f t="shared" si="15"/>
        <v>2010Q1</v>
      </c>
      <c r="AV128">
        <f t="shared" si="16"/>
        <v>2010</v>
      </c>
      <c r="AW128" s="111">
        <f t="shared" si="12"/>
        <v>40238</v>
      </c>
      <c r="AX128" s="136">
        <f t="shared" si="19"/>
        <v>3.078320017282647</v>
      </c>
      <c r="AY128" s="1541">
        <v>3.078320017282647</v>
      </c>
      <c r="AZ128" s="136">
        <f t="shared" si="20"/>
        <v>3.078320017282647</v>
      </c>
      <c r="BA128" s="137">
        <v>1</v>
      </c>
      <c r="BB128" s="137">
        <v>1</v>
      </c>
      <c r="BC128" s="137">
        <v>1</v>
      </c>
      <c r="BD128" s="137">
        <v>0</v>
      </c>
      <c r="BE128" s="137"/>
      <c r="BF128" s="137">
        <v>0</v>
      </c>
      <c r="BG128" s="145">
        <v>0</v>
      </c>
      <c r="BH128" s="153"/>
      <c r="BI128" s="938"/>
      <c r="BJ128" s="924"/>
      <c r="BK128" s="1443">
        <v>0</v>
      </c>
      <c r="BL128" s="905">
        <f t="shared" si="21"/>
        <v>3.078320017282647</v>
      </c>
      <c r="BM128" s="1287">
        <f t="shared" si="13"/>
        <v>3.078320017282647</v>
      </c>
      <c r="BN128" s="1393">
        <f t="shared" si="22"/>
        <v>2.6283682353390958E-2</v>
      </c>
      <c r="BO128" s="1377">
        <v>2.4</v>
      </c>
      <c r="BP128" s="208">
        <f t="shared" si="23"/>
        <v>2.6283682353390958E-2</v>
      </c>
      <c r="BQ128" s="1378">
        <f t="shared" si="17"/>
        <v>3.2751021095207897</v>
      </c>
      <c r="BR128" s="1378">
        <f t="shared" si="14"/>
        <v>2.7427872456711366</v>
      </c>
      <c r="BS128" s="153">
        <v>0</v>
      </c>
      <c r="BU128" s="1389">
        <f t="shared" si="18"/>
        <v>39814</v>
      </c>
      <c r="BV128" s="1390">
        <v>2.8208468373234581</v>
      </c>
      <c r="BW128" s="1390">
        <v>2.4662195777823239</v>
      </c>
      <c r="BX128" s="1390"/>
      <c r="BY128" s="1390">
        <v>3.5073684854442964</v>
      </c>
      <c r="BZ128" s="1391">
        <v>3.0664340618744479</v>
      </c>
    </row>
    <row r="129" spans="1:78">
      <c r="A129" s="957"/>
      <c r="B129" s="951">
        <v>39234</v>
      </c>
      <c r="C129" s="952">
        <v>31.56184189257208</v>
      </c>
      <c r="D129" s="952"/>
      <c r="E129" s="952"/>
      <c r="F129" s="950"/>
      <c r="G129" s="952"/>
      <c r="H129" s="952"/>
      <c r="I129" s="952"/>
      <c r="J129" s="9"/>
      <c r="K129" s="944">
        <v>40118</v>
      </c>
      <c r="L129" s="953">
        <v>0</v>
      </c>
      <c r="M129" s="953">
        <v>0</v>
      </c>
      <c r="N129" s="953">
        <v>0</v>
      </c>
      <c r="O129" s="13"/>
      <c r="P129" s="953">
        <v>0</v>
      </c>
      <c r="Q129" s="953">
        <v>0</v>
      </c>
      <c r="R129" s="953">
        <v>0</v>
      </c>
      <c r="S129" s="13"/>
      <c r="T129" s="953">
        <v>0</v>
      </c>
      <c r="U129" s="953">
        <v>0</v>
      </c>
      <c r="V129" s="953">
        <v>0</v>
      </c>
      <c r="W129" s="13"/>
      <c r="X129" s="953">
        <v>0</v>
      </c>
      <c r="Y129" s="953">
        <v>0</v>
      </c>
      <c r="Z129" s="953">
        <v>0</v>
      </c>
      <c r="AA129" s="13">
        <v>0</v>
      </c>
      <c r="AB129" s="953">
        <v>0</v>
      </c>
      <c r="AC129" s="953">
        <v>0</v>
      </c>
      <c r="AD129" s="953">
        <v>0</v>
      </c>
      <c r="AE129" s="13"/>
      <c r="AF129" s="953">
        <v>0</v>
      </c>
      <c r="AG129" s="953">
        <v>0</v>
      </c>
      <c r="AH129" s="953">
        <v>0</v>
      </c>
      <c r="AI129" s="13"/>
      <c r="AJ129" s="953">
        <v>0</v>
      </c>
      <c r="AK129" s="953">
        <v>0</v>
      </c>
      <c r="AL129" s="953">
        <v>0</v>
      </c>
      <c r="AM129" s="1455"/>
      <c r="AN129" s="9">
        <v>40</v>
      </c>
      <c r="AO129" s="955">
        <v>0.35</v>
      </c>
      <c r="AP129" s="13"/>
      <c r="AQ129"/>
      <c r="AR129"/>
      <c r="AS129"/>
      <c r="AT129"/>
      <c r="AU129" t="str">
        <f t="shared" si="15"/>
        <v>2010Q2</v>
      </c>
      <c r="AV129">
        <f t="shared" si="16"/>
        <v>2010</v>
      </c>
      <c r="AW129" s="111">
        <f t="shared" si="12"/>
        <v>40269</v>
      </c>
      <c r="AX129" s="136">
        <f t="shared" si="19"/>
        <v>2.985968219236578</v>
      </c>
      <c r="AY129" s="1541">
        <v>2.985968219236578</v>
      </c>
      <c r="AZ129" s="136">
        <f t="shared" si="20"/>
        <v>2.985968219236578</v>
      </c>
      <c r="BA129" s="137">
        <v>1</v>
      </c>
      <c r="BB129" s="137">
        <v>1</v>
      </c>
      <c r="BC129" s="137">
        <v>1</v>
      </c>
      <c r="BD129" s="137">
        <v>0</v>
      </c>
      <c r="BE129" s="137"/>
      <c r="BF129" s="137">
        <v>0</v>
      </c>
      <c r="BG129" s="145">
        <v>0</v>
      </c>
      <c r="BH129" s="153"/>
      <c r="BI129" s="938"/>
      <c r="BJ129" s="924"/>
      <c r="BK129" s="1443">
        <v>0</v>
      </c>
      <c r="BL129" s="905">
        <f t="shared" si="21"/>
        <v>2.985968219236578</v>
      </c>
      <c r="BM129" s="1287">
        <f t="shared" si="13"/>
        <v>2.985968219236578</v>
      </c>
      <c r="BN129" s="1393">
        <f t="shared" si="22"/>
        <v>2.6283682353390514E-2</v>
      </c>
      <c r="BO129" s="1377">
        <v>2.4</v>
      </c>
      <c r="BP129" s="208">
        <f t="shared" si="23"/>
        <v>2.6283682353390514E-2</v>
      </c>
      <c r="BQ129" s="1378">
        <f t="shared" si="17"/>
        <v>3.2101322671033676</v>
      </c>
      <c r="BR129" s="1394">
        <f t="shared" si="14"/>
        <v>2.6594198521856924</v>
      </c>
      <c r="BS129" s="153">
        <v>0</v>
      </c>
      <c r="BU129" s="1389">
        <f t="shared" si="18"/>
        <v>39845</v>
      </c>
      <c r="BV129" s="1390">
        <v>2.6080011529734368</v>
      </c>
      <c r="BW129" s="1390">
        <v>2.2971354652248515</v>
      </c>
      <c r="BX129" s="1390"/>
      <c r="BY129" s="1390">
        <v>3.2427216298708021</v>
      </c>
      <c r="BZ129" s="1391">
        <v>2.8561992203627771</v>
      </c>
    </row>
    <row r="130" spans="1:78">
      <c r="A130" s="957"/>
      <c r="B130" s="951">
        <v>39264</v>
      </c>
      <c r="C130" s="952">
        <v>46.298197488238792</v>
      </c>
      <c r="D130" s="952"/>
      <c r="E130" s="952"/>
      <c r="F130" s="950"/>
      <c r="G130" s="952"/>
      <c r="H130" s="952"/>
      <c r="I130" s="952"/>
      <c r="J130" s="9"/>
      <c r="K130" s="944">
        <v>40148</v>
      </c>
      <c r="L130" s="953">
        <v>0</v>
      </c>
      <c r="M130" s="953">
        <v>0</v>
      </c>
      <c r="N130" s="953">
        <v>0</v>
      </c>
      <c r="O130" s="13"/>
      <c r="P130" s="953">
        <v>0</v>
      </c>
      <c r="Q130" s="953">
        <v>0</v>
      </c>
      <c r="R130" s="953">
        <v>0</v>
      </c>
      <c r="S130" s="13"/>
      <c r="T130" s="953">
        <v>0</v>
      </c>
      <c r="U130" s="953">
        <v>0</v>
      </c>
      <c r="V130" s="953">
        <v>0</v>
      </c>
      <c r="W130" s="13"/>
      <c r="X130" s="953">
        <v>0</v>
      </c>
      <c r="Y130" s="953">
        <v>0</v>
      </c>
      <c r="Z130" s="953">
        <v>0</v>
      </c>
      <c r="AA130" s="13">
        <v>0</v>
      </c>
      <c r="AB130" s="953">
        <v>0</v>
      </c>
      <c r="AC130" s="953">
        <v>0</v>
      </c>
      <c r="AD130" s="953">
        <v>0</v>
      </c>
      <c r="AE130" s="13"/>
      <c r="AF130" s="953">
        <v>0</v>
      </c>
      <c r="AG130" s="953">
        <v>0</v>
      </c>
      <c r="AH130" s="953">
        <v>0</v>
      </c>
      <c r="AI130" s="13"/>
      <c r="AJ130" s="953">
        <v>0</v>
      </c>
      <c r="AK130" s="953">
        <v>0</v>
      </c>
      <c r="AL130" s="953">
        <v>0</v>
      </c>
      <c r="AM130" s="1455"/>
      <c r="AN130" s="9">
        <v>41</v>
      </c>
      <c r="AO130" s="955">
        <v>0.35</v>
      </c>
      <c r="AP130" s="13"/>
      <c r="AQ130"/>
      <c r="AR130"/>
      <c r="AS130"/>
      <c r="AT130"/>
      <c r="AU130" t="str">
        <f t="shared" si="15"/>
        <v>2010Q2</v>
      </c>
      <c r="AV130">
        <f t="shared" si="16"/>
        <v>2010</v>
      </c>
      <c r="AW130" s="111">
        <f t="shared" si="12"/>
        <v>40299</v>
      </c>
      <c r="AX130" s="136">
        <f t="shared" si="19"/>
        <v>2.963448970589317</v>
      </c>
      <c r="AY130" s="1541">
        <v>2.963448970589317</v>
      </c>
      <c r="AZ130" s="136">
        <f t="shared" si="20"/>
        <v>2.963448970589317</v>
      </c>
      <c r="BA130" s="137">
        <v>1</v>
      </c>
      <c r="BB130" s="137">
        <v>1</v>
      </c>
      <c r="BC130" s="137">
        <v>1</v>
      </c>
      <c r="BD130" s="137">
        <v>0</v>
      </c>
      <c r="BE130" s="137"/>
      <c r="BF130" s="137">
        <v>0</v>
      </c>
      <c r="BG130" s="145">
        <v>0</v>
      </c>
      <c r="BH130" s="153"/>
      <c r="BI130" s="938"/>
      <c r="BJ130" s="924"/>
      <c r="BK130" s="1443">
        <v>0</v>
      </c>
      <c r="BL130" s="905">
        <f t="shared" si="21"/>
        <v>2.963448970589317</v>
      </c>
      <c r="BM130" s="1287">
        <f t="shared" si="13"/>
        <v>2.963448970589317</v>
      </c>
      <c r="BN130" s="1393">
        <f t="shared" si="22"/>
        <v>2.6283682353390736E-2</v>
      </c>
      <c r="BO130" s="1377">
        <f>BM130</f>
        <v>2.963448970589317</v>
      </c>
      <c r="BP130" s="208">
        <f t="shared" si="23"/>
        <v>2.6283682353390736E-2</v>
      </c>
      <c r="BQ130" s="1378">
        <f t="shared" si="17"/>
        <v>3.1804120200400785</v>
      </c>
      <c r="BR130" s="1378">
        <f t="shared" si="14"/>
        <v>2.6266904310395547</v>
      </c>
      <c r="BS130" s="153">
        <v>0</v>
      </c>
      <c r="BU130" s="1389">
        <f t="shared" si="18"/>
        <v>39873</v>
      </c>
      <c r="BV130" s="1390">
        <v>2.5305648537656666</v>
      </c>
      <c r="BW130" s="1390">
        <v>2.1831019939651601</v>
      </c>
      <c r="BX130" s="1390"/>
      <c r="BY130" s="1390">
        <v>3.1464393248986995</v>
      </c>
      <c r="BZ130" s="1391">
        <v>2.7144129319014167</v>
      </c>
    </row>
    <row r="131" spans="1:78">
      <c r="A131" s="957"/>
      <c r="B131" s="951">
        <v>39295</v>
      </c>
      <c r="C131" s="952">
        <v>65.274661186046089</v>
      </c>
      <c r="D131" s="952"/>
      <c r="E131" s="952"/>
      <c r="F131" s="950"/>
      <c r="G131" s="952"/>
      <c r="H131" s="952"/>
      <c r="I131" s="952"/>
      <c r="J131" s="9"/>
      <c r="K131" s="944">
        <v>40179</v>
      </c>
      <c r="L131" s="953">
        <v>0</v>
      </c>
      <c r="M131" s="953">
        <v>0</v>
      </c>
      <c r="N131" s="953">
        <v>0</v>
      </c>
      <c r="O131" s="13"/>
      <c r="P131" s="953">
        <v>0</v>
      </c>
      <c r="Q131" s="953">
        <v>0</v>
      </c>
      <c r="R131" s="953">
        <v>0</v>
      </c>
      <c r="S131" s="13"/>
      <c r="T131" s="953">
        <v>0</v>
      </c>
      <c r="U131" s="953">
        <v>0</v>
      </c>
      <c r="V131" s="953">
        <v>0</v>
      </c>
      <c r="W131" s="13"/>
      <c r="X131" s="953">
        <v>0</v>
      </c>
      <c r="Y131" s="953">
        <v>0</v>
      </c>
      <c r="Z131" s="953">
        <v>0</v>
      </c>
      <c r="AA131" s="13">
        <v>0</v>
      </c>
      <c r="AB131" s="953">
        <v>0</v>
      </c>
      <c r="AC131" s="953">
        <v>0</v>
      </c>
      <c r="AD131" s="953">
        <v>0</v>
      </c>
      <c r="AE131" s="13"/>
      <c r="AF131" s="953">
        <v>0</v>
      </c>
      <c r="AG131" s="953">
        <v>0</v>
      </c>
      <c r="AH131" s="953">
        <v>0</v>
      </c>
      <c r="AI131" s="13"/>
      <c r="AJ131" s="953">
        <v>0</v>
      </c>
      <c r="AK131" s="953">
        <v>0</v>
      </c>
      <c r="AL131" s="953">
        <v>0</v>
      </c>
      <c r="AM131" s="1455"/>
      <c r="AN131" s="9">
        <v>41</v>
      </c>
      <c r="AO131" s="955">
        <v>0.35</v>
      </c>
      <c r="AP131" s="13"/>
      <c r="AQ131"/>
      <c r="AR131"/>
      <c r="AS131"/>
      <c r="AT131"/>
      <c r="AU131" t="str">
        <f t="shared" si="15"/>
        <v>2010Q2</v>
      </c>
      <c r="AV131">
        <f t="shared" si="16"/>
        <v>2010</v>
      </c>
      <c r="AW131" s="111">
        <f t="shared" si="12"/>
        <v>40330</v>
      </c>
      <c r="AX131" s="136">
        <f t="shared" si="19"/>
        <v>2.9992457232965544</v>
      </c>
      <c r="AY131" s="1541">
        <v>2.9992457232965544</v>
      </c>
      <c r="AZ131" s="136">
        <f t="shared" si="20"/>
        <v>2.9992457232965544</v>
      </c>
      <c r="BA131" s="137">
        <v>1</v>
      </c>
      <c r="BB131" s="137">
        <v>1</v>
      </c>
      <c r="BC131" s="137">
        <v>1</v>
      </c>
      <c r="BD131" s="137">
        <v>0</v>
      </c>
      <c r="BE131" s="137"/>
      <c r="BF131" s="137">
        <v>0</v>
      </c>
      <c r="BG131" s="145">
        <v>0</v>
      </c>
      <c r="BH131" s="153"/>
      <c r="BI131" s="938"/>
      <c r="BJ131" s="924"/>
      <c r="BK131" s="1443">
        <v>0</v>
      </c>
      <c r="BL131" s="905">
        <f t="shared" si="21"/>
        <v>2.9992457232965544</v>
      </c>
      <c r="BM131" s="1287">
        <f t="shared" si="13"/>
        <v>2.9992457232965544</v>
      </c>
      <c r="BN131" s="1393">
        <f t="shared" si="22"/>
        <v>2.6283682353390514E-2</v>
      </c>
      <c r="BO131" s="1377">
        <f t="shared" ref="BO131:BO194" si="24">BM131</f>
        <v>2.9992457232965544</v>
      </c>
      <c r="BP131" s="208">
        <f t="shared" si="23"/>
        <v>2.6283682353390514E-2</v>
      </c>
      <c r="BQ131" s="1378">
        <f t="shared" si="17"/>
        <v>3.1859413683309228</v>
      </c>
      <c r="BR131" s="1378">
        <f t="shared" si="14"/>
        <v>2.6353359385121191</v>
      </c>
      <c r="BS131" s="153">
        <v>0</v>
      </c>
      <c r="BU131" s="1389">
        <f t="shared" si="18"/>
        <v>39904</v>
      </c>
      <c r="BV131" s="1390">
        <v>2.4803647701413185</v>
      </c>
      <c r="BW131" s="1390">
        <v>2.1167463102580131</v>
      </c>
      <c r="BX131" s="1390"/>
      <c r="BY131" s="1390">
        <v>3.0840218306409217</v>
      </c>
      <c r="BZ131" s="1391">
        <v>2.6319079795639886</v>
      </c>
    </row>
    <row r="132" spans="1:78">
      <c r="A132" s="957"/>
      <c r="B132" s="951">
        <v>39326</v>
      </c>
      <c r="C132" s="952">
        <v>51.672820450193662</v>
      </c>
      <c r="D132" s="952"/>
      <c r="E132" s="952"/>
      <c r="F132" s="950"/>
      <c r="G132" s="952"/>
      <c r="H132" s="952"/>
      <c r="I132" s="952"/>
      <c r="J132" s="9"/>
      <c r="K132" s="944">
        <v>40210</v>
      </c>
      <c r="L132" s="953">
        <v>0</v>
      </c>
      <c r="M132" s="953">
        <v>0</v>
      </c>
      <c r="N132" s="953">
        <v>0</v>
      </c>
      <c r="O132" s="13"/>
      <c r="P132" s="953">
        <v>0</v>
      </c>
      <c r="Q132" s="953">
        <v>0</v>
      </c>
      <c r="R132" s="953">
        <v>0</v>
      </c>
      <c r="S132" s="13"/>
      <c r="T132" s="953">
        <v>0</v>
      </c>
      <c r="U132" s="953">
        <v>0</v>
      </c>
      <c r="V132" s="953">
        <v>0</v>
      </c>
      <c r="W132" s="13"/>
      <c r="X132" s="953">
        <v>0</v>
      </c>
      <c r="Y132" s="953">
        <v>0</v>
      </c>
      <c r="Z132" s="953">
        <v>0</v>
      </c>
      <c r="AA132" s="13">
        <v>0</v>
      </c>
      <c r="AB132" s="953">
        <v>0</v>
      </c>
      <c r="AC132" s="953">
        <v>0</v>
      </c>
      <c r="AD132" s="953">
        <v>0</v>
      </c>
      <c r="AE132" s="13"/>
      <c r="AF132" s="953">
        <v>0</v>
      </c>
      <c r="AG132" s="953">
        <v>0</v>
      </c>
      <c r="AH132" s="953">
        <v>0</v>
      </c>
      <c r="AI132" s="13"/>
      <c r="AJ132" s="953">
        <v>0</v>
      </c>
      <c r="AK132" s="953">
        <v>0</v>
      </c>
      <c r="AL132" s="953">
        <v>0</v>
      </c>
      <c r="AM132" s="1455"/>
      <c r="AN132" s="9">
        <v>41</v>
      </c>
      <c r="AO132" s="955">
        <v>0.35</v>
      </c>
      <c r="AP132" s="13"/>
      <c r="AQ132"/>
      <c r="AR132"/>
      <c r="AS132"/>
      <c r="AT132"/>
      <c r="AU132" t="str">
        <f t="shared" si="15"/>
        <v>2010Q3</v>
      </c>
      <c r="AV132">
        <f t="shared" si="16"/>
        <v>2010</v>
      </c>
      <c r="AW132" s="111">
        <f t="shared" si="12"/>
        <v>40360</v>
      </c>
      <c r="AX132" s="136">
        <f t="shared" si="19"/>
        <v>3.0811134056312843</v>
      </c>
      <c r="AY132" s="1541">
        <v>3.0811134056312843</v>
      </c>
      <c r="AZ132" s="136">
        <f t="shared" si="20"/>
        <v>3.0811134056312843</v>
      </c>
      <c r="BA132" s="137">
        <v>1</v>
      </c>
      <c r="BB132" s="137">
        <v>1</v>
      </c>
      <c r="BC132" s="137">
        <v>1</v>
      </c>
      <c r="BD132" s="137">
        <v>0</v>
      </c>
      <c r="BE132" s="137"/>
      <c r="BF132" s="137">
        <v>0</v>
      </c>
      <c r="BG132" s="145">
        <v>0</v>
      </c>
      <c r="BH132" s="153"/>
      <c r="BI132" s="938"/>
      <c r="BJ132" s="924"/>
      <c r="BK132" s="1443">
        <v>0</v>
      </c>
      <c r="BL132" s="905">
        <f t="shared" si="21"/>
        <v>3.0811134056312843</v>
      </c>
      <c r="BM132" s="1287">
        <f t="shared" si="13"/>
        <v>3.0811134056312843</v>
      </c>
      <c r="BN132" s="1393">
        <f t="shared" si="22"/>
        <v>2.6283682353390514E-2</v>
      </c>
      <c r="BO132" s="1377">
        <f t="shared" si="24"/>
        <v>3.0811134056312843</v>
      </c>
      <c r="BP132" s="208">
        <f t="shared" si="23"/>
        <v>2.6283682353390514E-2</v>
      </c>
      <c r="BQ132" s="1378">
        <f t="shared" si="17"/>
        <v>3.2267203119759009</v>
      </c>
      <c r="BR132" s="1378">
        <f t="shared" si="14"/>
        <v>2.6760933308827815</v>
      </c>
      <c r="BS132" s="153">
        <v>0</v>
      </c>
      <c r="BU132" s="1389">
        <f t="shared" si="18"/>
        <v>39934</v>
      </c>
      <c r="BV132" s="1390">
        <v>2.4574009021003933</v>
      </c>
      <c r="BW132" s="1390">
        <v>2.0906955603581698</v>
      </c>
      <c r="BX132" s="1390"/>
      <c r="BY132" s="1390">
        <v>3.0554691470974706</v>
      </c>
      <c r="BZ132" s="1391">
        <v>2.5995171464241089</v>
      </c>
    </row>
    <row r="133" spans="1:78">
      <c r="A133" s="957"/>
      <c r="B133" s="951">
        <v>39356</v>
      </c>
      <c r="C133" s="952">
        <v>43.764506649491494</v>
      </c>
      <c r="D133" s="952"/>
      <c r="E133" s="952"/>
      <c r="F133" s="950"/>
      <c r="G133" s="952"/>
      <c r="H133" s="952"/>
      <c r="I133" s="952"/>
      <c r="J133" s="9"/>
      <c r="K133" s="944">
        <v>40238</v>
      </c>
      <c r="L133" s="953">
        <v>0</v>
      </c>
      <c r="M133" s="953">
        <v>0</v>
      </c>
      <c r="N133" s="953">
        <v>0</v>
      </c>
      <c r="O133" s="13"/>
      <c r="P133" s="953">
        <v>0</v>
      </c>
      <c r="Q133" s="953">
        <v>0</v>
      </c>
      <c r="R133" s="953">
        <v>0</v>
      </c>
      <c r="S133" s="13"/>
      <c r="T133" s="953">
        <v>0</v>
      </c>
      <c r="U133" s="953">
        <v>0</v>
      </c>
      <c r="V133" s="953">
        <v>0</v>
      </c>
      <c r="W133" s="13"/>
      <c r="X133" s="953">
        <v>0</v>
      </c>
      <c r="Y133" s="953">
        <v>0</v>
      </c>
      <c r="Z133" s="953">
        <v>0</v>
      </c>
      <c r="AA133" s="13">
        <v>0</v>
      </c>
      <c r="AB133" s="953">
        <v>0</v>
      </c>
      <c r="AC133" s="953">
        <v>0</v>
      </c>
      <c r="AD133" s="953">
        <v>0</v>
      </c>
      <c r="AE133" s="13"/>
      <c r="AF133" s="953">
        <v>0</v>
      </c>
      <c r="AG133" s="953">
        <v>0</v>
      </c>
      <c r="AH133" s="953">
        <v>0</v>
      </c>
      <c r="AI133" s="13"/>
      <c r="AJ133" s="953">
        <v>0</v>
      </c>
      <c r="AK133" s="953">
        <v>0</v>
      </c>
      <c r="AL133" s="953">
        <v>0</v>
      </c>
      <c r="AM133" s="1455"/>
      <c r="AN133" s="9">
        <v>42</v>
      </c>
      <c r="AO133" s="955">
        <v>0.35</v>
      </c>
      <c r="AP133" s="13"/>
      <c r="AQ133"/>
      <c r="AR133"/>
      <c r="AS133"/>
      <c r="AT133"/>
      <c r="AU133" t="str">
        <f t="shared" si="15"/>
        <v>2010Q3</v>
      </c>
      <c r="AV133">
        <f t="shared" si="16"/>
        <v>2010</v>
      </c>
      <c r="AW133" s="111">
        <f t="shared" si="12"/>
        <v>40391</v>
      </c>
      <c r="AX133" s="136">
        <f t="shared" si="19"/>
        <v>3.1973825175137618</v>
      </c>
      <c r="AY133" s="1541">
        <v>3.1973825175137618</v>
      </c>
      <c r="AZ133" s="136">
        <f t="shared" si="20"/>
        <v>3.1973825175137618</v>
      </c>
      <c r="BA133" s="137">
        <v>1</v>
      </c>
      <c r="BB133" s="137">
        <v>1</v>
      </c>
      <c r="BC133" s="137">
        <v>1</v>
      </c>
      <c r="BD133" s="137">
        <v>0</v>
      </c>
      <c r="BE133" s="137"/>
      <c r="BF133" s="137">
        <v>0</v>
      </c>
      <c r="BG133" s="145">
        <v>0</v>
      </c>
      <c r="BH133" s="153"/>
      <c r="BI133" s="938"/>
      <c r="BJ133" s="924"/>
      <c r="BK133" s="1443">
        <v>0</v>
      </c>
      <c r="BL133" s="905">
        <f t="shared" si="21"/>
        <v>3.1973825175137618</v>
      </c>
      <c r="BM133" s="1287">
        <f t="shared" si="13"/>
        <v>3.1973825175137618</v>
      </c>
      <c r="BN133" s="1393">
        <f t="shared" si="22"/>
        <v>2.6283682353390514E-2</v>
      </c>
      <c r="BO133" s="1377">
        <f t="shared" si="24"/>
        <v>3.1973825175137618</v>
      </c>
      <c r="BP133" s="208">
        <f t="shared" si="23"/>
        <v>2.6283682353390514E-2</v>
      </c>
      <c r="BQ133" s="1378">
        <f t="shared" si="17"/>
        <v>3.3027488509750111</v>
      </c>
      <c r="BR133" s="1378">
        <f t="shared" si="14"/>
        <v>2.7396995644309357</v>
      </c>
      <c r="BS133" s="153">
        <v>0</v>
      </c>
      <c r="BU133" s="1389">
        <f t="shared" si="18"/>
        <v>39965</v>
      </c>
      <c r="BV133" s="1390">
        <v>2.461673249642891</v>
      </c>
      <c r="BW133" s="1390">
        <v>2.0975768905203922</v>
      </c>
      <c r="BX133" s="1390"/>
      <c r="BY133" s="1390">
        <v>3.0607812742683453</v>
      </c>
      <c r="BZ133" s="1391">
        <v>2.6080732155553972</v>
      </c>
    </row>
    <row r="134" spans="1:78">
      <c r="A134" s="957"/>
      <c r="B134" s="951">
        <v>39387</v>
      </c>
      <c r="C134" s="952">
        <v>46.725301896361977</v>
      </c>
      <c r="D134" s="952"/>
      <c r="E134" s="952"/>
      <c r="F134" s="950"/>
      <c r="G134" s="952"/>
      <c r="H134" s="952"/>
      <c r="I134" s="952"/>
      <c r="J134" s="9"/>
      <c r="K134" s="944">
        <v>40269</v>
      </c>
      <c r="L134" s="953">
        <v>0</v>
      </c>
      <c r="M134" s="953">
        <v>0</v>
      </c>
      <c r="N134" s="953">
        <v>0</v>
      </c>
      <c r="O134" s="13"/>
      <c r="P134" s="953">
        <v>0</v>
      </c>
      <c r="Q134" s="953">
        <v>0</v>
      </c>
      <c r="R134" s="953">
        <v>0</v>
      </c>
      <c r="S134" s="13"/>
      <c r="T134" s="953">
        <v>0</v>
      </c>
      <c r="U134" s="953">
        <v>0</v>
      </c>
      <c r="V134" s="953">
        <v>0</v>
      </c>
      <c r="W134" s="13"/>
      <c r="X134" s="953">
        <v>0</v>
      </c>
      <c r="Y134" s="953">
        <v>0</v>
      </c>
      <c r="Z134" s="953">
        <v>0</v>
      </c>
      <c r="AA134" s="13">
        <v>0</v>
      </c>
      <c r="AB134" s="953">
        <v>0</v>
      </c>
      <c r="AC134" s="953">
        <v>0</v>
      </c>
      <c r="AD134" s="953">
        <v>0</v>
      </c>
      <c r="AE134" s="13"/>
      <c r="AF134" s="953">
        <v>0</v>
      </c>
      <c r="AG134" s="953">
        <v>0</v>
      </c>
      <c r="AH134" s="953">
        <v>0</v>
      </c>
      <c r="AI134" s="13"/>
      <c r="AJ134" s="953">
        <v>0</v>
      </c>
      <c r="AK134" s="953">
        <v>0</v>
      </c>
      <c r="AL134" s="953">
        <v>0</v>
      </c>
      <c r="AM134" s="1455"/>
      <c r="AN134" s="9">
        <v>42</v>
      </c>
      <c r="AO134" s="955">
        <v>0.35</v>
      </c>
      <c r="AP134" s="13"/>
      <c r="AQ134"/>
      <c r="AR134"/>
      <c r="AS134"/>
      <c r="AT134"/>
      <c r="AU134" t="str">
        <f t="shared" si="15"/>
        <v>2010Q3</v>
      </c>
      <c r="AV134">
        <f t="shared" si="16"/>
        <v>2010</v>
      </c>
      <c r="AW134" s="111">
        <f t="shared" si="12"/>
        <v>40422</v>
      </c>
      <c r="AX134" s="136">
        <f t="shared" si="19"/>
        <v>3.3358123003462068</v>
      </c>
      <c r="AY134" s="1541">
        <v>3.3358123003462068</v>
      </c>
      <c r="AZ134" s="136">
        <f t="shared" si="20"/>
        <v>3.3358123003462068</v>
      </c>
      <c r="BA134" s="137">
        <v>1</v>
      </c>
      <c r="BB134" s="137">
        <v>1</v>
      </c>
      <c r="BC134" s="137">
        <v>1</v>
      </c>
      <c r="BD134" s="137">
        <v>0</v>
      </c>
      <c r="BE134" s="137"/>
      <c r="BF134" s="137">
        <v>0</v>
      </c>
      <c r="BG134" s="145">
        <v>0</v>
      </c>
      <c r="BH134" s="153"/>
      <c r="BI134" s="938"/>
      <c r="BJ134" s="924"/>
      <c r="BK134" s="1443">
        <v>0</v>
      </c>
      <c r="BL134" s="905">
        <f t="shared" si="21"/>
        <v>3.3358123003462068</v>
      </c>
      <c r="BM134" s="1287">
        <f t="shared" si="13"/>
        <v>3.3358123003462068</v>
      </c>
      <c r="BN134" s="1393">
        <f t="shared" si="22"/>
        <v>2.6283682353390514E-2</v>
      </c>
      <c r="BO134" s="1377">
        <f t="shared" si="24"/>
        <v>3.3358123003462068</v>
      </c>
      <c r="BP134" s="208">
        <f t="shared" si="23"/>
        <v>2.6283682353390514E-2</v>
      </c>
      <c r="BQ134" s="1378">
        <f t="shared" si="17"/>
        <v>3.4140269853282557</v>
      </c>
      <c r="BR134" s="1378">
        <f t="shared" si="14"/>
        <v>2.816891595435977</v>
      </c>
      <c r="BS134" s="153">
        <v>0</v>
      </c>
      <c r="BU134" s="1389">
        <f t="shared" si="18"/>
        <v>39995</v>
      </c>
      <c r="BV134" s="1390">
        <v>2.4931818127688117</v>
      </c>
      <c r="BW134" s="1390">
        <v>2.1300174469994424</v>
      </c>
      <c r="BX134" s="1390"/>
      <c r="BY134" s="1390">
        <v>3.0999582121535458</v>
      </c>
      <c r="BZ134" s="1391">
        <v>2.6484089700314741</v>
      </c>
    </row>
    <row r="135" spans="1:78">
      <c r="A135" s="957"/>
      <c r="B135" s="951">
        <v>39417</v>
      </c>
      <c r="C135" s="952">
        <v>47.644053280482801</v>
      </c>
      <c r="D135" s="952"/>
      <c r="E135" s="952"/>
      <c r="F135" s="950"/>
      <c r="G135" s="952"/>
      <c r="H135" s="952"/>
      <c r="I135" s="952"/>
      <c r="J135" s="9"/>
      <c r="K135" s="944">
        <v>40299</v>
      </c>
      <c r="L135" s="953">
        <v>0</v>
      </c>
      <c r="M135" s="953">
        <v>0</v>
      </c>
      <c r="N135" s="953">
        <v>0</v>
      </c>
      <c r="O135" s="13"/>
      <c r="P135" s="953">
        <v>0</v>
      </c>
      <c r="Q135" s="953">
        <v>0</v>
      </c>
      <c r="R135" s="953">
        <v>0</v>
      </c>
      <c r="S135" s="13"/>
      <c r="T135" s="953">
        <v>0</v>
      </c>
      <c r="U135" s="953">
        <v>0</v>
      </c>
      <c r="V135" s="953">
        <v>0</v>
      </c>
      <c r="W135" s="13"/>
      <c r="X135" s="953">
        <v>0</v>
      </c>
      <c r="Y135" s="953">
        <v>0</v>
      </c>
      <c r="Z135" s="953">
        <v>0</v>
      </c>
      <c r="AA135" s="13">
        <v>0</v>
      </c>
      <c r="AB135" s="953">
        <v>0</v>
      </c>
      <c r="AC135" s="953">
        <v>0</v>
      </c>
      <c r="AD135" s="953">
        <v>0</v>
      </c>
      <c r="AE135" s="13"/>
      <c r="AF135" s="953">
        <v>0</v>
      </c>
      <c r="AG135" s="953">
        <v>0</v>
      </c>
      <c r="AH135" s="953">
        <v>0</v>
      </c>
      <c r="AI135" s="13"/>
      <c r="AJ135" s="953">
        <v>0</v>
      </c>
      <c r="AK135" s="953">
        <v>0</v>
      </c>
      <c r="AL135" s="953">
        <v>0</v>
      </c>
      <c r="AM135" s="1455"/>
      <c r="AN135" s="9">
        <v>42</v>
      </c>
      <c r="AO135" s="955">
        <v>0.35</v>
      </c>
      <c r="AP135" s="13"/>
      <c r="AQ135"/>
      <c r="AR135"/>
      <c r="AS135"/>
      <c r="AT135"/>
      <c r="AU135" t="str">
        <f t="shared" si="15"/>
        <v>2010Q4</v>
      </c>
      <c r="AV135">
        <f t="shared" si="16"/>
        <v>2010</v>
      </c>
      <c r="AW135" s="111">
        <f t="shared" ref="AW135:AW198" si="25">EOMONTH(AW134,0)+1</f>
        <v>40452</v>
      </c>
      <c r="AX135" s="136">
        <f t="shared" si="19"/>
        <v>3.4840538535361425</v>
      </c>
      <c r="AY135" s="1541">
        <v>3.4840538535361425</v>
      </c>
      <c r="AZ135" s="136">
        <f t="shared" si="20"/>
        <v>3.4840538535361425</v>
      </c>
      <c r="BA135" s="137">
        <v>1</v>
      </c>
      <c r="BB135" s="137">
        <v>1</v>
      </c>
      <c r="BC135" s="137">
        <v>1</v>
      </c>
      <c r="BD135" s="137">
        <v>0</v>
      </c>
      <c r="BE135" s="137"/>
      <c r="BF135" s="137">
        <v>0</v>
      </c>
      <c r="BG135" s="145">
        <v>0</v>
      </c>
      <c r="BH135" s="153"/>
      <c r="BI135" s="938"/>
      <c r="BJ135" s="924"/>
      <c r="BK135" s="1443">
        <v>0</v>
      </c>
      <c r="BL135" s="905">
        <f t="shared" si="21"/>
        <v>3.4840538535361425</v>
      </c>
      <c r="BM135" s="1287">
        <f t="shared" ref="BM135:BM198" si="26">AY135</f>
        <v>3.4840538535361425</v>
      </c>
      <c r="BN135" s="1393">
        <f t="shared" si="22"/>
        <v>2.6283682353390292E-2</v>
      </c>
      <c r="BO135" s="1377">
        <f t="shared" si="24"/>
        <v>3.4840538535361425</v>
      </c>
      <c r="BP135" s="208">
        <f t="shared" si="23"/>
        <v>2.6283682353390292E-2</v>
      </c>
      <c r="BQ135" s="1378">
        <f t="shared" si="17"/>
        <v>3.5605547150356327</v>
      </c>
      <c r="BR135" s="1378">
        <f t="shared" ref="BR135:BR198" si="27">VLOOKUP($AW135,$BU$8:$BZ$291,6,FALSE)</f>
        <v>2.8984063801773017</v>
      </c>
      <c r="BS135" s="153">
        <v>0</v>
      </c>
      <c r="BU135" s="1389">
        <f t="shared" si="18"/>
        <v>40026</v>
      </c>
      <c r="BV135" s="1390">
        <v>2.5519265914781548</v>
      </c>
      <c r="BW135" s="1390">
        <v>2.1806443760500813</v>
      </c>
      <c r="BX135" s="1390"/>
      <c r="BY135" s="1390">
        <v>3.1729999607530726</v>
      </c>
      <c r="BZ135" s="1391">
        <v>2.7113571929259574</v>
      </c>
    </row>
    <row r="136" spans="1:78">
      <c r="A136" s="957"/>
      <c r="B136" s="951">
        <v>39448</v>
      </c>
      <c r="C136" s="952">
        <v>43.464842495670524</v>
      </c>
      <c r="D136" s="952"/>
      <c r="E136" s="952"/>
      <c r="F136" s="950"/>
      <c r="G136" s="952"/>
      <c r="H136" s="952"/>
      <c r="I136" s="952"/>
      <c r="J136" s="9"/>
      <c r="K136" s="944">
        <v>40330</v>
      </c>
      <c r="L136" s="953">
        <v>0</v>
      </c>
      <c r="M136" s="953">
        <v>0</v>
      </c>
      <c r="N136" s="953">
        <v>0</v>
      </c>
      <c r="O136" s="13"/>
      <c r="P136" s="953">
        <v>0</v>
      </c>
      <c r="Q136" s="953">
        <v>0</v>
      </c>
      <c r="R136" s="953">
        <v>0</v>
      </c>
      <c r="S136" s="13"/>
      <c r="T136" s="953">
        <v>0</v>
      </c>
      <c r="U136" s="953">
        <v>0</v>
      </c>
      <c r="V136" s="953">
        <v>0</v>
      </c>
      <c r="W136" s="13"/>
      <c r="X136" s="953">
        <v>0</v>
      </c>
      <c r="Y136" s="953">
        <v>0</v>
      </c>
      <c r="Z136" s="953">
        <v>0</v>
      </c>
      <c r="AA136" s="13">
        <v>0</v>
      </c>
      <c r="AB136" s="953">
        <v>0</v>
      </c>
      <c r="AC136" s="953">
        <v>0</v>
      </c>
      <c r="AD136" s="953">
        <v>0</v>
      </c>
      <c r="AE136" s="13"/>
      <c r="AF136" s="953">
        <v>0</v>
      </c>
      <c r="AG136" s="953">
        <v>0</v>
      </c>
      <c r="AH136" s="953">
        <v>0</v>
      </c>
      <c r="AI136" s="13"/>
      <c r="AJ136" s="953">
        <v>0</v>
      </c>
      <c r="AK136" s="953">
        <v>0</v>
      </c>
      <c r="AL136" s="953">
        <v>0</v>
      </c>
      <c r="AM136" s="1455"/>
      <c r="AN136" s="9">
        <v>43</v>
      </c>
      <c r="AO136" s="955">
        <v>0.35</v>
      </c>
      <c r="AP136" s="13"/>
      <c r="AQ136"/>
      <c r="AR136"/>
      <c r="AS136"/>
      <c r="AT136"/>
      <c r="AU136" t="str">
        <f t="shared" ref="AU136:AU199" si="28">AV136&amp;"Q"&amp;ROUNDUP(MONTH(AW136)/3,0)</f>
        <v>2010Q4</v>
      </c>
      <c r="AV136">
        <f t="shared" ref="AV136:AV199" si="29">YEAR(AW136)</f>
        <v>2010</v>
      </c>
      <c r="AW136" s="111">
        <f t="shared" si="25"/>
        <v>40483</v>
      </c>
      <c r="AX136" s="136">
        <f t="shared" si="19"/>
        <v>3.6302348544562659</v>
      </c>
      <c r="AY136" s="1541">
        <v>3.6302348544562659</v>
      </c>
      <c r="AZ136" s="136">
        <f t="shared" si="20"/>
        <v>3.6302348544562659</v>
      </c>
      <c r="BA136" s="137">
        <v>1</v>
      </c>
      <c r="BB136" s="137">
        <v>1</v>
      </c>
      <c r="BC136" s="137">
        <v>1</v>
      </c>
      <c r="BD136" s="137">
        <v>0</v>
      </c>
      <c r="BE136" s="137"/>
      <c r="BF136" s="137">
        <v>0</v>
      </c>
      <c r="BG136" s="145">
        <v>0</v>
      </c>
      <c r="BH136" s="153"/>
      <c r="BI136" s="938"/>
      <c r="BJ136" s="924"/>
      <c r="BK136" s="1443">
        <v>0</v>
      </c>
      <c r="BL136" s="905">
        <f t="shared" si="21"/>
        <v>3.6302348544562659</v>
      </c>
      <c r="BM136" s="1287">
        <f t="shared" si="26"/>
        <v>3.6302348544562659</v>
      </c>
      <c r="BN136" s="1393">
        <f t="shared" si="22"/>
        <v>2.6283682353390736E-2</v>
      </c>
      <c r="BO136" s="1377">
        <f t="shared" si="24"/>
        <v>3.6302348544562659</v>
      </c>
      <c r="BP136" s="208">
        <f t="shared" si="23"/>
        <v>2.6283682353390736E-2</v>
      </c>
      <c r="BQ136" s="1378">
        <f t="shared" ref="BQ136:BQ199" si="30">VLOOKUP($AW136,$BU$8:$BZ$291,5,FALSE)</f>
        <v>3.742332040097144</v>
      </c>
      <c r="BR136" s="1378">
        <f t="shared" si="27"/>
        <v>2.9749808749343036</v>
      </c>
      <c r="BS136" s="153">
        <v>0</v>
      </c>
      <c r="BU136" s="1389">
        <f t="shared" si="18"/>
        <v>40057</v>
      </c>
      <c r="BV136" s="1390">
        <v>2.6379075857709209</v>
      </c>
      <c r="BW136" s="1390">
        <v>2.2420848239270699</v>
      </c>
      <c r="BX136" s="1390"/>
      <c r="BY136" s="1390">
        <v>3.2799065200669251</v>
      </c>
      <c r="BZ136" s="1391">
        <v>2.7877506673124657</v>
      </c>
    </row>
    <row r="137" spans="1:78">
      <c r="A137" s="957"/>
      <c r="B137" s="951">
        <v>39479</v>
      </c>
      <c r="C137" s="952">
        <v>35.226310402568174</v>
      </c>
      <c r="D137" s="952"/>
      <c r="E137" s="952"/>
      <c r="F137" s="950"/>
      <c r="G137" s="952"/>
      <c r="H137" s="952"/>
      <c r="I137" s="952"/>
      <c r="J137" s="9"/>
      <c r="K137" s="944">
        <v>40360</v>
      </c>
      <c r="L137" s="953">
        <v>0</v>
      </c>
      <c r="M137" s="953">
        <v>0</v>
      </c>
      <c r="N137" s="953">
        <v>0</v>
      </c>
      <c r="O137" s="13"/>
      <c r="P137" s="953">
        <v>0</v>
      </c>
      <c r="Q137" s="953">
        <v>0</v>
      </c>
      <c r="R137" s="953">
        <v>0</v>
      </c>
      <c r="S137" s="13"/>
      <c r="T137" s="953">
        <v>0</v>
      </c>
      <c r="U137" s="953">
        <v>0</v>
      </c>
      <c r="V137" s="953">
        <v>0</v>
      </c>
      <c r="W137" s="13"/>
      <c r="X137" s="953">
        <v>0</v>
      </c>
      <c r="Y137" s="953">
        <v>0</v>
      </c>
      <c r="Z137" s="953">
        <v>0</v>
      </c>
      <c r="AA137" s="13">
        <v>0</v>
      </c>
      <c r="AB137" s="953">
        <v>0</v>
      </c>
      <c r="AC137" s="953">
        <v>0</v>
      </c>
      <c r="AD137" s="953">
        <v>0</v>
      </c>
      <c r="AE137" s="13"/>
      <c r="AF137" s="953">
        <v>0</v>
      </c>
      <c r="AG137" s="953">
        <v>0</v>
      </c>
      <c r="AH137" s="953">
        <v>0</v>
      </c>
      <c r="AI137" s="13"/>
      <c r="AJ137" s="953">
        <v>0</v>
      </c>
      <c r="AK137" s="953">
        <v>0</v>
      </c>
      <c r="AL137" s="953">
        <v>0</v>
      </c>
      <c r="AM137" s="1455"/>
      <c r="AN137" s="9">
        <v>43</v>
      </c>
      <c r="AO137" s="955">
        <v>0.35</v>
      </c>
      <c r="AP137" s="13"/>
      <c r="AQ137"/>
      <c r="AR137"/>
      <c r="AS137"/>
      <c r="AT137"/>
      <c r="AU137" t="str">
        <f t="shared" si="28"/>
        <v>2010Q4</v>
      </c>
      <c r="AV137">
        <f t="shared" si="29"/>
        <v>2010</v>
      </c>
      <c r="AW137" s="111">
        <f t="shared" si="25"/>
        <v>40513</v>
      </c>
      <c r="AX137" s="136">
        <f t="shared" si="19"/>
        <v>3.7846472616825606</v>
      </c>
      <c r="AY137" s="1541">
        <v>3.7846472616825606</v>
      </c>
      <c r="AZ137" s="136">
        <f t="shared" si="20"/>
        <v>3.7846472616825606</v>
      </c>
      <c r="BA137" s="137">
        <v>1</v>
      </c>
      <c r="BB137" s="137">
        <v>1</v>
      </c>
      <c r="BC137" s="137">
        <v>1</v>
      </c>
      <c r="BD137" s="137">
        <v>0</v>
      </c>
      <c r="BE137" s="137"/>
      <c r="BF137" s="137">
        <v>0</v>
      </c>
      <c r="BG137" s="145">
        <v>0</v>
      </c>
      <c r="BH137" s="153"/>
      <c r="BI137" s="938"/>
      <c r="BJ137" s="924"/>
      <c r="BK137" s="1443">
        <v>0</v>
      </c>
      <c r="BL137" s="905">
        <f t="shared" si="21"/>
        <v>3.7846472616825606</v>
      </c>
      <c r="BM137" s="1287">
        <f t="shared" si="26"/>
        <v>3.7846472616825606</v>
      </c>
      <c r="BN137" s="1393">
        <f t="shared" si="22"/>
        <v>2.6283682353390514E-2</v>
      </c>
      <c r="BO137" s="1377">
        <f t="shared" si="24"/>
        <v>3.7846472616825606</v>
      </c>
      <c r="BP137" s="208">
        <f t="shared" si="23"/>
        <v>2.6283682353390514E-2</v>
      </c>
      <c r="BQ137" s="1378">
        <f t="shared" si="30"/>
        <v>3.8213878972854922</v>
      </c>
      <c r="BR137" s="1378">
        <f t="shared" si="27"/>
        <v>3.0373520359863755</v>
      </c>
      <c r="BS137" s="153">
        <v>0</v>
      </c>
      <c r="BU137" s="1389">
        <f t="shared" ref="BU137:BU200" si="31">EDATE(BU136,1)</f>
        <v>40087</v>
      </c>
      <c r="BV137" s="1390">
        <v>2.7511247956471099</v>
      </c>
      <c r="BW137" s="1390">
        <v>2.3069659368851703</v>
      </c>
      <c r="BX137" s="1390"/>
      <c r="BY137" s="1390">
        <v>3.4206778900951038</v>
      </c>
      <c r="BZ137" s="1391">
        <v>2.8684221762646192</v>
      </c>
    </row>
    <row r="138" spans="1:78">
      <c r="A138" s="957"/>
      <c r="B138" s="951">
        <v>39508</v>
      </c>
      <c r="C138" s="952">
        <v>34.024159099165821</v>
      </c>
      <c r="D138" s="952"/>
      <c r="E138" s="952"/>
      <c r="F138" s="950"/>
      <c r="G138" s="952"/>
      <c r="H138" s="952"/>
      <c r="I138" s="952"/>
      <c r="J138" s="9"/>
      <c r="K138" s="944">
        <v>40391</v>
      </c>
      <c r="L138" s="953">
        <v>0</v>
      </c>
      <c r="M138" s="953">
        <v>0</v>
      </c>
      <c r="N138" s="953">
        <v>0</v>
      </c>
      <c r="O138" s="13"/>
      <c r="P138" s="953">
        <v>0</v>
      </c>
      <c r="Q138" s="953">
        <v>0</v>
      </c>
      <c r="R138" s="953">
        <v>0</v>
      </c>
      <c r="S138" s="13"/>
      <c r="T138" s="953">
        <v>0</v>
      </c>
      <c r="U138" s="953">
        <v>0</v>
      </c>
      <c r="V138" s="953">
        <v>0</v>
      </c>
      <c r="W138" s="13"/>
      <c r="X138" s="953">
        <v>0</v>
      </c>
      <c r="Y138" s="953">
        <v>0</v>
      </c>
      <c r="Z138" s="953">
        <v>0</v>
      </c>
      <c r="AA138" s="13">
        <v>0</v>
      </c>
      <c r="AB138" s="953">
        <v>0</v>
      </c>
      <c r="AC138" s="953">
        <v>0</v>
      </c>
      <c r="AD138" s="953">
        <v>0</v>
      </c>
      <c r="AE138" s="13"/>
      <c r="AF138" s="953">
        <v>0</v>
      </c>
      <c r="AG138" s="953">
        <v>0</v>
      </c>
      <c r="AH138" s="953">
        <v>0</v>
      </c>
      <c r="AI138" s="13"/>
      <c r="AJ138" s="953">
        <v>0</v>
      </c>
      <c r="AK138" s="953">
        <v>0</v>
      </c>
      <c r="AL138" s="953">
        <v>0</v>
      </c>
      <c r="AM138" s="1455"/>
      <c r="AN138" s="9">
        <v>43</v>
      </c>
      <c r="AO138" s="955">
        <v>0.35</v>
      </c>
      <c r="AP138" s="13"/>
      <c r="AQ138"/>
      <c r="AR138"/>
      <c r="AS138"/>
      <c r="AT138"/>
      <c r="AU138" t="str">
        <f t="shared" si="28"/>
        <v>2011Q1</v>
      </c>
      <c r="AV138">
        <f t="shared" si="29"/>
        <v>2011</v>
      </c>
      <c r="AW138" s="111">
        <f t="shared" si="25"/>
        <v>40544</v>
      </c>
      <c r="AX138" s="136">
        <f t="shared" si="19"/>
        <v>3.6077273017954457</v>
      </c>
      <c r="AY138" s="1541">
        <v>3.6077273017954457</v>
      </c>
      <c r="AZ138" s="136">
        <f t="shared" si="20"/>
        <v>3.6077273017954457</v>
      </c>
      <c r="BA138" s="137">
        <v>1</v>
      </c>
      <c r="BB138" s="137">
        <v>1</v>
      </c>
      <c r="BC138" s="137">
        <v>1</v>
      </c>
      <c r="BD138" s="137">
        <v>0</v>
      </c>
      <c r="BE138" s="137"/>
      <c r="BF138" s="137">
        <v>0</v>
      </c>
      <c r="BG138" s="145">
        <v>0</v>
      </c>
      <c r="BH138" s="153"/>
      <c r="BI138" s="938"/>
      <c r="BJ138" s="924"/>
      <c r="BK138" s="1443">
        <v>0</v>
      </c>
      <c r="BL138" s="905">
        <f t="shared" si="21"/>
        <v>3.6077273017954457</v>
      </c>
      <c r="BM138" s="1287">
        <f t="shared" si="26"/>
        <v>3.6077273017954457</v>
      </c>
      <c r="BN138" s="1393">
        <f t="shared" si="22"/>
        <v>2.4350072989736349E-2</v>
      </c>
      <c r="BO138" s="1377">
        <f t="shared" si="24"/>
        <v>3.6077273017954457</v>
      </c>
      <c r="BP138" s="208">
        <f t="shared" si="23"/>
        <v>2.4350072989736349E-2</v>
      </c>
      <c r="BQ138" s="1378">
        <f t="shared" si="30"/>
        <v>3.7776482938981006</v>
      </c>
      <c r="BR138" s="1378">
        <f t="shared" si="27"/>
        <v>3.2260147118764828</v>
      </c>
      <c r="BS138" s="153">
        <v>0</v>
      </c>
      <c r="BU138" s="1389">
        <f t="shared" si="31"/>
        <v>40118</v>
      </c>
      <c r="BV138" s="1390">
        <v>2.8915782211067222</v>
      </c>
      <c r="BW138" s="1390">
        <v>2.3679148611791434</v>
      </c>
      <c r="BX138" s="1390"/>
      <c r="BY138" s="1390">
        <v>3.5953140708376088</v>
      </c>
      <c r="BZ138" s="1391">
        <v>2.944204502856036</v>
      </c>
    </row>
    <row r="139" spans="1:78">
      <c r="A139" s="957"/>
      <c r="B139" s="951">
        <v>39539</v>
      </c>
      <c r="C139" s="952">
        <v>32.421377427429064</v>
      </c>
      <c r="D139" s="952"/>
      <c r="E139" s="952"/>
      <c r="F139" s="950"/>
      <c r="G139" s="952"/>
      <c r="H139" s="952"/>
      <c r="I139" s="952"/>
      <c r="J139" s="9"/>
      <c r="K139" s="944">
        <v>40422</v>
      </c>
      <c r="L139" s="953">
        <v>0</v>
      </c>
      <c r="M139" s="953">
        <v>0</v>
      </c>
      <c r="N139" s="953">
        <v>0</v>
      </c>
      <c r="O139" s="13"/>
      <c r="P139" s="953">
        <v>0</v>
      </c>
      <c r="Q139" s="953">
        <v>0</v>
      </c>
      <c r="R139" s="953">
        <v>0</v>
      </c>
      <c r="S139" s="13"/>
      <c r="T139" s="953">
        <v>0</v>
      </c>
      <c r="U139" s="953">
        <v>0</v>
      </c>
      <c r="V139" s="953">
        <v>0</v>
      </c>
      <c r="W139" s="13"/>
      <c r="X139" s="953">
        <v>0</v>
      </c>
      <c r="Y139" s="953">
        <v>0</v>
      </c>
      <c r="Z139" s="953">
        <v>0</v>
      </c>
      <c r="AA139" s="13">
        <v>0</v>
      </c>
      <c r="AB139" s="953">
        <v>0</v>
      </c>
      <c r="AC139" s="953">
        <v>0</v>
      </c>
      <c r="AD139" s="953">
        <v>0</v>
      </c>
      <c r="AE139" s="13"/>
      <c r="AF139" s="953">
        <v>0</v>
      </c>
      <c r="AG139" s="953">
        <v>0</v>
      </c>
      <c r="AH139" s="953">
        <v>0</v>
      </c>
      <c r="AI139" s="13"/>
      <c r="AJ139" s="953">
        <v>0</v>
      </c>
      <c r="AK139" s="953">
        <v>0</v>
      </c>
      <c r="AL139" s="953">
        <v>0</v>
      </c>
      <c r="AM139" s="1455"/>
      <c r="AN139" s="9">
        <v>44</v>
      </c>
      <c r="AO139" s="955">
        <v>0.35</v>
      </c>
      <c r="AP139" s="13"/>
      <c r="AQ139"/>
      <c r="AR139"/>
      <c r="AS139"/>
      <c r="AT139"/>
      <c r="AU139" t="str">
        <f t="shared" si="28"/>
        <v>2011Q1</v>
      </c>
      <c r="AV139">
        <f t="shared" si="29"/>
        <v>2011</v>
      </c>
      <c r="AW139" s="111">
        <f t="shared" si="25"/>
        <v>40575</v>
      </c>
      <c r="AX139" s="136">
        <f t="shared" si="19"/>
        <v>3.3321591096220655</v>
      </c>
      <c r="AY139" s="1541">
        <v>3.3321591096220655</v>
      </c>
      <c r="AZ139" s="136">
        <f t="shared" si="20"/>
        <v>3.3321591096220655</v>
      </c>
      <c r="BA139" s="137">
        <v>1</v>
      </c>
      <c r="BB139" s="137">
        <v>1</v>
      </c>
      <c r="BC139" s="137">
        <v>1</v>
      </c>
      <c r="BD139" s="137">
        <v>0</v>
      </c>
      <c r="BE139" s="137"/>
      <c r="BF139" s="137">
        <v>0</v>
      </c>
      <c r="BG139" s="145">
        <v>0</v>
      </c>
      <c r="BH139" s="153"/>
      <c r="BI139" s="938"/>
      <c r="BJ139" s="924"/>
      <c r="BK139" s="1443">
        <v>0</v>
      </c>
      <c r="BL139" s="905">
        <f t="shared" si="21"/>
        <v>3.3321591096220655</v>
      </c>
      <c r="BM139" s="1287">
        <f t="shared" si="26"/>
        <v>3.3321591096220655</v>
      </c>
      <c r="BN139" s="1393">
        <f t="shared" si="22"/>
        <v>2.4350072989735905E-2</v>
      </c>
      <c r="BO139" s="1377">
        <f t="shared" si="24"/>
        <v>3.3321591096220655</v>
      </c>
      <c r="BP139" s="208">
        <f t="shared" si="23"/>
        <v>2.4350072989735905E-2</v>
      </c>
      <c r="BQ139" s="1378">
        <f t="shared" si="30"/>
        <v>3.4926076012558318</v>
      </c>
      <c r="BR139" s="1378">
        <f t="shared" si="27"/>
        <v>3.0048390146397104</v>
      </c>
      <c r="BS139" s="153">
        <v>0</v>
      </c>
      <c r="BU139" s="1389">
        <f t="shared" si="31"/>
        <v>40148</v>
      </c>
      <c r="BV139" s="1390">
        <v>2.952662110095583</v>
      </c>
      <c r="BW139" s="1390">
        <v>2.4175587430637488</v>
      </c>
      <c r="BX139" s="1390"/>
      <c r="BY139" s="1390">
        <v>3.6712642090631893</v>
      </c>
      <c r="BZ139" s="1391">
        <v>3.0059304301603329</v>
      </c>
    </row>
    <row r="140" spans="1:78">
      <c r="A140" s="957"/>
      <c r="B140" s="951">
        <v>39569</v>
      </c>
      <c r="C140" s="952">
        <v>33.7860800116813</v>
      </c>
      <c r="D140" s="952"/>
      <c r="E140" s="952"/>
      <c r="F140" s="950"/>
      <c r="G140" s="952"/>
      <c r="H140" s="952"/>
      <c r="I140" s="952"/>
      <c r="J140" s="9"/>
      <c r="K140" s="944">
        <v>40452</v>
      </c>
      <c r="L140" s="953">
        <v>0</v>
      </c>
      <c r="M140" s="953">
        <v>0</v>
      </c>
      <c r="N140" s="953">
        <v>0</v>
      </c>
      <c r="O140" s="13"/>
      <c r="P140" s="953">
        <v>0</v>
      </c>
      <c r="Q140" s="953">
        <v>0</v>
      </c>
      <c r="R140" s="953">
        <v>0</v>
      </c>
      <c r="S140" s="13"/>
      <c r="T140" s="953">
        <v>0</v>
      </c>
      <c r="U140" s="953">
        <v>0</v>
      </c>
      <c r="V140" s="953">
        <v>0</v>
      </c>
      <c r="W140" s="13"/>
      <c r="X140" s="953">
        <v>0</v>
      </c>
      <c r="Y140" s="953">
        <v>0</v>
      </c>
      <c r="Z140" s="953">
        <v>0</v>
      </c>
      <c r="AA140" s="13">
        <v>0</v>
      </c>
      <c r="AB140" s="953">
        <v>0</v>
      </c>
      <c r="AC140" s="953">
        <v>0</v>
      </c>
      <c r="AD140" s="953">
        <v>0</v>
      </c>
      <c r="AE140" s="13"/>
      <c r="AF140" s="953">
        <v>0</v>
      </c>
      <c r="AG140" s="953">
        <v>0</v>
      </c>
      <c r="AH140" s="953">
        <v>0</v>
      </c>
      <c r="AI140" s="13"/>
      <c r="AJ140" s="953">
        <v>0</v>
      </c>
      <c r="AK140" s="953">
        <v>0</v>
      </c>
      <c r="AL140" s="953">
        <v>0</v>
      </c>
      <c r="AM140" s="1455"/>
      <c r="AN140" s="9">
        <v>44</v>
      </c>
      <c r="AO140" s="955">
        <v>0.35</v>
      </c>
      <c r="AP140" s="13"/>
      <c r="AQ140"/>
      <c r="AR140"/>
      <c r="AS140"/>
      <c r="AT140"/>
      <c r="AU140" t="str">
        <f t="shared" si="28"/>
        <v>2011Q1</v>
      </c>
      <c r="AV140">
        <f t="shared" si="29"/>
        <v>2011</v>
      </c>
      <c r="AW140" s="111">
        <f t="shared" si="25"/>
        <v>40603</v>
      </c>
      <c r="AX140" s="136">
        <f t="shared" si="19"/>
        <v>3.1532773343892448</v>
      </c>
      <c r="AY140" s="1541">
        <v>3.1532773343892448</v>
      </c>
      <c r="AZ140" s="136">
        <f t="shared" si="20"/>
        <v>3.1532773343892448</v>
      </c>
      <c r="BA140" s="137">
        <v>1</v>
      </c>
      <c r="BB140" s="137">
        <v>1</v>
      </c>
      <c r="BC140" s="137">
        <v>1</v>
      </c>
      <c r="BD140" s="137">
        <v>0</v>
      </c>
      <c r="BE140" s="137"/>
      <c r="BF140" s="137">
        <v>0</v>
      </c>
      <c r="BG140" s="145">
        <v>0</v>
      </c>
      <c r="BH140" s="153"/>
      <c r="BI140" s="938"/>
      <c r="BJ140" s="924"/>
      <c r="BK140" s="1443">
        <v>0</v>
      </c>
      <c r="BL140" s="905">
        <f t="shared" si="21"/>
        <v>3.1532773343892448</v>
      </c>
      <c r="BM140" s="1287">
        <f t="shared" si="26"/>
        <v>3.1532773343892448</v>
      </c>
      <c r="BN140" s="1393">
        <f t="shared" si="22"/>
        <v>2.4350072989735905E-2</v>
      </c>
      <c r="BO140" s="1377">
        <f t="shared" si="24"/>
        <v>3.1532773343892448</v>
      </c>
      <c r="BP140" s="208">
        <f t="shared" si="23"/>
        <v>2.4350072989735905E-2</v>
      </c>
      <c r="BQ140" s="1378">
        <f t="shared" si="30"/>
        <v>3.3889057271528125</v>
      </c>
      <c r="BR140" s="1378">
        <f t="shared" si="27"/>
        <v>2.8556740095265369</v>
      </c>
      <c r="BS140" s="153">
        <v>0</v>
      </c>
      <c r="BU140" s="1389">
        <f t="shared" si="31"/>
        <v>40179</v>
      </c>
      <c r="BV140" s="1390">
        <v>2.8786231765519124</v>
      </c>
      <c r="BW140" s="1390">
        <v>2.4431367408224629</v>
      </c>
      <c r="BX140" s="1390"/>
      <c r="BY140" s="1390">
        <v>3.650790223299532</v>
      </c>
      <c r="BZ140" s="1391">
        <v>3.0984881245423685</v>
      </c>
    </row>
    <row r="141" spans="1:78">
      <c r="A141" s="957"/>
      <c r="B141" s="951">
        <v>39600</v>
      </c>
      <c r="C141" s="952">
        <v>33.932544499144711</v>
      </c>
      <c r="D141" s="952"/>
      <c r="E141" s="952"/>
      <c r="F141" s="950"/>
      <c r="G141" s="952"/>
      <c r="H141" s="952"/>
      <c r="I141" s="952"/>
      <c r="J141" s="9"/>
      <c r="K141" s="944">
        <v>40483</v>
      </c>
      <c r="L141" s="953">
        <v>0</v>
      </c>
      <c r="M141" s="953">
        <v>0</v>
      </c>
      <c r="N141" s="953">
        <v>0</v>
      </c>
      <c r="O141" s="13"/>
      <c r="P141" s="953">
        <v>0</v>
      </c>
      <c r="Q141" s="953">
        <v>0</v>
      </c>
      <c r="R141" s="953">
        <v>0</v>
      </c>
      <c r="S141" s="13"/>
      <c r="T141" s="953">
        <v>0</v>
      </c>
      <c r="U141" s="953">
        <v>0</v>
      </c>
      <c r="V141" s="953">
        <v>0</v>
      </c>
      <c r="W141" s="13"/>
      <c r="X141" s="953">
        <v>0</v>
      </c>
      <c r="Y141" s="953">
        <v>0</v>
      </c>
      <c r="Z141" s="953">
        <v>0</v>
      </c>
      <c r="AA141" s="13">
        <v>0</v>
      </c>
      <c r="AB141" s="953">
        <v>0</v>
      </c>
      <c r="AC141" s="953">
        <v>0</v>
      </c>
      <c r="AD141" s="953">
        <v>0</v>
      </c>
      <c r="AE141" s="13"/>
      <c r="AF141" s="953">
        <v>0</v>
      </c>
      <c r="AG141" s="953">
        <v>0</v>
      </c>
      <c r="AH141" s="953">
        <v>0</v>
      </c>
      <c r="AI141" s="13"/>
      <c r="AJ141" s="953">
        <v>0</v>
      </c>
      <c r="AK141" s="953">
        <v>0</v>
      </c>
      <c r="AL141" s="953">
        <v>0</v>
      </c>
      <c r="AM141" s="1455"/>
      <c r="AN141" s="9">
        <v>44</v>
      </c>
      <c r="AO141" s="955">
        <v>0.35</v>
      </c>
      <c r="AP141" s="13"/>
      <c r="AQ141"/>
      <c r="AR141"/>
      <c r="AS141"/>
      <c r="AT141"/>
      <c r="AU141" t="str">
        <f t="shared" si="28"/>
        <v>2011Q2</v>
      </c>
      <c r="AV141">
        <f t="shared" si="29"/>
        <v>2011</v>
      </c>
      <c r="AW141" s="111">
        <f t="shared" si="25"/>
        <v>40634</v>
      </c>
      <c r="AX141" s="136">
        <f t="shared" si="19"/>
        <v>3.0586767633200207</v>
      </c>
      <c r="AY141" s="1541">
        <v>3.0586767633200207</v>
      </c>
      <c r="AZ141" s="136">
        <f t="shared" si="20"/>
        <v>3.0586767633200207</v>
      </c>
      <c r="BA141" s="137">
        <v>1</v>
      </c>
      <c r="BB141" s="137">
        <v>1</v>
      </c>
      <c r="BC141" s="137">
        <v>1</v>
      </c>
      <c r="BD141" s="137">
        <v>0</v>
      </c>
      <c r="BE141" s="137"/>
      <c r="BF141" s="137">
        <v>0</v>
      </c>
      <c r="BG141" s="145">
        <v>0</v>
      </c>
      <c r="BH141" s="153"/>
      <c r="BI141" s="938"/>
      <c r="BJ141" s="924"/>
      <c r="BK141" s="1443">
        <v>0</v>
      </c>
      <c r="BL141" s="905">
        <f t="shared" si="21"/>
        <v>3.0586767633200207</v>
      </c>
      <c r="BM141" s="1287">
        <f t="shared" si="26"/>
        <v>3.0586767633200207</v>
      </c>
      <c r="BN141" s="1393">
        <f t="shared" si="22"/>
        <v>2.4350072989735905E-2</v>
      </c>
      <c r="BO141" s="1377">
        <f t="shared" si="24"/>
        <v>3.0586767633200207</v>
      </c>
      <c r="BP141" s="208">
        <f t="shared" si="23"/>
        <v>2.4350072989735905E-2</v>
      </c>
      <c r="BQ141" s="1378">
        <f t="shared" si="30"/>
        <v>3.3216783053205106</v>
      </c>
      <c r="BR141" s="1378">
        <f t="shared" si="27"/>
        <v>2.7688754074132693</v>
      </c>
      <c r="BS141" s="153">
        <v>0</v>
      </c>
      <c r="BU141" s="1389">
        <f t="shared" si="31"/>
        <v>40210</v>
      </c>
      <c r="BV141" s="1390">
        <v>2.6614180054337306</v>
      </c>
      <c r="BW141" s="1390">
        <v>2.2756351884870516</v>
      </c>
      <c r="BX141" s="1390"/>
      <c r="BY141" s="1390">
        <v>3.3753215472923443</v>
      </c>
      <c r="BZ141" s="1391">
        <v>2.8860556552164942</v>
      </c>
    </row>
    <row r="142" spans="1:78">
      <c r="A142" s="957"/>
      <c r="B142" s="951">
        <v>39630</v>
      </c>
      <c r="C142" s="952">
        <v>47.515717973953372</v>
      </c>
      <c r="D142" s="952"/>
      <c r="E142" s="952"/>
      <c r="F142" s="950"/>
      <c r="G142" s="952"/>
      <c r="H142" s="952"/>
      <c r="I142" s="952"/>
      <c r="J142" s="9"/>
      <c r="K142" s="944">
        <v>40513</v>
      </c>
      <c r="L142" s="953">
        <v>0</v>
      </c>
      <c r="M142" s="953">
        <v>0</v>
      </c>
      <c r="N142" s="953">
        <v>0</v>
      </c>
      <c r="O142" s="13"/>
      <c r="P142" s="953">
        <v>0</v>
      </c>
      <c r="Q142" s="953">
        <v>0</v>
      </c>
      <c r="R142" s="953">
        <v>0</v>
      </c>
      <c r="S142" s="13"/>
      <c r="T142" s="953">
        <v>0</v>
      </c>
      <c r="U142" s="953">
        <v>0</v>
      </c>
      <c r="V142" s="953">
        <v>0</v>
      </c>
      <c r="W142" s="13"/>
      <c r="X142" s="953">
        <v>0</v>
      </c>
      <c r="Y142" s="953">
        <v>0</v>
      </c>
      <c r="Z142" s="953">
        <v>0</v>
      </c>
      <c r="AA142" s="13">
        <v>0</v>
      </c>
      <c r="AB142" s="953">
        <v>0</v>
      </c>
      <c r="AC142" s="953">
        <v>0</v>
      </c>
      <c r="AD142" s="953">
        <v>0</v>
      </c>
      <c r="AE142" s="13"/>
      <c r="AF142" s="953">
        <v>0</v>
      </c>
      <c r="AG142" s="953">
        <v>0</v>
      </c>
      <c r="AH142" s="953">
        <v>0</v>
      </c>
      <c r="AI142" s="13"/>
      <c r="AJ142" s="953">
        <v>0</v>
      </c>
      <c r="AK142" s="953">
        <v>0</v>
      </c>
      <c r="AL142" s="953">
        <v>0</v>
      </c>
      <c r="AM142" s="1455"/>
      <c r="AN142" s="9">
        <v>45</v>
      </c>
      <c r="AO142" s="955">
        <v>0.35</v>
      </c>
      <c r="AP142" s="13"/>
      <c r="AQ142"/>
      <c r="AR142"/>
      <c r="AS142"/>
      <c r="AT142"/>
      <c r="AU142" t="str">
        <f t="shared" si="28"/>
        <v>2011Q2</v>
      </c>
      <c r="AV142">
        <f t="shared" si="29"/>
        <v>2011</v>
      </c>
      <c r="AW142" s="111">
        <f t="shared" si="25"/>
        <v>40664</v>
      </c>
      <c r="AX142" s="136">
        <f t="shared" si="19"/>
        <v>3.035609169324526</v>
      </c>
      <c r="AY142" s="1541">
        <v>3.035609169324526</v>
      </c>
      <c r="AZ142" s="136">
        <f t="shared" si="20"/>
        <v>3.035609169324526</v>
      </c>
      <c r="BA142" s="137">
        <v>1</v>
      </c>
      <c r="BB142" s="137">
        <v>1</v>
      </c>
      <c r="BC142" s="137">
        <v>1</v>
      </c>
      <c r="BD142" s="137">
        <v>0</v>
      </c>
      <c r="BE142" s="137"/>
      <c r="BF142" s="137">
        <v>0</v>
      </c>
      <c r="BG142" s="145">
        <v>0</v>
      </c>
      <c r="BH142" s="153"/>
      <c r="BI142" s="938"/>
      <c r="BJ142" s="924"/>
      <c r="BK142" s="1443">
        <v>0</v>
      </c>
      <c r="BL142" s="905">
        <f t="shared" si="21"/>
        <v>3.035609169324526</v>
      </c>
      <c r="BM142" s="1287">
        <f t="shared" si="26"/>
        <v>3.035609169324526</v>
      </c>
      <c r="BN142" s="1393">
        <f t="shared" si="22"/>
        <v>2.4350072989736349E-2</v>
      </c>
      <c r="BO142" s="1377">
        <f t="shared" si="24"/>
        <v>3.035609169324526</v>
      </c>
      <c r="BP142" s="208">
        <f t="shared" si="23"/>
        <v>2.4350072989736349E-2</v>
      </c>
      <c r="BQ142" s="1378">
        <f t="shared" si="30"/>
        <v>3.2909253357589252</v>
      </c>
      <c r="BR142" s="1378">
        <f t="shared" si="27"/>
        <v>2.7347989191762077</v>
      </c>
      <c r="BS142" s="153">
        <v>0</v>
      </c>
      <c r="BU142" s="1389">
        <f t="shared" si="31"/>
        <v>40238</v>
      </c>
      <c r="BV142" s="1390">
        <v>2.5823956626902294</v>
      </c>
      <c r="BW142" s="1390">
        <v>2.1626690252840994</v>
      </c>
      <c r="BX142" s="1390"/>
      <c r="BY142" s="1390">
        <v>3.2751021095207897</v>
      </c>
      <c r="BZ142" s="1391">
        <v>2.7427872456711366</v>
      </c>
    </row>
    <row r="143" spans="1:78">
      <c r="A143" s="957"/>
      <c r="B143" s="951">
        <v>39661</v>
      </c>
      <c r="C143" s="952">
        <v>81.136996388510767</v>
      </c>
      <c r="D143" s="952"/>
      <c r="E143" s="952"/>
      <c r="F143" s="950"/>
      <c r="G143" s="952"/>
      <c r="H143" s="952"/>
      <c r="I143" s="952"/>
      <c r="J143" s="9"/>
      <c r="K143" s="944">
        <v>40544</v>
      </c>
      <c r="L143" s="953">
        <v>0</v>
      </c>
      <c r="M143" s="953">
        <v>0</v>
      </c>
      <c r="N143" s="953">
        <v>0</v>
      </c>
      <c r="O143" s="13"/>
      <c r="P143" s="953">
        <v>0</v>
      </c>
      <c r="Q143" s="953">
        <v>0</v>
      </c>
      <c r="R143" s="953">
        <v>0</v>
      </c>
      <c r="S143" s="13"/>
      <c r="T143" s="953">
        <v>0</v>
      </c>
      <c r="U143" s="953">
        <v>0</v>
      </c>
      <c r="V143" s="953">
        <v>0</v>
      </c>
      <c r="W143" s="13"/>
      <c r="X143" s="953">
        <v>0</v>
      </c>
      <c r="Y143" s="953">
        <v>0</v>
      </c>
      <c r="Z143" s="953">
        <v>0</v>
      </c>
      <c r="AA143" s="13">
        <v>0</v>
      </c>
      <c r="AB143" s="953">
        <v>0</v>
      </c>
      <c r="AC143" s="953">
        <v>0</v>
      </c>
      <c r="AD143" s="953">
        <v>0</v>
      </c>
      <c r="AE143" s="13"/>
      <c r="AF143" s="953">
        <v>0</v>
      </c>
      <c r="AG143" s="953">
        <v>0</v>
      </c>
      <c r="AH143" s="953">
        <v>0</v>
      </c>
      <c r="AI143" s="13"/>
      <c r="AJ143" s="953">
        <v>0</v>
      </c>
      <c r="AK143" s="953">
        <v>0</v>
      </c>
      <c r="AL143" s="953">
        <v>0</v>
      </c>
      <c r="AM143" s="1455"/>
      <c r="AN143" s="9">
        <v>45</v>
      </c>
      <c r="AO143" s="955">
        <v>0.35</v>
      </c>
      <c r="AP143" s="13"/>
      <c r="AQ143"/>
      <c r="AR143"/>
      <c r="AS143"/>
      <c r="AT143"/>
      <c r="AU143" t="str">
        <f t="shared" si="28"/>
        <v>2011Q2</v>
      </c>
      <c r="AV143">
        <f t="shared" si="29"/>
        <v>2011</v>
      </c>
      <c r="AW143" s="111">
        <f t="shared" si="25"/>
        <v>40695</v>
      </c>
      <c r="AX143" s="136">
        <f t="shared" si="19"/>
        <v>3.0722775755729788</v>
      </c>
      <c r="AY143" s="1541">
        <v>3.0722775755729788</v>
      </c>
      <c r="AZ143" s="136">
        <f t="shared" si="20"/>
        <v>3.0722775755729788</v>
      </c>
      <c r="BA143" s="137">
        <v>1</v>
      </c>
      <c r="BB143" s="137">
        <v>1</v>
      </c>
      <c r="BC143" s="137">
        <v>1</v>
      </c>
      <c r="BD143" s="137">
        <v>0</v>
      </c>
      <c r="BE143" s="137"/>
      <c r="BF143" s="137">
        <v>0</v>
      </c>
      <c r="BG143" s="145">
        <v>0</v>
      </c>
      <c r="BH143" s="153"/>
      <c r="BI143" s="938"/>
      <c r="BJ143" s="924"/>
      <c r="BK143" s="1443">
        <v>0</v>
      </c>
      <c r="BL143" s="905">
        <f t="shared" si="21"/>
        <v>3.0722775755729788</v>
      </c>
      <c r="BM143" s="1287">
        <f t="shared" si="26"/>
        <v>3.0722775755729788</v>
      </c>
      <c r="BN143" s="1393">
        <f t="shared" si="22"/>
        <v>2.4350072989735905E-2</v>
      </c>
      <c r="BO143" s="1377">
        <f t="shared" si="24"/>
        <v>3.0722775755729788</v>
      </c>
      <c r="BP143" s="208">
        <f t="shared" si="23"/>
        <v>2.4350072989735905E-2</v>
      </c>
      <c r="BQ143" s="1378">
        <f t="shared" si="30"/>
        <v>3.2966468184680573</v>
      </c>
      <c r="BR143" s="1378">
        <f t="shared" si="27"/>
        <v>2.7438002556916579</v>
      </c>
      <c r="BS143" s="153">
        <v>0</v>
      </c>
      <c r="BU143" s="1389">
        <f t="shared" si="31"/>
        <v>40269</v>
      </c>
      <c r="BV143" s="1390">
        <v>2.5311673853254764</v>
      </c>
      <c r="BW143" s="1390">
        <v>2.096934404454796</v>
      </c>
      <c r="BX143" s="1390"/>
      <c r="BY143" s="1390">
        <v>3.2101322671033676</v>
      </c>
      <c r="BZ143" s="1391">
        <v>2.6594198521856924</v>
      </c>
    </row>
    <row r="144" spans="1:78">
      <c r="A144" s="957"/>
      <c r="B144" s="951">
        <v>39692</v>
      </c>
      <c r="C144" s="952">
        <v>52.636709216151694</v>
      </c>
      <c r="D144" s="952"/>
      <c r="E144" s="952"/>
      <c r="F144" s="950"/>
      <c r="G144" s="952"/>
      <c r="H144" s="952"/>
      <c r="I144" s="952"/>
      <c r="J144" s="9"/>
      <c r="K144" s="944">
        <v>40575</v>
      </c>
      <c r="L144" s="953">
        <v>0</v>
      </c>
      <c r="M144" s="953">
        <v>0</v>
      </c>
      <c r="N144" s="953">
        <v>0</v>
      </c>
      <c r="O144" s="13"/>
      <c r="P144" s="953">
        <v>0</v>
      </c>
      <c r="Q144" s="953">
        <v>0</v>
      </c>
      <c r="R144" s="953">
        <v>0</v>
      </c>
      <c r="S144" s="13"/>
      <c r="T144" s="953">
        <v>0</v>
      </c>
      <c r="U144" s="953">
        <v>0</v>
      </c>
      <c r="V144" s="953">
        <v>0</v>
      </c>
      <c r="W144" s="13"/>
      <c r="X144" s="953">
        <v>0</v>
      </c>
      <c r="Y144" s="953">
        <v>0</v>
      </c>
      <c r="Z144" s="953">
        <v>0</v>
      </c>
      <c r="AA144" s="13">
        <v>0</v>
      </c>
      <c r="AB144" s="953">
        <v>0</v>
      </c>
      <c r="AC144" s="953">
        <v>0</v>
      </c>
      <c r="AD144" s="953">
        <v>0</v>
      </c>
      <c r="AE144" s="13"/>
      <c r="AF144" s="953">
        <v>0</v>
      </c>
      <c r="AG144" s="953">
        <v>0</v>
      </c>
      <c r="AH144" s="953">
        <v>0</v>
      </c>
      <c r="AI144" s="13"/>
      <c r="AJ144" s="953">
        <v>0</v>
      </c>
      <c r="AK144" s="953">
        <v>0</v>
      </c>
      <c r="AL144" s="953">
        <v>0</v>
      </c>
      <c r="AM144" s="1455"/>
      <c r="AN144" s="9">
        <v>45</v>
      </c>
      <c r="AO144" s="955">
        <v>0.35</v>
      </c>
      <c r="AP144" s="13"/>
      <c r="AQ144"/>
      <c r="AR144"/>
      <c r="AS144"/>
      <c r="AT144"/>
      <c r="AU144" t="str">
        <f t="shared" si="28"/>
        <v>2011Q3</v>
      </c>
      <c r="AV144">
        <f t="shared" si="29"/>
        <v>2011</v>
      </c>
      <c r="AW144" s="111">
        <f t="shared" si="25"/>
        <v>40725</v>
      </c>
      <c r="AX144" s="136">
        <f t="shared" si="19"/>
        <v>3.1561387419480607</v>
      </c>
      <c r="AY144" s="1541">
        <v>3.1561387419480607</v>
      </c>
      <c r="AZ144" s="136">
        <f t="shared" si="20"/>
        <v>3.1561387419480607</v>
      </c>
      <c r="BA144" s="137">
        <v>1</v>
      </c>
      <c r="BB144" s="137">
        <v>1</v>
      </c>
      <c r="BC144" s="137">
        <v>1</v>
      </c>
      <c r="BD144" s="137">
        <v>0</v>
      </c>
      <c r="BE144" s="137"/>
      <c r="BF144" s="137">
        <v>0</v>
      </c>
      <c r="BG144" s="145">
        <v>0</v>
      </c>
      <c r="BH144" s="153"/>
      <c r="BI144" s="938"/>
      <c r="BJ144" s="924"/>
      <c r="BK144" s="1443">
        <v>0</v>
      </c>
      <c r="BL144" s="905">
        <f t="shared" si="21"/>
        <v>3.1561387419480607</v>
      </c>
      <c r="BM144" s="1287">
        <f t="shared" si="26"/>
        <v>3.1561387419480607</v>
      </c>
      <c r="BN144" s="1393">
        <f t="shared" si="22"/>
        <v>2.4350072989736127E-2</v>
      </c>
      <c r="BO144" s="1377">
        <f t="shared" si="24"/>
        <v>3.1561387419480607</v>
      </c>
      <c r="BP144" s="208">
        <f t="shared" si="23"/>
        <v>2.4350072989736127E-2</v>
      </c>
      <c r="BQ144" s="1378">
        <f t="shared" si="30"/>
        <v>3.3388427534479064</v>
      </c>
      <c r="BR144" s="1378">
        <f t="shared" si="27"/>
        <v>2.7862351278359228</v>
      </c>
      <c r="BS144" s="153">
        <v>0</v>
      </c>
      <c r="BU144" s="1389">
        <f t="shared" si="31"/>
        <v>40299</v>
      </c>
      <c r="BV144" s="1390">
        <v>2.5077331733394721</v>
      </c>
      <c r="BW144" s="1390">
        <v>2.0711274792403285</v>
      </c>
      <c r="BX144" s="1390"/>
      <c r="BY144" s="1390">
        <v>3.1804120200400785</v>
      </c>
      <c r="BZ144" s="1391">
        <v>2.6266904310395547</v>
      </c>
    </row>
    <row r="145" spans="1:78">
      <c r="A145" s="957"/>
      <c r="B145" s="951">
        <v>39722</v>
      </c>
      <c r="C145" s="952">
        <v>43.50534437558624</v>
      </c>
      <c r="D145" s="952"/>
      <c r="E145" s="952"/>
      <c r="F145" s="950"/>
      <c r="G145" s="952"/>
      <c r="H145" s="952"/>
      <c r="I145" s="952"/>
      <c r="J145" s="9"/>
      <c r="K145" s="944">
        <v>40603</v>
      </c>
      <c r="L145" s="953">
        <v>0</v>
      </c>
      <c r="M145" s="953">
        <v>0</v>
      </c>
      <c r="N145" s="953">
        <v>0</v>
      </c>
      <c r="O145" s="13"/>
      <c r="P145" s="953">
        <v>0</v>
      </c>
      <c r="Q145" s="953">
        <v>0</v>
      </c>
      <c r="R145" s="953">
        <v>0</v>
      </c>
      <c r="S145" s="13"/>
      <c r="T145" s="953">
        <v>0</v>
      </c>
      <c r="U145" s="953">
        <v>0</v>
      </c>
      <c r="V145" s="953">
        <v>0</v>
      </c>
      <c r="W145" s="13"/>
      <c r="X145" s="953">
        <v>0</v>
      </c>
      <c r="Y145" s="953">
        <v>0</v>
      </c>
      <c r="Z145" s="953">
        <v>0</v>
      </c>
      <c r="AA145" s="13">
        <v>0</v>
      </c>
      <c r="AB145" s="953">
        <v>0</v>
      </c>
      <c r="AC145" s="953">
        <v>0</v>
      </c>
      <c r="AD145" s="953">
        <v>0</v>
      </c>
      <c r="AE145" s="13"/>
      <c r="AF145" s="953">
        <v>0</v>
      </c>
      <c r="AG145" s="953">
        <v>0</v>
      </c>
      <c r="AH145" s="953">
        <v>0</v>
      </c>
      <c r="AI145" s="13"/>
      <c r="AJ145" s="953">
        <v>0</v>
      </c>
      <c r="AK145" s="953">
        <v>0</v>
      </c>
      <c r="AL145" s="953">
        <v>0</v>
      </c>
      <c r="AM145" s="1455"/>
      <c r="AN145" s="9">
        <v>46</v>
      </c>
      <c r="AO145" s="955">
        <v>0.35</v>
      </c>
      <c r="AP145" s="13"/>
      <c r="AQ145"/>
      <c r="AR145"/>
      <c r="AS145"/>
      <c r="AT145"/>
      <c r="AU145" t="str">
        <f t="shared" si="28"/>
        <v>2011Q3</v>
      </c>
      <c r="AV145">
        <f t="shared" si="29"/>
        <v>2011</v>
      </c>
      <c r="AW145" s="111">
        <f t="shared" si="25"/>
        <v>40756</v>
      </c>
      <c r="AX145" s="136">
        <f t="shared" si="19"/>
        <v>3.2752390151913282</v>
      </c>
      <c r="AY145" s="1541">
        <v>3.2752390151913282</v>
      </c>
      <c r="AZ145" s="136">
        <f t="shared" si="20"/>
        <v>3.2752390151913282</v>
      </c>
      <c r="BA145" s="137">
        <v>1</v>
      </c>
      <c r="BB145" s="137">
        <v>1</v>
      </c>
      <c r="BC145" s="137">
        <v>1</v>
      </c>
      <c r="BD145" s="137">
        <v>0</v>
      </c>
      <c r="BE145" s="137"/>
      <c r="BF145" s="137">
        <v>0</v>
      </c>
      <c r="BG145" s="145">
        <v>0</v>
      </c>
      <c r="BH145" s="153"/>
      <c r="BI145" s="938"/>
      <c r="BJ145" s="924"/>
      <c r="BK145" s="1443">
        <v>0</v>
      </c>
      <c r="BL145" s="905">
        <f t="shared" si="21"/>
        <v>3.2752390151913282</v>
      </c>
      <c r="BM145" s="1287">
        <f t="shared" si="26"/>
        <v>3.2752390151913282</v>
      </c>
      <c r="BN145" s="1393">
        <f t="shared" si="22"/>
        <v>2.4350072989736127E-2</v>
      </c>
      <c r="BO145" s="1377">
        <f t="shared" si="24"/>
        <v>3.2752390151913282</v>
      </c>
      <c r="BP145" s="208">
        <f t="shared" si="23"/>
        <v>2.4350072989736127E-2</v>
      </c>
      <c r="BQ145" s="1378">
        <f t="shared" si="30"/>
        <v>3.4175131406984729</v>
      </c>
      <c r="BR145" s="1378">
        <f t="shared" si="27"/>
        <v>2.8524592464853056</v>
      </c>
      <c r="BS145" s="153">
        <v>0</v>
      </c>
      <c r="BU145" s="1389">
        <f t="shared" si="31"/>
        <v>40330</v>
      </c>
      <c r="BV145" s="1390">
        <v>2.512093026732217</v>
      </c>
      <c r="BW145" s="1390">
        <v>2.0779444028818856</v>
      </c>
      <c r="BX145" s="1390"/>
      <c r="BY145" s="1390">
        <v>3.1859413683309228</v>
      </c>
      <c r="BZ145" s="1391">
        <v>2.6353359385121191</v>
      </c>
    </row>
    <row r="146" spans="1:78">
      <c r="A146" s="957"/>
      <c r="B146" s="951">
        <v>39753</v>
      </c>
      <c r="C146" s="952">
        <v>48.45577757467094</v>
      </c>
      <c r="D146" s="952"/>
      <c r="E146" s="952"/>
      <c r="F146" s="950"/>
      <c r="G146" s="952"/>
      <c r="H146" s="952"/>
      <c r="I146" s="952"/>
      <c r="J146" s="9"/>
      <c r="K146" s="944">
        <v>40634</v>
      </c>
      <c r="L146" s="953">
        <v>0</v>
      </c>
      <c r="M146" s="953">
        <v>0</v>
      </c>
      <c r="N146" s="953">
        <v>0</v>
      </c>
      <c r="O146" s="13"/>
      <c r="P146" s="953">
        <v>0</v>
      </c>
      <c r="Q146" s="953">
        <v>0</v>
      </c>
      <c r="R146" s="953">
        <v>0</v>
      </c>
      <c r="S146" s="13"/>
      <c r="T146" s="953">
        <v>0</v>
      </c>
      <c r="U146" s="953">
        <v>0</v>
      </c>
      <c r="V146" s="953">
        <v>0</v>
      </c>
      <c r="W146" s="13"/>
      <c r="X146" s="953">
        <v>0</v>
      </c>
      <c r="Y146" s="953">
        <v>0</v>
      </c>
      <c r="Z146" s="953">
        <v>0</v>
      </c>
      <c r="AA146" s="13">
        <v>0</v>
      </c>
      <c r="AB146" s="953">
        <v>0</v>
      </c>
      <c r="AC146" s="953">
        <v>0</v>
      </c>
      <c r="AD146" s="953">
        <v>0</v>
      </c>
      <c r="AE146" s="13"/>
      <c r="AF146" s="953">
        <v>0</v>
      </c>
      <c r="AG146" s="953">
        <v>0</v>
      </c>
      <c r="AH146" s="953">
        <v>0</v>
      </c>
      <c r="AI146" s="13"/>
      <c r="AJ146" s="953">
        <v>0</v>
      </c>
      <c r="AK146" s="953">
        <v>0</v>
      </c>
      <c r="AL146" s="953">
        <v>0</v>
      </c>
      <c r="AM146" s="1455"/>
      <c r="AN146" s="9">
        <v>46</v>
      </c>
      <c r="AO146" s="955">
        <v>0.35</v>
      </c>
      <c r="AP146" s="13"/>
      <c r="AQ146"/>
      <c r="AR146"/>
      <c r="AS146"/>
      <c r="AT146"/>
      <c r="AU146" t="str">
        <f t="shared" si="28"/>
        <v>2011Q3</v>
      </c>
      <c r="AV146">
        <f t="shared" si="29"/>
        <v>2011</v>
      </c>
      <c r="AW146" s="111">
        <f t="shared" si="25"/>
        <v>40787</v>
      </c>
      <c r="AX146" s="136">
        <f t="shared" si="19"/>
        <v>3.4170395733396965</v>
      </c>
      <c r="AY146" s="1541">
        <v>3.4170395733396965</v>
      </c>
      <c r="AZ146" s="136">
        <f t="shared" si="20"/>
        <v>3.4170395733396965</v>
      </c>
      <c r="BA146" s="137">
        <v>1</v>
      </c>
      <c r="BB146" s="137">
        <v>1</v>
      </c>
      <c r="BC146" s="137">
        <v>1</v>
      </c>
      <c r="BD146" s="137">
        <v>0</v>
      </c>
      <c r="BE146" s="137"/>
      <c r="BF146" s="137">
        <v>0</v>
      </c>
      <c r="BG146" s="145">
        <v>0</v>
      </c>
      <c r="BH146" s="153"/>
      <c r="BI146" s="938"/>
      <c r="BJ146" s="924"/>
      <c r="BK146" s="1443">
        <v>0</v>
      </c>
      <c r="BL146" s="905">
        <f t="shared" si="21"/>
        <v>3.4170395733396965</v>
      </c>
      <c r="BM146" s="1287">
        <f t="shared" si="26"/>
        <v>3.4170395733396965</v>
      </c>
      <c r="BN146" s="1393">
        <f t="shared" si="22"/>
        <v>2.4350072989736127E-2</v>
      </c>
      <c r="BO146" s="1377">
        <f t="shared" si="24"/>
        <v>3.4170395733396965</v>
      </c>
      <c r="BP146" s="208">
        <f t="shared" si="23"/>
        <v>2.4350072989736127E-2</v>
      </c>
      <c r="BQ146" s="1378">
        <f t="shared" si="30"/>
        <v>3.5326579802197569</v>
      </c>
      <c r="BR146" s="1378">
        <f t="shared" si="27"/>
        <v>2.9328283225161096</v>
      </c>
      <c r="BS146" s="153">
        <v>0</v>
      </c>
      <c r="BU146" s="1389">
        <f t="shared" si="31"/>
        <v>40360</v>
      </c>
      <c r="BV146" s="1390">
        <v>2.5442469455037111</v>
      </c>
      <c r="BW146" s="1390">
        <v>2.1100813286206566</v>
      </c>
      <c r="BX146" s="1390"/>
      <c r="BY146" s="1390">
        <v>3.2267203119759009</v>
      </c>
      <c r="BZ146" s="1391">
        <v>2.6760933308827815</v>
      </c>
    </row>
    <row r="147" spans="1:78">
      <c r="A147" s="957"/>
      <c r="B147" s="951">
        <v>39783</v>
      </c>
      <c r="C147" s="952">
        <v>47.416870105308817</v>
      </c>
      <c r="D147" s="952"/>
      <c r="E147" s="952"/>
      <c r="F147" s="950"/>
      <c r="G147" s="952"/>
      <c r="H147" s="952"/>
      <c r="I147" s="952"/>
      <c r="J147" s="9"/>
      <c r="K147" s="944">
        <v>40664</v>
      </c>
      <c r="L147" s="953">
        <v>0</v>
      </c>
      <c r="M147" s="953">
        <v>0</v>
      </c>
      <c r="N147" s="953">
        <v>0</v>
      </c>
      <c r="O147" s="13"/>
      <c r="P147" s="953">
        <v>0</v>
      </c>
      <c r="Q147" s="953">
        <v>0</v>
      </c>
      <c r="R147" s="953">
        <v>0</v>
      </c>
      <c r="S147" s="13"/>
      <c r="T147" s="953">
        <v>0</v>
      </c>
      <c r="U147" s="953">
        <v>0</v>
      </c>
      <c r="V147" s="953">
        <v>0</v>
      </c>
      <c r="W147" s="13"/>
      <c r="X147" s="953">
        <v>0</v>
      </c>
      <c r="Y147" s="953">
        <v>0</v>
      </c>
      <c r="Z147" s="953">
        <v>0</v>
      </c>
      <c r="AA147" s="13">
        <v>0</v>
      </c>
      <c r="AB147" s="953">
        <v>0</v>
      </c>
      <c r="AC147" s="953">
        <v>0</v>
      </c>
      <c r="AD147" s="953">
        <v>0</v>
      </c>
      <c r="AE147" s="13"/>
      <c r="AF147" s="953">
        <v>0</v>
      </c>
      <c r="AG147" s="953">
        <v>0</v>
      </c>
      <c r="AH147" s="953">
        <v>0</v>
      </c>
      <c r="AI147" s="13"/>
      <c r="AJ147" s="953">
        <v>0</v>
      </c>
      <c r="AK147" s="953">
        <v>0</v>
      </c>
      <c r="AL147" s="953">
        <v>0</v>
      </c>
      <c r="AM147" s="1455"/>
      <c r="AN147" s="9">
        <v>46</v>
      </c>
      <c r="AO147" s="955">
        <v>0.35</v>
      </c>
      <c r="AP147" s="13"/>
      <c r="AQ147"/>
      <c r="AR147"/>
      <c r="AS147"/>
      <c r="AT147"/>
      <c r="AU147" t="str">
        <f t="shared" si="28"/>
        <v>2011Q4</v>
      </c>
      <c r="AV147">
        <f t="shared" si="29"/>
        <v>2011</v>
      </c>
      <c r="AW147" s="111">
        <f t="shared" si="25"/>
        <v>40817</v>
      </c>
      <c r="AX147" s="136">
        <f t="shared" ref="AX147:AX210" si="32">AY147</f>
        <v>3.5688908191699191</v>
      </c>
      <c r="AY147" s="1541">
        <v>3.5688908191699191</v>
      </c>
      <c r="AZ147" s="136">
        <f t="shared" ref="AZ147:AZ210" si="33">AY147</f>
        <v>3.5688908191699191</v>
      </c>
      <c r="BA147" s="137">
        <v>1</v>
      </c>
      <c r="BB147" s="137">
        <v>1</v>
      </c>
      <c r="BC147" s="137">
        <v>1</v>
      </c>
      <c r="BD147" s="137">
        <v>0</v>
      </c>
      <c r="BE147" s="137"/>
      <c r="BF147" s="137">
        <v>0</v>
      </c>
      <c r="BG147" s="145">
        <v>0</v>
      </c>
      <c r="BH147" s="153"/>
      <c r="BI147" s="938"/>
      <c r="BJ147" s="924"/>
      <c r="BK147" s="1443">
        <v>0</v>
      </c>
      <c r="BL147" s="905">
        <f t="shared" ref="BL147:BL210" si="34">+AY147</f>
        <v>3.5688908191699191</v>
      </c>
      <c r="BM147" s="1287">
        <f t="shared" si="26"/>
        <v>3.5688908191699191</v>
      </c>
      <c r="BN147" s="1393">
        <f t="shared" ref="BN147:BN210" si="35">+BM147/BM135-1</f>
        <v>2.4350072989736127E-2</v>
      </c>
      <c r="BO147" s="1377">
        <f t="shared" si="24"/>
        <v>3.5688908191699191</v>
      </c>
      <c r="BP147" s="208">
        <f t="shared" si="23"/>
        <v>2.4350072989736127E-2</v>
      </c>
      <c r="BQ147" s="1378">
        <f t="shared" si="30"/>
        <v>3.6842772720117574</v>
      </c>
      <c r="BR147" s="1378">
        <f t="shared" si="27"/>
        <v>3.0176980668046398</v>
      </c>
      <c r="BS147" s="153">
        <v>0</v>
      </c>
      <c r="BU147" s="1389">
        <f t="shared" si="31"/>
        <v>40391</v>
      </c>
      <c r="BV147" s="1390">
        <v>2.6041949296539535</v>
      </c>
      <c r="BW147" s="1390">
        <v>2.1602344096978294</v>
      </c>
      <c r="BX147" s="1390"/>
      <c r="BY147" s="1390">
        <v>3.3027488509750111</v>
      </c>
      <c r="BZ147" s="1391">
        <v>2.7396995644309357</v>
      </c>
    </row>
    <row r="148" spans="1:78">
      <c r="A148" s="957"/>
      <c r="B148" s="951">
        <v>39814</v>
      </c>
      <c r="C148" s="952">
        <v>42.763361406976408</v>
      </c>
      <c r="D148" s="952"/>
      <c r="E148" s="952"/>
      <c r="F148" s="950"/>
      <c r="G148" s="952"/>
      <c r="H148" s="952"/>
      <c r="I148" s="952"/>
      <c r="J148" s="9"/>
      <c r="K148" s="944">
        <v>40695</v>
      </c>
      <c r="L148" s="953">
        <v>0</v>
      </c>
      <c r="M148" s="953">
        <v>0</v>
      </c>
      <c r="N148" s="953">
        <v>0</v>
      </c>
      <c r="O148" s="13"/>
      <c r="P148" s="953">
        <v>0</v>
      </c>
      <c r="Q148" s="953">
        <v>0</v>
      </c>
      <c r="R148" s="953">
        <v>0</v>
      </c>
      <c r="S148" s="13"/>
      <c r="T148" s="953">
        <v>0</v>
      </c>
      <c r="U148" s="953">
        <v>0</v>
      </c>
      <c r="V148" s="953">
        <v>0</v>
      </c>
      <c r="W148" s="13"/>
      <c r="X148" s="953">
        <v>0</v>
      </c>
      <c r="Y148" s="953">
        <v>0</v>
      </c>
      <c r="Z148" s="953">
        <v>0</v>
      </c>
      <c r="AA148" s="13">
        <v>0</v>
      </c>
      <c r="AB148" s="953">
        <v>0</v>
      </c>
      <c r="AC148" s="953">
        <v>0</v>
      </c>
      <c r="AD148" s="953">
        <v>0</v>
      </c>
      <c r="AE148" s="13"/>
      <c r="AF148" s="953">
        <v>0</v>
      </c>
      <c r="AG148" s="953">
        <v>0</v>
      </c>
      <c r="AH148" s="953">
        <v>0</v>
      </c>
      <c r="AI148" s="13"/>
      <c r="AJ148" s="953">
        <v>0</v>
      </c>
      <c r="AK148" s="953">
        <v>0</v>
      </c>
      <c r="AL148" s="953">
        <v>0</v>
      </c>
      <c r="AM148" s="1455"/>
      <c r="AN148" s="9">
        <v>47</v>
      </c>
      <c r="AO148" s="955">
        <v>0.35</v>
      </c>
      <c r="AP148" s="13"/>
      <c r="AQ148"/>
      <c r="AR148"/>
      <c r="AS148"/>
      <c r="AT148"/>
      <c r="AU148" t="str">
        <f t="shared" si="28"/>
        <v>2011Q4</v>
      </c>
      <c r="AV148">
        <f t="shared" si="29"/>
        <v>2011</v>
      </c>
      <c r="AW148" s="111">
        <f t="shared" si="25"/>
        <v>40848</v>
      </c>
      <c r="AX148" s="136">
        <f t="shared" si="32"/>
        <v>3.7186313381321603</v>
      </c>
      <c r="AY148" s="1541">
        <v>3.7186313381321603</v>
      </c>
      <c r="AZ148" s="136">
        <f t="shared" si="33"/>
        <v>3.7186313381321603</v>
      </c>
      <c r="BA148" s="137">
        <v>1</v>
      </c>
      <c r="BB148" s="137">
        <v>1</v>
      </c>
      <c r="BC148" s="137">
        <v>1</v>
      </c>
      <c r="BD148" s="137">
        <v>0</v>
      </c>
      <c r="BE148" s="137"/>
      <c r="BF148" s="137">
        <v>0</v>
      </c>
      <c r="BG148" s="145">
        <v>0</v>
      </c>
      <c r="BH148" s="153"/>
      <c r="BI148" s="938"/>
      <c r="BJ148" s="924"/>
      <c r="BK148" s="1443">
        <v>0</v>
      </c>
      <c r="BL148" s="905">
        <f t="shared" si="34"/>
        <v>3.7186313381321603</v>
      </c>
      <c r="BM148" s="1287">
        <f t="shared" si="26"/>
        <v>3.7186313381321603</v>
      </c>
      <c r="BN148" s="1393">
        <f t="shared" si="35"/>
        <v>2.4350072989736127E-2</v>
      </c>
      <c r="BO148" s="1377">
        <f t="shared" si="24"/>
        <v>3.7186313381321603</v>
      </c>
      <c r="BP148" s="208">
        <f t="shared" si="23"/>
        <v>2.4350072989736127E-2</v>
      </c>
      <c r="BQ148" s="1378">
        <f t="shared" si="30"/>
        <v>3.8723710160744762</v>
      </c>
      <c r="BR148" s="1378">
        <f t="shared" si="27"/>
        <v>3.0974241902271982</v>
      </c>
      <c r="BS148" s="153">
        <v>0</v>
      </c>
      <c r="BU148" s="1389">
        <f t="shared" si="31"/>
        <v>40422</v>
      </c>
      <c r="BV148" s="1390">
        <v>2.6919369791829455</v>
      </c>
      <c r="BW148" s="1390">
        <v>2.221099799354592</v>
      </c>
      <c r="BX148" s="1390"/>
      <c r="BY148" s="1390">
        <v>3.4140269853282557</v>
      </c>
      <c r="BZ148" s="1391">
        <v>2.816891595435977</v>
      </c>
    </row>
    <row r="149" spans="1:78">
      <c r="A149" s="957"/>
      <c r="B149" s="951">
        <v>39845</v>
      </c>
      <c r="C149" s="952">
        <v>37.607377826142738</v>
      </c>
      <c r="D149" s="952"/>
      <c r="E149" s="952"/>
      <c r="F149" s="950"/>
      <c r="G149" s="952"/>
      <c r="H149" s="952"/>
      <c r="I149" s="952"/>
      <c r="J149" s="9"/>
      <c r="K149" s="944">
        <v>40725</v>
      </c>
      <c r="L149" s="953">
        <v>0</v>
      </c>
      <c r="M149" s="953">
        <v>0</v>
      </c>
      <c r="N149" s="953">
        <v>0</v>
      </c>
      <c r="O149" s="13"/>
      <c r="P149" s="953">
        <v>0</v>
      </c>
      <c r="Q149" s="953">
        <v>0</v>
      </c>
      <c r="R149" s="953">
        <v>0</v>
      </c>
      <c r="S149" s="13"/>
      <c r="T149" s="953">
        <v>0</v>
      </c>
      <c r="U149" s="953">
        <v>0</v>
      </c>
      <c r="V149" s="953">
        <v>0</v>
      </c>
      <c r="W149" s="13"/>
      <c r="X149" s="953">
        <v>0</v>
      </c>
      <c r="Y149" s="953">
        <v>0</v>
      </c>
      <c r="Z149" s="953">
        <v>0</v>
      </c>
      <c r="AA149" s="13">
        <v>0</v>
      </c>
      <c r="AB149" s="953">
        <v>0</v>
      </c>
      <c r="AC149" s="953">
        <v>0</v>
      </c>
      <c r="AD149" s="953">
        <v>0</v>
      </c>
      <c r="AE149" s="13"/>
      <c r="AF149" s="953">
        <v>0</v>
      </c>
      <c r="AG149" s="953">
        <v>0</v>
      </c>
      <c r="AH149" s="953">
        <v>0</v>
      </c>
      <c r="AI149" s="13"/>
      <c r="AJ149" s="953">
        <v>0</v>
      </c>
      <c r="AK149" s="953">
        <v>0</v>
      </c>
      <c r="AL149" s="953">
        <v>0</v>
      </c>
      <c r="AM149" s="1455"/>
      <c r="AN149" s="9">
        <v>47</v>
      </c>
      <c r="AO149" s="955">
        <v>0.35</v>
      </c>
      <c r="AP149" s="13"/>
      <c r="AQ149"/>
      <c r="AR149"/>
      <c r="AS149"/>
      <c r="AT149"/>
      <c r="AU149" t="str">
        <f t="shared" si="28"/>
        <v>2011Q4</v>
      </c>
      <c r="AV149">
        <f t="shared" si="29"/>
        <v>2011</v>
      </c>
      <c r="AW149" s="111">
        <f t="shared" si="25"/>
        <v>40878</v>
      </c>
      <c r="AX149" s="136">
        <f t="shared" si="32"/>
        <v>3.8768036987449364</v>
      </c>
      <c r="AY149" s="1541">
        <v>3.8768036987449364</v>
      </c>
      <c r="AZ149" s="136">
        <f t="shared" si="33"/>
        <v>3.8768036987449364</v>
      </c>
      <c r="BA149" s="137">
        <v>1</v>
      </c>
      <c r="BB149" s="137">
        <v>1</v>
      </c>
      <c r="BC149" s="137">
        <v>1</v>
      </c>
      <c r="BD149" s="137">
        <v>0</v>
      </c>
      <c r="BE149" s="137"/>
      <c r="BF149" s="137">
        <v>0</v>
      </c>
      <c r="BG149" s="145">
        <v>0</v>
      </c>
      <c r="BH149" s="153"/>
      <c r="BI149" s="938"/>
      <c r="BJ149" s="924"/>
      <c r="BK149" s="1443">
        <v>0</v>
      </c>
      <c r="BL149" s="905">
        <f t="shared" si="34"/>
        <v>3.8768036987449364</v>
      </c>
      <c r="BM149" s="1287">
        <f t="shared" si="26"/>
        <v>3.8768036987449364</v>
      </c>
      <c r="BN149" s="1393">
        <f t="shared" si="35"/>
        <v>2.4350072989736349E-2</v>
      </c>
      <c r="BO149" s="1377">
        <f t="shared" si="24"/>
        <v>3.8768036987449364</v>
      </c>
      <c r="BP149" s="208">
        <f t="shared" si="23"/>
        <v>2.4350072989736349E-2</v>
      </c>
      <c r="BQ149" s="1378">
        <f t="shared" si="30"/>
        <v>3.9541739151082926</v>
      </c>
      <c r="BR149" s="1378">
        <f t="shared" si="27"/>
        <v>3.1623624036600866</v>
      </c>
      <c r="BS149" s="153">
        <v>0</v>
      </c>
      <c r="BU149" s="1389">
        <f t="shared" si="31"/>
        <v>40452</v>
      </c>
      <c r="BV149" s="1390">
        <v>2.8074730940906858</v>
      </c>
      <c r="BW149" s="1390">
        <v>2.2853736508321343</v>
      </c>
      <c r="BX149" s="1390"/>
      <c r="BY149" s="1390">
        <v>3.5605547150356327</v>
      </c>
      <c r="BZ149" s="1391">
        <v>2.8984063801773017</v>
      </c>
    </row>
    <row r="150" spans="1:78">
      <c r="A150" s="957"/>
      <c r="B150" s="951">
        <v>39873</v>
      </c>
      <c r="C150" s="952">
        <v>34.649828639475075</v>
      </c>
      <c r="D150" s="952"/>
      <c r="E150" s="952"/>
      <c r="F150" s="950"/>
      <c r="G150" s="952"/>
      <c r="H150" s="952"/>
      <c r="I150" s="952"/>
      <c r="J150" s="9"/>
      <c r="K150" s="944">
        <v>40756</v>
      </c>
      <c r="L150" s="953">
        <v>0</v>
      </c>
      <c r="M150" s="953">
        <v>0</v>
      </c>
      <c r="N150" s="953">
        <v>0</v>
      </c>
      <c r="O150" s="13"/>
      <c r="P150" s="953">
        <v>0</v>
      </c>
      <c r="Q150" s="953">
        <v>0</v>
      </c>
      <c r="R150" s="953">
        <v>0</v>
      </c>
      <c r="S150" s="13"/>
      <c r="T150" s="953">
        <v>0</v>
      </c>
      <c r="U150" s="953">
        <v>0</v>
      </c>
      <c r="V150" s="953">
        <v>0</v>
      </c>
      <c r="W150" s="13"/>
      <c r="X150" s="953">
        <v>0</v>
      </c>
      <c r="Y150" s="953">
        <v>0</v>
      </c>
      <c r="Z150" s="953">
        <v>0</v>
      </c>
      <c r="AA150" s="13">
        <v>0</v>
      </c>
      <c r="AB150" s="953">
        <v>0</v>
      </c>
      <c r="AC150" s="953">
        <v>0</v>
      </c>
      <c r="AD150" s="953">
        <v>0</v>
      </c>
      <c r="AE150" s="13"/>
      <c r="AF150" s="953">
        <v>0</v>
      </c>
      <c r="AG150" s="953">
        <v>0</v>
      </c>
      <c r="AH150" s="953">
        <v>0</v>
      </c>
      <c r="AI150" s="13"/>
      <c r="AJ150" s="953">
        <v>0</v>
      </c>
      <c r="AK150" s="953">
        <v>0</v>
      </c>
      <c r="AL150" s="953">
        <v>0</v>
      </c>
      <c r="AM150" s="1455"/>
      <c r="AN150" s="9">
        <v>47</v>
      </c>
      <c r="AO150" s="955">
        <v>0.35</v>
      </c>
      <c r="AP150" s="13"/>
      <c r="AQ150"/>
      <c r="AR150"/>
      <c r="AS150"/>
      <c r="AT150"/>
      <c r="AU150" t="str">
        <f t="shared" si="28"/>
        <v>2012Q1</v>
      </c>
      <c r="AV150">
        <f t="shared" si="29"/>
        <v>2012</v>
      </c>
      <c r="AW150" s="111">
        <f t="shared" si="25"/>
        <v>40909</v>
      </c>
      <c r="AX150" s="136">
        <f t="shared" si="32"/>
        <v>3.69328518608478</v>
      </c>
      <c r="AY150" s="1541">
        <v>3.69328518608478</v>
      </c>
      <c r="AZ150" s="136">
        <f t="shared" si="33"/>
        <v>3.69328518608478</v>
      </c>
      <c r="BA150" s="137">
        <v>1</v>
      </c>
      <c r="BB150" s="137">
        <v>1</v>
      </c>
      <c r="BC150" s="137">
        <v>1</v>
      </c>
      <c r="BD150" s="137">
        <v>0</v>
      </c>
      <c r="BE150" s="137"/>
      <c r="BF150" s="137">
        <v>0</v>
      </c>
      <c r="BG150" s="145">
        <v>0</v>
      </c>
      <c r="BH150" s="153"/>
      <c r="BI150" s="938"/>
      <c r="BJ150" s="924"/>
      <c r="BK150" s="1443">
        <v>0</v>
      </c>
      <c r="BL150" s="905">
        <f t="shared" si="34"/>
        <v>3.69328518608478</v>
      </c>
      <c r="BM150" s="1287">
        <f t="shared" si="26"/>
        <v>3.69328518608478</v>
      </c>
      <c r="BN150" s="1393">
        <f t="shared" si="35"/>
        <v>2.3715174993064192E-2</v>
      </c>
      <c r="BO150" s="1377">
        <f t="shared" si="24"/>
        <v>3.69328518608478</v>
      </c>
      <c r="BP150" s="208">
        <f t="shared" si="23"/>
        <v>2.3715174993064192E-2</v>
      </c>
      <c r="BQ150" s="1378">
        <f t="shared" si="30"/>
        <v>3.9169790354554976</v>
      </c>
      <c r="BR150" s="1378">
        <f t="shared" si="27"/>
        <v>3.2961212961202691</v>
      </c>
      <c r="BS150" s="153">
        <v>0</v>
      </c>
      <c r="BU150" s="1389">
        <f t="shared" si="31"/>
        <v>40483</v>
      </c>
      <c r="BV150" s="1390">
        <v>2.9508032743771757</v>
      </c>
      <c r="BW150" s="1390">
        <v>2.3457521173716436</v>
      </c>
      <c r="BX150" s="1390"/>
      <c r="BY150" s="1390">
        <v>3.742332040097144</v>
      </c>
      <c r="BZ150" s="1391">
        <v>2.9749808749343036</v>
      </c>
    </row>
    <row r="151" spans="1:78">
      <c r="A151" s="957"/>
      <c r="B151" s="951">
        <v>39904</v>
      </c>
      <c r="C151" s="952">
        <v>34.117432493912396</v>
      </c>
      <c r="D151" s="952"/>
      <c r="E151" s="952"/>
      <c r="F151" s="950"/>
      <c r="G151" s="952"/>
      <c r="H151" s="952"/>
      <c r="I151" s="952"/>
      <c r="J151" s="9"/>
      <c r="K151" s="944">
        <v>40787</v>
      </c>
      <c r="L151" s="953">
        <v>0</v>
      </c>
      <c r="M151" s="953">
        <v>0</v>
      </c>
      <c r="N151" s="953">
        <v>0</v>
      </c>
      <c r="O151" s="13"/>
      <c r="P151" s="953">
        <v>0</v>
      </c>
      <c r="Q151" s="953">
        <v>0</v>
      </c>
      <c r="R151" s="953">
        <v>0</v>
      </c>
      <c r="S151" s="13"/>
      <c r="T151" s="953">
        <v>0</v>
      </c>
      <c r="U151" s="953">
        <v>0</v>
      </c>
      <c r="V151" s="953">
        <v>0</v>
      </c>
      <c r="W151" s="13"/>
      <c r="X151" s="953">
        <v>0</v>
      </c>
      <c r="Y151" s="953">
        <v>0</v>
      </c>
      <c r="Z151" s="953">
        <v>0</v>
      </c>
      <c r="AA151" s="13">
        <v>0</v>
      </c>
      <c r="AB151" s="953">
        <v>0</v>
      </c>
      <c r="AC151" s="953">
        <v>0</v>
      </c>
      <c r="AD151" s="953">
        <v>0</v>
      </c>
      <c r="AE151" s="13"/>
      <c r="AF151" s="953">
        <v>0</v>
      </c>
      <c r="AG151" s="953">
        <v>0</v>
      </c>
      <c r="AH151" s="953">
        <v>0</v>
      </c>
      <c r="AI151" s="13"/>
      <c r="AJ151" s="953">
        <v>0</v>
      </c>
      <c r="AK151" s="953">
        <v>0</v>
      </c>
      <c r="AL151" s="953">
        <v>0</v>
      </c>
      <c r="AM151" s="1455"/>
      <c r="AN151" s="9">
        <v>48</v>
      </c>
      <c r="AO151" s="955">
        <v>0.35</v>
      </c>
      <c r="AP151" s="13"/>
      <c r="AQ151"/>
      <c r="AR151"/>
      <c r="AS151"/>
      <c r="AT151"/>
      <c r="AU151" t="str">
        <f t="shared" si="28"/>
        <v>2012Q1</v>
      </c>
      <c r="AV151">
        <f t="shared" si="29"/>
        <v>2012</v>
      </c>
      <c r="AW151" s="111">
        <f t="shared" si="25"/>
        <v>40940</v>
      </c>
      <c r="AX151" s="136">
        <f t="shared" si="32"/>
        <v>3.4111818460114867</v>
      </c>
      <c r="AY151" s="1541">
        <v>3.4111818460114867</v>
      </c>
      <c r="AZ151" s="136">
        <f t="shared" si="33"/>
        <v>3.4111818460114867</v>
      </c>
      <c r="BA151" s="137">
        <v>1</v>
      </c>
      <c r="BB151" s="137">
        <v>1</v>
      </c>
      <c r="BC151" s="137">
        <v>1</v>
      </c>
      <c r="BD151" s="137">
        <v>0</v>
      </c>
      <c r="BE151" s="137"/>
      <c r="BF151" s="137">
        <v>0</v>
      </c>
      <c r="BG151" s="145">
        <v>0</v>
      </c>
      <c r="BH151" s="153"/>
      <c r="BI151" s="938"/>
      <c r="BJ151" s="924"/>
      <c r="BK151" s="1443">
        <v>0</v>
      </c>
      <c r="BL151" s="905">
        <f t="shared" si="34"/>
        <v>3.4111818460114867</v>
      </c>
      <c r="BM151" s="1287">
        <f t="shared" si="26"/>
        <v>3.4111818460114867</v>
      </c>
      <c r="BN151" s="1393">
        <f t="shared" si="35"/>
        <v>2.3715174993064414E-2</v>
      </c>
      <c r="BO151" s="1377">
        <f t="shared" si="24"/>
        <v>3.4111818460114867</v>
      </c>
      <c r="BP151" s="208">
        <f t="shared" si="23"/>
        <v>2.3715174993064414E-2</v>
      </c>
      <c r="BQ151" s="1378">
        <f t="shared" si="30"/>
        <v>3.621425206599878</v>
      </c>
      <c r="BR151" s="1378">
        <f t="shared" si="27"/>
        <v>3.0701390886732596</v>
      </c>
      <c r="BS151" s="153">
        <v>0</v>
      </c>
      <c r="BU151" s="1389">
        <f t="shared" si="31"/>
        <v>40513</v>
      </c>
      <c r="BV151" s="1390">
        <v>3.0131382782599463</v>
      </c>
      <c r="BW151" s="1390">
        <v>2.3949313522143068</v>
      </c>
      <c r="BX151" s="1390"/>
      <c r="BY151" s="1390">
        <v>3.8213878972854922</v>
      </c>
      <c r="BZ151" s="1391">
        <v>3.0373520359863755</v>
      </c>
    </row>
    <row r="152" spans="1:78">
      <c r="A152" s="957"/>
      <c r="B152" s="951">
        <v>39934</v>
      </c>
      <c r="C152" s="952">
        <v>34.600207801034145</v>
      </c>
      <c r="D152" s="952"/>
      <c r="E152" s="952"/>
      <c r="F152" s="950"/>
      <c r="G152" s="952"/>
      <c r="H152" s="952"/>
      <c r="I152" s="952"/>
      <c r="J152" s="9"/>
      <c r="K152" s="944">
        <v>40817</v>
      </c>
      <c r="L152" s="953">
        <v>0</v>
      </c>
      <c r="M152" s="953">
        <v>0</v>
      </c>
      <c r="N152" s="953">
        <v>0</v>
      </c>
      <c r="O152" s="13"/>
      <c r="P152" s="953">
        <v>0</v>
      </c>
      <c r="Q152" s="953">
        <v>0</v>
      </c>
      <c r="R152" s="953">
        <v>0</v>
      </c>
      <c r="S152" s="13"/>
      <c r="T152" s="953">
        <v>0</v>
      </c>
      <c r="U152" s="953">
        <v>0</v>
      </c>
      <c r="V152" s="953">
        <v>0</v>
      </c>
      <c r="W152" s="13"/>
      <c r="X152" s="953">
        <v>0</v>
      </c>
      <c r="Y152" s="953">
        <v>0</v>
      </c>
      <c r="Z152" s="953">
        <v>0</v>
      </c>
      <c r="AA152" s="13">
        <v>0</v>
      </c>
      <c r="AB152" s="953">
        <v>0</v>
      </c>
      <c r="AC152" s="953">
        <v>0</v>
      </c>
      <c r="AD152" s="953">
        <v>0</v>
      </c>
      <c r="AE152" s="13"/>
      <c r="AF152" s="953">
        <v>0</v>
      </c>
      <c r="AG152" s="953">
        <v>0</v>
      </c>
      <c r="AH152" s="953">
        <v>0</v>
      </c>
      <c r="AI152" s="13"/>
      <c r="AJ152" s="953">
        <v>0</v>
      </c>
      <c r="AK152" s="953">
        <v>0</v>
      </c>
      <c r="AL152" s="953">
        <v>0</v>
      </c>
      <c r="AM152" s="1455"/>
      <c r="AN152" s="9">
        <v>48</v>
      </c>
      <c r="AO152" s="955">
        <v>0.35</v>
      </c>
      <c r="AP152" s="13"/>
      <c r="AQ152"/>
      <c r="AR152"/>
      <c r="AS152"/>
      <c r="AT152"/>
      <c r="AU152" t="str">
        <f t="shared" si="28"/>
        <v>2012Q1</v>
      </c>
      <c r="AV152">
        <f t="shared" si="29"/>
        <v>2012</v>
      </c>
      <c r="AW152" s="111">
        <f t="shared" si="25"/>
        <v>40969</v>
      </c>
      <c r="AX152" s="136">
        <f t="shared" si="32"/>
        <v>3.2282328773670788</v>
      </c>
      <c r="AY152" s="1541">
        <v>3.2282328773670788</v>
      </c>
      <c r="AZ152" s="136">
        <f t="shared" si="33"/>
        <v>3.2282328773670788</v>
      </c>
      <c r="BA152" s="137">
        <v>1</v>
      </c>
      <c r="BB152" s="137">
        <v>1</v>
      </c>
      <c r="BC152" s="137">
        <v>1</v>
      </c>
      <c r="BD152" s="137">
        <v>0</v>
      </c>
      <c r="BE152" s="137"/>
      <c r="BF152" s="137">
        <v>0</v>
      </c>
      <c r="BG152" s="145">
        <v>0</v>
      </c>
      <c r="BH152" s="153"/>
      <c r="BI152" s="938"/>
      <c r="BJ152" s="924"/>
      <c r="BK152" s="1443">
        <v>0</v>
      </c>
      <c r="BL152" s="905">
        <f t="shared" si="34"/>
        <v>3.2282328773670788</v>
      </c>
      <c r="BM152" s="1287">
        <f t="shared" si="26"/>
        <v>3.2282328773670788</v>
      </c>
      <c r="BN152" s="1393">
        <f t="shared" si="35"/>
        <v>2.3770678893473285E-2</v>
      </c>
      <c r="BO152" s="1377">
        <f t="shared" si="24"/>
        <v>3.2282328773670788</v>
      </c>
      <c r="BP152" s="208">
        <f t="shared" si="23"/>
        <v>2.3770678893473285E-2</v>
      </c>
      <c r="BQ152" s="1378">
        <f t="shared" si="30"/>
        <v>3.5138985034244961</v>
      </c>
      <c r="BR152" s="1378">
        <f t="shared" si="27"/>
        <v>2.9177324836508576</v>
      </c>
      <c r="BS152" s="153">
        <v>0</v>
      </c>
      <c r="BU152" s="1389">
        <f t="shared" si="31"/>
        <v>40544</v>
      </c>
      <c r="BV152" s="1390">
        <v>2.9202449994964117</v>
      </c>
      <c r="BW152" s="1390">
        <v>2.4938142986672847</v>
      </c>
      <c r="BX152" s="1390"/>
      <c r="BY152" s="1390">
        <v>3.7776482938981006</v>
      </c>
      <c r="BZ152" s="1391">
        <v>3.2260147118764828</v>
      </c>
    </row>
    <row r="153" spans="1:78">
      <c r="A153" s="957"/>
      <c r="B153" s="951">
        <v>39965</v>
      </c>
      <c r="C153" s="952">
        <v>34.096723919790442</v>
      </c>
      <c r="D153" s="952"/>
      <c r="E153" s="952"/>
      <c r="F153" s="950"/>
      <c r="G153" s="952"/>
      <c r="H153" s="952"/>
      <c r="I153" s="952"/>
      <c r="J153" s="9"/>
      <c r="K153" s="944">
        <v>40848</v>
      </c>
      <c r="L153" s="953">
        <v>0</v>
      </c>
      <c r="M153" s="953">
        <v>0</v>
      </c>
      <c r="N153" s="953">
        <v>0</v>
      </c>
      <c r="O153" s="13"/>
      <c r="P153" s="953">
        <v>0</v>
      </c>
      <c r="Q153" s="953">
        <v>0</v>
      </c>
      <c r="R153" s="953">
        <v>0</v>
      </c>
      <c r="S153" s="13"/>
      <c r="T153" s="953">
        <v>0</v>
      </c>
      <c r="U153" s="953">
        <v>0</v>
      </c>
      <c r="V153" s="953">
        <v>0</v>
      </c>
      <c r="W153" s="13"/>
      <c r="X153" s="953">
        <v>0</v>
      </c>
      <c r="Y153" s="953">
        <v>0</v>
      </c>
      <c r="Z153" s="953">
        <v>0</v>
      </c>
      <c r="AA153" s="13">
        <v>0</v>
      </c>
      <c r="AB153" s="953">
        <v>0</v>
      </c>
      <c r="AC153" s="953">
        <v>0</v>
      </c>
      <c r="AD153" s="953">
        <v>0</v>
      </c>
      <c r="AE153" s="13"/>
      <c r="AF153" s="953">
        <v>0</v>
      </c>
      <c r="AG153" s="953">
        <v>0</v>
      </c>
      <c r="AH153" s="953">
        <v>0</v>
      </c>
      <c r="AI153" s="13"/>
      <c r="AJ153" s="953">
        <v>0</v>
      </c>
      <c r="AK153" s="953">
        <v>0</v>
      </c>
      <c r="AL153" s="953">
        <v>0</v>
      </c>
      <c r="AM153" s="1455"/>
      <c r="AN153" s="9">
        <v>48</v>
      </c>
      <c r="AO153" s="955">
        <v>0.35</v>
      </c>
      <c r="AP153" s="13"/>
      <c r="AQ153"/>
      <c r="AR153"/>
      <c r="AS153"/>
      <c r="AT153"/>
      <c r="AU153" t="str">
        <f t="shared" si="28"/>
        <v>2012Q2</v>
      </c>
      <c r="AV153">
        <f t="shared" si="29"/>
        <v>2012</v>
      </c>
      <c r="AW153" s="111">
        <f t="shared" si="25"/>
        <v>41000</v>
      </c>
      <c r="AX153" s="136">
        <f t="shared" si="32"/>
        <v>3.1313835864998292</v>
      </c>
      <c r="AY153" s="1541">
        <v>3.1313835864998292</v>
      </c>
      <c r="AZ153" s="136">
        <f t="shared" si="33"/>
        <v>3.1313835864998292</v>
      </c>
      <c r="BA153" s="137">
        <v>1</v>
      </c>
      <c r="BB153" s="137">
        <v>1</v>
      </c>
      <c r="BC153" s="137">
        <v>1</v>
      </c>
      <c r="BD153" s="137">
        <v>0</v>
      </c>
      <c r="BE153" s="137"/>
      <c r="BF153" s="137">
        <v>0</v>
      </c>
      <c r="BG153" s="145">
        <v>0</v>
      </c>
      <c r="BH153" s="153"/>
      <c r="BI153" s="938"/>
      <c r="BJ153" s="924"/>
      <c r="BK153" s="1443">
        <v>0</v>
      </c>
      <c r="BL153" s="905">
        <f t="shared" si="34"/>
        <v>3.1313835864998292</v>
      </c>
      <c r="BM153" s="1287">
        <f t="shared" si="26"/>
        <v>3.1313835864998292</v>
      </c>
      <c r="BN153" s="1393">
        <f t="shared" si="35"/>
        <v>2.3770678893473285E-2</v>
      </c>
      <c r="BO153" s="1377">
        <f t="shared" si="24"/>
        <v>3.1313835864998292</v>
      </c>
      <c r="BP153" s="208">
        <f t="shared" si="23"/>
        <v>2.3770678893473285E-2</v>
      </c>
      <c r="BQ153" s="1378">
        <f t="shared" si="30"/>
        <v>3.4441915372280403</v>
      </c>
      <c r="BR153" s="1378">
        <f t="shared" si="27"/>
        <v>2.8290476057283396</v>
      </c>
      <c r="BS153" s="153">
        <v>0</v>
      </c>
      <c r="BU153" s="1389">
        <f t="shared" si="31"/>
        <v>40575</v>
      </c>
      <c r="BV153" s="1390">
        <v>2.6998992731125906</v>
      </c>
      <c r="BW153" s="1390">
        <v>2.3228382909460006</v>
      </c>
      <c r="BX153" s="1390"/>
      <c r="BY153" s="1390">
        <v>3.4926076012558318</v>
      </c>
      <c r="BZ153" s="1391">
        <v>3.0048390146397104</v>
      </c>
    </row>
    <row r="154" spans="1:78">
      <c r="A154" s="957"/>
      <c r="B154" s="951">
        <v>39995</v>
      </c>
      <c r="C154" s="952">
        <v>49.159049521388702</v>
      </c>
      <c r="D154" s="952"/>
      <c r="E154" s="952"/>
      <c r="F154" s="950"/>
      <c r="G154" s="952"/>
      <c r="H154" s="952"/>
      <c r="I154" s="952"/>
      <c r="J154" s="9"/>
      <c r="K154" s="944">
        <v>40878</v>
      </c>
      <c r="L154" s="953">
        <v>0</v>
      </c>
      <c r="M154" s="953">
        <v>0</v>
      </c>
      <c r="N154" s="953">
        <v>0</v>
      </c>
      <c r="O154" s="13"/>
      <c r="P154" s="953">
        <v>0</v>
      </c>
      <c r="Q154" s="953">
        <v>0</v>
      </c>
      <c r="R154" s="953">
        <v>0</v>
      </c>
      <c r="S154" s="13"/>
      <c r="T154" s="953">
        <v>0</v>
      </c>
      <c r="U154" s="953">
        <v>0</v>
      </c>
      <c r="V154" s="953">
        <v>0</v>
      </c>
      <c r="W154" s="13"/>
      <c r="X154" s="953">
        <v>0</v>
      </c>
      <c r="Y154" s="953">
        <v>0</v>
      </c>
      <c r="Z154" s="953">
        <v>0</v>
      </c>
      <c r="AA154" s="13">
        <v>0</v>
      </c>
      <c r="AB154" s="953">
        <v>0</v>
      </c>
      <c r="AC154" s="953">
        <v>0</v>
      </c>
      <c r="AD154" s="953">
        <v>0</v>
      </c>
      <c r="AE154" s="13"/>
      <c r="AF154" s="953">
        <v>0</v>
      </c>
      <c r="AG154" s="953">
        <v>0</v>
      </c>
      <c r="AH154" s="953">
        <v>0</v>
      </c>
      <c r="AI154" s="13"/>
      <c r="AJ154" s="953">
        <v>0</v>
      </c>
      <c r="AK154" s="953">
        <v>0</v>
      </c>
      <c r="AL154" s="953">
        <v>0</v>
      </c>
      <c r="AM154" s="1455"/>
      <c r="AN154" s="9">
        <v>49</v>
      </c>
      <c r="AO154" s="955">
        <v>0.35</v>
      </c>
      <c r="AP154" s="13"/>
      <c r="AQ154"/>
      <c r="AR154"/>
      <c r="AS154"/>
      <c r="AT154"/>
      <c r="AU154" t="str">
        <f t="shared" si="28"/>
        <v>2012Q2</v>
      </c>
      <c r="AV154">
        <f t="shared" si="29"/>
        <v>2012</v>
      </c>
      <c r="AW154" s="111">
        <f t="shared" si="25"/>
        <v>41030</v>
      </c>
      <c r="AX154" s="136">
        <f t="shared" si="32"/>
        <v>3.1077676601346216</v>
      </c>
      <c r="AY154" s="1541">
        <v>3.1077676601346216</v>
      </c>
      <c r="AZ154" s="136">
        <f t="shared" si="33"/>
        <v>3.1077676601346216</v>
      </c>
      <c r="BA154" s="137">
        <v>1</v>
      </c>
      <c r="BB154" s="137">
        <v>1</v>
      </c>
      <c r="BC154" s="137">
        <v>1</v>
      </c>
      <c r="BD154" s="137">
        <v>0</v>
      </c>
      <c r="BE154" s="137"/>
      <c r="BF154" s="137">
        <v>0</v>
      </c>
      <c r="BG154" s="145">
        <v>0</v>
      </c>
      <c r="BH154" s="153"/>
      <c r="BI154" s="938"/>
      <c r="BJ154" s="924"/>
      <c r="BK154" s="1443">
        <v>0</v>
      </c>
      <c r="BL154" s="905">
        <f t="shared" si="34"/>
        <v>3.1077676601346216</v>
      </c>
      <c r="BM154" s="1287">
        <f t="shared" si="26"/>
        <v>3.1077676601346216</v>
      </c>
      <c r="BN154" s="1393">
        <f t="shared" si="35"/>
        <v>2.3770678893473063E-2</v>
      </c>
      <c r="BO154" s="1377">
        <f t="shared" si="24"/>
        <v>3.1077676601346216</v>
      </c>
      <c r="BP154" s="208">
        <f t="shared" si="23"/>
        <v>2.3770678893473063E-2</v>
      </c>
      <c r="BQ154" s="1378">
        <f t="shared" si="30"/>
        <v>3.4123043080105129</v>
      </c>
      <c r="BR154" s="1378">
        <f t="shared" si="27"/>
        <v>2.7942305795809799</v>
      </c>
      <c r="BS154" s="153">
        <v>0</v>
      </c>
      <c r="BU154" s="1389">
        <f t="shared" si="31"/>
        <v>40603</v>
      </c>
      <c r="BV154" s="1390">
        <v>2.6197343515191998</v>
      </c>
      <c r="BW154" s="1390">
        <v>2.2075288903897849</v>
      </c>
      <c r="BX154" s="1390"/>
      <c r="BY154" s="1390">
        <v>3.3889057271528125</v>
      </c>
      <c r="BZ154" s="1391">
        <v>2.8556740095265369</v>
      </c>
    </row>
    <row r="155" spans="1:78">
      <c r="A155" s="957"/>
      <c r="B155" s="951">
        <v>40026</v>
      </c>
      <c r="C155" s="952">
        <v>83.091466781038534</v>
      </c>
      <c r="D155" s="952"/>
      <c r="E155" s="952"/>
      <c r="F155" s="950"/>
      <c r="G155" s="952"/>
      <c r="H155" s="952"/>
      <c r="I155" s="952"/>
      <c r="J155" s="9"/>
      <c r="K155" s="944">
        <v>40909</v>
      </c>
      <c r="L155" s="953">
        <v>0</v>
      </c>
      <c r="M155" s="953">
        <v>0</v>
      </c>
      <c r="N155" s="953">
        <v>0</v>
      </c>
      <c r="O155" s="13"/>
      <c r="P155" s="953">
        <v>0</v>
      </c>
      <c r="Q155" s="953">
        <v>0</v>
      </c>
      <c r="R155" s="953">
        <v>0</v>
      </c>
      <c r="S155" s="13"/>
      <c r="T155" s="953">
        <v>0</v>
      </c>
      <c r="U155" s="953">
        <v>0</v>
      </c>
      <c r="V155" s="953">
        <v>0</v>
      </c>
      <c r="W155" s="13"/>
      <c r="X155" s="953">
        <v>0</v>
      </c>
      <c r="Y155" s="953">
        <v>0</v>
      </c>
      <c r="Z155" s="953">
        <v>0</v>
      </c>
      <c r="AA155" s="13">
        <v>0</v>
      </c>
      <c r="AB155" s="953">
        <v>0</v>
      </c>
      <c r="AC155" s="953">
        <v>0</v>
      </c>
      <c r="AD155" s="953">
        <v>0</v>
      </c>
      <c r="AE155" s="13"/>
      <c r="AF155" s="953">
        <v>0</v>
      </c>
      <c r="AG155" s="953">
        <v>0</v>
      </c>
      <c r="AH155" s="953">
        <v>0</v>
      </c>
      <c r="AI155" s="13"/>
      <c r="AJ155" s="953">
        <v>0</v>
      </c>
      <c r="AK155" s="953">
        <v>0</v>
      </c>
      <c r="AL155" s="953">
        <v>0</v>
      </c>
      <c r="AM155" s="1455"/>
      <c r="AN155" s="9">
        <v>49</v>
      </c>
      <c r="AO155" s="955">
        <v>0.35</v>
      </c>
      <c r="AP155" s="13"/>
      <c r="AQ155"/>
      <c r="AR155"/>
      <c r="AS155"/>
      <c r="AT155"/>
      <c r="AU155" t="str">
        <f t="shared" si="28"/>
        <v>2012Q2</v>
      </c>
      <c r="AV155">
        <f t="shared" si="29"/>
        <v>2012</v>
      </c>
      <c r="AW155" s="111">
        <f t="shared" si="25"/>
        <v>41061</v>
      </c>
      <c r="AX155" s="136">
        <f t="shared" si="32"/>
        <v>3.1453076992935425</v>
      </c>
      <c r="AY155" s="1541">
        <v>3.1453076992935425</v>
      </c>
      <c r="AZ155" s="136">
        <f t="shared" si="33"/>
        <v>3.1453076992935425</v>
      </c>
      <c r="BA155" s="137">
        <v>1</v>
      </c>
      <c r="BB155" s="137">
        <v>1</v>
      </c>
      <c r="BC155" s="137">
        <v>1</v>
      </c>
      <c r="BD155" s="137">
        <v>0</v>
      </c>
      <c r="BE155" s="137"/>
      <c r="BF155" s="137">
        <v>0</v>
      </c>
      <c r="BG155" s="145">
        <v>0</v>
      </c>
      <c r="BH155" s="153"/>
      <c r="BI155" s="938"/>
      <c r="BJ155" s="924"/>
      <c r="BK155" s="1443">
        <v>0</v>
      </c>
      <c r="BL155" s="905">
        <f t="shared" si="34"/>
        <v>3.1453076992935425</v>
      </c>
      <c r="BM155" s="1287">
        <f t="shared" si="26"/>
        <v>3.1453076992935425</v>
      </c>
      <c r="BN155" s="1393">
        <f t="shared" si="35"/>
        <v>2.3770678893473285E-2</v>
      </c>
      <c r="BO155" s="1377">
        <f t="shared" si="24"/>
        <v>3.1453076992935425</v>
      </c>
      <c r="BP155" s="208">
        <f t="shared" si="23"/>
        <v>2.3770678893473285E-2</v>
      </c>
      <c r="BQ155" s="1378">
        <f t="shared" si="30"/>
        <v>3.4182368157719134</v>
      </c>
      <c r="BR155" s="1378">
        <f t="shared" si="27"/>
        <v>2.8034275298840559</v>
      </c>
      <c r="BS155" s="153">
        <v>0</v>
      </c>
      <c r="BU155" s="1389">
        <f t="shared" si="31"/>
        <v>40634</v>
      </c>
      <c r="BV155" s="1390">
        <v>2.5677653678655532</v>
      </c>
      <c r="BW155" s="1390">
        <v>2.1404307478247464</v>
      </c>
      <c r="BX155" s="1390"/>
      <c r="BY155" s="1390">
        <v>3.3216783053205106</v>
      </c>
      <c r="BZ155" s="1391">
        <v>2.7688754074132693</v>
      </c>
    </row>
    <row r="156" spans="1:78">
      <c r="A156" s="957"/>
      <c r="B156" s="951">
        <v>40057</v>
      </c>
      <c r="C156" s="952">
        <v>53.780596184918302</v>
      </c>
      <c r="D156" s="952"/>
      <c r="E156" s="952"/>
      <c r="F156" s="950"/>
      <c r="G156" s="952"/>
      <c r="H156" s="952"/>
      <c r="I156" s="952"/>
      <c r="J156" s="9"/>
      <c r="K156" s="944">
        <v>40940</v>
      </c>
      <c r="L156" s="953">
        <v>0</v>
      </c>
      <c r="M156" s="953">
        <v>0</v>
      </c>
      <c r="N156" s="953">
        <v>0</v>
      </c>
      <c r="O156" s="13"/>
      <c r="P156" s="953">
        <v>0</v>
      </c>
      <c r="Q156" s="953">
        <v>0</v>
      </c>
      <c r="R156" s="953">
        <v>0</v>
      </c>
      <c r="S156" s="13"/>
      <c r="T156" s="953">
        <v>0</v>
      </c>
      <c r="U156" s="953">
        <v>0</v>
      </c>
      <c r="V156" s="953">
        <v>0</v>
      </c>
      <c r="W156" s="13"/>
      <c r="X156" s="953">
        <v>0</v>
      </c>
      <c r="Y156" s="953">
        <v>0</v>
      </c>
      <c r="Z156" s="953">
        <v>0</v>
      </c>
      <c r="AA156" s="13">
        <v>0</v>
      </c>
      <c r="AB156" s="953">
        <v>0</v>
      </c>
      <c r="AC156" s="953">
        <v>0</v>
      </c>
      <c r="AD156" s="953">
        <v>0</v>
      </c>
      <c r="AE156" s="13"/>
      <c r="AF156" s="953">
        <v>0</v>
      </c>
      <c r="AG156" s="953">
        <v>0</v>
      </c>
      <c r="AH156" s="953">
        <v>0</v>
      </c>
      <c r="AI156" s="13"/>
      <c r="AJ156" s="953">
        <v>0</v>
      </c>
      <c r="AK156" s="953">
        <v>0</v>
      </c>
      <c r="AL156" s="953">
        <v>0</v>
      </c>
      <c r="AM156" s="1455"/>
      <c r="AN156" s="9">
        <v>49</v>
      </c>
      <c r="AO156" s="955">
        <v>0.35</v>
      </c>
      <c r="AP156" s="13"/>
      <c r="AQ156"/>
      <c r="AR156"/>
      <c r="AS156"/>
      <c r="AT156"/>
      <c r="AU156" t="str">
        <f t="shared" si="28"/>
        <v>2012Q3</v>
      </c>
      <c r="AV156">
        <f t="shared" si="29"/>
        <v>2012</v>
      </c>
      <c r="AW156" s="111">
        <f t="shared" si="25"/>
        <v>41091</v>
      </c>
      <c r="AX156" s="136">
        <f t="shared" si="32"/>
        <v>3.2311623025261587</v>
      </c>
      <c r="AY156" s="1541">
        <v>3.2311623025261587</v>
      </c>
      <c r="AZ156" s="136">
        <f t="shared" si="33"/>
        <v>3.2311623025261587</v>
      </c>
      <c r="BA156" s="137">
        <v>1</v>
      </c>
      <c r="BB156" s="137">
        <v>1</v>
      </c>
      <c r="BC156" s="137">
        <v>1</v>
      </c>
      <c r="BD156" s="137">
        <v>0</v>
      </c>
      <c r="BE156" s="137"/>
      <c r="BF156" s="137">
        <v>0</v>
      </c>
      <c r="BG156" s="145">
        <v>0</v>
      </c>
      <c r="BH156" s="153"/>
      <c r="BI156" s="938"/>
      <c r="BJ156" s="924"/>
      <c r="BK156" s="1443">
        <v>0</v>
      </c>
      <c r="BL156" s="905">
        <f t="shared" si="34"/>
        <v>3.2311623025261587</v>
      </c>
      <c r="BM156" s="1287">
        <f t="shared" si="26"/>
        <v>3.2311623025261587</v>
      </c>
      <c r="BN156" s="1393">
        <f t="shared" si="35"/>
        <v>2.3770678893473285E-2</v>
      </c>
      <c r="BO156" s="1377">
        <f t="shared" si="24"/>
        <v>3.2311623025261587</v>
      </c>
      <c r="BP156" s="208">
        <f t="shared" si="23"/>
        <v>2.3770678893473285E-2</v>
      </c>
      <c r="BQ156" s="1378">
        <f t="shared" si="30"/>
        <v>3.4619890605122419</v>
      </c>
      <c r="BR156" s="1378">
        <f t="shared" si="27"/>
        <v>2.8467845813128427</v>
      </c>
      <c r="BS156" s="153">
        <v>0</v>
      </c>
      <c r="BU156" s="1389">
        <f t="shared" si="31"/>
        <v>40664</v>
      </c>
      <c r="BV156" s="1390">
        <v>2.5439923221516509</v>
      </c>
      <c r="BW156" s="1390">
        <v>2.1140885140769901</v>
      </c>
      <c r="BX156" s="1390"/>
      <c r="BY156" s="1390">
        <v>3.2909253357589252</v>
      </c>
      <c r="BZ156" s="1391">
        <v>2.7347989191762077</v>
      </c>
    </row>
    <row r="157" spans="1:78">
      <c r="A157" s="957"/>
      <c r="B157" s="951">
        <v>40087</v>
      </c>
      <c r="C157" s="952">
        <v>45.775270615970157</v>
      </c>
      <c r="D157" s="952"/>
      <c r="E157" s="952"/>
      <c r="F157" s="950"/>
      <c r="G157" s="952"/>
      <c r="H157" s="952"/>
      <c r="I157" s="952"/>
      <c r="J157" s="9"/>
      <c r="K157" s="944">
        <v>40969</v>
      </c>
      <c r="L157" s="953">
        <v>0</v>
      </c>
      <c r="M157" s="953">
        <v>0</v>
      </c>
      <c r="N157" s="953">
        <v>0</v>
      </c>
      <c r="O157" s="13"/>
      <c r="P157" s="953">
        <v>0</v>
      </c>
      <c r="Q157" s="953">
        <v>0</v>
      </c>
      <c r="R157" s="953">
        <v>0</v>
      </c>
      <c r="S157" s="13"/>
      <c r="T157" s="953">
        <v>0</v>
      </c>
      <c r="U157" s="953">
        <v>0</v>
      </c>
      <c r="V157" s="953">
        <v>0</v>
      </c>
      <c r="W157" s="13"/>
      <c r="X157" s="953">
        <v>0</v>
      </c>
      <c r="Y157" s="953">
        <v>0</v>
      </c>
      <c r="Z157" s="953">
        <v>0</v>
      </c>
      <c r="AA157" s="13">
        <v>0</v>
      </c>
      <c r="AB157" s="953">
        <v>0</v>
      </c>
      <c r="AC157" s="953">
        <v>0</v>
      </c>
      <c r="AD157" s="953">
        <v>0</v>
      </c>
      <c r="AE157" s="13"/>
      <c r="AF157" s="953">
        <v>0</v>
      </c>
      <c r="AG157" s="953">
        <v>0</v>
      </c>
      <c r="AH157" s="953">
        <v>0</v>
      </c>
      <c r="AI157" s="13"/>
      <c r="AJ157" s="953">
        <v>0</v>
      </c>
      <c r="AK157" s="953">
        <v>0</v>
      </c>
      <c r="AL157" s="953">
        <v>0</v>
      </c>
      <c r="AM157" s="1455"/>
      <c r="AN157" s="9">
        <v>50</v>
      </c>
      <c r="AO157" s="955">
        <v>0.35</v>
      </c>
      <c r="AP157" s="13"/>
      <c r="AQ157"/>
      <c r="AR157"/>
      <c r="AS157"/>
      <c r="AT157"/>
      <c r="AU157" t="str">
        <f t="shared" si="28"/>
        <v>2012Q3</v>
      </c>
      <c r="AV157">
        <f t="shared" si="29"/>
        <v>2012</v>
      </c>
      <c r="AW157" s="111">
        <f t="shared" si="25"/>
        <v>41122</v>
      </c>
      <c r="AX157" s="136">
        <f t="shared" si="32"/>
        <v>3.3530936701208174</v>
      </c>
      <c r="AY157" s="1541">
        <v>3.3530936701208174</v>
      </c>
      <c r="AZ157" s="136">
        <f t="shared" si="33"/>
        <v>3.3530936701208174</v>
      </c>
      <c r="BA157" s="137">
        <v>1</v>
      </c>
      <c r="BB157" s="137">
        <v>1</v>
      </c>
      <c r="BC157" s="137">
        <v>1</v>
      </c>
      <c r="BD157" s="137">
        <v>0</v>
      </c>
      <c r="BE157" s="137"/>
      <c r="BF157" s="137">
        <v>0</v>
      </c>
      <c r="BG157" s="145">
        <v>0</v>
      </c>
      <c r="BH157" s="153"/>
      <c r="BI157" s="938"/>
      <c r="BJ157" s="924"/>
      <c r="BK157" s="1443">
        <v>0</v>
      </c>
      <c r="BL157" s="905">
        <f t="shared" si="34"/>
        <v>3.3530936701208174</v>
      </c>
      <c r="BM157" s="1287">
        <f t="shared" si="26"/>
        <v>3.3530936701208174</v>
      </c>
      <c r="BN157" s="1393">
        <f t="shared" si="35"/>
        <v>2.3770678893473507E-2</v>
      </c>
      <c r="BO157" s="1377">
        <f t="shared" si="24"/>
        <v>3.3530936701208174</v>
      </c>
      <c r="BP157" s="208">
        <f t="shared" si="23"/>
        <v>2.3770678893473507E-2</v>
      </c>
      <c r="BQ157" s="1378">
        <f t="shared" si="30"/>
        <v>3.5435610422314974</v>
      </c>
      <c r="BR157" s="1378">
        <f t="shared" si="27"/>
        <v>2.9144478585426166</v>
      </c>
      <c r="BS157" s="153">
        <v>0</v>
      </c>
      <c r="BU157" s="1389">
        <f t="shared" si="31"/>
        <v>40695</v>
      </c>
      <c r="BV157" s="1390">
        <v>2.548415214377493</v>
      </c>
      <c r="BW157" s="1390">
        <v>2.1210468399726237</v>
      </c>
      <c r="BX157" s="1390"/>
      <c r="BY157" s="1390">
        <v>3.2966468184680573</v>
      </c>
      <c r="BZ157" s="1391">
        <v>2.7438002556916579</v>
      </c>
    </row>
    <row r="158" spans="1:78">
      <c r="A158" s="957"/>
      <c r="B158" s="951">
        <v>40118</v>
      </c>
      <c r="C158" s="952">
        <v>51.022094235095039</v>
      </c>
      <c r="D158" s="952"/>
      <c r="E158" s="952"/>
      <c r="F158" s="950"/>
      <c r="G158" s="952"/>
      <c r="H158" s="952"/>
      <c r="I158" s="952"/>
      <c r="J158" s="9"/>
      <c r="K158" s="944">
        <v>41000</v>
      </c>
      <c r="L158" s="953">
        <v>0</v>
      </c>
      <c r="M158" s="953">
        <v>0</v>
      </c>
      <c r="N158" s="953">
        <v>0</v>
      </c>
      <c r="O158" s="13"/>
      <c r="P158" s="953">
        <v>0</v>
      </c>
      <c r="Q158" s="953">
        <v>0</v>
      </c>
      <c r="R158" s="953">
        <v>0</v>
      </c>
      <c r="S158" s="13"/>
      <c r="T158" s="953">
        <v>0</v>
      </c>
      <c r="U158" s="953">
        <v>0</v>
      </c>
      <c r="V158" s="953">
        <v>0</v>
      </c>
      <c r="W158" s="13"/>
      <c r="X158" s="953">
        <v>0</v>
      </c>
      <c r="Y158" s="953">
        <v>0</v>
      </c>
      <c r="Z158" s="953">
        <v>0</v>
      </c>
      <c r="AA158" s="13">
        <v>0</v>
      </c>
      <c r="AB158" s="953">
        <v>0</v>
      </c>
      <c r="AC158" s="953">
        <v>0</v>
      </c>
      <c r="AD158" s="953">
        <v>0</v>
      </c>
      <c r="AE158" s="13"/>
      <c r="AF158" s="953">
        <v>0</v>
      </c>
      <c r="AG158" s="953">
        <v>0</v>
      </c>
      <c r="AH158" s="953">
        <v>0</v>
      </c>
      <c r="AI158" s="13"/>
      <c r="AJ158" s="953">
        <v>0</v>
      </c>
      <c r="AK158" s="953">
        <v>0</v>
      </c>
      <c r="AL158" s="953">
        <v>0</v>
      </c>
      <c r="AM158" s="1455"/>
      <c r="AN158" s="9">
        <v>50</v>
      </c>
      <c r="AO158" s="955">
        <v>0.35</v>
      </c>
      <c r="AP158" s="13"/>
      <c r="AQ158"/>
      <c r="AR158"/>
      <c r="AS158"/>
      <c r="AT158"/>
      <c r="AU158" t="str">
        <f t="shared" si="28"/>
        <v>2012Q3</v>
      </c>
      <c r="AV158">
        <f t="shared" si="29"/>
        <v>2012</v>
      </c>
      <c r="AW158" s="111">
        <f t="shared" si="25"/>
        <v>41153</v>
      </c>
      <c r="AX158" s="136">
        <f t="shared" si="32"/>
        <v>3.4982649238038457</v>
      </c>
      <c r="AY158" s="1541">
        <v>3.4982649238038457</v>
      </c>
      <c r="AZ158" s="136">
        <f t="shared" si="33"/>
        <v>3.4982649238038457</v>
      </c>
      <c r="BA158" s="137">
        <v>1</v>
      </c>
      <c r="BB158" s="137">
        <v>1</v>
      </c>
      <c r="BC158" s="137">
        <v>1</v>
      </c>
      <c r="BD158" s="137">
        <v>0</v>
      </c>
      <c r="BE158" s="137"/>
      <c r="BF158" s="137">
        <v>0</v>
      </c>
      <c r="BG158" s="145">
        <v>0</v>
      </c>
      <c r="BH158" s="153"/>
      <c r="BI158" s="938"/>
      <c r="BJ158" s="924"/>
      <c r="BK158" s="1443">
        <v>0</v>
      </c>
      <c r="BL158" s="905">
        <f t="shared" si="34"/>
        <v>3.4982649238038457</v>
      </c>
      <c r="BM158" s="1287">
        <f t="shared" si="26"/>
        <v>3.4982649238038457</v>
      </c>
      <c r="BN158" s="1393">
        <f t="shared" si="35"/>
        <v>2.3770678893473285E-2</v>
      </c>
      <c r="BO158" s="1377">
        <f t="shared" si="24"/>
        <v>3.4982649238038457</v>
      </c>
      <c r="BP158" s="208">
        <f t="shared" si="23"/>
        <v>2.3770678893473285E-2</v>
      </c>
      <c r="BQ158" s="1378">
        <f t="shared" si="30"/>
        <v>3.6629527609296817</v>
      </c>
      <c r="BR158" s="1378">
        <f t="shared" si="27"/>
        <v>2.9965634862486521</v>
      </c>
      <c r="BS158" s="153">
        <v>0</v>
      </c>
      <c r="BU158" s="1389">
        <f t="shared" si="31"/>
        <v>40725</v>
      </c>
      <c r="BV158" s="1390">
        <v>2.5810340445430797</v>
      </c>
      <c r="BW158" s="1390">
        <v>2.1538503763377541</v>
      </c>
      <c r="BX158" s="1390"/>
      <c r="BY158" s="1390">
        <v>3.3388427534479064</v>
      </c>
      <c r="BZ158" s="1391">
        <v>2.7862351278359228</v>
      </c>
    </row>
    <row r="159" spans="1:78">
      <c r="A159" s="957"/>
      <c r="B159" s="951">
        <v>40148</v>
      </c>
      <c r="C159" s="952">
        <v>47.634200794482311</v>
      </c>
      <c r="D159" s="952"/>
      <c r="E159" s="952"/>
      <c r="F159" s="950"/>
      <c r="G159" s="952"/>
      <c r="H159" s="952"/>
      <c r="I159" s="952"/>
      <c r="J159" s="9"/>
      <c r="K159" s="944">
        <v>41030</v>
      </c>
      <c r="L159" s="953">
        <v>0</v>
      </c>
      <c r="M159" s="953">
        <v>0</v>
      </c>
      <c r="N159" s="953">
        <v>0</v>
      </c>
      <c r="O159" s="13"/>
      <c r="P159" s="953">
        <v>0</v>
      </c>
      <c r="Q159" s="953">
        <v>0</v>
      </c>
      <c r="R159" s="953">
        <v>0</v>
      </c>
      <c r="S159" s="13"/>
      <c r="T159" s="953">
        <v>0</v>
      </c>
      <c r="U159" s="953">
        <v>0</v>
      </c>
      <c r="V159" s="953">
        <v>0</v>
      </c>
      <c r="W159" s="13"/>
      <c r="X159" s="953">
        <v>0</v>
      </c>
      <c r="Y159" s="953">
        <v>0</v>
      </c>
      <c r="Z159" s="953">
        <v>0</v>
      </c>
      <c r="AA159" s="13">
        <v>0</v>
      </c>
      <c r="AB159" s="953">
        <v>0</v>
      </c>
      <c r="AC159" s="953">
        <v>0</v>
      </c>
      <c r="AD159" s="953">
        <v>0</v>
      </c>
      <c r="AE159" s="13"/>
      <c r="AF159" s="953">
        <v>0</v>
      </c>
      <c r="AG159" s="953">
        <v>0</v>
      </c>
      <c r="AH159" s="953">
        <v>0</v>
      </c>
      <c r="AI159" s="13"/>
      <c r="AJ159" s="953">
        <v>0</v>
      </c>
      <c r="AK159" s="953">
        <v>0</v>
      </c>
      <c r="AL159" s="953">
        <v>0</v>
      </c>
      <c r="AM159" s="1455"/>
      <c r="AN159" s="9">
        <v>50</v>
      </c>
      <c r="AO159" s="955">
        <v>0.35</v>
      </c>
      <c r="AP159" s="13"/>
      <c r="AQ159"/>
      <c r="AR159"/>
      <c r="AS159"/>
      <c r="AT159"/>
      <c r="AU159" t="str">
        <f t="shared" si="28"/>
        <v>2012Q4</v>
      </c>
      <c r="AV159">
        <f t="shared" si="29"/>
        <v>2012</v>
      </c>
      <c r="AW159" s="111">
        <f t="shared" si="25"/>
        <v>41183</v>
      </c>
      <c r="AX159" s="136">
        <f t="shared" si="32"/>
        <v>3.6537257768382725</v>
      </c>
      <c r="AY159" s="1541">
        <v>3.6537257768382725</v>
      </c>
      <c r="AZ159" s="136">
        <f t="shared" si="33"/>
        <v>3.6537257768382725</v>
      </c>
      <c r="BA159" s="137">
        <v>1</v>
      </c>
      <c r="BB159" s="137">
        <v>1</v>
      </c>
      <c r="BC159" s="137">
        <v>1</v>
      </c>
      <c r="BD159" s="137">
        <v>0</v>
      </c>
      <c r="BE159" s="137"/>
      <c r="BF159" s="137">
        <v>0</v>
      </c>
      <c r="BG159" s="145">
        <v>0</v>
      </c>
      <c r="BH159" s="153"/>
      <c r="BI159" s="938"/>
      <c r="BJ159" s="924"/>
      <c r="BK159" s="1443">
        <v>0</v>
      </c>
      <c r="BL159" s="905">
        <f t="shared" si="34"/>
        <v>3.6537257768382725</v>
      </c>
      <c r="BM159" s="1287">
        <f t="shared" si="26"/>
        <v>3.6537257768382725</v>
      </c>
      <c r="BN159" s="1393">
        <f t="shared" si="35"/>
        <v>2.3770678893473285E-2</v>
      </c>
      <c r="BO159" s="1377">
        <f t="shared" si="24"/>
        <v>3.6537257768382725</v>
      </c>
      <c r="BP159" s="208">
        <f t="shared" si="23"/>
        <v>2.3770678893473285E-2</v>
      </c>
      <c r="BQ159" s="1378">
        <f t="shared" si="30"/>
        <v>3.8201642166067926</v>
      </c>
      <c r="BR159" s="1378">
        <f t="shared" si="27"/>
        <v>3.0832775891062258</v>
      </c>
      <c r="BS159" s="153">
        <v>0</v>
      </c>
      <c r="BU159" s="1389">
        <f t="shared" si="31"/>
        <v>40756</v>
      </c>
      <c r="BV159" s="1390">
        <v>2.6418488126484108</v>
      </c>
      <c r="BW159" s="1390">
        <v>2.2050437739984878</v>
      </c>
      <c r="BX159" s="1390"/>
      <c r="BY159" s="1390">
        <v>3.4175131406984729</v>
      </c>
      <c r="BZ159" s="1391">
        <v>2.8524592464853056</v>
      </c>
    </row>
    <row r="160" spans="1:78">
      <c r="A160" s="957"/>
      <c r="B160" s="951">
        <v>40179</v>
      </c>
      <c r="C160" s="952">
        <v>44.456252951095372</v>
      </c>
      <c r="D160" s="952"/>
      <c r="E160" s="952"/>
      <c r="F160" s="950"/>
      <c r="G160" s="952"/>
      <c r="H160" s="952"/>
      <c r="I160" s="952"/>
      <c r="J160" s="9"/>
      <c r="K160" s="944">
        <v>41061</v>
      </c>
      <c r="L160" s="953">
        <v>0</v>
      </c>
      <c r="M160" s="953">
        <v>0</v>
      </c>
      <c r="N160" s="953">
        <v>0</v>
      </c>
      <c r="O160" s="13"/>
      <c r="P160" s="953">
        <v>0</v>
      </c>
      <c r="Q160" s="953">
        <v>0</v>
      </c>
      <c r="R160" s="953">
        <v>0</v>
      </c>
      <c r="S160" s="13"/>
      <c r="T160" s="953">
        <v>0</v>
      </c>
      <c r="U160" s="953">
        <v>0</v>
      </c>
      <c r="V160" s="953">
        <v>0</v>
      </c>
      <c r="W160" s="13"/>
      <c r="X160" s="953">
        <v>0</v>
      </c>
      <c r="Y160" s="953">
        <v>0</v>
      </c>
      <c r="Z160" s="953">
        <v>0</v>
      </c>
      <c r="AA160" s="13">
        <v>0</v>
      </c>
      <c r="AB160" s="953">
        <v>0</v>
      </c>
      <c r="AC160" s="953">
        <v>0</v>
      </c>
      <c r="AD160" s="953">
        <v>0</v>
      </c>
      <c r="AE160" s="13"/>
      <c r="AF160" s="953">
        <v>0</v>
      </c>
      <c r="AG160" s="953">
        <v>0</v>
      </c>
      <c r="AH160" s="953">
        <v>0</v>
      </c>
      <c r="AI160" s="13"/>
      <c r="AJ160" s="953">
        <v>0</v>
      </c>
      <c r="AK160" s="953">
        <v>0</v>
      </c>
      <c r="AL160" s="953">
        <v>0</v>
      </c>
      <c r="AM160" s="1455"/>
      <c r="AN160" s="9">
        <v>51</v>
      </c>
      <c r="AO160" s="955">
        <v>0.35</v>
      </c>
      <c r="AP160" s="13"/>
      <c r="AQ160"/>
      <c r="AR160"/>
      <c r="AS160"/>
      <c r="AT160"/>
      <c r="AU160" t="str">
        <f t="shared" si="28"/>
        <v>2012Q4</v>
      </c>
      <c r="AV160">
        <f t="shared" si="29"/>
        <v>2012</v>
      </c>
      <c r="AW160" s="111">
        <f t="shared" si="25"/>
        <v>41214</v>
      </c>
      <c r="AX160" s="136">
        <f t="shared" si="32"/>
        <v>3.8070257295941063</v>
      </c>
      <c r="AY160" s="1541">
        <v>3.8070257295941063</v>
      </c>
      <c r="AZ160" s="136">
        <f t="shared" si="33"/>
        <v>3.8070257295941063</v>
      </c>
      <c r="BA160" s="137">
        <v>1</v>
      </c>
      <c r="BB160" s="137">
        <v>1</v>
      </c>
      <c r="BC160" s="137">
        <v>1</v>
      </c>
      <c r="BD160" s="137">
        <v>0</v>
      </c>
      <c r="BE160" s="137"/>
      <c r="BF160" s="137">
        <v>0</v>
      </c>
      <c r="BG160" s="145">
        <v>0</v>
      </c>
      <c r="BH160" s="153"/>
      <c r="BI160" s="938"/>
      <c r="BJ160" s="924"/>
      <c r="BK160" s="1443">
        <v>0</v>
      </c>
      <c r="BL160" s="905">
        <f t="shared" si="34"/>
        <v>3.8070257295941063</v>
      </c>
      <c r="BM160" s="1287">
        <f t="shared" si="26"/>
        <v>3.8070257295941063</v>
      </c>
      <c r="BN160" s="1393">
        <f t="shared" si="35"/>
        <v>2.3770678893473285E-2</v>
      </c>
      <c r="BO160" s="1377">
        <f t="shared" si="24"/>
        <v>3.8070257295941063</v>
      </c>
      <c r="BP160" s="208">
        <f t="shared" si="23"/>
        <v>2.3770678893473285E-2</v>
      </c>
      <c r="BQ160" s="1378">
        <f t="shared" si="30"/>
        <v>4.0151954092628328</v>
      </c>
      <c r="BR160" s="1378">
        <f t="shared" si="27"/>
        <v>3.1647362917906139</v>
      </c>
      <c r="BS160" s="153">
        <v>0</v>
      </c>
      <c r="BU160" s="1389">
        <f t="shared" si="31"/>
        <v>40787</v>
      </c>
      <c r="BV160" s="1390">
        <v>2.730859518693487</v>
      </c>
      <c r="BW160" s="1390">
        <v>2.2671716837809313</v>
      </c>
      <c r="BX160" s="1390"/>
      <c r="BY160" s="1390">
        <v>3.5326579802197569</v>
      </c>
      <c r="BZ160" s="1391">
        <v>2.9328283225161096</v>
      </c>
    </row>
    <row r="161" spans="1:78">
      <c r="A161" s="957"/>
      <c r="B161" s="951">
        <v>40210</v>
      </c>
      <c r="C161" s="952">
        <v>39.371690949832285</v>
      </c>
      <c r="D161" s="952"/>
      <c r="E161" s="952"/>
      <c r="F161" s="950"/>
      <c r="G161" s="952"/>
      <c r="H161" s="952"/>
      <c r="I161" s="952"/>
      <c r="J161" s="9"/>
      <c r="K161" s="944">
        <v>41091</v>
      </c>
      <c r="L161" s="953">
        <v>0</v>
      </c>
      <c r="M161" s="953">
        <v>0</v>
      </c>
      <c r="N161" s="953">
        <v>0</v>
      </c>
      <c r="O161" s="13"/>
      <c r="P161" s="953">
        <v>0</v>
      </c>
      <c r="Q161" s="953">
        <v>0</v>
      </c>
      <c r="R161" s="953">
        <v>0</v>
      </c>
      <c r="S161" s="13"/>
      <c r="T161" s="953">
        <v>0</v>
      </c>
      <c r="U161" s="953">
        <v>0</v>
      </c>
      <c r="V161" s="953">
        <v>0</v>
      </c>
      <c r="W161" s="13"/>
      <c r="X161" s="953">
        <v>0</v>
      </c>
      <c r="Y161" s="953">
        <v>0</v>
      </c>
      <c r="Z161" s="953">
        <v>0</v>
      </c>
      <c r="AA161" s="13">
        <v>0</v>
      </c>
      <c r="AB161" s="953">
        <v>0</v>
      </c>
      <c r="AC161" s="953">
        <v>0</v>
      </c>
      <c r="AD161" s="953">
        <v>0</v>
      </c>
      <c r="AE161" s="13"/>
      <c r="AF161" s="953">
        <v>0</v>
      </c>
      <c r="AG161" s="953">
        <v>0</v>
      </c>
      <c r="AH161" s="953">
        <v>0</v>
      </c>
      <c r="AI161" s="13"/>
      <c r="AJ161" s="953">
        <v>0</v>
      </c>
      <c r="AK161" s="953">
        <v>0</v>
      </c>
      <c r="AL161" s="953">
        <v>0</v>
      </c>
      <c r="AM161" s="1455"/>
      <c r="AN161" s="9">
        <v>51</v>
      </c>
      <c r="AO161" s="955">
        <v>0.35</v>
      </c>
      <c r="AP161" s="13"/>
      <c r="AQ161"/>
      <c r="AR161"/>
      <c r="AS161"/>
      <c r="AT161"/>
      <c r="AU161" t="str">
        <f t="shared" si="28"/>
        <v>2012Q4</v>
      </c>
      <c r="AV161">
        <f t="shared" si="29"/>
        <v>2012</v>
      </c>
      <c r="AW161" s="111">
        <f t="shared" si="25"/>
        <v>41244</v>
      </c>
      <c r="AX161" s="136">
        <f t="shared" si="32"/>
        <v>3.9689579546008313</v>
      </c>
      <c r="AY161" s="1541">
        <v>3.9689579546008313</v>
      </c>
      <c r="AZ161" s="136">
        <f t="shared" si="33"/>
        <v>3.9689579546008313</v>
      </c>
      <c r="BA161" s="137">
        <v>1</v>
      </c>
      <c r="BB161" s="137">
        <v>1</v>
      </c>
      <c r="BC161" s="137">
        <v>1</v>
      </c>
      <c r="BD161" s="137">
        <v>0</v>
      </c>
      <c r="BE161" s="137"/>
      <c r="BF161" s="137">
        <v>0</v>
      </c>
      <c r="BG161" s="145">
        <v>0</v>
      </c>
      <c r="BH161" s="153"/>
      <c r="BI161" s="938"/>
      <c r="BJ161" s="924"/>
      <c r="BK161" s="1443">
        <v>0</v>
      </c>
      <c r="BL161" s="905">
        <f t="shared" si="34"/>
        <v>3.9689579546008313</v>
      </c>
      <c r="BM161" s="1287">
        <f t="shared" si="26"/>
        <v>3.9689579546008313</v>
      </c>
      <c r="BN161" s="1393">
        <f t="shared" si="35"/>
        <v>2.3770678893473063E-2</v>
      </c>
      <c r="BO161" s="1377">
        <f t="shared" si="24"/>
        <v>3.9689579546008313</v>
      </c>
      <c r="BP161" s="208">
        <f t="shared" ref="BP161:BP224" si="36">+AY161/AY149-1</f>
        <v>2.3770678893473063E-2</v>
      </c>
      <c r="BQ161" s="1378">
        <f t="shared" si="30"/>
        <v>4.1000154389814556</v>
      </c>
      <c r="BR161" s="1378">
        <f t="shared" si="27"/>
        <v>3.2310857189770892</v>
      </c>
      <c r="BS161" s="153">
        <v>0</v>
      </c>
      <c r="BU161" s="1389">
        <f t="shared" si="31"/>
        <v>40817</v>
      </c>
      <c r="BV161" s="1390">
        <v>2.8480661626783066</v>
      </c>
      <c r="BW161" s="1390">
        <v>2.3327787565111922</v>
      </c>
      <c r="BX161" s="1390"/>
      <c r="BY161" s="1390">
        <v>3.6842772720117574</v>
      </c>
      <c r="BZ161" s="1391">
        <v>3.0176980668046398</v>
      </c>
    </row>
    <row r="162" spans="1:78">
      <c r="A162" s="957"/>
      <c r="B162" s="951">
        <v>40238</v>
      </c>
      <c r="C162" s="952">
        <v>35.76079543776072</v>
      </c>
      <c r="D162" s="952"/>
      <c r="E162" s="952"/>
      <c r="F162" s="950"/>
      <c r="G162" s="952"/>
      <c r="H162" s="952"/>
      <c r="I162" s="952"/>
      <c r="J162" s="9"/>
      <c r="K162" s="944">
        <v>41122</v>
      </c>
      <c r="L162" s="953">
        <v>0</v>
      </c>
      <c r="M162" s="953">
        <v>0</v>
      </c>
      <c r="N162" s="953">
        <v>0</v>
      </c>
      <c r="O162" s="13"/>
      <c r="P162" s="953">
        <v>0</v>
      </c>
      <c r="Q162" s="953">
        <v>0</v>
      </c>
      <c r="R162" s="953">
        <v>0</v>
      </c>
      <c r="S162" s="13"/>
      <c r="T162" s="953">
        <v>0</v>
      </c>
      <c r="U162" s="953">
        <v>0</v>
      </c>
      <c r="V162" s="953">
        <v>0</v>
      </c>
      <c r="W162" s="13"/>
      <c r="X162" s="953">
        <v>0</v>
      </c>
      <c r="Y162" s="953">
        <v>0</v>
      </c>
      <c r="Z162" s="953">
        <v>0</v>
      </c>
      <c r="AA162" s="13">
        <v>0</v>
      </c>
      <c r="AB162" s="953">
        <v>0</v>
      </c>
      <c r="AC162" s="953">
        <v>0</v>
      </c>
      <c r="AD162" s="953">
        <v>0</v>
      </c>
      <c r="AE162" s="13"/>
      <c r="AF162" s="953">
        <v>0</v>
      </c>
      <c r="AG162" s="953">
        <v>0</v>
      </c>
      <c r="AH162" s="953">
        <v>0</v>
      </c>
      <c r="AI162" s="13"/>
      <c r="AJ162" s="953">
        <v>0</v>
      </c>
      <c r="AK162" s="953">
        <v>0</v>
      </c>
      <c r="AL162" s="953">
        <v>0</v>
      </c>
      <c r="AM162" s="1455"/>
      <c r="AN162" s="9">
        <v>51</v>
      </c>
      <c r="AO162" s="955">
        <v>0.35</v>
      </c>
      <c r="AP162" s="13"/>
      <c r="AQ162"/>
      <c r="AR162"/>
      <c r="AS162"/>
      <c r="AT162"/>
      <c r="AU162" t="str">
        <f t="shared" si="28"/>
        <v>2013Q1</v>
      </c>
      <c r="AV162">
        <f t="shared" si="29"/>
        <v>2013</v>
      </c>
      <c r="AW162" s="111">
        <f t="shared" si="25"/>
        <v>41275</v>
      </c>
      <c r="AX162" s="136">
        <f t="shared" si="32"/>
        <v>3.7739008599891157</v>
      </c>
      <c r="AY162" s="1541">
        <v>3.7739008599891157</v>
      </c>
      <c r="AZ162" s="136">
        <f t="shared" si="33"/>
        <v>3.7739008599891157</v>
      </c>
      <c r="BA162" s="137">
        <v>1</v>
      </c>
      <c r="BB162" s="137">
        <v>1</v>
      </c>
      <c r="BC162" s="137">
        <v>1</v>
      </c>
      <c r="BD162" s="137">
        <v>0</v>
      </c>
      <c r="BE162" s="137"/>
      <c r="BF162" s="137">
        <v>0</v>
      </c>
      <c r="BG162" s="145">
        <v>0</v>
      </c>
      <c r="BH162" s="153"/>
      <c r="BI162" s="938"/>
      <c r="BJ162" s="924"/>
      <c r="BK162" s="1443">
        <v>0</v>
      </c>
      <c r="BL162" s="905">
        <f t="shared" si="34"/>
        <v>3.7739008599891157</v>
      </c>
      <c r="BM162" s="1287">
        <f t="shared" si="26"/>
        <v>3.7739008599891157</v>
      </c>
      <c r="BN162" s="1393">
        <f t="shared" si="35"/>
        <v>2.1827633080724995E-2</v>
      </c>
      <c r="BO162" s="1377">
        <f t="shared" si="24"/>
        <v>3.7739008599891157</v>
      </c>
      <c r="BP162" s="208">
        <f t="shared" si="36"/>
        <v>2.1827633080724995E-2</v>
      </c>
      <c r="BQ162" s="1378">
        <f t="shared" si="30"/>
        <v>4.0572048180731963</v>
      </c>
      <c r="BR162" s="1378">
        <f t="shared" si="27"/>
        <v>3.3631493669868671</v>
      </c>
      <c r="BS162" s="153">
        <v>0</v>
      </c>
      <c r="BU162" s="1389">
        <f t="shared" si="31"/>
        <v>40848</v>
      </c>
      <c r="BV162" s="1390">
        <v>2.9934687446028718</v>
      </c>
      <c r="BW162" s="1390">
        <v>2.3944096430153765</v>
      </c>
      <c r="BX162" s="1390"/>
      <c r="BY162" s="1390">
        <v>3.8723710160744762</v>
      </c>
      <c r="BZ162" s="1391">
        <v>3.0974241902271982</v>
      </c>
    </row>
    <row r="163" spans="1:78">
      <c r="A163" s="957"/>
      <c r="B163" s="951">
        <v>40269</v>
      </c>
      <c r="C163" s="952">
        <v>34.520481500072279</v>
      </c>
      <c r="D163" s="952"/>
      <c r="E163" s="952"/>
      <c r="F163" s="950"/>
      <c r="G163" s="952"/>
      <c r="H163" s="952"/>
      <c r="I163" s="952"/>
      <c r="J163" s="9"/>
      <c r="K163" s="944">
        <v>41153</v>
      </c>
      <c r="L163" s="953">
        <v>0</v>
      </c>
      <c r="M163" s="953">
        <v>0</v>
      </c>
      <c r="N163" s="953">
        <v>0</v>
      </c>
      <c r="O163" s="13"/>
      <c r="P163" s="953">
        <v>0</v>
      </c>
      <c r="Q163" s="953">
        <v>0</v>
      </c>
      <c r="R163" s="953">
        <v>0</v>
      </c>
      <c r="S163" s="13"/>
      <c r="T163" s="953">
        <v>0</v>
      </c>
      <c r="U163" s="953">
        <v>0</v>
      </c>
      <c r="V163" s="953">
        <v>0</v>
      </c>
      <c r="W163" s="13"/>
      <c r="X163" s="953">
        <v>0</v>
      </c>
      <c r="Y163" s="953">
        <v>0</v>
      </c>
      <c r="Z163" s="953">
        <v>0</v>
      </c>
      <c r="AA163" s="13">
        <v>0</v>
      </c>
      <c r="AB163" s="953">
        <v>0</v>
      </c>
      <c r="AC163" s="953">
        <v>0</v>
      </c>
      <c r="AD163" s="953">
        <v>0</v>
      </c>
      <c r="AE163" s="13"/>
      <c r="AF163" s="953">
        <v>0</v>
      </c>
      <c r="AG163" s="953">
        <v>0</v>
      </c>
      <c r="AH163" s="953">
        <v>0</v>
      </c>
      <c r="AI163" s="13"/>
      <c r="AJ163" s="953">
        <v>0</v>
      </c>
      <c r="AK163" s="953">
        <v>0</v>
      </c>
      <c r="AL163" s="953">
        <v>0</v>
      </c>
      <c r="AM163" s="1455"/>
      <c r="AN163" s="9">
        <v>52</v>
      </c>
      <c r="AO163" s="955">
        <v>0.35</v>
      </c>
      <c r="AP163" s="13"/>
      <c r="AQ163"/>
      <c r="AR163"/>
      <c r="AS163"/>
      <c r="AT163"/>
      <c r="AU163" t="str">
        <f t="shared" si="28"/>
        <v>2013Q1</v>
      </c>
      <c r="AV163">
        <f t="shared" si="29"/>
        <v>2013</v>
      </c>
      <c r="AW163" s="111">
        <f t="shared" si="25"/>
        <v>41306</v>
      </c>
      <c r="AX163" s="136">
        <f t="shared" si="32"/>
        <v>3.4856398717178552</v>
      </c>
      <c r="AY163" s="1541">
        <v>3.4856398717178552</v>
      </c>
      <c r="AZ163" s="136">
        <f t="shared" si="33"/>
        <v>3.4856398717178552</v>
      </c>
      <c r="BA163" s="137">
        <v>1</v>
      </c>
      <c r="BB163" s="137">
        <v>1</v>
      </c>
      <c r="BC163" s="137">
        <v>1</v>
      </c>
      <c r="BD163" s="137">
        <v>0</v>
      </c>
      <c r="BE163" s="137"/>
      <c r="BF163" s="137">
        <v>0</v>
      </c>
      <c r="BG163" s="145">
        <v>0</v>
      </c>
      <c r="BH163" s="153"/>
      <c r="BI163" s="938"/>
      <c r="BJ163" s="924"/>
      <c r="BK163" s="1443">
        <v>0</v>
      </c>
      <c r="BL163" s="905">
        <f t="shared" si="34"/>
        <v>3.4856398717178552</v>
      </c>
      <c r="BM163" s="1287">
        <f t="shared" si="26"/>
        <v>3.4856398717178552</v>
      </c>
      <c r="BN163" s="1393">
        <f t="shared" si="35"/>
        <v>2.1827633080724773E-2</v>
      </c>
      <c r="BO163" s="1377">
        <f t="shared" si="24"/>
        <v>3.4856398717178552</v>
      </c>
      <c r="BP163" s="208">
        <f t="shared" si="36"/>
        <v>2.1827633080724773E-2</v>
      </c>
      <c r="BQ163" s="1378">
        <f t="shared" si="30"/>
        <v>3.7510703180978715</v>
      </c>
      <c r="BR163" s="1378">
        <f t="shared" si="27"/>
        <v>3.1325717123294718</v>
      </c>
      <c r="BS163" s="153">
        <v>0</v>
      </c>
      <c r="BU163" s="1389">
        <f t="shared" si="31"/>
        <v>40878</v>
      </c>
      <c r="BV163" s="1390">
        <v>3.0567050462018517</v>
      </c>
      <c r="BW163" s="1390">
        <v>2.4446089941195899</v>
      </c>
      <c r="BX163" s="1390"/>
      <c r="BY163" s="1390">
        <v>3.9541739151082926</v>
      </c>
      <c r="BZ163" s="1391">
        <v>3.1623624036600866</v>
      </c>
    </row>
    <row r="164" spans="1:78">
      <c r="A164" s="957"/>
      <c r="B164" s="951">
        <v>40299</v>
      </c>
      <c r="C164" s="952">
        <v>35.405758480358884</v>
      </c>
      <c r="D164" s="952"/>
      <c r="E164" s="952"/>
      <c r="F164" s="950"/>
      <c r="G164" s="952"/>
      <c r="H164" s="952"/>
      <c r="I164" s="952"/>
      <c r="J164" s="9"/>
      <c r="K164" s="944">
        <v>41183</v>
      </c>
      <c r="L164" s="953">
        <v>0</v>
      </c>
      <c r="M164" s="953">
        <v>0</v>
      </c>
      <c r="N164" s="953">
        <v>0</v>
      </c>
      <c r="O164" s="13"/>
      <c r="P164" s="953">
        <v>0</v>
      </c>
      <c r="Q164" s="953">
        <v>0</v>
      </c>
      <c r="R164" s="953">
        <v>0</v>
      </c>
      <c r="S164" s="13"/>
      <c r="T164" s="953">
        <v>0</v>
      </c>
      <c r="U164" s="953">
        <v>0</v>
      </c>
      <c r="V164" s="953">
        <v>0</v>
      </c>
      <c r="W164" s="13"/>
      <c r="X164" s="953">
        <v>0</v>
      </c>
      <c r="Y164" s="953">
        <v>0</v>
      </c>
      <c r="Z164" s="953">
        <v>0</v>
      </c>
      <c r="AA164" s="13">
        <v>0</v>
      </c>
      <c r="AB164" s="953">
        <v>0</v>
      </c>
      <c r="AC164" s="953">
        <v>0</v>
      </c>
      <c r="AD164" s="953">
        <v>0</v>
      </c>
      <c r="AE164" s="13"/>
      <c r="AF164" s="953">
        <v>0</v>
      </c>
      <c r="AG164" s="953">
        <v>0</v>
      </c>
      <c r="AH164" s="953">
        <v>0</v>
      </c>
      <c r="AI164" s="13"/>
      <c r="AJ164" s="953">
        <v>0</v>
      </c>
      <c r="AK164" s="953">
        <v>0</v>
      </c>
      <c r="AL164" s="953">
        <v>0</v>
      </c>
      <c r="AM164" s="1455"/>
      <c r="AN164" s="9">
        <v>52</v>
      </c>
      <c r="AO164" s="955">
        <v>0.35</v>
      </c>
      <c r="AP164" s="13"/>
      <c r="AQ164"/>
      <c r="AR164"/>
      <c r="AS164"/>
      <c r="AT164"/>
      <c r="AU164" t="str">
        <f t="shared" si="28"/>
        <v>2013Q1</v>
      </c>
      <c r="AV164">
        <f t="shared" si="29"/>
        <v>2013</v>
      </c>
      <c r="AW164" s="111">
        <f t="shared" si="25"/>
        <v>41334</v>
      </c>
      <c r="AX164" s="136">
        <f t="shared" si="32"/>
        <v>3.2985187206675644</v>
      </c>
      <c r="AY164" s="1541">
        <v>3.2985187206675644</v>
      </c>
      <c r="AZ164" s="136">
        <f t="shared" si="33"/>
        <v>3.2985187206675644</v>
      </c>
      <c r="BA164" s="137">
        <v>1</v>
      </c>
      <c r="BB164" s="137">
        <v>1</v>
      </c>
      <c r="BC164" s="137">
        <v>1</v>
      </c>
      <c r="BD164" s="137">
        <v>0</v>
      </c>
      <c r="BE164" s="137"/>
      <c r="BF164" s="137">
        <v>0</v>
      </c>
      <c r="BG164" s="145">
        <v>0</v>
      </c>
      <c r="BH164" s="153"/>
      <c r="BI164" s="938"/>
      <c r="BJ164" s="924"/>
      <c r="BK164" s="1443">
        <v>0</v>
      </c>
      <c r="BL164" s="905">
        <f t="shared" si="34"/>
        <v>3.2985187206675644</v>
      </c>
      <c r="BM164" s="1287">
        <f t="shared" si="26"/>
        <v>3.2985187206675644</v>
      </c>
      <c r="BN164" s="1393">
        <f t="shared" si="35"/>
        <v>2.1772234522873246E-2</v>
      </c>
      <c r="BO164" s="1377">
        <f t="shared" si="24"/>
        <v>3.2985187206675644</v>
      </c>
      <c r="BP164" s="208">
        <f t="shared" si="36"/>
        <v>2.1772234522873246E-2</v>
      </c>
      <c r="BQ164" s="1378">
        <f t="shared" si="30"/>
        <v>3.6396942156868572</v>
      </c>
      <c r="BR164" s="1378">
        <f t="shared" si="27"/>
        <v>2.9770658522116928</v>
      </c>
      <c r="BS164" s="153">
        <v>0</v>
      </c>
      <c r="BU164" s="1389">
        <f t="shared" si="31"/>
        <v>40909</v>
      </c>
      <c r="BV164" s="1390">
        <v>2.9685805828076495</v>
      </c>
      <c r="BW164" s="1390">
        <v>2.4980480083431336</v>
      </c>
      <c r="BX164" s="1390"/>
      <c r="BY164" s="1390">
        <v>3.9169790354554976</v>
      </c>
      <c r="BZ164" s="1391">
        <v>3.2961212961202691</v>
      </c>
    </row>
    <row r="165" spans="1:78">
      <c r="A165" s="957"/>
      <c r="B165" s="951">
        <v>40330</v>
      </c>
      <c r="C165" s="952">
        <v>37.820836495408315</v>
      </c>
      <c r="D165" s="952"/>
      <c r="E165" s="952"/>
      <c r="F165" s="950"/>
      <c r="G165" s="952"/>
      <c r="H165" s="952"/>
      <c r="I165" s="952"/>
      <c r="J165" s="9"/>
      <c r="K165" s="944">
        <v>41214</v>
      </c>
      <c r="L165" s="953">
        <v>0</v>
      </c>
      <c r="M165" s="953">
        <v>0</v>
      </c>
      <c r="N165" s="953">
        <v>0</v>
      </c>
      <c r="O165" s="13"/>
      <c r="P165" s="953">
        <v>0</v>
      </c>
      <c r="Q165" s="953">
        <v>0</v>
      </c>
      <c r="R165" s="953">
        <v>0</v>
      </c>
      <c r="S165" s="13"/>
      <c r="T165" s="953">
        <v>0</v>
      </c>
      <c r="U165" s="953">
        <v>0</v>
      </c>
      <c r="V165" s="953">
        <v>0</v>
      </c>
      <c r="W165" s="13"/>
      <c r="X165" s="953">
        <v>0</v>
      </c>
      <c r="Y165" s="953">
        <v>0</v>
      </c>
      <c r="Z165" s="953">
        <v>0</v>
      </c>
      <c r="AA165" s="13">
        <v>0</v>
      </c>
      <c r="AB165" s="953">
        <v>0</v>
      </c>
      <c r="AC165" s="953">
        <v>0</v>
      </c>
      <c r="AD165" s="953">
        <v>0</v>
      </c>
      <c r="AE165" s="13"/>
      <c r="AF165" s="953">
        <v>0</v>
      </c>
      <c r="AG165" s="953">
        <v>0</v>
      </c>
      <c r="AH165" s="953">
        <v>0</v>
      </c>
      <c r="AI165" s="13"/>
      <c r="AJ165" s="953">
        <v>0</v>
      </c>
      <c r="AK165" s="953">
        <v>0</v>
      </c>
      <c r="AL165" s="953">
        <v>0</v>
      </c>
      <c r="AM165" s="1455"/>
      <c r="AN165" s="9">
        <v>52</v>
      </c>
      <c r="AO165" s="955">
        <v>0.35</v>
      </c>
      <c r="AP165" s="13"/>
      <c r="AQ165"/>
      <c r="AR165"/>
      <c r="AS165"/>
      <c r="AT165"/>
      <c r="AU165" t="str">
        <f t="shared" si="28"/>
        <v>2013Q2</v>
      </c>
      <c r="AV165">
        <f t="shared" si="29"/>
        <v>2013</v>
      </c>
      <c r="AW165" s="111">
        <f t="shared" si="25"/>
        <v>41365</v>
      </c>
      <c r="AX165" s="136">
        <f t="shared" si="32"/>
        <v>3.1995608043261794</v>
      </c>
      <c r="AY165" s="1541">
        <v>3.1995608043261794</v>
      </c>
      <c r="AZ165" s="136">
        <f t="shared" si="33"/>
        <v>3.1995608043261794</v>
      </c>
      <c r="BA165" s="137">
        <v>1</v>
      </c>
      <c r="BB165" s="137">
        <v>1</v>
      </c>
      <c r="BC165" s="137">
        <v>1</v>
      </c>
      <c r="BD165" s="137">
        <v>0</v>
      </c>
      <c r="BE165" s="137"/>
      <c r="BF165" s="137">
        <v>0</v>
      </c>
      <c r="BG165" s="145">
        <v>0</v>
      </c>
      <c r="BH165" s="153"/>
      <c r="BI165" s="938"/>
      <c r="BJ165" s="924"/>
      <c r="BK165" s="1443">
        <v>0</v>
      </c>
      <c r="BL165" s="905">
        <f t="shared" si="34"/>
        <v>3.1995608043261794</v>
      </c>
      <c r="BM165" s="1287">
        <f t="shared" si="26"/>
        <v>3.1995608043261794</v>
      </c>
      <c r="BN165" s="1393">
        <f t="shared" si="35"/>
        <v>2.1772234522873246E-2</v>
      </c>
      <c r="BO165" s="1377">
        <f t="shared" si="24"/>
        <v>3.1995608043261794</v>
      </c>
      <c r="BP165" s="208">
        <f t="shared" si="36"/>
        <v>2.1772234522873246E-2</v>
      </c>
      <c r="BQ165" s="1378">
        <f t="shared" si="30"/>
        <v>3.5674917768824757</v>
      </c>
      <c r="BR165" s="1378">
        <f t="shared" si="27"/>
        <v>2.8865775284362623</v>
      </c>
      <c r="BS165" s="153">
        <v>0</v>
      </c>
      <c r="BU165" s="1389">
        <f t="shared" si="31"/>
        <v>40940</v>
      </c>
      <c r="BV165" s="1390">
        <v>2.7445877174965339</v>
      </c>
      <c r="BW165" s="1390">
        <v>2.3267817373177153</v>
      </c>
      <c r="BX165" s="1390"/>
      <c r="BY165" s="1390">
        <v>3.621425206599878</v>
      </c>
      <c r="BZ165" s="1391">
        <v>3.0701390886732596</v>
      </c>
    </row>
    <row r="166" spans="1:78">
      <c r="A166" s="957"/>
      <c r="B166" s="951">
        <v>40360</v>
      </c>
      <c r="C166" s="952">
        <v>51.946596897743994</v>
      </c>
      <c r="D166" s="952"/>
      <c r="E166" s="952"/>
      <c r="F166" s="950"/>
      <c r="G166" s="952"/>
      <c r="H166" s="952"/>
      <c r="I166" s="952"/>
      <c r="J166" s="9"/>
      <c r="K166" s="944">
        <v>41244</v>
      </c>
      <c r="L166" s="953">
        <v>0</v>
      </c>
      <c r="M166" s="953">
        <v>0</v>
      </c>
      <c r="N166" s="953">
        <v>0</v>
      </c>
      <c r="O166" s="13"/>
      <c r="P166" s="953">
        <v>0</v>
      </c>
      <c r="Q166" s="953">
        <v>0</v>
      </c>
      <c r="R166" s="953">
        <v>0</v>
      </c>
      <c r="S166" s="13"/>
      <c r="T166" s="953">
        <v>0</v>
      </c>
      <c r="U166" s="953">
        <v>0</v>
      </c>
      <c r="V166" s="953">
        <v>0</v>
      </c>
      <c r="W166" s="13"/>
      <c r="X166" s="953">
        <v>0</v>
      </c>
      <c r="Y166" s="953">
        <v>0</v>
      </c>
      <c r="Z166" s="953">
        <v>0</v>
      </c>
      <c r="AA166" s="13">
        <v>0</v>
      </c>
      <c r="AB166" s="953">
        <v>0</v>
      </c>
      <c r="AC166" s="953">
        <v>0</v>
      </c>
      <c r="AD166" s="953">
        <v>0</v>
      </c>
      <c r="AE166" s="13"/>
      <c r="AF166" s="953">
        <v>0</v>
      </c>
      <c r="AG166" s="953">
        <v>0</v>
      </c>
      <c r="AH166" s="953">
        <v>0</v>
      </c>
      <c r="AI166" s="13"/>
      <c r="AJ166" s="953">
        <v>0</v>
      </c>
      <c r="AK166" s="953">
        <v>0</v>
      </c>
      <c r="AL166" s="953">
        <v>0</v>
      </c>
      <c r="AM166" s="1455"/>
      <c r="AN166" s="9">
        <v>53</v>
      </c>
      <c r="AO166" s="955">
        <v>0.35</v>
      </c>
      <c r="AP166" s="13"/>
      <c r="AQ166"/>
      <c r="AR166"/>
      <c r="AS166"/>
      <c r="AT166"/>
      <c r="AU166" t="str">
        <f t="shared" si="28"/>
        <v>2013Q2</v>
      </c>
      <c r="AV166">
        <f t="shared" si="29"/>
        <v>2013</v>
      </c>
      <c r="AW166" s="111">
        <f t="shared" si="25"/>
        <v>41395</v>
      </c>
      <c r="AX166" s="136">
        <f t="shared" si="32"/>
        <v>3.1754307064736738</v>
      </c>
      <c r="AY166" s="1541">
        <v>3.1754307064736738</v>
      </c>
      <c r="AZ166" s="136">
        <f t="shared" si="33"/>
        <v>3.1754307064736738</v>
      </c>
      <c r="BA166" s="137">
        <v>1</v>
      </c>
      <c r="BB166" s="137">
        <v>1</v>
      </c>
      <c r="BC166" s="137">
        <v>1</v>
      </c>
      <c r="BD166" s="137">
        <v>0</v>
      </c>
      <c r="BE166" s="137"/>
      <c r="BF166" s="137">
        <v>0</v>
      </c>
      <c r="BG166" s="145">
        <v>0</v>
      </c>
      <c r="BH166" s="153"/>
      <c r="BI166" s="938"/>
      <c r="BJ166" s="924"/>
      <c r="BK166" s="1443">
        <v>0</v>
      </c>
      <c r="BL166" s="905">
        <f t="shared" si="34"/>
        <v>3.1754307064736738</v>
      </c>
      <c r="BM166" s="1287">
        <f t="shared" si="26"/>
        <v>3.1754307064736738</v>
      </c>
      <c r="BN166" s="1393">
        <f t="shared" si="35"/>
        <v>2.1772234522873246E-2</v>
      </c>
      <c r="BO166" s="1377">
        <f t="shared" si="24"/>
        <v>3.1754307064736738</v>
      </c>
      <c r="BP166" s="208">
        <f t="shared" si="36"/>
        <v>2.1772234522873246E-2</v>
      </c>
      <c r="BQ166" s="1378">
        <f t="shared" si="30"/>
        <v>3.5344630016847258</v>
      </c>
      <c r="BR166" s="1378">
        <f t="shared" si="27"/>
        <v>2.8510524828059078</v>
      </c>
      <c r="BS166" s="153">
        <v>0</v>
      </c>
      <c r="BU166" s="1389">
        <f t="shared" si="31"/>
        <v>40969</v>
      </c>
      <c r="BV166" s="1390">
        <v>2.6630959146835935</v>
      </c>
      <c r="BW166" s="1390">
        <v>2.2112765777889445</v>
      </c>
      <c r="BX166" s="1390"/>
      <c r="BY166" s="1390">
        <v>3.5138985034244961</v>
      </c>
      <c r="BZ166" s="1391">
        <v>2.9177324836508576</v>
      </c>
    </row>
    <row r="167" spans="1:78">
      <c r="A167" s="957"/>
      <c r="B167" s="951">
        <v>40391</v>
      </c>
      <c r="C167" s="952">
        <v>73.42741736776604</v>
      </c>
      <c r="D167" s="952"/>
      <c r="E167" s="952"/>
      <c r="F167" s="950"/>
      <c r="G167" s="952"/>
      <c r="H167" s="952"/>
      <c r="I167" s="952"/>
      <c r="J167" s="9"/>
      <c r="K167" s="944">
        <v>41275</v>
      </c>
      <c r="L167" s="953">
        <v>0</v>
      </c>
      <c r="M167" s="953">
        <v>0</v>
      </c>
      <c r="N167" s="953">
        <v>0</v>
      </c>
      <c r="O167" s="13"/>
      <c r="P167" s="953">
        <v>0</v>
      </c>
      <c r="Q167" s="953">
        <v>0</v>
      </c>
      <c r="R167" s="953">
        <v>0</v>
      </c>
      <c r="S167" s="13"/>
      <c r="T167" s="953">
        <v>0</v>
      </c>
      <c r="U167" s="953">
        <v>0</v>
      </c>
      <c r="V167" s="953">
        <v>0</v>
      </c>
      <c r="W167" s="13"/>
      <c r="X167" s="953">
        <v>0</v>
      </c>
      <c r="Y167" s="953">
        <v>0</v>
      </c>
      <c r="Z167" s="953">
        <v>0</v>
      </c>
      <c r="AA167" s="13">
        <v>0</v>
      </c>
      <c r="AB167" s="953">
        <v>0</v>
      </c>
      <c r="AC167" s="953">
        <v>0</v>
      </c>
      <c r="AD167" s="953">
        <v>0</v>
      </c>
      <c r="AE167" s="13"/>
      <c r="AF167" s="953">
        <v>0</v>
      </c>
      <c r="AG167" s="953">
        <v>0</v>
      </c>
      <c r="AH167" s="953">
        <v>0</v>
      </c>
      <c r="AI167" s="13"/>
      <c r="AJ167" s="953">
        <v>0</v>
      </c>
      <c r="AK167" s="953">
        <v>0</v>
      </c>
      <c r="AL167" s="953">
        <v>0</v>
      </c>
      <c r="AM167" s="1455"/>
      <c r="AN167" s="9">
        <v>53</v>
      </c>
      <c r="AO167" s="955">
        <v>0.35</v>
      </c>
      <c r="AP167" s="13"/>
      <c r="AQ167"/>
      <c r="AR167"/>
      <c r="AS167"/>
      <c r="AT167"/>
      <c r="AU167" t="str">
        <f t="shared" si="28"/>
        <v>2013Q2</v>
      </c>
      <c r="AV167">
        <f t="shared" si="29"/>
        <v>2013</v>
      </c>
      <c r="AW167" s="111">
        <f t="shared" si="25"/>
        <v>41426</v>
      </c>
      <c r="AX167" s="136">
        <f t="shared" si="32"/>
        <v>3.2137880761691608</v>
      </c>
      <c r="AY167" s="1541">
        <v>3.2137880761691608</v>
      </c>
      <c r="AZ167" s="136">
        <f t="shared" si="33"/>
        <v>3.2137880761691608</v>
      </c>
      <c r="BA167" s="137">
        <v>1</v>
      </c>
      <c r="BB167" s="137">
        <v>1</v>
      </c>
      <c r="BC167" s="137">
        <v>1</v>
      </c>
      <c r="BD167" s="137">
        <v>0</v>
      </c>
      <c r="BE167" s="137"/>
      <c r="BF167" s="137">
        <v>0</v>
      </c>
      <c r="BG167" s="145">
        <v>0</v>
      </c>
      <c r="BH167" s="153"/>
      <c r="BI167" s="938"/>
      <c r="BJ167" s="924"/>
      <c r="BK167" s="1443">
        <v>0</v>
      </c>
      <c r="BL167" s="905">
        <f t="shared" si="34"/>
        <v>3.2137880761691608</v>
      </c>
      <c r="BM167" s="1287">
        <f t="shared" si="26"/>
        <v>3.2137880761691608</v>
      </c>
      <c r="BN167" s="1393">
        <f t="shared" si="35"/>
        <v>2.1772234522873468E-2</v>
      </c>
      <c r="BO167" s="1377">
        <f t="shared" si="24"/>
        <v>3.2137880761691608</v>
      </c>
      <c r="BP167" s="208">
        <f t="shared" si="36"/>
        <v>2.1772234522873468E-2</v>
      </c>
      <c r="BQ167" s="1378">
        <f t="shared" si="30"/>
        <v>3.5406078900936091</v>
      </c>
      <c r="BR167" s="1378">
        <f t="shared" si="27"/>
        <v>2.86043645712336</v>
      </c>
      <c r="BS167" s="153">
        <v>0</v>
      </c>
      <c r="BU167" s="1389">
        <f t="shared" si="31"/>
        <v>41000</v>
      </c>
      <c r="BV167" s="1390">
        <v>2.6102667459634796</v>
      </c>
      <c r="BW167" s="1390">
        <v>2.1440645237528067</v>
      </c>
      <c r="BX167" s="1390"/>
      <c r="BY167" s="1390">
        <v>3.4441915372280403</v>
      </c>
      <c r="BZ167" s="1391">
        <v>2.8290476057283396</v>
      </c>
    </row>
    <row r="168" spans="1:78">
      <c r="A168" s="957"/>
      <c r="B168" s="951">
        <v>40422</v>
      </c>
      <c r="C168" s="952">
        <v>58.83224351122616</v>
      </c>
      <c r="D168" s="952"/>
      <c r="E168" s="952"/>
      <c r="F168" s="950"/>
      <c r="G168" s="952"/>
      <c r="H168" s="952"/>
      <c r="I168" s="952"/>
      <c r="J168" s="9"/>
      <c r="K168" s="944">
        <v>41306</v>
      </c>
      <c r="L168" s="953">
        <v>0</v>
      </c>
      <c r="M168" s="953">
        <v>0</v>
      </c>
      <c r="N168" s="953">
        <v>0</v>
      </c>
      <c r="O168" s="13"/>
      <c r="P168" s="953">
        <v>0</v>
      </c>
      <c r="Q168" s="953">
        <v>0</v>
      </c>
      <c r="R168" s="953">
        <v>0</v>
      </c>
      <c r="S168" s="13"/>
      <c r="T168" s="953">
        <v>0</v>
      </c>
      <c r="U168" s="953">
        <v>0</v>
      </c>
      <c r="V168" s="953">
        <v>0</v>
      </c>
      <c r="W168" s="13"/>
      <c r="X168" s="953">
        <v>0</v>
      </c>
      <c r="Y168" s="953">
        <v>0</v>
      </c>
      <c r="Z168" s="953">
        <v>0</v>
      </c>
      <c r="AA168" s="13">
        <v>0</v>
      </c>
      <c r="AB168" s="953">
        <v>0</v>
      </c>
      <c r="AC168" s="953">
        <v>0</v>
      </c>
      <c r="AD168" s="953">
        <v>0</v>
      </c>
      <c r="AE168" s="13"/>
      <c r="AF168" s="953">
        <v>0</v>
      </c>
      <c r="AG168" s="953">
        <v>0</v>
      </c>
      <c r="AH168" s="953">
        <v>0</v>
      </c>
      <c r="AI168" s="13"/>
      <c r="AJ168" s="953">
        <v>0</v>
      </c>
      <c r="AK168" s="953">
        <v>0</v>
      </c>
      <c r="AL168" s="953">
        <v>0</v>
      </c>
      <c r="AM168" s="1455"/>
      <c r="AN168" s="9">
        <v>53</v>
      </c>
      <c r="AO168" s="955">
        <v>0.35</v>
      </c>
      <c r="AP168" s="13"/>
      <c r="AQ168"/>
      <c r="AR168"/>
      <c r="AS168"/>
      <c r="AT168"/>
      <c r="AU168" t="str">
        <f t="shared" si="28"/>
        <v>2013Q3</v>
      </c>
      <c r="AV168">
        <f t="shared" si="29"/>
        <v>2013</v>
      </c>
      <c r="AW168" s="111">
        <f t="shared" si="25"/>
        <v>41456</v>
      </c>
      <c r="AX168" s="136">
        <f t="shared" si="32"/>
        <v>3.3015119259582248</v>
      </c>
      <c r="AY168" s="1541">
        <v>3.3015119259582248</v>
      </c>
      <c r="AZ168" s="136">
        <f t="shared" si="33"/>
        <v>3.3015119259582248</v>
      </c>
      <c r="BA168" s="137">
        <v>1</v>
      </c>
      <c r="BB168" s="137">
        <v>1</v>
      </c>
      <c r="BC168" s="137">
        <v>1</v>
      </c>
      <c r="BD168" s="137">
        <v>0</v>
      </c>
      <c r="BE168" s="137"/>
      <c r="BF168" s="137">
        <v>0</v>
      </c>
      <c r="BG168" s="145">
        <v>0</v>
      </c>
      <c r="BH168" s="153"/>
      <c r="BI168" s="938"/>
      <c r="BJ168" s="924"/>
      <c r="BK168" s="1443">
        <v>0</v>
      </c>
      <c r="BL168" s="905">
        <f t="shared" si="34"/>
        <v>3.3015119259582248</v>
      </c>
      <c r="BM168" s="1287">
        <f t="shared" si="26"/>
        <v>3.3015119259582248</v>
      </c>
      <c r="BN168" s="1393">
        <f t="shared" si="35"/>
        <v>2.1772234522873024E-2</v>
      </c>
      <c r="BO168" s="1377">
        <f t="shared" si="24"/>
        <v>3.3015119259582248</v>
      </c>
      <c r="BP168" s="208">
        <f t="shared" si="36"/>
        <v>2.1772234522873024E-2</v>
      </c>
      <c r="BQ168" s="1378">
        <f t="shared" si="30"/>
        <v>3.5859264421091259</v>
      </c>
      <c r="BR168" s="1378">
        <f t="shared" si="27"/>
        <v>2.9046751931913484</v>
      </c>
      <c r="BS168" s="153">
        <v>0</v>
      </c>
      <c r="BU168" s="1389">
        <f t="shared" si="31"/>
        <v>41030</v>
      </c>
      <c r="BV168" s="1390">
        <v>2.5861002113361935</v>
      </c>
      <c r="BW168" s="1390">
        <v>2.1176775692052856</v>
      </c>
      <c r="BX168" s="1390"/>
      <c r="BY168" s="1390">
        <v>3.4123043080105129</v>
      </c>
      <c r="BZ168" s="1391">
        <v>2.7942305795809799</v>
      </c>
    </row>
    <row r="169" spans="1:78">
      <c r="A169" s="957"/>
      <c r="B169" s="951">
        <v>40452</v>
      </c>
      <c r="C169" s="952">
        <v>49.106328976042732</v>
      </c>
      <c r="D169" s="952"/>
      <c r="E169" s="952"/>
      <c r="F169" s="950"/>
      <c r="G169" s="952"/>
      <c r="H169" s="952"/>
      <c r="I169" s="952"/>
      <c r="J169" s="9"/>
      <c r="K169" s="944">
        <v>41334</v>
      </c>
      <c r="L169" s="953">
        <v>0</v>
      </c>
      <c r="M169" s="953">
        <v>0</v>
      </c>
      <c r="N169" s="953">
        <v>0</v>
      </c>
      <c r="O169" s="13"/>
      <c r="P169" s="953">
        <v>0</v>
      </c>
      <c r="Q169" s="953">
        <v>0</v>
      </c>
      <c r="R169" s="953">
        <v>0</v>
      </c>
      <c r="S169" s="13"/>
      <c r="T169" s="953">
        <v>0</v>
      </c>
      <c r="U169" s="953">
        <v>0</v>
      </c>
      <c r="V169" s="953">
        <v>0</v>
      </c>
      <c r="W169" s="13"/>
      <c r="X169" s="953">
        <v>0</v>
      </c>
      <c r="Y169" s="953">
        <v>0</v>
      </c>
      <c r="Z169" s="953">
        <v>0</v>
      </c>
      <c r="AA169" s="13">
        <v>0</v>
      </c>
      <c r="AB169" s="953">
        <v>0</v>
      </c>
      <c r="AC169" s="953">
        <v>0</v>
      </c>
      <c r="AD169" s="953">
        <v>0</v>
      </c>
      <c r="AE169" s="13"/>
      <c r="AF169" s="953">
        <v>0</v>
      </c>
      <c r="AG169" s="953">
        <v>0</v>
      </c>
      <c r="AH169" s="953">
        <v>0</v>
      </c>
      <c r="AI169" s="13"/>
      <c r="AJ169" s="953">
        <v>0</v>
      </c>
      <c r="AK169" s="953">
        <v>0</v>
      </c>
      <c r="AL169" s="953">
        <v>0</v>
      </c>
      <c r="AM169" s="1455"/>
      <c r="AN169" s="9">
        <v>54</v>
      </c>
      <c r="AO169" s="955">
        <v>0.35</v>
      </c>
      <c r="AP169" s="13"/>
      <c r="AQ169"/>
      <c r="AR169"/>
      <c r="AS169"/>
      <c r="AT169"/>
      <c r="AU169" t="str">
        <f t="shared" si="28"/>
        <v>2013Q3</v>
      </c>
      <c r="AV169">
        <f t="shared" si="29"/>
        <v>2013</v>
      </c>
      <c r="AW169" s="111">
        <f t="shared" si="25"/>
        <v>41487</v>
      </c>
      <c r="AX169" s="136">
        <f t="shared" si="32"/>
        <v>3.4260980118838487</v>
      </c>
      <c r="AY169" s="1541">
        <v>3.4260980118838487</v>
      </c>
      <c r="AZ169" s="136">
        <f t="shared" si="33"/>
        <v>3.4260980118838487</v>
      </c>
      <c r="BA169" s="137">
        <v>1</v>
      </c>
      <c r="BB169" s="137">
        <v>1</v>
      </c>
      <c r="BC169" s="137">
        <v>1</v>
      </c>
      <c r="BD169" s="137">
        <v>0</v>
      </c>
      <c r="BE169" s="137"/>
      <c r="BF169" s="137">
        <v>0</v>
      </c>
      <c r="BG169" s="145">
        <v>0</v>
      </c>
      <c r="BH169" s="153"/>
      <c r="BI169" s="938"/>
      <c r="BJ169" s="924"/>
      <c r="BK169" s="1443">
        <v>0</v>
      </c>
      <c r="BL169" s="905">
        <f t="shared" si="34"/>
        <v>3.4260980118838487</v>
      </c>
      <c r="BM169" s="1287">
        <f t="shared" si="26"/>
        <v>3.4260980118838487</v>
      </c>
      <c r="BN169" s="1393">
        <f t="shared" si="35"/>
        <v>2.1772234522873024E-2</v>
      </c>
      <c r="BO169" s="1377">
        <f t="shared" si="24"/>
        <v>3.4260980118838487</v>
      </c>
      <c r="BP169" s="208">
        <f t="shared" si="36"/>
        <v>2.1772234522873024E-2</v>
      </c>
      <c r="BQ169" s="1378">
        <f t="shared" si="30"/>
        <v>3.6704186577312745</v>
      </c>
      <c r="BR169" s="1378">
        <f t="shared" si="27"/>
        <v>2.9737144328126042</v>
      </c>
      <c r="BS169" s="153">
        <v>0</v>
      </c>
      <c r="BU169" s="1389">
        <f t="shared" si="31"/>
        <v>41061</v>
      </c>
      <c r="BV169" s="1390">
        <v>2.5905963108017351</v>
      </c>
      <c r="BW169" s="1390">
        <v>2.1246477081423665</v>
      </c>
      <c r="BX169" s="1390"/>
      <c r="BY169" s="1390">
        <v>3.4182368157719134</v>
      </c>
      <c r="BZ169" s="1391">
        <v>2.8034275298840559</v>
      </c>
    </row>
    <row r="170" spans="1:78">
      <c r="A170" s="957"/>
      <c r="B170" s="951">
        <v>40483</v>
      </c>
      <c r="C170" s="952">
        <v>49.650710620787542</v>
      </c>
      <c r="D170" s="952"/>
      <c r="E170" s="952"/>
      <c r="F170" s="950"/>
      <c r="G170" s="952"/>
      <c r="H170" s="952"/>
      <c r="I170" s="952"/>
      <c r="J170" s="9"/>
      <c r="K170" s="944">
        <v>41365</v>
      </c>
      <c r="L170" s="953">
        <v>0</v>
      </c>
      <c r="M170" s="953">
        <v>0</v>
      </c>
      <c r="N170" s="953">
        <v>0</v>
      </c>
      <c r="O170" s="13"/>
      <c r="P170" s="953">
        <v>0</v>
      </c>
      <c r="Q170" s="953">
        <v>0</v>
      </c>
      <c r="R170" s="953">
        <v>0</v>
      </c>
      <c r="S170" s="13"/>
      <c r="T170" s="953">
        <v>0</v>
      </c>
      <c r="U170" s="953">
        <v>0</v>
      </c>
      <c r="V170" s="953">
        <v>0</v>
      </c>
      <c r="W170" s="13"/>
      <c r="X170" s="953">
        <v>0</v>
      </c>
      <c r="Y170" s="953">
        <v>0</v>
      </c>
      <c r="Z170" s="953">
        <v>0</v>
      </c>
      <c r="AA170" s="13">
        <v>0</v>
      </c>
      <c r="AB170" s="953">
        <v>0</v>
      </c>
      <c r="AC170" s="953">
        <v>0</v>
      </c>
      <c r="AD170" s="953">
        <v>0</v>
      </c>
      <c r="AE170" s="13"/>
      <c r="AF170" s="953">
        <v>0</v>
      </c>
      <c r="AG170" s="953">
        <v>0</v>
      </c>
      <c r="AH170" s="953">
        <v>0</v>
      </c>
      <c r="AI170" s="13"/>
      <c r="AJ170" s="953">
        <v>0</v>
      </c>
      <c r="AK170" s="953">
        <v>0</v>
      </c>
      <c r="AL170" s="953">
        <v>0</v>
      </c>
      <c r="AM170" s="1455"/>
      <c r="AN170" s="9">
        <v>54</v>
      </c>
      <c r="AO170" s="955">
        <v>0.35</v>
      </c>
      <c r="AP170" s="13"/>
      <c r="AQ170"/>
      <c r="AR170"/>
      <c r="AS170"/>
      <c r="AT170"/>
      <c r="AU170" t="str">
        <f t="shared" si="28"/>
        <v>2013Q3</v>
      </c>
      <c r="AV170">
        <f t="shared" si="29"/>
        <v>2013</v>
      </c>
      <c r="AW170" s="111">
        <f t="shared" si="25"/>
        <v>41518</v>
      </c>
      <c r="AX170" s="136">
        <f t="shared" si="32"/>
        <v>3.5744299681480443</v>
      </c>
      <c r="AY170" s="1541">
        <v>3.5744299681480443</v>
      </c>
      <c r="AZ170" s="136">
        <f t="shared" si="33"/>
        <v>3.5744299681480443</v>
      </c>
      <c r="BA170" s="137">
        <v>1</v>
      </c>
      <c r="BB170" s="137">
        <v>1</v>
      </c>
      <c r="BC170" s="137">
        <v>1</v>
      </c>
      <c r="BD170" s="137">
        <v>0</v>
      </c>
      <c r="BE170" s="137"/>
      <c r="BF170" s="137">
        <v>0</v>
      </c>
      <c r="BG170" s="145">
        <v>0</v>
      </c>
      <c r="BH170" s="153"/>
      <c r="BI170" s="938"/>
      <c r="BJ170" s="924"/>
      <c r="BK170" s="1443">
        <v>0</v>
      </c>
      <c r="BL170" s="905">
        <f t="shared" si="34"/>
        <v>3.5744299681480443</v>
      </c>
      <c r="BM170" s="1287">
        <f t="shared" si="26"/>
        <v>3.5744299681480443</v>
      </c>
      <c r="BN170" s="1393">
        <f t="shared" si="35"/>
        <v>2.1772234522873246E-2</v>
      </c>
      <c r="BO170" s="1377">
        <f t="shared" si="24"/>
        <v>3.5744299681480443</v>
      </c>
      <c r="BP170" s="208">
        <f t="shared" si="36"/>
        <v>2.1772234522873246E-2</v>
      </c>
      <c r="BQ170" s="1378">
        <f t="shared" si="30"/>
        <v>3.7940845369600567</v>
      </c>
      <c r="BR170" s="1378">
        <f t="shared" si="27"/>
        <v>3.0574999177898547</v>
      </c>
      <c r="BS170" s="153">
        <v>0</v>
      </c>
      <c r="BU170" s="1389">
        <f t="shared" si="31"/>
        <v>41091</v>
      </c>
      <c r="BV170" s="1390">
        <v>2.6237550443601045</v>
      </c>
      <c r="BW170" s="1390">
        <v>2.157506934560034</v>
      </c>
      <c r="BX170" s="1390"/>
      <c r="BY170" s="1390">
        <v>3.4619890605122419</v>
      </c>
      <c r="BZ170" s="1391">
        <v>2.8467845813128427</v>
      </c>
    </row>
    <row r="171" spans="1:78">
      <c r="A171" s="957"/>
      <c r="B171" s="951">
        <v>40513</v>
      </c>
      <c r="C171" s="952">
        <v>47.920685127583674</v>
      </c>
      <c r="D171" s="952"/>
      <c r="E171" s="952"/>
      <c r="F171" s="950"/>
      <c r="G171" s="952"/>
      <c r="H171" s="952"/>
      <c r="I171" s="952"/>
      <c r="J171" s="9"/>
      <c r="K171" s="944">
        <v>41395</v>
      </c>
      <c r="L171" s="953">
        <v>0</v>
      </c>
      <c r="M171" s="953">
        <v>0</v>
      </c>
      <c r="N171" s="953">
        <v>0</v>
      </c>
      <c r="O171" s="13"/>
      <c r="P171" s="953">
        <v>0</v>
      </c>
      <c r="Q171" s="953">
        <v>0</v>
      </c>
      <c r="R171" s="953">
        <v>0</v>
      </c>
      <c r="S171" s="13"/>
      <c r="T171" s="953">
        <v>0</v>
      </c>
      <c r="U171" s="953">
        <v>0</v>
      </c>
      <c r="V171" s="953">
        <v>0</v>
      </c>
      <c r="W171" s="13"/>
      <c r="X171" s="953">
        <v>0</v>
      </c>
      <c r="Y171" s="953">
        <v>0</v>
      </c>
      <c r="Z171" s="953">
        <v>0</v>
      </c>
      <c r="AA171" s="13">
        <v>0</v>
      </c>
      <c r="AB171" s="953">
        <v>0</v>
      </c>
      <c r="AC171" s="953">
        <v>0</v>
      </c>
      <c r="AD171" s="953">
        <v>0</v>
      </c>
      <c r="AE171" s="13"/>
      <c r="AF171" s="953">
        <v>0</v>
      </c>
      <c r="AG171" s="953">
        <v>0</v>
      </c>
      <c r="AH171" s="953">
        <v>0</v>
      </c>
      <c r="AI171" s="13"/>
      <c r="AJ171" s="953">
        <v>0</v>
      </c>
      <c r="AK171" s="953">
        <v>0</v>
      </c>
      <c r="AL171" s="953">
        <v>0</v>
      </c>
      <c r="AM171" s="1455"/>
      <c r="AN171" s="9">
        <v>54</v>
      </c>
      <c r="AO171" s="955">
        <v>0.35</v>
      </c>
      <c r="AP171" s="13"/>
      <c r="AQ171"/>
      <c r="AR171"/>
      <c r="AS171"/>
      <c r="AT171"/>
      <c r="AU171" t="str">
        <f t="shared" si="28"/>
        <v>2013Q4</v>
      </c>
      <c r="AV171">
        <f t="shared" si="29"/>
        <v>2013</v>
      </c>
      <c r="AW171" s="111">
        <f t="shared" si="25"/>
        <v>41548</v>
      </c>
      <c r="AX171" s="136">
        <f t="shared" si="32"/>
        <v>3.733275551333862</v>
      </c>
      <c r="AY171" s="1541">
        <v>3.733275551333862</v>
      </c>
      <c r="AZ171" s="136">
        <f t="shared" si="33"/>
        <v>3.733275551333862</v>
      </c>
      <c r="BA171" s="137">
        <v>1</v>
      </c>
      <c r="BB171" s="137">
        <v>1</v>
      </c>
      <c r="BC171" s="137">
        <v>1</v>
      </c>
      <c r="BD171" s="137">
        <v>0</v>
      </c>
      <c r="BE171" s="137"/>
      <c r="BF171" s="137">
        <v>0</v>
      </c>
      <c r="BG171" s="145">
        <v>0</v>
      </c>
      <c r="BH171" s="153"/>
      <c r="BI171" s="938"/>
      <c r="BJ171" s="924"/>
      <c r="BK171" s="1443">
        <v>0</v>
      </c>
      <c r="BL171" s="905">
        <f t="shared" si="34"/>
        <v>3.733275551333862</v>
      </c>
      <c r="BM171" s="1287">
        <f t="shared" si="26"/>
        <v>3.733275551333862</v>
      </c>
      <c r="BN171" s="1393">
        <f t="shared" si="35"/>
        <v>2.1772234522873024E-2</v>
      </c>
      <c r="BO171" s="1377">
        <f t="shared" si="24"/>
        <v>3.733275551333862</v>
      </c>
      <c r="BP171" s="208">
        <f t="shared" si="36"/>
        <v>2.1772234522873024E-2</v>
      </c>
      <c r="BQ171" s="1378">
        <f t="shared" si="30"/>
        <v>3.9569240797954719</v>
      </c>
      <c r="BR171" s="1378">
        <f t="shared" si="27"/>
        <v>3.1459773899258332</v>
      </c>
      <c r="BS171" s="153">
        <v>0</v>
      </c>
      <c r="BU171" s="1389">
        <f t="shared" si="31"/>
        <v>41122</v>
      </c>
      <c r="BV171" s="1390">
        <v>2.6855764120113008</v>
      </c>
      <c r="BW171" s="1390">
        <v>2.2087872424542732</v>
      </c>
      <c r="BX171" s="1390"/>
      <c r="BY171" s="1390">
        <v>3.5435610422314974</v>
      </c>
      <c r="BZ171" s="1391">
        <v>2.9144478585426166</v>
      </c>
    </row>
    <row r="172" spans="1:78">
      <c r="A172" s="957"/>
      <c r="B172" s="951">
        <v>40544</v>
      </c>
      <c r="C172" s="952">
        <v>47.493221035306419</v>
      </c>
      <c r="D172" s="952"/>
      <c r="E172" s="952"/>
      <c r="F172" s="950"/>
      <c r="G172" s="952"/>
      <c r="H172" s="952"/>
      <c r="I172" s="952"/>
      <c r="J172" s="9"/>
      <c r="K172" s="944">
        <v>41426</v>
      </c>
      <c r="L172" s="953">
        <v>0</v>
      </c>
      <c r="M172" s="953">
        <v>0</v>
      </c>
      <c r="N172" s="953">
        <v>0</v>
      </c>
      <c r="O172" s="13"/>
      <c r="P172" s="953">
        <v>0</v>
      </c>
      <c r="Q172" s="953">
        <v>0</v>
      </c>
      <c r="R172" s="953">
        <v>0</v>
      </c>
      <c r="S172" s="13"/>
      <c r="T172" s="953">
        <v>0</v>
      </c>
      <c r="U172" s="953">
        <v>0</v>
      </c>
      <c r="V172" s="953">
        <v>0</v>
      </c>
      <c r="W172" s="13"/>
      <c r="X172" s="953">
        <v>0</v>
      </c>
      <c r="Y172" s="953">
        <v>0</v>
      </c>
      <c r="Z172" s="953">
        <v>0</v>
      </c>
      <c r="AA172" s="13">
        <v>0</v>
      </c>
      <c r="AB172" s="953">
        <v>0</v>
      </c>
      <c r="AC172" s="953">
        <v>0</v>
      </c>
      <c r="AD172" s="953">
        <v>0</v>
      </c>
      <c r="AE172" s="13"/>
      <c r="AF172" s="953">
        <v>0</v>
      </c>
      <c r="AG172" s="953">
        <v>0</v>
      </c>
      <c r="AH172" s="953">
        <v>0</v>
      </c>
      <c r="AI172" s="13"/>
      <c r="AJ172" s="953">
        <v>0</v>
      </c>
      <c r="AK172" s="953">
        <v>0</v>
      </c>
      <c r="AL172" s="953">
        <v>0</v>
      </c>
      <c r="AM172" s="1455"/>
      <c r="AN172" s="9">
        <v>55</v>
      </c>
      <c r="AO172" s="955">
        <v>0.35</v>
      </c>
      <c r="AP172" s="13"/>
      <c r="AQ172"/>
      <c r="AR172"/>
      <c r="AS172"/>
      <c r="AT172"/>
      <c r="AU172" t="str">
        <f t="shared" si="28"/>
        <v>2013Q4</v>
      </c>
      <c r="AV172">
        <f t="shared" si="29"/>
        <v>2013</v>
      </c>
      <c r="AW172" s="111">
        <f t="shared" si="25"/>
        <v>41579</v>
      </c>
      <c r="AX172" s="136">
        <f t="shared" si="32"/>
        <v>3.8899131866134415</v>
      </c>
      <c r="AY172" s="1541">
        <v>3.8899131866134415</v>
      </c>
      <c r="AZ172" s="136">
        <f t="shared" si="33"/>
        <v>3.8899131866134415</v>
      </c>
      <c r="BA172" s="137">
        <v>1</v>
      </c>
      <c r="BB172" s="137">
        <v>1</v>
      </c>
      <c r="BC172" s="137">
        <v>1</v>
      </c>
      <c r="BD172" s="137">
        <v>0</v>
      </c>
      <c r="BE172" s="137"/>
      <c r="BF172" s="137">
        <v>0</v>
      </c>
      <c r="BG172" s="145">
        <v>0</v>
      </c>
      <c r="BH172" s="153"/>
      <c r="BI172" s="938"/>
      <c r="BJ172" s="924"/>
      <c r="BK172" s="1443">
        <v>0</v>
      </c>
      <c r="BL172" s="905">
        <f t="shared" si="34"/>
        <v>3.8899131866134415</v>
      </c>
      <c r="BM172" s="1287">
        <f t="shared" si="26"/>
        <v>3.8899131866134415</v>
      </c>
      <c r="BN172" s="1393">
        <f t="shared" si="35"/>
        <v>2.1772234522873246E-2</v>
      </c>
      <c r="BO172" s="1377">
        <f t="shared" si="24"/>
        <v>3.8899131866134415</v>
      </c>
      <c r="BP172" s="208">
        <f t="shared" si="36"/>
        <v>2.1772234522873246E-2</v>
      </c>
      <c r="BQ172" s="1378">
        <f t="shared" si="30"/>
        <v>4.1589372862375207</v>
      </c>
      <c r="BR172" s="1378">
        <f t="shared" si="27"/>
        <v>3.2290925910232673</v>
      </c>
      <c r="BS172" s="153">
        <v>0</v>
      </c>
      <c r="BU172" s="1389">
        <f t="shared" si="31"/>
        <v>41153</v>
      </c>
      <c r="BV172" s="1390">
        <v>2.7760604137553253</v>
      </c>
      <c r="BW172" s="1390">
        <v>2.2710206258210675</v>
      </c>
      <c r="BX172" s="1390"/>
      <c r="BY172" s="1390">
        <v>3.6629527609296817</v>
      </c>
      <c r="BZ172" s="1391">
        <v>2.9965634862486521</v>
      </c>
    </row>
    <row r="173" spans="1:78">
      <c r="A173" s="957"/>
      <c r="B173" s="951">
        <v>40575</v>
      </c>
      <c r="C173" s="952">
        <v>39.502039255831264</v>
      </c>
      <c r="D173" s="952"/>
      <c r="E173" s="952"/>
      <c r="F173" s="950"/>
      <c r="G173" s="952"/>
      <c r="H173" s="952"/>
      <c r="I173" s="952"/>
      <c r="J173" s="9"/>
      <c r="K173" s="944">
        <v>41456</v>
      </c>
      <c r="L173" s="953">
        <v>0</v>
      </c>
      <c r="M173" s="953">
        <v>0</v>
      </c>
      <c r="N173" s="953">
        <v>0</v>
      </c>
      <c r="O173" s="13"/>
      <c r="P173" s="953">
        <v>0</v>
      </c>
      <c r="Q173" s="953">
        <v>0</v>
      </c>
      <c r="R173" s="953">
        <v>0</v>
      </c>
      <c r="S173" s="13"/>
      <c r="T173" s="953">
        <v>0</v>
      </c>
      <c r="U173" s="953">
        <v>0</v>
      </c>
      <c r="V173" s="953">
        <v>0</v>
      </c>
      <c r="W173" s="13"/>
      <c r="X173" s="953">
        <v>0</v>
      </c>
      <c r="Y173" s="953">
        <v>0</v>
      </c>
      <c r="Z173" s="953">
        <v>0</v>
      </c>
      <c r="AA173" s="13">
        <v>0</v>
      </c>
      <c r="AB173" s="953">
        <v>0</v>
      </c>
      <c r="AC173" s="953">
        <v>0</v>
      </c>
      <c r="AD173" s="953">
        <v>0</v>
      </c>
      <c r="AE173" s="13"/>
      <c r="AF173" s="953">
        <v>0</v>
      </c>
      <c r="AG173" s="953">
        <v>0</v>
      </c>
      <c r="AH173" s="953">
        <v>0</v>
      </c>
      <c r="AI173" s="13"/>
      <c r="AJ173" s="953">
        <v>0</v>
      </c>
      <c r="AK173" s="953">
        <v>0</v>
      </c>
      <c r="AL173" s="953">
        <v>0</v>
      </c>
      <c r="AM173" s="1455"/>
      <c r="AN173" s="9">
        <v>55</v>
      </c>
      <c r="AO173" s="955">
        <v>0.35</v>
      </c>
      <c r="AP173" s="13"/>
      <c r="AQ173"/>
      <c r="AR173"/>
      <c r="AS173"/>
      <c r="AT173"/>
      <c r="AU173" t="str">
        <f t="shared" si="28"/>
        <v>2013Q4</v>
      </c>
      <c r="AV173">
        <f t="shared" si="29"/>
        <v>2013</v>
      </c>
      <c r="AW173" s="111">
        <f t="shared" si="25"/>
        <v>41609</v>
      </c>
      <c r="AX173" s="136">
        <f t="shared" si="32"/>
        <v>4.0553710379998229</v>
      </c>
      <c r="AY173" s="1541">
        <v>4.0553710379998229</v>
      </c>
      <c r="AZ173" s="136">
        <f t="shared" si="33"/>
        <v>4.0553710379998229</v>
      </c>
      <c r="BA173" s="137">
        <v>1</v>
      </c>
      <c r="BB173" s="137">
        <v>1</v>
      </c>
      <c r="BC173" s="137">
        <v>1</v>
      </c>
      <c r="BD173" s="137">
        <v>0</v>
      </c>
      <c r="BE173" s="137"/>
      <c r="BF173" s="137">
        <v>0</v>
      </c>
      <c r="BG173" s="145">
        <v>0</v>
      </c>
      <c r="BH173" s="153"/>
      <c r="BI173" s="938"/>
      <c r="BJ173" s="924"/>
      <c r="BK173" s="1443">
        <v>0</v>
      </c>
      <c r="BL173" s="905">
        <f t="shared" si="34"/>
        <v>4.0553710379998229</v>
      </c>
      <c r="BM173" s="1287">
        <f t="shared" si="26"/>
        <v>4.0553710379998229</v>
      </c>
      <c r="BN173" s="1393">
        <f t="shared" si="35"/>
        <v>2.1772234522873024E-2</v>
      </c>
      <c r="BO173" s="1377">
        <f t="shared" si="24"/>
        <v>4.0553710379998229</v>
      </c>
      <c r="BP173" s="208">
        <f t="shared" si="36"/>
        <v>2.1772234522873024E-2</v>
      </c>
      <c r="BQ173" s="1378">
        <f t="shared" si="30"/>
        <v>4.2467938282635336</v>
      </c>
      <c r="BR173" s="1378">
        <f t="shared" si="27"/>
        <v>3.2967912628848843</v>
      </c>
      <c r="BS173" s="153">
        <v>0</v>
      </c>
      <c r="BU173" s="1389">
        <f t="shared" si="31"/>
        <v>41183</v>
      </c>
      <c r="BV173" s="1390">
        <v>2.8952070495921767</v>
      </c>
      <c r="BW173" s="1390">
        <v>2.3367390786564028</v>
      </c>
      <c r="BX173" s="1390"/>
      <c r="BY173" s="1390">
        <v>3.8201642166067926</v>
      </c>
      <c r="BZ173" s="1391">
        <v>3.0832775891062258</v>
      </c>
    </row>
    <row r="174" spans="1:78">
      <c r="A174" s="957"/>
      <c r="B174" s="951">
        <v>40603</v>
      </c>
      <c r="C174" s="952">
        <v>37.503949417507144</v>
      </c>
      <c r="D174" s="952"/>
      <c r="E174" s="952"/>
      <c r="F174" s="950"/>
      <c r="G174" s="952"/>
      <c r="H174" s="952"/>
      <c r="I174" s="952"/>
      <c r="J174" s="9"/>
      <c r="K174" s="944">
        <v>41487</v>
      </c>
      <c r="L174" s="953">
        <v>0</v>
      </c>
      <c r="M174" s="953">
        <v>0</v>
      </c>
      <c r="N174" s="953">
        <v>0</v>
      </c>
      <c r="O174" s="13"/>
      <c r="P174" s="953">
        <v>0</v>
      </c>
      <c r="Q174" s="953">
        <v>0</v>
      </c>
      <c r="R174" s="953">
        <v>0</v>
      </c>
      <c r="S174" s="13"/>
      <c r="T174" s="953">
        <v>0</v>
      </c>
      <c r="U174" s="953">
        <v>0</v>
      </c>
      <c r="V174" s="953">
        <v>0</v>
      </c>
      <c r="W174" s="13"/>
      <c r="X174" s="953">
        <v>0</v>
      </c>
      <c r="Y174" s="953">
        <v>0</v>
      </c>
      <c r="Z174" s="953">
        <v>0</v>
      </c>
      <c r="AA174" s="13">
        <v>0</v>
      </c>
      <c r="AB174" s="953">
        <v>0</v>
      </c>
      <c r="AC174" s="953">
        <v>0</v>
      </c>
      <c r="AD174" s="953">
        <v>0</v>
      </c>
      <c r="AE174" s="13"/>
      <c r="AF174" s="953">
        <v>0</v>
      </c>
      <c r="AG174" s="953">
        <v>0</v>
      </c>
      <c r="AH174" s="953">
        <v>0</v>
      </c>
      <c r="AI174" s="13"/>
      <c r="AJ174" s="953">
        <v>0</v>
      </c>
      <c r="AK174" s="953">
        <v>0</v>
      </c>
      <c r="AL174" s="953">
        <v>0</v>
      </c>
      <c r="AM174" s="1455"/>
      <c r="AN174" s="9">
        <v>55</v>
      </c>
      <c r="AO174" s="955">
        <v>0.35</v>
      </c>
      <c r="AP174" s="13"/>
      <c r="AQ174"/>
      <c r="AR174"/>
      <c r="AS174"/>
      <c r="AT174"/>
      <c r="AU174" t="str">
        <f t="shared" si="28"/>
        <v>2014Q1</v>
      </c>
      <c r="AV174">
        <f t="shared" si="29"/>
        <v>2014</v>
      </c>
      <c r="AW174" s="111">
        <f t="shared" si="25"/>
        <v>41640</v>
      </c>
      <c r="AX174" s="136">
        <f t="shared" si="32"/>
        <v>3.8498307565099323</v>
      </c>
      <c r="AY174" s="1541">
        <v>3.8498307565099323</v>
      </c>
      <c r="AZ174" s="136">
        <f t="shared" si="33"/>
        <v>3.8498307565099323</v>
      </c>
      <c r="BA174" s="137">
        <v>1</v>
      </c>
      <c r="BB174" s="137">
        <v>1</v>
      </c>
      <c r="BC174" s="137">
        <v>1</v>
      </c>
      <c r="BD174" s="137">
        <v>0</v>
      </c>
      <c r="BE174" s="137"/>
      <c r="BF174" s="137">
        <v>0</v>
      </c>
      <c r="BG174" s="145">
        <v>0</v>
      </c>
      <c r="BH174" s="153"/>
      <c r="BI174" s="938"/>
      <c r="BJ174" s="924"/>
      <c r="BK174" s="1443">
        <v>0</v>
      </c>
      <c r="BL174" s="905">
        <f t="shared" si="34"/>
        <v>3.8498307565099323</v>
      </c>
      <c r="BM174" s="1287">
        <f t="shared" si="26"/>
        <v>3.8498307565099323</v>
      </c>
      <c r="BN174" s="1393">
        <f t="shared" si="35"/>
        <v>2.01197379946636E-2</v>
      </c>
      <c r="BO174" s="1377">
        <f t="shared" si="24"/>
        <v>3.8498307565099323</v>
      </c>
      <c r="BP174" s="208">
        <f t="shared" si="36"/>
        <v>2.01197379946636E-2</v>
      </c>
      <c r="BQ174" s="1378">
        <f t="shared" si="30"/>
        <v>4.1905322807012331</v>
      </c>
      <c r="BR174" s="1378">
        <f t="shared" si="27"/>
        <v>3.4719698038198463</v>
      </c>
      <c r="BS174" s="153">
        <v>0</v>
      </c>
      <c r="BU174" s="1389">
        <f t="shared" si="31"/>
        <v>41214</v>
      </c>
      <c r="BV174" s="1390">
        <v>3.0430163195218567</v>
      </c>
      <c r="BW174" s="1390">
        <v>2.3984745949562636</v>
      </c>
      <c r="BX174" s="1390"/>
      <c r="BY174" s="1390">
        <v>4.0151954092628328</v>
      </c>
      <c r="BZ174" s="1391">
        <v>3.1647362917906139</v>
      </c>
    </row>
    <row r="175" spans="1:78">
      <c r="A175" s="957"/>
      <c r="B175" s="951">
        <v>40634</v>
      </c>
      <c r="C175" s="952">
        <v>36.012807925274515</v>
      </c>
      <c r="D175" s="952"/>
      <c r="E175" s="952"/>
      <c r="F175" s="950"/>
      <c r="G175" s="952"/>
      <c r="H175" s="952"/>
      <c r="I175" s="952"/>
      <c r="J175" s="9"/>
      <c r="K175" s="944">
        <v>41518</v>
      </c>
      <c r="L175" s="953">
        <v>0</v>
      </c>
      <c r="M175" s="953">
        <v>0</v>
      </c>
      <c r="N175" s="953">
        <v>0</v>
      </c>
      <c r="O175" s="13"/>
      <c r="P175" s="953">
        <v>0</v>
      </c>
      <c r="Q175" s="953">
        <v>0</v>
      </c>
      <c r="R175" s="953">
        <v>0</v>
      </c>
      <c r="S175" s="13"/>
      <c r="T175" s="953">
        <v>0</v>
      </c>
      <c r="U175" s="953">
        <v>0</v>
      </c>
      <c r="V175" s="953">
        <v>0</v>
      </c>
      <c r="W175" s="13"/>
      <c r="X175" s="953">
        <v>0</v>
      </c>
      <c r="Y175" s="953">
        <v>0</v>
      </c>
      <c r="Z175" s="953">
        <v>0</v>
      </c>
      <c r="AA175" s="13">
        <v>0</v>
      </c>
      <c r="AB175" s="953">
        <v>0</v>
      </c>
      <c r="AC175" s="953">
        <v>0</v>
      </c>
      <c r="AD175" s="953">
        <v>0</v>
      </c>
      <c r="AE175" s="13"/>
      <c r="AF175" s="953">
        <v>0</v>
      </c>
      <c r="AG175" s="953">
        <v>0</v>
      </c>
      <c r="AH175" s="953">
        <v>0</v>
      </c>
      <c r="AI175" s="13"/>
      <c r="AJ175" s="953">
        <v>0</v>
      </c>
      <c r="AK175" s="953">
        <v>0</v>
      </c>
      <c r="AL175" s="953">
        <v>0</v>
      </c>
      <c r="AM175" s="1455"/>
      <c r="AN175" s="9">
        <v>56</v>
      </c>
      <c r="AO175" s="955">
        <v>0.35</v>
      </c>
      <c r="AP175" s="13"/>
      <c r="AQ175"/>
      <c r="AR175"/>
      <c r="AS175"/>
      <c r="AT175"/>
      <c r="AU175" t="str">
        <f t="shared" si="28"/>
        <v>2014Q1</v>
      </c>
      <c r="AV175">
        <f t="shared" si="29"/>
        <v>2014</v>
      </c>
      <c r="AW175" s="111">
        <f t="shared" si="25"/>
        <v>41671</v>
      </c>
      <c r="AX175" s="136">
        <f t="shared" si="32"/>
        <v>3.555770032680571</v>
      </c>
      <c r="AY175" s="1541">
        <v>3.555770032680571</v>
      </c>
      <c r="AZ175" s="136">
        <f t="shared" si="33"/>
        <v>3.555770032680571</v>
      </c>
      <c r="BA175" s="137">
        <v>1</v>
      </c>
      <c r="BB175" s="137">
        <v>1</v>
      </c>
      <c r="BC175" s="137">
        <v>1</v>
      </c>
      <c r="BD175" s="137">
        <v>0</v>
      </c>
      <c r="BE175" s="137"/>
      <c r="BF175" s="137">
        <v>0</v>
      </c>
      <c r="BG175" s="145">
        <v>0</v>
      </c>
      <c r="BH175" s="153"/>
      <c r="BI175" s="938"/>
      <c r="BJ175" s="924"/>
      <c r="BK175" s="1443">
        <v>0</v>
      </c>
      <c r="BL175" s="905">
        <f t="shared" si="34"/>
        <v>3.555770032680571</v>
      </c>
      <c r="BM175" s="1287">
        <f t="shared" si="26"/>
        <v>3.555770032680571</v>
      </c>
      <c r="BN175" s="1393">
        <f t="shared" si="35"/>
        <v>2.01197379946636E-2</v>
      </c>
      <c r="BO175" s="1377">
        <f t="shared" si="24"/>
        <v>3.555770032680571</v>
      </c>
      <c r="BP175" s="208">
        <f t="shared" si="36"/>
        <v>2.01197379946636E-2</v>
      </c>
      <c r="BQ175" s="1378">
        <f t="shared" si="30"/>
        <v>3.8743376191282506</v>
      </c>
      <c r="BR175" s="1378">
        <f t="shared" si="27"/>
        <v>3.2339314156755465</v>
      </c>
      <c r="BS175" s="153">
        <v>0</v>
      </c>
      <c r="BU175" s="1389">
        <f t="shared" si="31"/>
        <v>41244</v>
      </c>
      <c r="BV175" s="1390">
        <v>3.1072993016304369</v>
      </c>
      <c r="BW175" s="1390">
        <v>2.4487591687166326</v>
      </c>
      <c r="BX175" s="1390"/>
      <c r="BY175" s="1390">
        <v>4.1000154389814556</v>
      </c>
      <c r="BZ175" s="1391">
        <v>3.2310857189770892</v>
      </c>
    </row>
    <row r="176" spans="1:78">
      <c r="A176" s="957"/>
      <c r="B176" s="951">
        <v>40664</v>
      </c>
      <c r="C176" s="952">
        <v>37.521814458596104</v>
      </c>
      <c r="D176" s="952"/>
      <c r="E176" s="952"/>
      <c r="F176" s="950"/>
      <c r="G176" s="952"/>
      <c r="H176" s="952"/>
      <c r="I176" s="952"/>
      <c r="J176" s="9"/>
      <c r="K176" s="944">
        <v>41548</v>
      </c>
      <c r="L176" s="953">
        <v>0</v>
      </c>
      <c r="M176" s="953">
        <v>0</v>
      </c>
      <c r="N176" s="953">
        <v>0</v>
      </c>
      <c r="O176" s="13"/>
      <c r="P176" s="953">
        <v>0</v>
      </c>
      <c r="Q176" s="953">
        <v>0</v>
      </c>
      <c r="R176" s="953">
        <v>0</v>
      </c>
      <c r="S176" s="13"/>
      <c r="T176" s="953">
        <v>0</v>
      </c>
      <c r="U176" s="953">
        <v>0</v>
      </c>
      <c r="V176" s="953">
        <v>0</v>
      </c>
      <c r="W176" s="13"/>
      <c r="X176" s="953">
        <v>0</v>
      </c>
      <c r="Y176" s="953">
        <v>0</v>
      </c>
      <c r="Z176" s="953">
        <v>0</v>
      </c>
      <c r="AA176" s="13">
        <v>0</v>
      </c>
      <c r="AB176" s="953">
        <v>0</v>
      </c>
      <c r="AC176" s="953">
        <v>0</v>
      </c>
      <c r="AD176" s="953">
        <v>0</v>
      </c>
      <c r="AE176" s="13"/>
      <c r="AF176" s="953">
        <v>0</v>
      </c>
      <c r="AG176" s="953">
        <v>0</v>
      </c>
      <c r="AH176" s="953">
        <v>0</v>
      </c>
      <c r="AI176" s="13"/>
      <c r="AJ176" s="953">
        <v>0</v>
      </c>
      <c r="AK176" s="953">
        <v>0</v>
      </c>
      <c r="AL176" s="953">
        <v>0</v>
      </c>
      <c r="AM176" s="1455"/>
      <c r="AN176" s="9">
        <v>56</v>
      </c>
      <c r="AO176" s="955">
        <v>0.35</v>
      </c>
      <c r="AP176" s="13"/>
      <c r="AQ176"/>
      <c r="AR176"/>
      <c r="AS176"/>
      <c r="AT176"/>
      <c r="AU176" t="str">
        <f t="shared" si="28"/>
        <v>2014Q1</v>
      </c>
      <c r="AV176">
        <f t="shared" si="29"/>
        <v>2014</v>
      </c>
      <c r="AW176" s="111">
        <f t="shared" si="25"/>
        <v>41699</v>
      </c>
      <c r="AX176" s="136">
        <f t="shared" si="32"/>
        <v>3.3648840530978883</v>
      </c>
      <c r="AY176" s="1541">
        <v>3.3648840530978883</v>
      </c>
      <c r="AZ176" s="136">
        <f t="shared" si="33"/>
        <v>3.3648840530978883</v>
      </c>
      <c r="BA176" s="137">
        <v>1</v>
      </c>
      <c r="BB176" s="137">
        <v>1</v>
      </c>
      <c r="BC176" s="137">
        <v>1</v>
      </c>
      <c r="BD176" s="137">
        <v>0</v>
      </c>
      <c r="BE176" s="137"/>
      <c r="BF176" s="137">
        <v>0</v>
      </c>
      <c r="BG176" s="145">
        <v>0</v>
      </c>
      <c r="BH176" s="153"/>
      <c r="BI176" s="938"/>
      <c r="BJ176" s="924"/>
      <c r="BK176" s="1443">
        <v>0</v>
      </c>
      <c r="BL176" s="905">
        <f t="shared" si="34"/>
        <v>3.3648840530978883</v>
      </c>
      <c r="BM176" s="1287">
        <f t="shared" si="26"/>
        <v>3.3648840530978883</v>
      </c>
      <c r="BN176" s="1393">
        <f t="shared" si="35"/>
        <v>2.0119737994663378E-2</v>
      </c>
      <c r="BO176" s="1377">
        <f t="shared" si="24"/>
        <v>3.3648840530978883</v>
      </c>
      <c r="BP176" s="208">
        <f t="shared" si="36"/>
        <v>2.0119737994663378E-2</v>
      </c>
      <c r="BQ176" s="1378">
        <f t="shared" si="30"/>
        <v>3.7593014862781238</v>
      </c>
      <c r="BR176" s="1378">
        <f t="shared" si="27"/>
        <v>3.0733938980898552</v>
      </c>
      <c r="BS176" s="153">
        <v>0</v>
      </c>
      <c r="BU176" s="1389">
        <f t="shared" si="31"/>
        <v>41275</v>
      </c>
      <c r="BV176" s="1390">
        <v>3.0145629424087756</v>
      </c>
      <c r="BW176" s="1390">
        <v>2.4988695188228065</v>
      </c>
      <c r="BX176" s="1390"/>
      <c r="BY176" s="1390">
        <v>4.0572048180731963</v>
      </c>
      <c r="BZ176" s="1391">
        <v>3.3631493669868671</v>
      </c>
    </row>
    <row r="177" spans="1:78">
      <c r="A177" s="957"/>
      <c r="B177" s="951">
        <v>40695</v>
      </c>
      <c r="C177" s="952">
        <v>38.30506410707288</v>
      </c>
      <c r="D177" s="952"/>
      <c r="E177" s="952"/>
      <c r="F177" s="950"/>
      <c r="G177" s="952"/>
      <c r="H177" s="952"/>
      <c r="I177" s="952"/>
      <c r="J177" s="9"/>
      <c r="K177" s="944">
        <v>41579</v>
      </c>
      <c r="L177" s="953">
        <v>0</v>
      </c>
      <c r="M177" s="953">
        <v>0</v>
      </c>
      <c r="N177" s="953">
        <v>0</v>
      </c>
      <c r="O177" s="13"/>
      <c r="P177" s="953">
        <v>0</v>
      </c>
      <c r="Q177" s="953">
        <v>0</v>
      </c>
      <c r="R177" s="953">
        <v>0</v>
      </c>
      <c r="S177" s="13"/>
      <c r="T177" s="953">
        <v>0</v>
      </c>
      <c r="U177" s="953">
        <v>0</v>
      </c>
      <c r="V177" s="953">
        <v>0</v>
      </c>
      <c r="W177" s="13"/>
      <c r="X177" s="953">
        <v>0</v>
      </c>
      <c r="Y177" s="953">
        <v>0</v>
      </c>
      <c r="Z177" s="953">
        <v>0</v>
      </c>
      <c r="AA177" s="13">
        <v>0</v>
      </c>
      <c r="AB177" s="953">
        <v>0</v>
      </c>
      <c r="AC177" s="953">
        <v>0</v>
      </c>
      <c r="AD177" s="953">
        <v>0</v>
      </c>
      <c r="AE177" s="13"/>
      <c r="AF177" s="953">
        <v>0</v>
      </c>
      <c r="AG177" s="953">
        <v>0</v>
      </c>
      <c r="AH177" s="953">
        <v>0</v>
      </c>
      <c r="AI177" s="13"/>
      <c r="AJ177" s="953">
        <v>0</v>
      </c>
      <c r="AK177" s="953">
        <v>0</v>
      </c>
      <c r="AL177" s="953">
        <v>0</v>
      </c>
      <c r="AM177" s="1455"/>
      <c r="AN177" s="9">
        <v>56</v>
      </c>
      <c r="AO177" s="955">
        <v>0.35</v>
      </c>
      <c r="AP177" s="13"/>
      <c r="AQ177"/>
      <c r="AR177"/>
      <c r="AS177"/>
      <c r="AT177"/>
      <c r="AU177" t="str">
        <f t="shared" si="28"/>
        <v>2014Q2</v>
      </c>
      <c r="AV177">
        <f t="shared" si="29"/>
        <v>2014</v>
      </c>
      <c r="AW177" s="111">
        <f t="shared" si="25"/>
        <v>41730</v>
      </c>
      <c r="AX177" s="136">
        <f t="shared" si="32"/>
        <v>3.263935129407217</v>
      </c>
      <c r="AY177" s="1541">
        <v>3.263935129407217</v>
      </c>
      <c r="AZ177" s="136">
        <f t="shared" si="33"/>
        <v>3.263935129407217</v>
      </c>
      <c r="BA177" s="137">
        <v>1</v>
      </c>
      <c r="BB177" s="137">
        <v>1</v>
      </c>
      <c r="BC177" s="137">
        <v>1</v>
      </c>
      <c r="BD177" s="137">
        <v>0</v>
      </c>
      <c r="BE177" s="137"/>
      <c r="BF177" s="137">
        <v>0</v>
      </c>
      <c r="BG177" s="145">
        <v>0</v>
      </c>
      <c r="BH177" s="153"/>
      <c r="BI177" s="938"/>
      <c r="BJ177" s="924"/>
      <c r="BK177" s="1443">
        <v>0</v>
      </c>
      <c r="BL177" s="905">
        <f t="shared" si="34"/>
        <v>3.263935129407217</v>
      </c>
      <c r="BM177" s="1287">
        <f t="shared" si="26"/>
        <v>3.263935129407217</v>
      </c>
      <c r="BN177" s="1393">
        <f t="shared" si="35"/>
        <v>2.01197379946636E-2</v>
      </c>
      <c r="BO177" s="1377">
        <f t="shared" si="24"/>
        <v>3.263935129407217</v>
      </c>
      <c r="BP177" s="208">
        <f t="shared" si="36"/>
        <v>2.01197379946636E-2</v>
      </c>
      <c r="BQ177" s="1378">
        <f t="shared" si="30"/>
        <v>3.6847263380856274</v>
      </c>
      <c r="BR177" s="1378">
        <f t="shared" si="27"/>
        <v>2.9799776701843892</v>
      </c>
      <c r="BS177" s="153">
        <v>0</v>
      </c>
      <c r="BU177" s="1389">
        <f t="shared" si="31"/>
        <v>41306</v>
      </c>
      <c r="BV177" s="1390">
        <v>2.7871004995694393</v>
      </c>
      <c r="BW177" s="1390">
        <v>2.327546925006156</v>
      </c>
      <c r="BX177" s="1390"/>
      <c r="BY177" s="1390">
        <v>3.7510703180978715</v>
      </c>
      <c r="BZ177" s="1391">
        <v>3.1325717123294718</v>
      </c>
    </row>
    <row r="178" spans="1:78">
      <c r="A178" s="957"/>
      <c r="B178" s="951">
        <v>40725</v>
      </c>
      <c r="C178" s="952">
        <v>53.939494183382656</v>
      </c>
      <c r="D178" s="952"/>
      <c r="E178" s="952"/>
      <c r="F178" s="950"/>
      <c r="G178" s="952"/>
      <c r="H178" s="952"/>
      <c r="I178" s="952"/>
      <c r="J178" s="9"/>
      <c r="K178" s="944">
        <v>41609</v>
      </c>
      <c r="L178" s="953">
        <v>0</v>
      </c>
      <c r="M178" s="953">
        <v>0</v>
      </c>
      <c r="N178" s="953">
        <v>0</v>
      </c>
      <c r="O178" s="13"/>
      <c r="P178" s="953">
        <v>0</v>
      </c>
      <c r="Q178" s="953">
        <v>0</v>
      </c>
      <c r="R178" s="953">
        <v>0</v>
      </c>
      <c r="S178" s="13"/>
      <c r="T178" s="953">
        <v>0</v>
      </c>
      <c r="U178" s="953">
        <v>0</v>
      </c>
      <c r="V178" s="953">
        <v>0</v>
      </c>
      <c r="W178" s="13"/>
      <c r="X178" s="953">
        <v>0</v>
      </c>
      <c r="Y178" s="953">
        <v>0</v>
      </c>
      <c r="Z178" s="953">
        <v>0</v>
      </c>
      <c r="AA178" s="13">
        <v>0</v>
      </c>
      <c r="AB178" s="953">
        <v>0</v>
      </c>
      <c r="AC178" s="953">
        <v>0</v>
      </c>
      <c r="AD178" s="953">
        <v>0</v>
      </c>
      <c r="AE178" s="13"/>
      <c r="AF178" s="953">
        <v>0</v>
      </c>
      <c r="AG178" s="953">
        <v>0</v>
      </c>
      <c r="AH178" s="953">
        <v>0</v>
      </c>
      <c r="AI178" s="13"/>
      <c r="AJ178" s="953">
        <v>0</v>
      </c>
      <c r="AK178" s="953">
        <v>0</v>
      </c>
      <c r="AL178" s="953">
        <v>0</v>
      </c>
      <c r="AM178" s="1455"/>
      <c r="AN178" s="9">
        <v>57</v>
      </c>
      <c r="AO178" s="955">
        <v>0.35</v>
      </c>
      <c r="AP178" s="13"/>
      <c r="AQ178"/>
      <c r="AR178"/>
      <c r="AS178"/>
      <c r="AT178"/>
      <c r="AU178" t="str">
        <f t="shared" si="28"/>
        <v>2014Q2</v>
      </c>
      <c r="AV178">
        <f t="shared" si="29"/>
        <v>2014</v>
      </c>
      <c r="AW178" s="111">
        <f t="shared" si="25"/>
        <v>41760</v>
      </c>
      <c r="AX178" s="136">
        <f t="shared" si="32"/>
        <v>3.2393195403081334</v>
      </c>
      <c r="AY178" s="1541">
        <v>3.2393195403081334</v>
      </c>
      <c r="AZ178" s="136">
        <f t="shared" si="33"/>
        <v>3.2393195403081334</v>
      </c>
      <c r="BA178" s="137">
        <v>1</v>
      </c>
      <c r="BB178" s="137">
        <v>1</v>
      </c>
      <c r="BC178" s="137">
        <v>1</v>
      </c>
      <c r="BD178" s="137">
        <v>0</v>
      </c>
      <c r="BE178" s="137"/>
      <c r="BF178" s="137">
        <v>0</v>
      </c>
      <c r="BG178" s="145">
        <v>0</v>
      </c>
      <c r="BH178" s="153"/>
      <c r="BI178" s="938"/>
      <c r="BJ178" s="924"/>
      <c r="BK178" s="1443">
        <v>0</v>
      </c>
      <c r="BL178" s="905">
        <f t="shared" si="34"/>
        <v>3.2393195403081334</v>
      </c>
      <c r="BM178" s="1287">
        <f t="shared" si="26"/>
        <v>3.2393195403081334</v>
      </c>
      <c r="BN178" s="1393">
        <f t="shared" si="35"/>
        <v>2.01197379946636E-2</v>
      </c>
      <c r="BO178" s="1377">
        <f t="shared" si="24"/>
        <v>3.2393195403081334</v>
      </c>
      <c r="BP178" s="208">
        <f t="shared" si="36"/>
        <v>2.01197379946636E-2</v>
      </c>
      <c r="BQ178" s="1378">
        <f t="shared" si="30"/>
        <v>3.6506121745507616</v>
      </c>
      <c r="BR178" s="1378">
        <f t="shared" si="27"/>
        <v>2.943303151080761</v>
      </c>
      <c r="BS178" s="153">
        <v>0</v>
      </c>
      <c r="BU178" s="1389">
        <f t="shared" si="31"/>
        <v>41334</v>
      </c>
      <c r="BV178" s="1390">
        <v>2.7043464149093457</v>
      </c>
      <c r="BW178" s="1390">
        <v>2.2120037803391122</v>
      </c>
      <c r="BX178" s="1390"/>
      <c r="BY178" s="1390">
        <v>3.6396942156868572</v>
      </c>
      <c r="BZ178" s="1391">
        <v>2.9770658522116928</v>
      </c>
    </row>
    <row r="179" spans="1:78">
      <c r="A179" s="957"/>
      <c r="B179" s="951">
        <v>40756</v>
      </c>
      <c r="C179" s="952">
        <v>73.218263110324514</v>
      </c>
      <c r="D179" s="952"/>
      <c r="E179" s="952"/>
      <c r="F179" s="950"/>
      <c r="G179" s="952"/>
      <c r="H179" s="952"/>
      <c r="I179" s="952"/>
      <c r="J179" s="9"/>
      <c r="K179" s="944">
        <v>41640</v>
      </c>
      <c r="L179" s="953">
        <v>0</v>
      </c>
      <c r="M179" s="953">
        <v>0</v>
      </c>
      <c r="N179" s="953">
        <v>0</v>
      </c>
      <c r="O179" s="13"/>
      <c r="P179" s="953">
        <v>0</v>
      </c>
      <c r="Q179" s="953">
        <v>0</v>
      </c>
      <c r="R179" s="953">
        <v>0</v>
      </c>
      <c r="S179" s="13"/>
      <c r="T179" s="953">
        <v>0</v>
      </c>
      <c r="U179" s="953">
        <v>0</v>
      </c>
      <c r="V179" s="953">
        <v>0</v>
      </c>
      <c r="W179" s="13"/>
      <c r="X179" s="953">
        <v>0</v>
      </c>
      <c r="Y179" s="953">
        <v>0</v>
      </c>
      <c r="Z179" s="953">
        <v>0</v>
      </c>
      <c r="AA179" s="13">
        <v>0</v>
      </c>
      <c r="AB179" s="953">
        <v>0</v>
      </c>
      <c r="AC179" s="953">
        <v>0</v>
      </c>
      <c r="AD179" s="953">
        <v>0</v>
      </c>
      <c r="AE179" s="13"/>
      <c r="AF179" s="953">
        <v>0</v>
      </c>
      <c r="AG179" s="953">
        <v>0</v>
      </c>
      <c r="AH179" s="953">
        <v>0</v>
      </c>
      <c r="AI179" s="13"/>
      <c r="AJ179" s="953">
        <v>0</v>
      </c>
      <c r="AK179" s="953">
        <v>0</v>
      </c>
      <c r="AL179" s="953">
        <v>0</v>
      </c>
      <c r="AM179" s="1455"/>
      <c r="AN179" s="9">
        <v>57</v>
      </c>
      <c r="AO179" s="955">
        <v>0.35</v>
      </c>
      <c r="AP179" s="13"/>
      <c r="AQ179"/>
      <c r="AR179"/>
      <c r="AS179"/>
      <c r="AT179"/>
      <c r="AU179" t="str">
        <f t="shared" si="28"/>
        <v>2014Q2</v>
      </c>
      <c r="AV179">
        <f t="shared" si="29"/>
        <v>2014</v>
      </c>
      <c r="AW179" s="111">
        <f t="shared" si="25"/>
        <v>41791</v>
      </c>
      <c r="AX179" s="136">
        <f t="shared" si="32"/>
        <v>3.2784486502320576</v>
      </c>
      <c r="AY179" s="1541">
        <v>3.2784486502320576</v>
      </c>
      <c r="AZ179" s="136">
        <f t="shared" si="33"/>
        <v>3.2784486502320576</v>
      </c>
      <c r="BA179" s="137">
        <v>1</v>
      </c>
      <c r="BB179" s="137">
        <v>1</v>
      </c>
      <c r="BC179" s="137">
        <v>1</v>
      </c>
      <c r="BD179" s="137">
        <v>0</v>
      </c>
      <c r="BE179" s="137"/>
      <c r="BF179" s="137">
        <v>0</v>
      </c>
      <c r="BG179" s="145">
        <v>0</v>
      </c>
      <c r="BH179" s="153"/>
      <c r="BI179" s="938"/>
      <c r="BJ179" s="924"/>
      <c r="BK179" s="1443">
        <v>0</v>
      </c>
      <c r="BL179" s="905">
        <f t="shared" si="34"/>
        <v>3.2784486502320576</v>
      </c>
      <c r="BM179" s="1287">
        <f t="shared" si="26"/>
        <v>3.2784486502320576</v>
      </c>
      <c r="BN179" s="1393">
        <f t="shared" si="35"/>
        <v>2.0119737994663378E-2</v>
      </c>
      <c r="BO179" s="1377">
        <f t="shared" si="24"/>
        <v>3.2784486502320576</v>
      </c>
      <c r="BP179" s="208">
        <f t="shared" si="36"/>
        <v>2.0119737994663378E-2</v>
      </c>
      <c r="BQ179" s="1378">
        <f t="shared" si="30"/>
        <v>3.6569589956735276</v>
      </c>
      <c r="BR179" s="1378">
        <f t="shared" si="27"/>
        <v>2.9529907599005871</v>
      </c>
      <c r="BS179" s="153">
        <v>0</v>
      </c>
      <c r="BU179" s="1389">
        <f t="shared" si="31"/>
        <v>41365</v>
      </c>
      <c r="BV179" s="1390">
        <v>2.6506989393365954</v>
      </c>
      <c r="BW179" s="1390">
        <v>2.1447696228819968</v>
      </c>
      <c r="BX179" s="1390"/>
      <c r="BY179" s="1390">
        <v>3.5674917768824757</v>
      </c>
      <c r="BZ179" s="1391">
        <v>2.8865775284362623</v>
      </c>
    </row>
    <row r="180" spans="1:78">
      <c r="A180" s="957"/>
      <c r="B180" s="951">
        <v>40787</v>
      </c>
      <c r="C180" s="952">
        <v>59.93035357567166</v>
      </c>
      <c r="D180" s="952"/>
      <c r="E180" s="952"/>
      <c r="F180" s="950"/>
      <c r="G180" s="952"/>
      <c r="H180" s="952"/>
      <c r="I180" s="952"/>
      <c r="J180" s="9"/>
      <c r="K180" s="944">
        <v>41671</v>
      </c>
      <c r="L180" s="953">
        <v>0</v>
      </c>
      <c r="M180" s="953">
        <v>0</v>
      </c>
      <c r="N180" s="953">
        <v>0</v>
      </c>
      <c r="O180" s="13"/>
      <c r="P180" s="953">
        <v>0</v>
      </c>
      <c r="Q180" s="953">
        <v>0</v>
      </c>
      <c r="R180" s="953">
        <v>0</v>
      </c>
      <c r="S180" s="13"/>
      <c r="T180" s="953">
        <v>0</v>
      </c>
      <c r="U180" s="953">
        <v>0</v>
      </c>
      <c r="V180" s="953">
        <v>0</v>
      </c>
      <c r="W180" s="13"/>
      <c r="X180" s="953">
        <v>0</v>
      </c>
      <c r="Y180" s="953">
        <v>0</v>
      </c>
      <c r="Z180" s="953">
        <v>0</v>
      </c>
      <c r="AA180" s="13">
        <v>0</v>
      </c>
      <c r="AB180" s="953">
        <v>0</v>
      </c>
      <c r="AC180" s="953">
        <v>0</v>
      </c>
      <c r="AD180" s="953">
        <v>0</v>
      </c>
      <c r="AE180" s="13"/>
      <c r="AF180" s="953">
        <v>0</v>
      </c>
      <c r="AG180" s="953">
        <v>0</v>
      </c>
      <c r="AH180" s="953">
        <v>0</v>
      </c>
      <c r="AI180" s="13"/>
      <c r="AJ180" s="953">
        <v>0</v>
      </c>
      <c r="AK180" s="953">
        <v>0</v>
      </c>
      <c r="AL180" s="953">
        <v>0</v>
      </c>
      <c r="AM180" s="1455"/>
      <c r="AN180" s="9">
        <v>57</v>
      </c>
      <c r="AO180" s="955">
        <v>0.35</v>
      </c>
      <c r="AP180" s="13"/>
      <c r="AQ180"/>
      <c r="AR180"/>
      <c r="AS180"/>
      <c r="AT180"/>
      <c r="AU180" t="str">
        <f t="shared" si="28"/>
        <v>2014Q3</v>
      </c>
      <c r="AV180">
        <f t="shared" si="29"/>
        <v>2014</v>
      </c>
      <c r="AW180" s="111">
        <f t="shared" si="25"/>
        <v>41821</v>
      </c>
      <c r="AX180" s="136">
        <f t="shared" si="32"/>
        <v>3.3679374808947613</v>
      </c>
      <c r="AY180" s="1541">
        <v>3.3679374808947613</v>
      </c>
      <c r="AZ180" s="136">
        <f t="shared" si="33"/>
        <v>3.3679374808947613</v>
      </c>
      <c r="BA180" s="137">
        <v>1</v>
      </c>
      <c r="BB180" s="137">
        <v>1</v>
      </c>
      <c r="BC180" s="137">
        <v>1</v>
      </c>
      <c r="BD180" s="137">
        <v>0</v>
      </c>
      <c r="BE180" s="137"/>
      <c r="BF180" s="137">
        <v>0</v>
      </c>
      <c r="BG180" s="145">
        <v>0</v>
      </c>
      <c r="BH180" s="153"/>
      <c r="BI180" s="938"/>
      <c r="BJ180" s="924"/>
      <c r="BK180" s="1443">
        <v>0</v>
      </c>
      <c r="BL180" s="905">
        <f t="shared" si="34"/>
        <v>3.3679374808947613</v>
      </c>
      <c r="BM180" s="1287">
        <f t="shared" si="26"/>
        <v>3.3679374808947613</v>
      </c>
      <c r="BN180" s="1393">
        <f t="shared" si="35"/>
        <v>2.01197379946636E-2</v>
      </c>
      <c r="BO180" s="1377">
        <f t="shared" si="24"/>
        <v>3.3679374808947613</v>
      </c>
      <c r="BP180" s="208">
        <f t="shared" si="36"/>
        <v>2.01197379946636E-2</v>
      </c>
      <c r="BQ180" s="1378">
        <f t="shared" si="30"/>
        <v>3.7037668014539245</v>
      </c>
      <c r="BR180" s="1378">
        <f t="shared" si="27"/>
        <v>2.9986609157654818</v>
      </c>
      <c r="BS180" s="153">
        <v>0</v>
      </c>
      <c r="BU180" s="1389">
        <f t="shared" si="31"/>
        <v>41395</v>
      </c>
      <c r="BV180" s="1390">
        <v>2.626158072851188</v>
      </c>
      <c r="BW180" s="1390">
        <v>2.1183739906951291</v>
      </c>
      <c r="BX180" s="1390"/>
      <c r="BY180" s="1390">
        <v>3.5344630016847258</v>
      </c>
      <c r="BZ180" s="1391">
        <v>2.8510524828059078</v>
      </c>
    </row>
    <row r="181" spans="1:78">
      <c r="A181" s="957"/>
      <c r="B181" s="951">
        <v>40817</v>
      </c>
      <c r="C181" s="952">
        <v>48.320302598154363</v>
      </c>
      <c r="D181" s="952"/>
      <c r="E181" s="952"/>
      <c r="F181" s="950"/>
      <c r="G181" s="952"/>
      <c r="H181" s="952"/>
      <c r="I181" s="952"/>
      <c r="J181" s="9"/>
      <c r="K181" s="944">
        <v>41699</v>
      </c>
      <c r="L181" s="953">
        <v>0</v>
      </c>
      <c r="M181" s="953">
        <v>0</v>
      </c>
      <c r="N181" s="953">
        <v>0</v>
      </c>
      <c r="O181" s="13"/>
      <c r="P181" s="953">
        <v>0</v>
      </c>
      <c r="Q181" s="953">
        <v>0</v>
      </c>
      <c r="R181" s="953">
        <v>0</v>
      </c>
      <c r="S181" s="13"/>
      <c r="T181" s="953">
        <v>0</v>
      </c>
      <c r="U181" s="953">
        <v>0</v>
      </c>
      <c r="V181" s="953">
        <v>0</v>
      </c>
      <c r="W181" s="13"/>
      <c r="X181" s="953">
        <v>0</v>
      </c>
      <c r="Y181" s="953">
        <v>0</v>
      </c>
      <c r="Z181" s="953">
        <v>0</v>
      </c>
      <c r="AA181" s="13">
        <v>0</v>
      </c>
      <c r="AB181" s="953">
        <v>0</v>
      </c>
      <c r="AC181" s="953">
        <v>0</v>
      </c>
      <c r="AD181" s="953">
        <v>0</v>
      </c>
      <c r="AE181" s="13"/>
      <c r="AF181" s="953">
        <v>0</v>
      </c>
      <c r="AG181" s="953">
        <v>0</v>
      </c>
      <c r="AH181" s="953">
        <v>0</v>
      </c>
      <c r="AI181" s="13"/>
      <c r="AJ181" s="953">
        <v>0</v>
      </c>
      <c r="AK181" s="953">
        <v>0</v>
      </c>
      <c r="AL181" s="953">
        <v>0</v>
      </c>
      <c r="AM181" s="1455"/>
      <c r="AN181" s="9">
        <v>58</v>
      </c>
      <c r="AO181" s="955">
        <v>0.35</v>
      </c>
      <c r="AP181" s="13"/>
      <c r="AQ181"/>
      <c r="AR181"/>
      <c r="AS181"/>
      <c r="AT181"/>
      <c r="AU181" t="str">
        <f t="shared" si="28"/>
        <v>2014Q3</v>
      </c>
      <c r="AV181">
        <f t="shared" si="29"/>
        <v>2014</v>
      </c>
      <c r="AW181" s="111">
        <f t="shared" si="25"/>
        <v>41852</v>
      </c>
      <c r="AX181" s="136">
        <f t="shared" si="32"/>
        <v>3.4950302062269887</v>
      </c>
      <c r="AY181" s="1541">
        <v>3.4950302062269887</v>
      </c>
      <c r="AZ181" s="136">
        <f t="shared" si="33"/>
        <v>3.4950302062269887</v>
      </c>
      <c r="BA181" s="137">
        <v>1</v>
      </c>
      <c r="BB181" s="137">
        <v>1</v>
      </c>
      <c r="BC181" s="137">
        <v>1</v>
      </c>
      <c r="BD181" s="137">
        <v>0</v>
      </c>
      <c r="BE181" s="137"/>
      <c r="BF181" s="137">
        <v>0</v>
      </c>
      <c r="BG181" s="145">
        <v>0</v>
      </c>
      <c r="BH181" s="153"/>
      <c r="BI181" s="938"/>
      <c r="BJ181" s="924"/>
      <c r="BK181" s="1443">
        <v>0</v>
      </c>
      <c r="BL181" s="905">
        <f t="shared" si="34"/>
        <v>3.4950302062269887</v>
      </c>
      <c r="BM181" s="1287">
        <f t="shared" si="26"/>
        <v>3.4950302062269887</v>
      </c>
      <c r="BN181" s="1393">
        <f t="shared" si="35"/>
        <v>2.0119737994663378E-2</v>
      </c>
      <c r="BO181" s="1377">
        <f t="shared" si="24"/>
        <v>3.4950302062269887</v>
      </c>
      <c r="BP181" s="208">
        <f t="shared" si="36"/>
        <v>2.0119737994663378E-2</v>
      </c>
      <c r="BQ181" s="1378">
        <f t="shared" si="30"/>
        <v>3.7910355918919514</v>
      </c>
      <c r="BR181" s="1378">
        <f t="shared" si="27"/>
        <v>3.069934037797061</v>
      </c>
      <c r="BS181" s="153">
        <v>0</v>
      </c>
      <c r="BU181" s="1389">
        <f t="shared" si="31"/>
        <v>41426</v>
      </c>
      <c r="BV181" s="1390">
        <v>2.6307238154531238</v>
      </c>
      <c r="BW181" s="1390">
        <v>2.12534642183883</v>
      </c>
      <c r="BX181" s="1390"/>
      <c r="BY181" s="1390">
        <v>3.5406078900936091</v>
      </c>
      <c r="BZ181" s="1391">
        <v>2.86043645712336</v>
      </c>
    </row>
    <row r="182" spans="1:78">
      <c r="A182" s="957"/>
      <c r="B182" s="951">
        <v>40848</v>
      </c>
      <c r="C182" s="952">
        <v>49.26449165991545</v>
      </c>
      <c r="D182" s="952"/>
      <c r="E182" s="952"/>
      <c r="F182" s="950"/>
      <c r="G182" s="952"/>
      <c r="H182" s="952"/>
      <c r="I182" s="952"/>
      <c r="J182" s="9"/>
      <c r="K182" s="944">
        <v>41730</v>
      </c>
      <c r="L182" s="953">
        <v>0</v>
      </c>
      <c r="M182" s="953">
        <v>0</v>
      </c>
      <c r="N182" s="953">
        <v>0</v>
      </c>
      <c r="O182" s="13"/>
      <c r="P182" s="953">
        <v>0</v>
      </c>
      <c r="Q182" s="953">
        <v>0</v>
      </c>
      <c r="R182" s="953">
        <v>0</v>
      </c>
      <c r="S182" s="13"/>
      <c r="T182" s="953">
        <v>0</v>
      </c>
      <c r="U182" s="953">
        <v>0</v>
      </c>
      <c r="V182" s="953">
        <v>0</v>
      </c>
      <c r="W182" s="13"/>
      <c r="X182" s="953">
        <v>0</v>
      </c>
      <c r="Y182" s="953">
        <v>0</v>
      </c>
      <c r="Z182" s="953">
        <v>0</v>
      </c>
      <c r="AA182" s="13">
        <v>0</v>
      </c>
      <c r="AB182" s="953">
        <v>0</v>
      </c>
      <c r="AC182" s="953">
        <v>0</v>
      </c>
      <c r="AD182" s="953">
        <v>0</v>
      </c>
      <c r="AE182" s="13"/>
      <c r="AF182" s="953">
        <v>0</v>
      </c>
      <c r="AG182" s="953">
        <v>0</v>
      </c>
      <c r="AH182" s="953">
        <v>0</v>
      </c>
      <c r="AI182" s="13"/>
      <c r="AJ182" s="953">
        <v>0</v>
      </c>
      <c r="AK182" s="953">
        <v>0</v>
      </c>
      <c r="AL182" s="953">
        <v>0</v>
      </c>
      <c r="AM182" s="1455"/>
      <c r="AN182" s="9">
        <v>58</v>
      </c>
      <c r="AO182" s="955">
        <v>0.35</v>
      </c>
      <c r="AP182" s="13"/>
      <c r="AQ182"/>
      <c r="AR182"/>
      <c r="AS182"/>
      <c r="AT182"/>
      <c r="AU182" t="str">
        <f t="shared" si="28"/>
        <v>2014Q3</v>
      </c>
      <c r="AV182">
        <f t="shared" si="29"/>
        <v>2014</v>
      </c>
      <c r="AW182" s="111">
        <f t="shared" si="25"/>
        <v>41883</v>
      </c>
      <c r="AX182" s="136">
        <f t="shared" si="32"/>
        <v>3.646346562587456</v>
      </c>
      <c r="AY182" s="1541">
        <v>3.646346562587456</v>
      </c>
      <c r="AZ182" s="136">
        <f t="shared" si="33"/>
        <v>3.646346562587456</v>
      </c>
      <c r="BA182" s="137">
        <v>1</v>
      </c>
      <c r="BB182" s="137">
        <v>1</v>
      </c>
      <c r="BC182" s="137">
        <v>1</v>
      </c>
      <c r="BD182" s="137">
        <v>0</v>
      </c>
      <c r="BE182" s="137"/>
      <c r="BF182" s="137">
        <v>0</v>
      </c>
      <c r="BG182" s="145">
        <v>0</v>
      </c>
      <c r="BH182" s="153"/>
      <c r="BI182" s="938"/>
      <c r="BJ182" s="924"/>
      <c r="BK182" s="1443">
        <v>0</v>
      </c>
      <c r="BL182" s="905">
        <f t="shared" si="34"/>
        <v>3.646346562587456</v>
      </c>
      <c r="BM182" s="1287">
        <f t="shared" si="26"/>
        <v>3.646346562587456</v>
      </c>
      <c r="BN182" s="1393">
        <f t="shared" si="35"/>
        <v>2.0119737994663378E-2</v>
      </c>
      <c r="BO182" s="1377">
        <f t="shared" si="24"/>
        <v>3.646346562587456</v>
      </c>
      <c r="BP182" s="208">
        <f t="shared" si="36"/>
        <v>2.0119737994663378E-2</v>
      </c>
      <c r="BQ182" s="1378">
        <f t="shared" si="30"/>
        <v>3.9187653669876101</v>
      </c>
      <c r="BR182" s="1378">
        <f t="shared" si="27"/>
        <v>3.1564305451169372</v>
      </c>
      <c r="BS182" s="153">
        <v>0</v>
      </c>
      <c r="BU182" s="1389">
        <f t="shared" si="31"/>
        <v>41456</v>
      </c>
      <c r="BV182" s="1390">
        <v>2.6643961671424039</v>
      </c>
      <c r="BW182" s="1390">
        <v>2.1582164543734197</v>
      </c>
      <c r="BX182" s="1390"/>
      <c r="BY182" s="1390">
        <v>3.5859264421091259</v>
      </c>
      <c r="BZ182" s="1391">
        <v>2.9046751931913484</v>
      </c>
    </row>
    <row r="183" spans="1:78">
      <c r="A183" s="957"/>
      <c r="B183" s="951">
        <v>40878</v>
      </c>
      <c r="C183" s="952">
        <v>49.372436947603148</v>
      </c>
      <c r="D183" s="952"/>
      <c r="E183" s="952"/>
      <c r="F183" s="950"/>
      <c r="G183" s="952"/>
      <c r="H183" s="952"/>
      <c r="I183" s="952"/>
      <c r="J183" s="9"/>
      <c r="K183" s="944">
        <v>41760</v>
      </c>
      <c r="L183" s="953">
        <v>0</v>
      </c>
      <c r="M183" s="953">
        <v>0</v>
      </c>
      <c r="N183" s="953">
        <v>0</v>
      </c>
      <c r="O183" s="13"/>
      <c r="P183" s="953">
        <v>0</v>
      </c>
      <c r="Q183" s="953">
        <v>0</v>
      </c>
      <c r="R183" s="953">
        <v>0</v>
      </c>
      <c r="S183" s="13"/>
      <c r="T183" s="953">
        <v>0</v>
      </c>
      <c r="U183" s="953">
        <v>0</v>
      </c>
      <c r="V183" s="953">
        <v>0</v>
      </c>
      <c r="W183" s="13"/>
      <c r="X183" s="953">
        <v>0</v>
      </c>
      <c r="Y183" s="953">
        <v>0</v>
      </c>
      <c r="Z183" s="953">
        <v>0</v>
      </c>
      <c r="AA183" s="13">
        <v>0</v>
      </c>
      <c r="AB183" s="953">
        <v>0</v>
      </c>
      <c r="AC183" s="953">
        <v>0</v>
      </c>
      <c r="AD183" s="953">
        <v>0</v>
      </c>
      <c r="AE183" s="13"/>
      <c r="AF183" s="953">
        <v>0</v>
      </c>
      <c r="AG183" s="953">
        <v>0</v>
      </c>
      <c r="AH183" s="953">
        <v>0</v>
      </c>
      <c r="AI183" s="13"/>
      <c r="AJ183" s="953">
        <v>0</v>
      </c>
      <c r="AK183" s="953">
        <v>0</v>
      </c>
      <c r="AL183" s="953">
        <v>0</v>
      </c>
      <c r="AM183" s="1455"/>
      <c r="AN183" s="9">
        <v>58</v>
      </c>
      <c r="AO183" s="955">
        <v>0.35</v>
      </c>
      <c r="AP183" s="13"/>
      <c r="AQ183"/>
      <c r="AR183"/>
      <c r="AS183"/>
      <c r="AT183"/>
      <c r="AU183" t="str">
        <f t="shared" si="28"/>
        <v>2014Q4</v>
      </c>
      <c r="AV183">
        <f t="shared" si="29"/>
        <v>2014</v>
      </c>
      <c r="AW183" s="111">
        <f t="shared" si="25"/>
        <v>41913</v>
      </c>
      <c r="AX183" s="136">
        <f t="shared" si="32"/>
        <v>3.8083880772885825</v>
      </c>
      <c r="AY183" s="1541">
        <v>3.8083880772885825</v>
      </c>
      <c r="AZ183" s="136">
        <f t="shared" si="33"/>
        <v>3.8083880772885825</v>
      </c>
      <c r="BA183" s="137">
        <v>1</v>
      </c>
      <c r="BB183" s="137">
        <v>1</v>
      </c>
      <c r="BC183" s="137">
        <v>1</v>
      </c>
      <c r="BD183" s="137">
        <v>0</v>
      </c>
      <c r="BE183" s="137"/>
      <c r="BF183" s="137">
        <v>0</v>
      </c>
      <c r="BG183" s="145">
        <v>0</v>
      </c>
      <c r="BH183" s="153"/>
      <c r="BI183" s="938"/>
      <c r="BJ183" s="924"/>
      <c r="BK183" s="1443">
        <v>0</v>
      </c>
      <c r="BL183" s="905">
        <f t="shared" si="34"/>
        <v>3.8083880772885825</v>
      </c>
      <c r="BM183" s="1287">
        <f t="shared" si="26"/>
        <v>3.8083880772885825</v>
      </c>
      <c r="BN183" s="1393">
        <f t="shared" si="35"/>
        <v>2.01197379946636E-2</v>
      </c>
      <c r="BO183" s="1377">
        <f t="shared" si="24"/>
        <v>3.8083880772885825</v>
      </c>
      <c r="BP183" s="208">
        <f t="shared" si="36"/>
        <v>2.01197379946636E-2</v>
      </c>
      <c r="BQ183" s="1378">
        <f t="shared" si="30"/>
        <v>4.0869561267408994</v>
      </c>
      <c r="BR183" s="1378">
        <f t="shared" si="27"/>
        <v>3.2477708568467274</v>
      </c>
      <c r="BS183" s="153">
        <v>0</v>
      </c>
      <c r="BU183" s="1389">
        <f t="shared" si="31"/>
        <v>41487</v>
      </c>
      <c r="BV183" s="1390">
        <v>2.7271751279190264</v>
      </c>
      <c r="BW183" s="1390">
        <v>2.2095136263592199</v>
      </c>
      <c r="BX183" s="1390"/>
      <c r="BY183" s="1390">
        <v>3.6704186577312745</v>
      </c>
      <c r="BZ183" s="1391">
        <v>2.9737144328126042</v>
      </c>
    </row>
    <row r="184" spans="1:78">
      <c r="A184" s="957"/>
      <c r="B184" s="951">
        <v>40909</v>
      </c>
      <c r="C184" s="952">
        <v>48.548841548165143</v>
      </c>
      <c r="D184" s="952"/>
      <c r="E184" s="952"/>
      <c r="F184" s="950"/>
      <c r="G184" s="952"/>
      <c r="H184" s="952"/>
      <c r="I184" s="952"/>
      <c r="J184" s="9"/>
      <c r="K184" s="944">
        <v>41791</v>
      </c>
      <c r="L184" s="953">
        <v>0</v>
      </c>
      <c r="M184" s="953">
        <v>0</v>
      </c>
      <c r="N184" s="953">
        <v>0</v>
      </c>
      <c r="O184" s="13"/>
      <c r="P184" s="953">
        <v>0</v>
      </c>
      <c r="Q184" s="953">
        <v>0</v>
      </c>
      <c r="R184" s="953">
        <v>0</v>
      </c>
      <c r="S184" s="13"/>
      <c r="T184" s="953">
        <v>0</v>
      </c>
      <c r="U184" s="953">
        <v>0</v>
      </c>
      <c r="V184" s="953">
        <v>0</v>
      </c>
      <c r="W184" s="13"/>
      <c r="X184" s="953">
        <v>0</v>
      </c>
      <c r="Y184" s="953">
        <v>0</v>
      </c>
      <c r="Z184" s="953">
        <v>0</v>
      </c>
      <c r="AA184" s="13">
        <v>0</v>
      </c>
      <c r="AB184" s="953">
        <v>0</v>
      </c>
      <c r="AC184" s="953">
        <v>0</v>
      </c>
      <c r="AD184" s="953">
        <v>0</v>
      </c>
      <c r="AE184" s="13"/>
      <c r="AF184" s="953">
        <v>0</v>
      </c>
      <c r="AG184" s="953">
        <v>0</v>
      </c>
      <c r="AH184" s="953">
        <v>0</v>
      </c>
      <c r="AI184" s="13"/>
      <c r="AJ184" s="953">
        <v>0</v>
      </c>
      <c r="AK184" s="953">
        <v>0</v>
      </c>
      <c r="AL184" s="953">
        <v>0</v>
      </c>
      <c r="AM184" s="1455"/>
      <c r="AN184" s="9">
        <v>59</v>
      </c>
      <c r="AO184" s="955">
        <v>0.35</v>
      </c>
      <c r="AP184" s="13"/>
      <c r="AQ184"/>
      <c r="AR184"/>
      <c r="AS184"/>
      <c r="AT184"/>
      <c r="AU184" t="str">
        <f t="shared" si="28"/>
        <v>2014Q4</v>
      </c>
      <c r="AV184">
        <f t="shared" si="29"/>
        <v>2014</v>
      </c>
      <c r="AW184" s="111">
        <f t="shared" si="25"/>
        <v>41944</v>
      </c>
      <c r="AX184" s="136">
        <f t="shared" si="32"/>
        <v>3.9681772207500905</v>
      </c>
      <c r="AY184" s="1541">
        <v>3.9681772207500905</v>
      </c>
      <c r="AZ184" s="136">
        <f t="shared" si="33"/>
        <v>3.9681772207500905</v>
      </c>
      <c r="BA184" s="137">
        <v>1</v>
      </c>
      <c r="BB184" s="137">
        <v>1</v>
      </c>
      <c r="BC184" s="137">
        <v>1</v>
      </c>
      <c r="BD184" s="137">
        <v>0</v>
      </c>
      <c r="BE184" s="137"/>
      <c r="BF184" s="137">
        <v>0</v>
      </c>
      <c r="BG184" s="145">
        <v>0</v>
      </c>
      <c r="BH184" s="153"/>
      <c r="BI184" s="938"/>
      <c r="BJ184" s="924"/>
      <c r="BK184" s="1443">
        <v>0</v>
      </c>
      <c r="BL184" s="905">
        <f t="shared" si="34"/>
        <v>3.9681772207500905</v>
      </c>
      <c r="BM184" s="1287">
        <f t="shared" si="26"/>
        <v>3.9681772207500905</v>
      </c>
      <c r="BN184" s="1393">
        <f t="shared" si="35"/>
        <v>2.0119737994663378E-2</v>
      </c>
      <c r="BO184" s="1377">
        <f t="shared" si="24"/>
        <v>3.9681772207500905</v>
      </c>
      <c r="BP184" s="208">
        <f t="shared" si="36"/>
        <v>2.0119737994663378E-2</v>
      </c>
      <c r="BQ184" s="1378">
        <f t="shared" si="30"/>
        <v>4.2956078711518213</v>
      </c>
      <c r="BR184" s="1378">
        <f t="shared" si="27"/>
        <v>3.3335753921080462</v>
      </c>
      <c r="BS184" s="153">
        <v>0</v>
      </c>
      <c r="BU184" s="1389">
        <f t="shared" si="31"/>
        <v>41518</v>
      </c>
      <c r="BV184" s="1390">
        <v>2.8190606977829926</v>
      </c>
      <c r="BW184" s="1390">
        <v>2.2717674758565489</v>
      </c>
      <c r="BX184" s="1390"/>
      <c r="BY184" s="1390">
        <v>3.7940845369600567</v>
      </c>
      <c r="BZ184" s="1391">
        <v>3.0574999177898547</v>
      </c>
    </row>
    <row r="185" spans="1:78">
      <c r="A185" s="957"/>
      <c r="B185" s="951">
        <v>40940</v>
      </c>
      <c r="C185" s="952">
        <v>39.823210843132486</v>
      </c>
      <c r="D185" s="952"/>
      <c r="E185" s="952"/>
      <c r="F185" s="950"/>
      <c r="G185" s="952"/>
      <c r="H185" s="952"/>
      <c r="I185" s="952"/>
      <c r="J185" s="9"/>
      <c r="K185" s="944">
        <v>41821</v>
      </c>
      <c r="L185" s="953">
        <v>0</v>
      </c>
      <c r="M185" s="953">
        <v>0</v>
      </c>
      <c r="N185" s="953">
        <v>0</v>
      </c>
      <c r="O185" s="13"/>
      <c r="P185" s="953">
        <v>0</v>
      </c>
      <c r="Q185" s="953">
        <v>0</v>
      </c>
      <c r="R185" s="953">
        <v>0</v>
      </c>
      <c r="S185" s="13"/>
      <c r="T185" s="953">
        <v>0</v>
      </c>
      <c r="U185" s="953">
        <v>0</v>
      </c>
      <c r="V185" s="953">
        <v>0</v>
      </c>
      <c r="W185" s="13"/>
      <c r="X185" s="953">
        <v>0</v>
      </c>
      <c r="Y185" s="953">
        <v>0</v>
      </c>
      <c r="Z185" s="953">
        <v>0</v>
      </c>
      <c r="AA185" s="13">
        <v>0</v>
      </c>
      <c r="AB185" s="953">
        <v>0</v>
      </c>
      <c r="AC185" s="953">
        <v>0</v>
      </c>
      <c r="AD185" s="953">
        <v>0</v>
      </c>
      <c r="AE185" s="13"/>
      <c r="AF185" s="953">
        <v>0</v>
      </c>
      <c r="AG185" s="953">
        <v>0</v>
      </c>
      <c r="AH185" s="953">
        <v>0</v>
      </c>
      <c r="AI185" s="13"/>
      <c r="AJ185" s="953">
        <v>0</v>
      </c>
      <c r="AK185" s="953">
        <v>0</v>
      </c>
      <c r="AL185" s="953">
        <v>0</v>
      </c>
      <c r="AM185" s="1455"/>
      <c r="AN185" s="9">
        <v>59</v>
      </c>
      <c r="AO185" s="955">
        <v>0.35</v>
      </c>
      <c r="AP185" s="13"/>
      <c r="AQ185"/>
      <c r="AR185"/>
      <c r="AS185"/>
      <c r="AT185"/>
      <c r="AU185" t="str">
        <f t="shared" si="28"/>
        <v>2014Q4</v>
      </c>
      <c r="AV185">
        <f t="shared" si="29"/>
        <v>2014</v>
      </c>
      <c r="AW185" s="111">
        <f t="shared" si="25"/>
        <v>41974</v>
      </c>
      <c r="AX185" s="136">
        <f t="shared" si="32"/>
        <v>4.1369640407555268</v>
      </c>
      <c r="AY185" s="1541">
        <v>4.1369640407555268</v>
      </c>
      <c r="AZ185" s="136">
        <f t="shared" si="33"/>
        <v>4.1369640407555268</v>
      </c>
      <c r="BA185" s="137">
        <v>1</v>
      </c>
      <c r="BB185" s="137">
        <v>1</v>
      </c>
      <c r="BC185" s="137">
        <v>1</v>
      </c>
      <c r="BD185" s="137">
        <v>0</v>
      </c>
      <c r="BE185" s="137"/>
      <c r="BF185" s="137">
        <v>0</v>
      </c>
      <c r="BG185" s="145">
        <v>0</v>
      </c>
      <c r="BH185" s="153"/>
      <c r="BI185" s="938"/>
      <c r="BJ185" s="924"/>
      <c r="BK185" s="1443">
        <v>0</v>
      </c>
      <c r="BL185" s="905">
        <f t="shared" si="34"/>
        <v>4.1369640407555268</v>
      </c>
      <c r="BM185" s="1287">
        <f t="shared" si="26"/>
        <v>4.1369640407555268</v>
      </c>
      <c r="BN185" s="1393">
        <f t="shared" si="35"/>
        <v>2.0119737994663822E-2</v>
      </c>
      <c r="BO185" s="1377">
        <f t="shared" si="24"/>
        <v>4.1369640407555268</v>
      </c>
      <c r="BP185" s="208">
        <f t="shared" si="36"/>
        <v>2.0119737994663822E-2</v>
      </c>
      <c r="BQ185" s="1378">
        <f t="shared" si="30"/>
        <v>4.3863515461545628</v>
      </c>
      <c r="BR185" s="1378">
        <f t="shared" si="27"/>
        <v>3.4034645700225044</v>
      </c>
      <c r="BS185" s="153">
        <v>0</v>
      </c>
      <c r="BU185" s="1389">
        <f t="shared" si="31"/>
        <v>41548</v>
      </c>
      <c r="BV185" s="1390">
        <v>2.9400528767343026</v>
      </c>
      <c r="BW185" s="1390">
        <v>2.3375075409257295</v>
      </c>
      <c r="BX185" s="1390"/>
      <c r="BY185" s="1390">
        <v>3.9569240797954719</v>
      </c>
      <c r="BZ185" s="1391">
        <v>3.1459773899258332</v>
      </c>
    </row>
    <row r="186" spans="1:78">
      <c r="A186" s="957"/>
      <c r="B186" s="951">
        <v>40969</v>
      </c>
      <c r="C186" s="952">
        <v>37.624239540277067</v>
      </c>
      <c r="D186" s="952"/>
      <c r="E186" s="952"/>
      <c r="F186" s="950"/>
      <c r="G186" s="952"/>
      <c r="H186" s="952"/>
      <c r="I186" s="952"/>
      <c r="J186" s="9"/>
      <c r="K186" s="944">
        <v>41852</v>
      </c>
      <c r="L186" s="953">
        <v>0</v>
      </c>
      <c r="M186" s="953">
        <v>0</v>
      </c>
      <c r="N186" s="953">
        <v>0</v>
      </c>
      <c r="O186" s="13"/>
      <c r="P186" s="953">
        <v>0</v>
      </c>
      <c r="Q186" s="953">
        <v>0</v>
      </c>
      <c r="R186" s="953">
        <v>0</v>
      </c>
      <c r="S186" s="13"/>
      <c r="T186" s="953">
        <v>0</v>
      </c>
      <c r="U186" s="953">
        <v>0</v>
      </c>
      <c r="V186" s="953">
        <v>0</v>
      </c>
      <c r="W186" s="13"/>
      <c r="X186" s="953">
        <v>0</v>
      </c>
      <c r="Y186" s="953">
        <v>0</v>
      </c>
      <c r="Z186" s="953">
        <v>0</v>
      </c>
      <c r="AA186" s="13">
        <v>0</v>
      </c>
      <c r="AB186" s="953">
        <v>0</v>
      </c>
      <c r="AC186" s="953">
        <v>0</v>
      </c>
      <c r="AD186" s="953">
        <v>0</v>
      </c>
      <c r="AE186" s="13"/>
      <c r="AF186" s="953">
        <v>0</v>
      </c>
      <c r="AG186" s="953">
        <v>0</v>
      </c>
      <c r="AH186" s="953">
        <v>0</v>
      </c>
      <c r="AI186" s="13"/>
      <c r="AJ186" s="953">
        <v>0</v>
      </c>
      <c r="AK186" s="953">
        <v>0</v>
      </c>
      <c r="AL186" s="953">
        <v>0</v>
      </c>
      <c r="AM186" s="1455"/>
      <c r="AN186" s="9">
        <v>59</v>
      </c>
      <c r="AO186" s="955">
        <v>0.35</v>
      </c>
      <c r="AP186" s="13"/>
      <c r="AQ186"/>
      <c r="AR186"/>
      <c r="AS186"/>
      <c r="AT186"/>
      <c r="AU186" t="str">
        <f t="shared" si="28"/>
        <v>2015Q1</v>
      </c>
      <c r="AV186">
        <f t="shared" si="29"/>
        <v>2015</v>
      </c>
      <c r="AW186" s="111">
        <f t="shared" si="25"/>
        <v>42005</v>
      </c>
      <c r="AX186" s="136">
        <f t="shared" si="32"/>
        <v>3.917762044991262</v>
      </c>
      <c r="AY186" s="1541">
        <v>3.917762044991262</v>
      </c>
      <c r="AZ186" s="136">
        <f t="shared" si="33"/>
        <v>3.917762044991262</v>
      </c>
      <c r="BA186" s="137">
        <v>1</v>
      </c>
      <c r="BB186" s="137">
        <v>1</v>
      </c>
      <c r="BC186" s="137">
        <v>1</v>
      </c>
      <c r="BD186" s="137">
        <v>0</v>
      </c>
      <c r="BE186" s="137"/>
      <c r="BF186" s="137">
        <v>0</v>
      </c>
      <c r="BG186" s="145">
        <v>0</v>
      </c>
      <c r="BH186" s="153"/>
      <c r="BI186" s="938"/>
      <c r="BJ186" s="924"/>
      <c r="BK186" s="1443">
        <v>0</v>
      </c>
      <c r="BL186" s="905">
        <f t="shared" si="34"/>
        <v>3.917762044991262</v>
      </c>
      <c r="BM186" s="1287">
        <f t="shared" si="26"/>
        <v>3.917762044991262</v>
      </c>
      <c r="BN186" s="1393">
        <f t="shared" si="35"/>
        <v>1.7645266189029174E-2</v>
      </c>
      <c r="BO186" s="1377">
        <f t="shared" si="24"/>
        <v>3.917762044991262</v>
      </c>
      <c r="BP186" s="208">
        <f t="shared" si="36"/>
        <v>1.7645266189029174E-2</v>
      </c>
      <c r="BQ186" s="1378">
        <f t="shared" si="30"/>
        <v>4.3277041780931222</v>
      </c>
      <c r="BR186" s="1378">
        <f t="shared" si="27"/>
        <v>3.5607648476793274</v>
      </c>
      <c r="BS186" s="153">
        <v>0</v>
      </c>
      <c r="BU186" s="1389">
        <f t="shared" si="31"/>
        <v>41579</v>
      </c>
      <c r="BV186" s="1390">
        <v>3.0901516647729563</v>
      </c>
      <c r="BW186" s="1390">
        <v>2.3992633596270809</v>
      </c>
      <c r="BX186" s="1390"/>
      <c r="BY186" s="1390">
        <v>4.1589372862375207</v>
      </c>
      <c r="BZ186" s="1391">
        <v>3.2290925910232673</v>
      </c>
    </row>
    <row r="187" spans="1:78">
      <c r="A187" s="957"/>
      <c r="B187" s="951">
        <v>41000</v>
      </c>
      <c r="C187" s="952">
        <v>37.052720257655949</v>
      </c>
      <c r="D187" s="952"/>
      <c r="E187" s="952"/>
      <c r="F187" s="950"/>
      <c r="G187" s="952"/>
      <c r="H187" s="952"/>
      <c r="I187" s="952"/>
      <c r="J187" s="9"/>
      <c r="K187" s="944">
        <v>41883</v>
      </c>
      <c r="L187" s="953">
        <v>0</v>
      </c>
      <c r="M187" s="953">
        <v>0</v>
      </c>
      <c r="N187" s="953">
        <v>0</v>
      </c>
      <c r="O187" s="13"/>
      <c r="P187" s="953">
        <v>0</v>
      </c>
      <c r="Q187" s="953">
        <v>0</v>
      </c>
      <c r="R187" s="953">
        <v>0</v>
      </c>
      <c r="S187" s="13"/>
      <c r="T187" s="953">
        <v>0</v>
      </c>
      <c r="U187" s="953">
        <v>0</v>
      </c>
      <c r="V187" s="953">
        <v>0</v>
      </c>
      <c r="W187" s="13"/>
      <c r="X187" s="953">
        <v>0</v>
      </c>
      <c r="Y187" s="953">
        <v>0</v>
      </c>
      <c r="Z187" s="953">
        <v>0</v>
      </c>
      <c r="AA187" s="13">
        <v>0</v>
      </c>
      <c r="AB187" s="953">
        <v>0</v>
      </c>
      <c r="AC187" s="953">
        <v>0</v>
      </c>
      <c r="AD187" s="953">
        <v>0</v>
      </c>
      <c r="AE187" s="13"/>
      <c r="AF187" s="953">
        <v>0</v>
      </c>
      <c r="AG187" s="953">
        <v>0</v>
      </c>
      <c r="AH187" s="953">
        <v>0</v>
      </c>
      <c r="AI187" s="13"/>
      <c r="AJ187" s="953">
        <v>0</v>
      </c>
      <c r="AK187" s="953">
        <v>0</v>
      </c>
      <c r="AL187" s="953">
        <v>0</v>
      </c>
      <c r="AM187" s="1455"/>
      <c r="AN187" s="9">
        <v>60</v>
      </c>
      <c r="AO187" s="955">
        <v>0.35</v>
      </c>
      <c r="AP187" s="13"/>
      <c r="AQ187"/>
      <c r="AR187"/>
      <c r="AS187"/>
      <c r="AT187"/>
      <c r="AU187" t="str">
        <f t="shared" si="28"/>
        <v>2015Q1</v>
      </c>
      <c r="AV187">
        <f t="shared" si="29"/>
        <v>2015</v>
      </c>
      <c r="AW187" s="111">
        <f t="shared" si="25"/>
        <v>42036</v>
      </c>
      <c r="AX187" s="136">
        <f t="shared" si="32"/>
        <v>3.6185125414141934</v>
      </c>
      <c r="AY187" s="1541">
        <v>3.6185125414141934</v>
      </c>
      <c r="AZ187" s="136">
        <f t="shared" si="33"/>
        <v>3.6185125414141934</v>
      </c>
      <c r="BA187" s="137">
        <v>1</v>
      </c>
      <c r="BB187" s="137">
        <v>1</v>
      </c>
      <c r="BC187" s="137">
        <v>1</v>
      </c>
      <c r="BD187" s="137">
        <v>0</v>
      </c>
      <c r="BE187" s="137"/>
      <c r="BF187" s="137">
        <v>0</v>
      </c>
      <c r="BG187" s="145">
        <v>0</v>
      </c>
      <c r="BH187" s="153"/>
      <c r="BI187" s="938"/>
      <c r="BJ187" s="924"/>
      <c r="BK187" s="1443">
        <v>0</v>
      </c>
      <c r="BL187" s="905">
        <f t="shared" si="34"/>
        <v>3.6185125414141934</v>
      </c>
      <c r="BM187" s="1287">
        <f t="shared" si="26"/>
        <v>3.6185125414141934</v>
      </c>
      <c r="BN187" s="1393">
        <f t="shared" si="35"/>
        <v>1.7645266189029396E-2</v>
      </c>
      <c r="BO187" s="1377">
        <f t="shared" si="24"/>
        <v>3.6185125414141934</v>
      </c>
      <c r="BP187" s="208">
        <f t="shared" si="36"/>
        <v>1.7645266189029396E-2</v>
      </c>
      <c r="BQ187" s="1378">
        <f t="shared" si="30"/>
        <v>4.0011592748878524</v>
      </c>
      <c r="BR187" s="1378">
        <f t="shared" si="27"/>
        <v>3.3166386677886082</v>
      </c>
      <c r="BS187" s="153">
        <v>0</v>
      </c>
      <c r="BU187" s="1389">
        <f t="shared" si="31"/>
        <v>41609</v>
      </c>
      <c r="BV187" s="1390">
        <v>3.1554303696241393</v>
      </c>
      <c r="BW187" s="1390">
        <v>2.4495644700209218</v>
      </c>
      <c r="BX187" s="1390"/>
      <c r="BY187" s="1390">
        <v>4.2467938282635336</v>
      </c>
      <c r="BZ187" s="1391">
        <v>3.2967912628848843</v>
      </c>
    </row>
    <row r="188" spans="1:78">
      <c r="A188" s="957"/>
      <c r="B188" s="951">
        <v>41030</v>
      </c>
      <c r="C188" s="952">
        <v>39.475220730033406</v>
      </c>
      <c r="D188" s="952"/>
      <c r="E188" s="952"/>
      <c r="F188" s="950"/>
      <c r="G188" s="952"/>
      <c r="H188" s="952"/>
      <c r="I188" s="952"/>
      <c r="J188" s="9"/>
      <c r="K188" s="944">
        <v>41913</v>
      </c>
      <c r="L188" s="953">
        <v>0</v>
      </c>
      <c r="M188" s="953">
        <v>0</v>
      </c>
      <c r="N188" s="953">
        <v>0</v>
      </c>
      <c r="O188" s="13"/>
      <c r="P188" s="953">
        <v>0</v>
      </c>
      <c r="Q188" s="953">
        <v>0</v>
      </c>
      <c r="R188" s="953">
        <v>0</v>
      </c>
      <c r="S188" s="13"/>
      <c r="T188" s="953">
        <v>0</v>
      </c>
      <c r="U188" s="953">
        <v>0</v>
      </c>
      <c r="V188" s="953">
        <v>0</v>
      </c>
      <c r="W188" s="13"/>
      <c r="X188" s="953">
        <v>0</v>
      </c>
      <c r="Y188" s="953">
        <v>0</v>
      </c>
      <c r="Z188" s="953">
        <v>0</v>
      </c>
      <c r="AA188" s="13">
        <v>0</v>
      </c>
      <c r="AB188" s="953">
        <v>0</v>
      </c>
      <c r="AC188" s="953">
        <v>0</v>
      </c>
      <c r="AD188" s="953">
        <v>0</v>
      </c>
      <c r="AE188" s="13"/>
      <c r="AF188" s="953">
        <v>0</v>
      </c>
      <c r="AG188" s="953">
        <v>0</v>
      </c>
      <c r="AH188" s="953">
        <v>0</v>
      </c>
      <c r="AI188" s="13"/>
      <c r="AJ188" s="953">
        <v>0</v>
      </c>
      <c r="AK188" s="953">
        <v>0</v>
      </c>
      <c r="AL188" s="953">
        <v>0</v>
      </c>
      <c r="AM188" s="1455"/>
      <c r="AN188" s="9">
        <v>60</v>
      </c>
      <c r="AO188" s="955">
        <v>0.35</v>
      </c>
      <c r="AP188" s="13"/>
      <c r="AQ188"/>
      <c r="AR188"/>
      <c r="AS188"/>
      <c r="AT188"/>
      <c r="AU188" t="str">
        <f t="shared" si="28"/>
        <v>2015Q1</v>
      </c>
      <c r="AV188">
        <f t="shared" si="29"/>
        <v>2015</v>
      </c>
      <c r="AW188" s="111">
        <f t="shared" si="25"/>
        <v>42064</v>
      </c>
      <c r="AX188" s="136">
        <f t="shared" si="32"/>
        <v>3.4242583279100214</v>
      </c>
      <c r="AY188" s="1541">
        <v>3.4242583279100214</v>
      </c>
      <c r="AZ188" s="136">
        <f t="shared" si="33"/>
        <v>3.4242583279100214</v>
      </c>
      <c r="BA188" s="137">
        <v>1</v>
      </c>
      <c r="BB188" s="137">
        <v>1</v>
      </c>
      <c r="BC188" s="137">
        <v>1</v>
      </c>
      <c r="BD188" s="137">
        <v>0</v>
      </c>
      <c r="BE188" s="137"/>
      <c r="BF188" s="137">
        <v>0</v>
      </c>
      <c r="BG188" s="145">
        <v>0</v>
      </c>
      <c r="BH188" s="153"/>
      <c r="BI188" s="938"/>
      <c r="BJ188" s="924"/>
      <c r="BK188" s="1443">
        <v>0</v>
      </c>
      <c r="BL188" s="905">
        <f t="shared" si="34"/>
        <v>3.4242583279100214</v>
      </c>
      <c r="BM188" s="1287">
        <f t="shared" si="26"/>
        <v>3.4242583279100214</v>
      </c>
      <c r="BN188" s="1393">
        <f t="shared" si="35"/>
        <v>1.7645266189029618E-2</v>
      </c>
      <c r="BO188" s="1377">
        <f t="shared" si="24"/>
        <v>3.4242583279100214</v>
      </c>
      <c r="BP188" s="208">
        <f t="shared" si="36"/>
        <v>1.7645266189029618E-2</v>
      </c>
      <c r="BQ188" s="1378">
        <f t="shared" si="30"/>
        <v>3.8823575763399396</v>
      </c>
      <c r="BR188" s="1378">
        <f t="shared" si="27"/>
        <v>3.1519954301878896</v>
      </c>
      <c r="BS188" s="153">
        <v>0</v>
      </c>
      <c r="BU188" s="1389">
        <f t="shared" si="31"/>
        <v>41640</v>
      </c>
      <c r="BV188" s="1390">
        <v>3.0525756971111768</v>
      </c>
      <c r="BW188" s="1390">
        <v>2.5291418689347989</v>
      </c>
      <c r="BX188" s="1390"/>
      <c r="BY188" s="1390">
        <v>4.1905322807012331</v>
      </c>
      <c r="BZ188" s="1391">
        <v>3.4719698038198463</v>
      </c>
    </row>
    <row r="189" spans="1:78">
      <c r="A189" s="957"/>
      <c r="B189" s="951">
        <v>41061</v>
      </c>
      <c r="C189" s="952">
        <v>40.237380591906415</v>
      </c>
      <c r="D189" s="952"/>
      <c r="E189" s="952"/>
      <c r="F189" s="950"/>
      <c r="G189" s="952"/>
      <c r="H189" s="952"/>
      <c r="I189" s="952"/>
      <c r="J189" s="9"/>
      <c r="K189" s="944">
        <v>41944</v>
      </c>
      <c r="L189" s="953">
        <v>0</v>
      </c>
      <c r="M189" s="953">
        <v>0</v>
      </c>
      <c r="N189" s="953">
        <v>0</v>
      </c>
      <c r="O189" s="13"/>
      <c r="P189" s="953">
        <v>0</v>
      </c>
      <c r="Q189" s="953">
        <v>0</v>
      </c>
      <c r="R189" s="953">
        <v>0</v>
      </c>
      <c r="S189" s="13"/>
      <c r="T189" s="953">
        <v>0</v>
      </c>
      <c r="U189" s="953">
        <v>0</v>
      </c>
      <c r="V189" s="953">
        <v>0</v>
      </c>
      <c r="W189" s="13"/>
      <c r="X189" s="953">
        <v>0</v>
      </c>
      <c r="Y189" s="953">
        <v>0</v>
      </c>
      <c r="Z189" s="953">
        <v>0</v>
      </c>
      <c r="AA189" s="13">
        <v>0</v>
      </c>
      <c r="AB189" s="953">
        <v>0</v>
      </c>
      <c r="AC189" s="953">
        <v>0</v>
      </c>
      <c r="AD189" s="953">
        <v>0</v>
      </c>
      <c r="AE189" s="13"/>
      <c r="AF189" s="953">
        <v>0</v>
      </c>
      <c r="AG189" s="953">
        <v>0</v>
      </c>
      <c r="AH189" s="953">
        <v>0</v>
      </c>
      <c r="AI189" s="13"/>
      <c r="AJ189" s="953">
        <v>0</v>
      </c>
      <c r="AK189" s="953">
        <v>0</v>
      </c>
      <c r="AL189" s="953">
        <v>0</v>
      </c>
      <c r="AM189" s="1455"/>
      <c r="AN189" s="9">
        <v>60</v>
      </c>
      <c r="AO189" s="955">
        <v>0.35</v>
      </c>
      <c r="AP189" s="13"/>
      <c r="AQ189"/>
      <c r="AR189"/>
      <c r="AS189"/>
      <c r="AT189"/>
      <c r="AU189" t="str">
        <f t="shared" si="28"/>
        <v>2015Q2</v>
      </c>
      <c r="AV189">
        <f t="shared" si="29"/>
        <v>2015</v>
      </c>
      <c r="AW189" s="111">
        <f t="shared" si="25"/>
        <v>42095</v>
      </c>
      <c r="AX189" s="136">
        <f t="shared" si="32"/>
        <v>3.3215281335893314</v>
      </c>
      <c r="AY189" s="1541">
        <v>3.3215281335893314</v>
      </c>
      <c r="AZ189" s="136">
        <f t="shared" si="33"/>
        <v>3.3215281335893314</v>
      </c>
      <c r="BA189" s="137">
        <v>1</v>
      </c>
      <c r="BB189" s="137">
        <v>1</v>
      </c>
      <c r="BC189" s="137">
        <v>1</v>
      </c>
      <c r="BD189" s="137">
        <v>0</v>
      </c>
      <c r="BE189" s="137"/>
      <c r="BF189" s="137">
        <v>0</v>
      </c>
      <c r="BG189" s="145">
        <v>0</v>
      </c>
      <c r="BH189" s="153"/>
      <c r="BI189" s="938"/>
      <c r="BJ189" s="924"/>
      <c r="BK189" s="1443">
        <v>0</v>
      </c>
      <c r="BL189" s="905">
        <f t="shared" si="34"/>
        <v>3.3215281335893314</v>
      </c>
      <c r="BM189" s="1287">
        <f t="shared" si="26"/>
        <v>3.3215281335893314</v>
      </c>
      <c r="BN189" s="1393">
        <f t="shared" si="35"/>
        <v>1.7645266189029396E-2</v>
      </c>
      <c r="BO189" s="1377">
        <f t="shared" si="24"/>
        <v>3.3215281335893314</v>
      </c>
      <c r="BP189" s="208">
        <f t="shared" si="36"/>
        <v>1.7645266189029396E-2</v>
      </c>
      <c r="BQ189" s="1378">
        <f t="shared" si="30"/>
        <v>3.8053413027985332</v>
      </c>
      <c r="BR189" s="1378">
        <f t="shared" si="27"/>
        <v>3.0561900979633339</v>
      </c>
      <c r="BS189" s="153">
        <v>0</v>
      </c>
      <c r="BU189" s="1389">
        <f t="shared" si="31"/>
        <v>41671</v>
      </c>
      <c r="BV189" s="1390">
        <v>2.8222450195695483</v>
      </c>
      <c r="BW189" s="1390">
        <v>2.3557438015877996</v>
      </c>
      <c r="BX189" s="1390"/>
      <c r="BY189" s="1390">
        <v>3.8743376191282506</v>
      </c>
      <c r="BZ189" s="1391">
        <v>3.2339314156755465</v>
      </c>
    </row>
    <row r="190" spans="1:78">
      <c r="A190" s="957"/>
      <c r="B190" s="951">
        <v>41091</v>
      </c>
      <c r="C190" s="952">
        <v>55.595843000798425</v>
      </c>
      <c r="D190" s="952"/>
      <c r="E190" s="952"/>
      <c r="F190" s="950"/>
      <c r="G190" s="952"/>
      <c r="H190" s="952"/>
      <c r="I190" s="952"/>
      <c r="J190" s="9"/>
      <c r="K190" s="944">
        <v>41974</v>
      </c>
      <c r="L190" s="953">
        <v>0</v>
      </c>
      <c r="M190" s="953">
        <v>0</v>
      </c>
      <c r="N190" s="953">
        <v>0</v>
      </c>
      <c r="O190" s="13"/>
      <c r="P190" s="953">
        <v>0</v>
      </c>
      <c r="Q190" s="953">
        <v>0</v>
      </c>
      <c r="R190" s="953">
        <v>0</v>
      </c>
      <c r="S190" s="13"/>
      <c r="T190" s="953">
        <v>0</v>
      </c>
      <c r="U190" s="953">
        <v>0</v>
      </c>
      <c r="V190" s="953">
        <v>0</v>
      </c>
      <c r="W190" s="13"/>
      <c r="X190" s="953">
        <v>0</v>
      </c>
      <c r="Y190" s="953">
        <v>0</v>
      </c>
      <c r="Z190" s="953">
        <v>0</v>
      </c>
      <c r="AA190" s="13">
        <v>0</v>
      </c>
      <c r="AB190" s="953">
        <v>0</v>
      </c>
      <c r="AC190" s="953">
        <v>0</v>
      </c>
      <c r="AD190" s="953">
        <v>0</v>
      </c>
      <c r="AE190" s="13"/>
      <c r="AF190" s="953">
        <v>0</v>
      </c>
      <c r="AG190" s="953">
        <v>0</v>
      </c>
      <c r="AH190" s="953">
        <v>0</v>
      </c>
      <c r="AI190" s="13"/>
      <c r="AJ190" s="953">
        <v>0</v>
      </c>
      <c r="AK190" s="953">
        <v>0</v>
      </c>
      <c r="AL190" s="953">
        <v>0</v>
      </c>
      <c r="AM190" s="1455"/>
      <c r="AN190" s="9">
        <v>61</v>
      </c>
      <c r="AO190" s="955">
        <v>0.35</v>
      </c>
      <c r="AP190" s="13"/>
      <c r="AQ190"/>
      <c r="AR190"/>
      <c r="AS190"/>
      <c r="AT190"/>
      <c r="AU190" t="str">
        <f t="shared" si="28"/>
        <v>2015Q2</v>
      </c>
      <c r="AV190">
        <f t="shared" si="29"/>
        <v>2015</v>
      </c>
      <c r="AW190" s="111">
        <f t="shared" si="25"/>
        <v>42125</v>
      </c>
      <c r="AX190" s="136">
        <f t="shared" si="32"/>
        <v>3.2964781958681941</v>
      </c>
      <c r="AY190" s="1541">
        <v>3.2964781958681941</v>
      </c>
      <c r="AZ190" s="136">
        <f t="shared" si="33"/>
        <v>3.2964781958681941</v>
      </c>
      <c r="BA190" s="137">
        <v>1</v>
      </c>
      <c r="BB190" s="137">
        <v>1</v>
      </c>
      <c r="BC190" s="137">
        <v>1</v>
      </c>
      <c r="BD190" s="137">
        <v>0</v>
      </c>
      <c r="BE190" s="137"/>
      <c r="BF190" s="137">
        <v>0</v>
      </c>
      <c r="BG190" s="145">
        <v>0</v>
      </c>
      <c r="BH190" s="153"/>
      <c r="BI190" s="938"/>
      <c r="BJ190" s="924"/>
      <c r="BK190" s="1443">
        <v>0</v>
      </c>
      <c r="BL190" s="905">
        <f t="shared" si="34"/>
        <v>3.2964781958681941</v>
      </c>
      <c r="BM190" s="1287">
        <f t="shared" si="26"/>
        <v>3.2964781958681941</v>
      </c>
      <c r="BN190" s="1393">
        <f t="shared" si="35"/>
        <v>1.7645266189029174E-2</v>
      </c>
      <c r="BO190" s="1377">
        <f t="shared" si="24"/>
        <v>3.2964781958681941</v>
      </c>
      <c r="BP190" s="208">
        <f t="shared" si="36"/>
        <v>1.7645266189029174E-2</v>
      </c>
      <c r="BQ190" s="1378">
        <f t="shared" si="30"/>
        <v>3.7701104542636341</v>
      </c>
      <c r="BR190" s="1378">
        <f t="shared" si="27"/>
        <v>3.0185776342011006</v>
      </c>
      <c r="BS190" s="153">
        <v>0</v>
      </c>
      <c r="BU190" s="1389">
        <f t="shared" si="31"/>
        <v>41699</v>
      </c>
      <c r="BV190" s="1390">
        <v>2.7384474301689989</v>
      </c>
      <c r="BW190" s="1390">
        <v>2.2388009189584275</v>
      </c>
      <c r="BX190" s="1390"/>
      <c r="BY190" s="1390">
        <v>3.7593014862781238</v>
      </c>
      <c r="BZ190" s="1391">
        <v>3.0733938980898552</v>
      </c>
    </row>
    <row r="191" spans="1:78">
      <c r="A191" s="957"/>
      <c r="B191" s="951">
        <v>41122</v>
      </c>
      <c r="C191" s="952">
        <v>69.747568085928307</v>
      </c>
      <c r="D191" s="952"/>
      <c r="E191" s="952"/>
      <c r="F191" s="950"/>
      <c r="G191" s="952"/>
      <c r="H191" s="952"/>
      <c r="I191" s="952"/>
      <c r="J191" s="9"/>
      <c r="K191" s="944">
        <v>42005</v>
      </c>
      <c r="L191" s="953">
        <v>0</v>
      </c>
      <c r="M191" s="953">
        <v>0</v>
      </c>
      <c r="N191" s="953">
        <v>0</v>
      </c>
      <c r="O191" s="13"/>
      <c r="P191" s="953">
        <v>0</v>
      </c>
      <c r="Q191" s="953">
        <v>0</v>
      </c>
      <c r="R191" s="953">
        <v>0</v>
      </c>
      <c r="S191" s="13"/>
      <c r="T191" s="953">
        <v>0</v>
      </c>
      <c r="U191" s="953">
        <v>0</v>
      </c>
      <c r="V191" s="953">
        <v>0</v>
      </c>
      <c r="W191" s="13"/>
      <c r="X191" s="953">
        <v>0</v>
      </c>
      <c r="Y191" s="953">
        <v>0</v>
      </c>
      <c r="Z191" s="953">
        <v>0</v>
      </c>
      <c r="AA191" s="13">
        <v>0</v>
      </c>
      <c r="AB191" s="953">
        <v>0</v>
      </c>
      <c r="AC191" s="953">
        <v>0</v>
      </c>
      <c r="AD191" s="953">
        <v>0</v>
      </c>
      <c r="AE191" s="13"/>
      <c r="AF191" s="953">
        <v>0</v>
      </c>
      <c r="AG191" s="953">
        <v>0</v>
      </c>
      <c r="AH191" s="953">
        <v>0</v>
      </c>
      <c r="AI191" s="13"/>
      <c r="AJ191" s="953">
        <v>0</v>
      </c>
      <c r="AK191" s="953">
        <v>0</v>
      </c>
      <c r="AL191" s="953">
        <v>0</v>
      </c>
      <c r="AM191" s="1455"/>
      <c r="AN191" s="9">
        <v>61</v>
      </c>
      <c r="AO191" s="955">
        <v>0.35</v>
      </c>
      <c r="AP191" s="13"/>
      <c r="AQ191"/>
      <c r="AR191"/>
      <c r="AS191"/>
      <c r="AT191"/>
      <c r="AU191" t="str">
        <f t="shared" si="28"/>
        <v>2015Q2</v>
      </c>
      <c r="AV191">
        <f t="shared" si="29"/>
        <v>2015</v>
      </c>
      <c r="AW191" s="111">
        <f t="shared" si="25"/>
        <v>42156</v>
      </c>
      <c r="AX191" s="136">
        <f t="shared" si="32"/>
        <v>3.3362977493524668</v>
      </c>
      <c r="AY191" s="1541">
        <v>3.3362977493524668</v>
      </c>
      <c r="AZ191" s="136">
        <f t="shared" si="33"/>
        <v>3.3362977493524668</v>
      </c>
      <c r="BA191" s="137">
        <v>1</v>
      </c>
      <c r="BB191" s="137">
        <v>1</v>
      </c>
      <c r="BC191" s="137">
        <v>1</v>
      </c>
      <c r="BD191" s="137">
        <v>0</v>
      </c>
      <c r="BE191" s="137"/>
      <c r="BF191" s="137">
        <v>0</v>
      </c>
      <c r="BG191" s="145">
        <v>0</v>
      </c>
      <c r="BH191" s="153"/>
      <c r="BI191" s="938"/>
      <c r="BJ191" s="924"/>
      <c r="BK191" s="1443">
        <v>0</v>
      </c>
      <c r="BL191" s="905">
        <f t="shared" si="34"/>
        <v>3.3362977493524668</v>
      </c>
      <c r="BM191" s="1287">
        <f t="shared" si="26"/>
        <v>3.3362977493524668</v>
      </c>
      <c r="BN191" s="1393">
        <f t="shared" si="35"/>
        <v>1.7645266189029618E-2</v>
      </c>
      <c r="BO191" s="1377">
        <f t="shared" si="24"/>
        <v>3.3362977493524668</v>
      </c>
      <c r="BP191" s="208">
        <f t="shared" si="36"/>
        <v>1.7645266189029618E-2</v>
      </c>
      <c r="BQ191" s="1378">
        <f t="shared" si="30"/>
        <v>3.7766650307352432</v>
      </c>
      <c r="BR191" s="1378">
        <f t="shared" si="27"/>
        <v>3.028513001987351</v>
      </c>
      <c r="BS191" s="153">
        <v>0</v>
      </c>
      <c r="BU191" s="1389">
        <f t="shared" si="31"/>
        <v>41730</v>
      </c>
      <c r="BV191" s="1390">
        <v>2.6841234756610564</v>
      </c>
      <c r="BW191" s="1390">
        <v>2.1707522588077159</v>
      </c>
      <c r="BX191" s="1390"/>
      <c r="BY191" s="1390">
        <v>3.6847263380856274</v>
      </c>
      <c r="BZ191" s="1391">
        <v>2.9799776701843892</v>
      </c>
    </row>
    <row r="192" spans="1:78">
      <c r="A192" s="957"/>
      <c r="B192" s="951">
        <v>41153</v>
      </c>
      <c r="C192" s="952">
        <v>61.386363052737671</v>
      </c>
      <c r="D192" s="952"/>
      <c r="E192" s="952"/>
      <c r="F192" s="950"/>
      <c r="G192" s="952"/>
      <c r="H192" s="952"/>
      <c r="I192" s="952"/>
      <c r="J192" s="9"/>
      <c r="K192" s="944">
        <v>42036</v>
      </c>
      <c r="L192" s="953">
        <v>0</v>
      </c>
      <c r="M192" s="953">
        <v>0</v>
      </c>
      <c r="N192" s="953">
        <v>0</v>
      </c>
      <c r="O192" s="13"/>
      <c r="P192" s="953">
        <v>0</v>
      </c>
      <c r="Q192" s="953">
        <v>0</v>
      </c>
      <c r="R192" s="953">
        <v>0</v>
      </c>
      <c r="S192" s="13"/>
      <c r="T192" s="953">
        <v>0</v>
      </c>
      <c r="U192" s="953">
        <v>0</v>
      </c>
      <c r="V192" s="953">
        <v>0</v>
      </c>
      <c r="W192" s="13"/>
      <c r="X192" s="953">
        <v>0</v>
      </c>
      <c r="Y192" s="953">
        <v>0</v>
      </c>
      <c r="Z192" s="953">
        <v>0</v>
      </c>
      <c r="AA192" s="13">
        <v>0</v>
      </c>
      <c r="AB192" s="953">
        <v>0</v>
      </c>
      <c r="AC192" s="953">
        <v>0</v>
      </c>
      <c r="AD192" s="953">
        <v>0</v>
      </c>
      <c r="AE192" s="13"/>
      <c r="AF192" s="953">
        <v>0</v>
      </c>
      <c r="AG192" s="953">
        <v>0</v>
      </c>
      <c r="AH192" s="953">
        <v>0</v>
      </c>
      <c r="AI192" s="13"/>
      <c r="AJ192" s="953">
        <v>0</v>
      </c>
      <c r="AK192" s="953">
        <v>0</v>
      </c>
      <c r="AL192" s="953">
        <v>0</v>
      </c>
      <c r="AM192" s="1455"/>
      <c r="AN192" s="9">
        <v>61</v>
      </c>
      <c r="AO192" s="955">
        <v>0.35</v>
      </c>
      <c r="AP192" s="13"/>
      <c r="AQ192"/>
      <c r="AR192"/>
      <c r="AS192"/>
      <c r="AT192"/>
      <c r="AU192" t="str">
        <f t="shared" si="28"/>
        <v>2015Q3</v>
      </c>
      <c r="AV192">
        <f t="shared" si="29"/>
        <v>2015</v>
      </c>
      <c r="AW192" s="111">
        <f t="shared" si="25"/>
        <v>42186</v>
      </c>
      <c r="AX192" s="136">
        <f t="shared" si="32"/>
        <v>3.4273656342531589</v>
      </c>
      <c r="AY192" s="1541">
        <v>3.4273656342531589</v>
      </c>
      <c r="AZ192" s="136">
        <f t="shared" si="33"/>
        <v>3.4273656342531589</v>
      </c>
      <c r="BA192" s="137">
        <v>1</v>
      </c>
      <c r="BB192" s="137">
        <v>1</v>
      </c>
      <c r="BC192" s="137">
        <v>1</v>
      </c>
      <c r="BD192" s="137">
        <v>0</v>
      </c>
      <c r="BE192" s="137"/>
      <c r="BF192" s="137">
        <v>0</v>
      </c>
      <c r="BG192" s="145">
        <v>0</v>
      </c>
      <c r="BH192" s="153"/>
      <c r="BI192" s="938"/>
      <c r="BJ192" s="924"/>
      <c r="BK192" s="1443">
        <v>0</v>
      </c>
      <c r="BL192" s="905">
        <f t="shared" si="34"/>
        <v>3.4273656342531589</v>
      </c>
      <c r="BM192" s="1287">
        <f t="shared" si="26"/>
        <v>3.4273656342531589</v>
      </c>
      <c r="BN192" s="1393">
        <f t="shared" si="35"/>
        <v>1.7645266189029618E-2</v>
      </c>
      <c r="BO192" s="1377">
        <f t="shared" si="24"/>
        <v>3.4273656342531589</v>
      </c>
      <c r="BP192" s="208">
        <f t="shared" si="36"/>
        <v>1.7645266189029618E-2</v>
      </c>
      <c r="BQ192" s="1378">
        <f t="shared" si="30"/>
        <v>3.8250050322133604</v>
      </c>
      <c r="BR192" s="1378">
        <f t="shared" si="27"/>
        <v>3.0753511644082452</v>
      </c>
      <c r="BS192" s="153">
        <v>0</v>
      </c>
      <c r="BU192" s="1389">
        <f t="shared" si="31"/>
        <v>41760</v>
      </c>
      <c r="BV192" s="1390">
        <v>2.6592731560457206</v>
      </c>
      <c r="BW192" s="1390">
        <v>2.1440368588966954</v>
      </c>
      <c r="BX192" s="1390"/>
      <c r="BY192" s="1390">
        <v>3.6506121745507616</v>
      </c>
      <c r="BZ192" s="1391">
        <v>2.943303151080761</v>
      </c>
    </row>
    <row r="193" spans="1:78">
      <c r="A193" s="957"/>
      <c r="B193" s="951">
        <v>41183</v>
      </c>
      <c r="C193" s="952">
        <v>50.15773411239141</v>
      </c>
      <c r="D193" s="952"/>
      <c r="E193" s="952"/>
      <c r="F193" s="950"/>
      <c r="G193" s="952"/>
      <c r="H193" s="952"/>
      <c r="I193" s="952"/>
      <c r="J193" s="9"/>
      <c r="K193" s="944">
        <v>42064</v>
      </c>
      <c r="L193" s="953">
        <v>0</v>
      </c>
      <c r="M193" s="953">
        <v>0</v>
      </c>
      <c r="N193" s="953">
        <v>0</v>
      </c>
      <c r="O193" s="13"/>
      <c r="P193" s="953">
        <v>0</v>
      </c>
      <c r="Q193" s="953">
        <v>0</v>
      </c>
      <c r="R193" s="953">
        <v>0</v>
      </c>
      <c r="S193" s="13"/>
      <c r="T193" s="953">
        <v>0</v>
      </c>
      <c r="U193" s="953">
        <v>0</v>
      </c>
      <c r="V193" s="953">
        <v>0</v>
      </c>
      <c r="W193" s="13"/>
      <c r="X193" s="953">
        <v>0</v>
      </c>
      <c r="Y193" s="953">
        <v>0</v>
      </c>
      <c r="Z193" s="953">
        <v>0</v>
      </c>
      <c r="AA193" s="13">
        <v>0</v>
      </c>
      <c r="AB193" s="953">
        <v>0</v>
      </c>
      <c r="AC193" s="953">
        <v>0</v>
      </c>
      <c r="AD193" s="953">
        <v>0</v>
      </c>
      <c r="AE193" s="13"/>
      <c r="AF193" s="953">
        <v>0</v>
      </c>
      <c r="AG193" s="953">
        <v>0</v>
      </c>
      <c r="AH193" s="953">
        <v>0</v>
      </c>
      <c r="AI193" s="13"/>
      <c r="AJ193" s="953">
        <v>0</v>
      </c>
      <c r="AK193" s="953">
        <v>0</v>
      </c>
      <c r="AL193" s="953">
        <v>0</v>
      </c>
      <c r="AM193" s="1455"/>
      <c r="AN193" s="9">
        <v>62</v>
      </c>
      <c r="AO193" s="955">
        <v>0.35</v>
      </c>
      <c r="AP193" s="13"/>
      <c r="AQ193"/>
      <c r="AR193"/>
      <c r="AS193"/>
      <c r="AT193"/>
      <c r="AU193" t="str">
        <f t="shared" si="28"/>
        <v>2015Q3</v>
      </c>
      <c r="AV193">
        <f t="shared" si="29"/>
        <v>2015</v>
      </c>
      <c r="AW193" s="111">
        <f t="shared" si="25"/>
        <v>42217</v>
      </c>
      <c r="AX193" s="136">
        <f t="shared" si="32"/>
        <v>3.5567009445545628</v>
      </c>
      <c r="AY193" s="1541">
        <v>3.5567009445545628</v>
      </c>
      <c r="AZ193" s="136">
        <f t="shared" si="33"/>
        <v>3.5567009445545628</v>
      </c>
      <c r="BA193" s="137">
        <v>1</v>
      </c>
      <c r="BB193" s="137">
        <v>1</v>
      </c>
      <c r="BC193" s="137">
        <v>1</v>
      </c>
      <c r="BD193" s="137">
        <v>0</v>
      </c>
      <c r="BE193" s="137"/>
      <c r="BF193" s="137">
        <v>0</v>
      </c>
      <c r="BG193" s="145">
        <v>0</v>
      </c>
      <c r="BH193" s="153"/>
      <c r="BI193" s="938"/>
      <c r="BJ193" s="924"/>
      <c r="BK193" s="1443">
        <v>0</v>
      </c>
      <c r="BL193" s="905">
        <f t="shared" si="34"/>
        <v>3.5567009445545628</v>
      </c>
      <c r="BM193" s="1287">
        <f t="shared" si="26"/>
        <v>3.5567009445545628</v>
      </c>
      <c r="BN193" s="1393">
        <f t="shared" si="35"/>
        <v>1.7645266189029618E-2</v>
      </c>
      <c r="BO193" s="1377">
        <f t="shared" si="24"/>
        <v>3.5567009445545628</v>
      </c>
      <c r="BP193" s="208">
        <f t="shared" si="36"/>
        <v>1.7645266189029618E-2</v>
      </c>
      <c r="BQ193" s="1378">
        <f t="shared" si="30"/>
        <v>3.915130458697984</v>
      </c>
      <c r="BR193" s="1378">
        <f t="shared" si="27"/>
        <v>3.1484470845499435</v>
      </c>
      <c r="BS193" s="153">
        <v>0</v>
      </c>
      <c r="BU193" s="1389">
        <f t="shared" si="31"/>
        <v>41791</v>
      </c>
      <c r="BV193" s="1390">
        <v>2.6638964713229925</v>
      </c>
      <c r="BW193" s="1390">
        <v>2.1510937569863988</v>
      </c>
      <c r="BX193" s="1390"/>
      <c r="BY193" s="1390">
        <v>3.6569589956735276</v>
      </c>
      <c r="BZ193" s="1391">
        <v>2.9529907599005871</v>
      </c>
    </row>
    <row r="194" spans="1:78">
      <c r="A194" s="957"/>
      <c r="B194" s="951">
        <v>41214</v>
      </c>
      <c r="C194" s="952">
        <v>53.634010393778794</v>
      </c>
      <c r="D194" s="952"/>
      <c r="E194" s="952"/>
      <c r="F194" s="950"/>
      <c r="G194" s="952"/>
      <c r="H194" s="952"/>
      <c r="I194" s="952"/>
      <c r="J194" s="9"/>
      <c r="K194" s="944">
        <v>42095</v>
      </c>
      <c r="L194" s="953">
        <v>0</v>
      </c>
      <c r="M194" s="953">
        <v>0</v>
      </c>
      <c r="N194" s="953">
        <v>0</v>
      </c>
      <c r="O194" s="13"/>
      <c r="P194" s="953">
        <v>0</v>
      </c>
      <c r="Q194" s="953">
        <v>0</v>
      </c>
      <c r="R194" s="953">
        <v>0</v>
      </c>
      <c r="S194" s="13"/>
      <c r="T194" s="953">
        <v>0</v>
      </c>
      <c r="U194" s="953">
        <v>0</v>
      </c>
      <c r="V194" s="953">
        <v>0</v>
      </c>
      <c r="W194" s="13"/>
      <c r="X194" s="953">
        <v>0</v>
      </c>
      <c r="Y194" s="953">
        <v>0</v>
      </c>
      <c r="Z194" s="953">
        <v>0</v>
      </c>
      <c r="AA194" s="13">
        <v>0</v>
      </c>
      <c r="AB194" s="953">
        <v>0</v>
      </c>
      <c r="AC194" s="953">
        <v>0</v>
      </c>
      <c r="AD194" s="953">
        <v>0</v>
      </c>
      <c r="AE194" s="13"/>
      <c r="AF194" s="953">
        <v>0</v>
      </c>
      <c r="AG194" s="953">
        <v>0</v>
      </c>
      <c r="AH194" s="953">
        <v>0</v>
      </c>
      <c r="AI194" s="13"/>
      <c r="AJ194" s="953">
        <v>0</v>
      </c>
      <c r="AK194" s="953">
        <v>0</v>
      </c>
      <c r="AL194" s="953">
        <v>0</v>
      </c>
      <c r="AM194" s="1455"/>
      <c r="AN194" s="9">
        <v>62</v>
      </c>
      <c r="AO194" s="955">
        <v>0.35</v>
      </c>
      <c r="AP194" s="13"/>
      <c r="AQ194"/>
      <c r="AR194"/>
      <c r="AS194"/>
      <c r="AT194"/>
      <c r="AU194" t="str">
        <f t="shared" si="28"/>
        <v>2015Q3</v>
      </c>
      <c r="AV194">
        <f t="shared" si="29"/>
        <v>2015</v>
      </c>
      <c r="AW194" s="111">
        <f t="shared" si="25"/>
        <v>42248</v>
      </c>
      <c r="AX194" s="136">
        <f t="shared" si="32"/>
        <v>3.7106873183017646</v>
      </c>
      <c r="AY194" s="1541">
        <v>3.7106873183017646</v>
      </c>
      <c r="AZ194" s="136">
        <f t="shared" si="33"/>
        <v>3.7106873183017646</v>
      </c>
      <c r="BA194" s="137">
        <v>1</v>
      </c>
      <c r="BB194" s="137">
        <v>1</v>
      </c>
      <c r="BC194" s="137">
        <v>1</v>
      </c>
      <c r="BD194" s="137">
        <v>0</v>
      </c>
      <c r="BE194" s="137"/>
      <c r="BF194" s="137">
        <v>0</v>
      </c>
      <c r="BG194" s="145">
        <v>0</v>
      </c>
      <c r="BH194" s="153"/>
      <c r="BI194" s="938"/>
      <c r="BJ194" s="924"/>
      <c r="BK194" s="1443">
        <v>0</v>
      </c>
      <c r="BL194" s="905">
        <f t="shared" si="34"/>
        <v>3.7106873183017646</v>
      </c>
      <c r="BM194" s="1287">
        <f t="shared" si="26"/>
        <v>3.7106873183017646</v>
      </c>
      <c r="BN194" s="1393">
        <f t="shared" si="35"/>
        <v>1.7645266189029618E-2</v>
      </c>
      <c r="BO194" s="1377">
        <f t="shared" si="24"/>
        <v>3.7106873183017646</v>
      </c>
      <c r="BP194" s="208">
        <f t="shared" si="36"/>
        <v>1.7645266189029618E-2</v>
      </c>
      <c r="BQ194" s="1378">
        <f t="shared" si="30"/>
        <v>4.0470413101891172</v>
      </c>
      <c r="BR194" s="1378">
        <f t="shared" si="27"/>
        <v>3.2371557254986065</v>
      </c>
      <c r="BS194" s="153">
        <v>0</v>
      </c>
      <c r="BU194" s="1389">
        <f t="shared" si="31"/>
        <v>41821</v>
      </c>
      <c r="BV194" s="1390">
        <v>2.6979934214928716</v>
      </c>
      <c r="BW194" s="1390">
        <v>2.184361990837858</v>
      </c>
      <c r="BX194" s="1390"/>
      <c r="BY194" s="1390">
        <v>3.7037668014539245</v>
      </c>
      <c r="BZ194" s="1391">
        <v>2.9986609157654818</v>
      </c>
    </row>
    <row r="195" spans="1:78">
      <c r="A195" s="957"/>
      <c r="B195" s="951">
        <v>41244</v>
      </c>
      <c r="C195" s="952">
        <v>50.14610394754569</v>
      </c>
      <c r="D195" s="952"/>
      <c r="E195" s="952"/>
      <c r="F195" s="950"/>
      <c r="G195" s="952"/>
      <c r="H195" s="952"/>
      <c r="I195" s="952"/>
      <c r="J195" s="9"/>
      <c r="K195" s="944">
        <v>42125</v>
      </c>
      <c r="L195" s="953">
        <v>0</v>
      </c>
      <c r="M195" s="953">
        <v>0</v>
      </c>
      <c r="N195" s="953">
        <v>0</v>
      </c>
      <c r="O195" s="13"/>
      <c r="P195" s="953">
        <v>0</v>
      </c>
      <c r="Q195" s="953">
        <v>0</v>
      </c>
      <c r="R195" s="953">
        <v>0</v>
      </c>
      <c r="S195" s="13"/>
      <c r="T195" s="953">
        <v>0</v>
      </c>
      <c r="U195" s="953">
        <v>0</v>
      </c>
      <c r="V195" s="953">
        <v>0</v>
      </c>
      <c r="W195" s="13"/>
      <c r="X195" s="953">
        <v>0</v>
      </c>
      <c r="Y195" s="953">
        <v>0</v>
      </c>
      <c r="Z195" s="953">
        <v>0</v>
      </c>
      <c r="AA195" s="13">
        <v>0</v>
      </c>
      <c r="AB195" s="953">
        <v>0</v>
      </c>
      <c r="AC195" s="953">
        <v>0</v>
      </c>
      <c r="AD195" s="953">
        <v>0</v>
      </c>
      <c r="AE195" s="13"/>
      <c r="AF195" s="953">
        <v>0</v>
      </c>
      <c r="AG195" s="953">
        <v>0</v>
      </c>
      <c r="AH195" s="953">
        <v>0</v>
      </c>
      <c r="AI195" s="13"/>
      <c r="AJ195" s="953">
        <v>0</v>
      </c>
      <c r="AK195" s="953">
        <v>0</v>
      </c>
      <c r="AL195" s="953">
        <v>0</v>
      </c>
      <c r="AM195" s="1455"/>
      <c r="AN195" s="9">
        <v>62</v>
      </c>
      <c r="AO195" s="955">
        <v>0.35</v>
      </c>
      <c r="AP195" s="13"/>
      <c r="AQ195"/>
      <c r="AR195"/>
      <c r="AS195"/>
      <c r="AT195"/>
      <c r="AU195" t="str">
        <f t="shared" si="28"/>
        <v>2015Q4</v>
      </c>
      <c r="AV195">
        <f t="shared" si="29"/>
        <v>2015</v>
      </c>
      <c r="AW195" s="111">
        <f t="shared" si="25"/>
        <v>42278</v>
      </c>
      <c r="AX195" s="136">
        <f t="shared" si="32"/>
        <v>3.8755880986634654</v>
      </c>
      <c r="AY195" s="1541">
        <v>3.8755880986634654</v>
      </c>
      <c r="AZ195" s="136">
        <f t="shared" si="33"/>
        <v>3.8755880986634654</v>
      </c>
      <c r="BA195" s="137">
        <v>1</v>
      </c>
      <c r="BB195" s="137">
        <v>1</v>
      </c>
      <c r="BC195" s="137">
        <v>1</v>
      </c>
      <c r="BD195" s="137">
        <v>0</v>
      </c>
      <c r="BE195" s="137"/>
      <c r="BF195" s="137">
        <v>0</v>
      </c>
      <c r="BG195" s="145">
        <v>0</v>
      </c>
      <c r="BH195" s="153"/>
      <c r="BI195" s="938"/>
      <c r="BJ195" s="924"/>
      <c r="BK195" s="1443">
        <v>0</v>
      </c>
      <c r="BL195" s="905">
        <f t="shared" si="34"/>
        <v>3.8755880986634654</v>
      </c>
      <c r="BM195" s="1287">
        <f t="shared" si="26"/>
        <v>3.8755880986634654</v>
      </c>
      <c r="BN195" s="1393">
        <f t="shared" si="35"/>
        <v>1.7645266189029396E-2</v>
      </c>
      <c r="BO195" s="1377">
        <f t="shared" ref="BO195:BO258" si="37">BM195</f>
        <v>3.8755880986634654</v>
      </c>
      <c r="BP195" s="208">
        <f t="shared" si="36"/>
        <v>1.7645266189029396E-2</v>
      </c>
      <c r="BQ195" s="1378">
        <f t="shared" si="30"/>
        <v>4.2207375866867567</v>
      </c>
      <c r="BR195" s="1378">
        <f t="shared" si="27"/>
        <v>3.330832050340395</v>
      </c>
      <c r="BS195" s="153">
        <v>0</v>
      </c>
      <c r="BU195" s="1389">
        <f t="shared" si="31"/>
        <v>41852</v>
      </c>
      <c r="BV195" s="1390">
        <v>2.7615640065553571</v>
      </c>
      <c r="BW195" s="1390">
        <v>2.2362805982121055</v>
      </c>
      <c r="BX195" s="1390"/>
      <c r="BY195" s="1390">
        <v>3.7910355918919514</v>
      </c>
      <c r="BZ195" s="1391">
        <v>3.069934037797061</v>
      </c>
    </row>
    <row r="196" spans="1:78">
      <c r="A196" s="957"/>
      <c r="B196" s="951">
        <v>41275</v>
      </c>
      <c r="C196" s="952">
        <v>50.913162857178058</v>
      </c>
      <c r="D196" s="952"/>
      <c r="E196" s="952"/>
      <c r="F196" s="950"/>
      <c r="G196" s="952"/>
      <c r="H196" s="952"/>
      <c r="I196" s="952"/>
      <c r="J196" s="9"/>
      <c r="K196" s="944">
        <v>42156</v>
      </c>
      <c r="L196" s="953">
        <v>0</v>
      </c>
      <c r="M196" s="953">
        <v>0</v>
      </c>
      <c r="N196" s="953">
        <v>0</v>
      </c>
      <c r="O196" s="13"/>
      <c r="P196" s="953">
        <v>0</v>
      </c>
      <c r="Q196" s="953">
        <v>0</v>
      </c>
      <c r="R196" s="953">
        <v>0</v>
      </c>
      <c r="S196" s="13"/>
      <c r="T196" s="953">
        <v>0</v>
      </c>
      <c r="U196" s="953">
        <v>0</v>
      </c>
      <c r="V196" s="953">
        <v>0</v>
      </c>
      <c r="W196" s="13"/>
      <c r="X196" s="953">
        <v>0</v>
      </c>
      <c r="Y196" s="953">
        <v>0</v>
      </c>
      <c r="Z196" s="953">
        <v>0</v>
      </c>
      <c r="AA196" s="13">
        <v>0</v>
      </c>
      <c r="AB196" s="953">
        <v>0</v>
      </c>
      <c r="AC196" s="953">
        <v>0</v>
      </c>
      <c r="AD196" s="953">
        <v>0</v>
      </c>
      <c r="AE196" s="13"/>
      <c r="AF196" s="953">
        <v>0</v>
      </c>
      <c r="AG196" s="953">
        <v>0</v>
      </c>
      <c r="AH196" s="953">
        <v>0</v>
      </c>
      <c r="AI196" s="13"/>
      <c r="AJ196" s="953">
        <v>0</v>
      </c>
      <c r="AK196" s="953">
        <v>0</v>
      </c>
      <c r="AL196" s="953">
        <v>0</v>
      </c>
      <c r="AM196" s="1455"/>
      <c r="AN196" s="9">
        <v>63</v>
      </c>
      <c r="AO196" s="955">
        <v>0.35</v>
      </c>
      <c r="AP196" s="13"/>
      <c r="AQ196"/>
      <c r="AR196"/>
      <c r="AS196"/>
      <c r="AT196"/>
      <c r="AU196" t="str">
        <f t="shared" si="28"/>
        <v>2015Q4</v>
      </c>
      <c r="AV196">
        <f t="shared" si="29"/>
        <v>2015</v>
      </c>
      <c r="AW196" s="111">
        <f t="shared" si="25"/>
        <v>42309</v>
      </c>
      <c r="AX196" s="136">
        <f t="shared" si="32"/>
        <v>4.0381967640954688</v>
      </c>
      <c r="AY196" s="1541">
        <v>4.0381967640954688</v>
      </c>
      <c r="AZ196" s="136">
        <f t="shared" si="33"/>
        <v>4.0381967640954688</v>
      </c>
      <c r="BA196" s="137">
        <v>1</v>
      </c>
      <c r="BB196" s="137">
        <v>1</v>
      </c>
      <c r="BC196" s="137">
        <v>1</v>
      </c>
      <c r="BD196" s="137">
        <v>0</v>
      </c>
      <c r="BE196" s="137"/>
      <c r="BF196" s="137">
        <v>0</v>
      </c>
      <c r="BG196" s="145">
        <v>0</v>
      </c>
      <c r="BH196" s="153"/>
      <c r="BI196" s="938"/>
      <c r="BJ196" s="924"/>
      <c r="BK196" s="1443">
        <v>0</v>
      </c>
      <c r="BL196" s="905">
        <f t="shared" si="34"/>
        <v>4.0381967640954688</v>
      </c>
      <c r="BM196" s="1287">
        <f t="shared" si="26"/>
        <v>4.0381967640954688</v>
      </c>
      <c r="BN196" s="1393">
        <f t="shared" si="35"/>
        <v>1.7645266189029396E-2</v>
      </c>
      <c r="BO196" s="1377">
        <f t="shared" si="37"/>
        <v>4.0381967640954688</v>
      </c>
      <c r="BP196" s="208">
        <f t="shared" si="36"/>
        <v>1.7645266189029396E-2</v>
      </c>
      <c r="BQ196" s="1378">
        <f t="shared" si="30"/>
        <v>4.4362192881909053</v>
      </c>
      <c r="BR196" s="1378">
        <f t="shared" si="27"/>
        <v>3.4188310221614695</v>
      </c>
      <c r="BS196" s="153">
        <v>0</v>
      </c>
      <c r="BU196" s="1389">
        <f t="shared" si="31"/>
        <v>41883</v>
      </c>
      <c r="BV196" s="1390">
        <v>2.8546082265104502</v>
      </c>
      <c r="BW196" s="1390">
        <v>2.2992886168701721</v>
      </c>
      <c r="BX196" s="1390"/>
      <c r="BY196" s="1390">
        <v>3.9187653669876101</v>
      </c>
      <c r="BZ196" s="1391">
        <v>3.1564305451169372</v>
      </c>
    </row>
    <row r="197" spans="1:78">
      <c r="A197" s="957"/>
      <c r="B197" s="951">
        <v>41306</v>
      </c>
      <c r="C197" s="952">
        <v>41.861802147555736</v>
      </c>
      <c r="D197" s="952"/>
      <c r="E197" s="952"/>
      <c r="F197" s="950"/>
      <c r="G197" s="952"/>
      <c r="H197" s="952"/>
      <c r="I197" s="952"/>
      <c r="J197" s="9"/>
      <c r="K197" s="944">
        <v>42186</v>
      </c>
      <c r="L197" s="953">
        <v>0</v>
      </c>
      <c r="M197" s="953">
        <v>0</v>
      </c>
      <c r="N197" s="953">
        <v>0</v>
      </c>
      <c r="O197" s="13"/>
      <c r="P197" s="953">
        <v>0</v>
      </c>
      <c r="Q197" s="953">
        <v>0</v>
      </c>
      <c r="R197" s="953">
        <v>0</v>
      </c>
      <c r="S197" s="13"/>
      <c r="T197" s="953">
        <v>0</v>
      </c>
      <c r="U197" s="953">
        <v>0</v>
      </c>
      <c r="V197" s="953">
        <v>0</v>
      </c>
      <c r="W197" s="13"/>
      <c r="X197" s="953">
        <v>0</v>
      </c>
      <c r="Y197" s="953">
        <v>0</v>
      </c>
      <c r="Z197" s="953">
        <v>0</v>
      </c>
      <c r="AA197" s="13">
        <v>0</v>
      </c>
      <c r="AB197" s="953">
        <v>0</v>
      </c>
      <c r="AC197" s="953">
        <v>0</v>
      </c>
      <c r="AD197" s="953">
        <v>0</v>
      </c>
      <c r="AE197" s="13"/>
      <c r="AF197" s="953">
        <v>0</v>
      </c>
      <c r="AG197" s="953">
        <v>0</v>
      </c>
      <c r="AH197" s="953">
        <v>0</v>
      </c>
      <c r="AI197" s="13"/>
      <c r="AJ197" s="953">
        <v>0</v>
      </c>
      <c r="AK197" s="953">
        <v>0</v>
      </c>
      <c r="AL197" s="953">
        <v>0</v>
      </c>
      <c r="AM197" s="1455"/>
      <c r="AN197" s="9">
        <v>63</v>
      </c>
      <c r="AO197" s="955">
        <v>0.35</v>
      </c>
      <c r="AP197" s="13"/>
      <c r="AQ197"/>
      <c r="AR197"/>
      <c r="AS197"/>
      <c r="AT197"/>
      <c r="AU197" t="str">
        <f t="shared" si="28"/>
        <v>2015Q4</v>
      </c>
      <c r="AV197">
        <f t="shared" si="29"/>
        <v>2015</v>
      </c>
      <c r="AW197" s="111">
        <f t="shared" si="25"/>
        <v>42339</v>
      </c>
      <c r="AX197" s="136">
        <f t="shared" si="32"/>
        <v>4.2099618724691004</v>
      </c>
      <c r="AY197" s="1541">
        <v>4.2099618724691004</v>
      </c>
      <c r="AZ197" s="136">
        <f t="shared" si="33"/>
        <v>4.2099618724691004</v>
      </c>
      <c r="BA197" s="137">
        <v>1</v>
      </c>
      <c r="BB197" s="137">
        <v>1</v>
      </c>
      <c r="BC197" s="137">
        <v>1</v>
      </c>
      <c r="BD197" s="137">
        <v>0</v>
      </c>
      <c r="BE197" s="137"/>
      <c r="BF197" s="137">
        <v>0</v>
      </c>
      <c r="BG197" s="145">
        <v>0</v>
      </c>
      <c r="BH197" s="153"/>
      <c r="BI197" s="938"/>
      <c r="BJ197" s="924"/>
      <c r="BK197" s="1443">
        <v>0</v>
      </c>
      <c r="BL197" s="905">
        <f t="shared" si="34"/>
        <v>4.2099618724691004</v>
      </c>
      <c r="BM197" s="1287">
        <f t="shared" si="26"/>
        <v>4.2099618724691004</v>
      </c>
      <c r="BN197" s="1393">
        <f t="shared" si="35"/>
        <v>1.7645266189029396E-2</v>
      </c>
      <c r="BO197" s="1377">
        <f t="shared" si="37"/>
        <v>4.2099618724691004</v>
      </c>
      <c r="BP197" s="208">
        <f t="shared" si="36"/>
        <v>1.7645266189029396E-2</v>
      </c>
      <c r="BQ197" s="1378">
        <f t="shared" si="30"/>
        <v>4.5299333452937356</v>
      </c>
      <c r="BR197" s="1378">
        <f t="shared" si="27"/>
        <v>3.4905076040479872</v>
      </c>
      <c r="BS197" s="153">
        <v>0</v>
      </c>
      <c r="BU197" s="1389">
        <f t="shared" si="31"/>
        <v>41913</v>
      </c>
      <c r="BV197" s="1390">
        <v>2.9771260813581506</v>
      </c>
      <c r="BW197" s="1390">
        <v>2.3658250845730908</v>
      </c>
      <c r="BX197" s="1390"/>
      <c r="BY197" s="1390">
        <v>4.0869561267408994</v>
      </c>
      <c r="BZ197" s="1391">
        <v>3.2477708568467274</v>
      </c>
    </row>
    <row r="198" spans="1:78">
      <c r="A198" s="957"/>
      <c r="B198" s="951">
        <v>41334</v>
      </c>
      <c r="C198" s="952">
        <v>37.900215054140716</v>
      </c>
      <c r="D198" s="952"/>
      <c r="E198" s="952"/>
      <c r="F198" s="950"/>
      <c r="G198" s="952"/>
      <c r="H198" s="952"/>
      <c r="I198" s="952"/>
      <c r="J198" s="9"/>
      <c r="K198" s="944">
        <v>42217</v>
      </c>
      <c r="L198" s="953">
        <v>0</v>
      </c>
      <c r="M198" s="953">
        <v>0</v>
      </c>
      <c r="N198" s="953">
        <v>0</v>
      </c>
      <c r="O198" s="13"/>
      <c r="P198" s="953">
        <v>0</v>
      </c>
      <c r="Q198" s="953">
        <v>0</v>
      </c>
      <c r="R198" s="953">
        <v>0</v>
      </c>
      <c r="S198" s="13"/>
      <c r="T198" s="953">
        <v>0</v>
      </c>
      <c r="U198" s="953">
        <v>0</v>
      </c>
      <c r="V198" s="953">
        <v>0</v>
      </c>
      <c r="W198" s="13"/>
      <c r="X198" s="953">
        <v>0</v>
      </c>
      <c r="Y198" s="953">
        <v>0</v>
      </c>
      <c r="Z198" s="953">
        <v>0</v>
      </c>
      <c r="AA198" s="13">
        <v>0</v>
      </c>
      <c r="AB198" s="953">
        <v>0</v>
      </c>
      <c r="AC198" s="953">
        <v>0</v>
      </c>
      <c r="AD198" s="953">
        <v>0</v>
      </c>
      <c r="AE198" s="13"/>
      <c r="AF198" s="953">
        <v>0</v>
      </c>
      <c r="AG198" s="953">
        <v>0</v>
      </c>
      <c r="AH198" s="953">
        <v>0</v>
      </c>
      <c r="AI198" s="13"/>
      <c r="AJ198" s="953">
        <v>0</v>
      </c>
      <c r="AK198" s="953">
        <v>0</v>
      </c>
      <c r="AL198" s="953">
        <v>0</v>
      </c>
      <c r="AM198" s="1455"/>
      <c r="AN198" s="9">
        <v>63</v>
      </c>
      <c r="AO198" s="955">
        <v>0.35</v>
      </c>
      <c r="AP198" s="13"/>
      <c r="AQ198"/>
      <c r="AR198"/>
      <c r="AS198"/>
      <c r="AT198"/>
      <c r="AU198" t="str">
        <f t="shared" si="28"/>
        <v>2016Q1</v>
      </c>
      <c r="AV198">
        <f t="shared" si="29"/>
        <v>2016</v>
      </c>
      <c r="AW198" s="111">
        <f t="shared" si="25"/>
        <v>42370</v>
      </c>
      <c r="AX198" s="136">
        <f t="shared" si="32"/>
        <v>3.9888826763916541</v>
      </c>
      <c r="AY198" s="1541">
        <v>3.9888826763916541</v>
      </c>
      <c r="AZ198" s="136">
        <f t="shared" si="33"/>
        <v>3.9888826763916541</v>
      </c>
      <c r="BA198" s="137">
        <v>1</v>
      </c>
      <c r="BB198" s="137">
        <v>1</v>
      </c>
      <c r="BC198" s="137">
        <v>1</v>
      </c>
      <c r="BD198" s="137">
        <v>0</v>
      </c>
      <c r="BE198" s="137"/>
      <c r="BF198" s="137">
        <v>0</v>
      </c>
      <c r="BG198" s="145">
        <v>0</v>
      </c>
      <c r="BH198" s="153"/>
      <c r="BI198" s="938"/>
      <c r="BJ198" s="924"/>
      <c r="BK198" s="1443">
        <v>0</v>
      </c>
      <c r="BL198" s="905">
        <f t="shared" si="34"/>
        <v>3.9888826763916541</v>
      </c>
      <c r="BM198" s="1287">
        <f t="shared" si="26"/>
        <v>3.9888826763916541</v>
      </c>
      <c r="BN198" s="1393">
        <f t="shared" si="35"/>
        <v>1.8153382105306148E-2</v>
      </c>
      <c r="BO198" s="1377">
        <f t="shared" si="37"/>
        <v>3.9888826763916541</v>
      </c>
      <c r="BP198" s="208">
        <f t="shared" si="36"/>
        <v>1.8153382105306148E-2</v>
      </c>
      <c r="BQ198" s="1378">
        <f t="shared" si="30"/>
        <v>4.4667425155006155</v>
      </c>
      <c r="BR198" s="1378">
        <f t="shared" si="27"/>
        <v>3.6688434056965922</v>
      </c>
      <c r="BS198" s="153">
        <v>0</v>
      </c>
      <c r="BU198" s="1389">
        <f t="shared" si="31"/>
        <v>41944</v>
      </c>
      <c r="BV198" s="1390">
        <v>3.1291175710984587</v>
      </c>
      <c r="BW198" s="1390">
        <v>2.4283290390818939</v>
      </c>
      <c r="BX198" s="1390"/>
      <c r="BY198" s="1390">
        <v>4.2956078711518213</v>
      </c>
      <c r="BZ198" s="1391">
        <v>3.3335753921080462</v>
      </c>
    </row>
    <row r="199" spans="1:78">
      <c r="A199" s="957"/>
      <c r="B199" s="951">
        <v>41365</v>
      </c>
      <c r="C199" s="952">
        <v>37.689988032726191</v>
      </c>
      <c r="D199" s="952"/>
      <c r="E199" s="952"/>
      <c r="F199" s="950"/>
      <c r="G199" s="952"/>
      <c r="H199" s="952"/>
      <c r="I199" s="952"/>
      <c r="J199" s="9"/>
      <c r="K199" s="944">
        <v>42248</v>
      </c>
      <c r="L199" s="953">
        <v>0</v>
      </c>
      <c r="M199" s="953">
        <v>0</v>
      </c>
      <c r="N199" s="953">
        <v>0</v>
      </c>
      <c r="O199" s="13"/>
      <c r="P199" s="953">
        <v>0</v>
      </c>
      <c r="Q199" s="953">
        <v>0</v>
      </c>
      <c r="R199" s="953">
        <v>0</v>
      </c>
      <c r="S199" s="13"/>
      <c r="T199" s="953">
        <v>0</v>
      </c>
      <c r="U199" s="953">
        <v>0</v>
      </c>
      <c r="V199" s="953">
        <v>0</v>
      </c>
      <c r="W199" s="13"/>
      <c r="X199" s="953">
        <v>0</v>
      </c>
      <c r="Y199" s="953">
        <v>0</v>
      </c>
      <c r="Z199" s="953">
        <v>0</v>
      </c>
      <c r="AA199" s="13">
        <v>0</v>
      </c>
      <c r="AB199" s="953">
        <v>0</v>
      </c>
      <c r="AC199" s="953">
        <v>0</v>
      </c>
      <c r="AD199" s="953">
        <v>0</v>
      </c>
      <c r="AE199" s="13"/>
      <c r="AF199" s="953">
        <v>0</v>
      </c>
      <c r="AG199" s="953">
        <v>0</v>
      </c>
      <c r="AH199" s="953">
        <v>0</v>
      </c>
      <c r="AI199" s="13"/>
      <c r="AJ199" s="953">
        <v>0</v>
      </c>
      <c r="AK199" s="953">
        <v>0</v>
      </c>
      <c r="AL199" s="953">
        <v>0</v>
      </c>
      <c r="AM199" s="1455"/>
      <c r="AN199" s="9">
        <v>64</v>
      </c>
      <c r="AO199" s="955">
        <v>0.35</v>
      </c>
      <c r="AP199" s="13"/>
      <c r="AQ199"/>
      <c r="AR199"/>
      <c r="AS199"/>
      <c r="AT199"/>
      <c r="AU199" t="str">
        <f t="shared" si="28"/>
        <v>2016Q1</v>
      </c>
      <c r="AV199">
        <f t="shared" si="29"/>
        <v>2016</v>
      </c>
      <c r="AW199" s="111">
        <f t="shared" ref="AW199:AW262" si="38">EOMONTH(AW198,0)+1</f>
        <v>42401</v>
      </c>
      <c r="AX199" s="136">
        <f t="shared" si="32"/>
        <v>3.6842007822313274</v>
      </c>
      <c r="AY199" s="1541">
        <v>3.6842007822313274</v>
      </c>
      <c r="AZ199" s="136">
        <f t="shared" si="33"/>
        <v>3.6842007822313274</v>
      </c>
      <c r="BA199" s="137">
        <v>1</v>
      </c>
      <c r="BB199" s="137">
        <v>1</v>
      </c>
      <c r="BC199" s="137">
        <v>1</v>
      </c>
      <c r="BD199" s="137">
        <v>0</v>
      </c>
      <c r="BE199" s="137"/>
      <c r="BF199" s="137">
        <v>0</v>
      </c>
      <c r="BG199" s="145">
        <v>0</v>
      </c>
      <c r="BH199" s="153"/>
      <c r="BI199" s="938"/>
      <c r="BJ199" s="924"/>
      <c r="BK199" s="1443">
        <v>0</v>
      </c>
      <c r="BL199" s="905">
        <f t="shared" si="34"/>
        <v>3.6842007822313274</v>
      </c>
      <c r="BM199" s="1287">
        <f t="shared" ref="BM199:BM262" si="39">AY199</f>
        <v>3.6842007822313274</v>
      </c>
      <c r="BN199" s="1393">
        <f t="shared" si="35"/>
        <v>1.8153382105306148E-2</v>
      </c>
      <c r="BO199" s="1377">
        <f t="shared" si="37"/>
        <v>3.6842007822313274</v>
      </c>
      <c r="BP199" s="208">
        <f t="shared" si="36"/>
        <v>1.8153382105306148E-2</v>
      </c>
      <c r="BQ199" s="1378">
        <f t="shared" si="30"/>
        <v>4.1297065393009458</v>
      </c>
      <c r="BR199" s="1378">
        <f t="shared" ref="BR199:BR262" si="40">VLOOKUP($AW199,$BU$8:$BZ$291,6,FALSE)</f>
        <v>3.417307355560145</v>
      </c>
      <c r="BS199" s="153">
        <v>0</v>
      </c>
      <c r="BU199" s="1389">
        <f t="shared" si="31"/>
        <v>41974</v>
      </c>
      <c r="BV199" s="1390">
        <v>3.1952194212752509</v>
      </c>
      <c r="BW199" s="1390">
        <v>2.4792395181576103</v>
      </c>
      <c r="BX199" s="1390"/>
      <c r="BY199" s="1390">
        <v>4.3863515461545628</v>
      </c>
      <c r="BZ199" s="1391">
        <v>3.4034645700225044</v>
      </c>
    </row>
    <row r="200" spans="1:78">
      <c r="A200" s="957"/>
      <c r="B200" s="951">
        <v>41395</v>
      </c>
      <c r="C200" s="952">
        <v>40.167193994599309</v>
      </c>
      <c r="D200" s="952"/>
      <c r="E200" s="952"/>
      <c r="F200" s="950"/>
      <c r="G200" s="952"/>
      <c r="H200" s="952"/>
      <c r="I200" s="952"/>
      <c r="J200" s="9"/>
      <c r="K200" s="944">
        <v>42278</v>
      </c>
      <c r="L200" s="953">
        <v>0</v>
      </c>
      <c r="M200" s="953">
        <v>0</v>
      </c>
      <c r="N200" s="953">
        <v>0</v>
      </c>
      <c r="O200" s="13"/>
      <c r="P200" s="953">
        <v>0</v>
      </c>
      <c r="Q200" s="953">
        <v>0</v>
      </c>
      <c r="R200" s="953">
        <v>0</v>
      </c>
      <c r="S200" s="13"/>
      <c r="T200" s="953">
        <v>0</v>
      </c>
      <c r="U200" s="953">
        <v>0</v>
      </c>
      <c r="V200" s="953">
        <v>0</v>
      </c>
      <c r="W200" s="13"/>
      <c r="X200" s="953">
        <v>0</v>
      </c>
      <c r="Y200" s="953">
        <v>0</v>
      </c>
      <c r="Z200" s="953">
        <v>0</v>
      </c>
      <c r="AA200" s="13">
        <v>0</v>
      </c>
      <c r="AB200" s="953">
        <v>0</v>
      </c>
      <c r="AC200" s="953">
        <v>0</v>
      </c>
      <c r="AD200" s="953">
        <v>0</v>
      </c>
      <c r="AE200" s="13"/>
      <c r="AF200" s="953">
        <v>0</v>
      </c>
      <c r="AG200" s="953">
        <v>0</v>
      </c>
      <c r="AH200" s="953">
        <v>0</v>
      </c>
      <c r="AI200" s="13"/>
      <c r="AJ200" s="953">
        <v>0</v>
      </c>
      <c r="AK200" s="953">
        <v>0</v>
      </c>
      <c r="AL200" s="953">
        <v>0</v>
      </c>
      <c r="AM200" s="1455"/>
      <c r="AN200" s="9">
        <v>64</v>
      </c>
      <c r="AO200" s="955">
        <v>0.35</v>
      </c>
      <c r="AP200" s="13"/>
      <c r="AQ200"/>
      <c r="AR200"/>
      <c r="AS200"/>
      <c r="AT200"/>
      <c r="AU200" t="str">
        <f t="shared" ref="AU200:AU263" si="41">AV200&amp;"Q"&amp;ROUNDUP(MONTH(AW200)/3,0)</f>
        <v>2016Q1</v>
      </c>
      <c r="AV200">
        <f t="shared" ref="AV200:AV263" si="42">YEAR(AW200)</f>
        <v>2016</v>
      </c>
      <c r="AW200" s="111">
        <f t="shared" si="38"/>
        <v>42430</v>
      </c>
      <c r="AX200" s="136">
        <f t="shared" si="32"/>
        <v>3.4866092248723328</v>
      </c>
      <c r="AY200" s="1541">
        <v>3.4866092248723328</v>
      </c>
      <c r="AZ200" s="136">
        <f t="shared" si="33"/>
        <v>3.4866092248723328</v>
      </c>
      <c r="BA200" s="137">
        <v>1</v>
      </c>
      <c r="BB200" s="137">
        <v>1</v>
      </c>
      <c r="BC200" s="137">
        <v>1</v>
      </c>
      <c r="BD200" s="137">
        <v>0</v>
      </c>
      <c r="BE200" s="137"/>
      <c r="BF200" s="137">
        <v>0</v>
      </c>
      <c r="BG200" s="145">
        <v>0</v>
      </c>
      <c r="BH200" s="153"/>
      <c r="BI200" s="938"/>
      <c r="BJ200" s="924"/>
      <c r="BK200" s="1443">
        <v>0</v>
      </c>
      <c r="BL200" s="905">
        <f t="shared" si="34"/>
        <v>3.4866092248723328</v>
      </c>
      <c r="BM200" s="1287">
        <f t="shared" si="39"/>
        <v>3.4866092248723328</v>
      </c>
      <c r="BN200" s="1393">
        <f t="shared" si="35"/>
        <v>1.820858445582485E-2</v>
      </c>
      <c r="BO200" s="1377">
        <f t="shared" si="37"/>
        <v>3.4866092248723328</v>
      </c>
      <c r="BP200" s="208">
        <f t="shared" si="36"/>
        <v>1.820858445582485E-2</v>
      </c>
      <c r="BQ200" s="1378">
        <f t="shared" ref="BQ200:BQ263" si="43">VLOOKUP($AW200,$BU$8:$BZ$291,5,FALSE)</f>
        <v>4.0070880385947643</v>
      </c>
      <c r="BR200" s="1378">
        <f t="shared" si="40"/>
        <v>3.2476667636076559</v>
      </c>
      <c r="BS200" s="153">
        <v>0</v>
      </c>
      <c r="BU200" s="1389">
        <f t="shared" si="31"/>
        <v>42005</v>
      </c>
      <c r="BV200" s="1390">
        <v>3.0906843054171924</v>
      </c>
      <c r="BW200" s="1390">
        <v>2.5429649479537351</v>
      </c>
      <c r="BX200" s="1390"/>
      <c r="BY200" s="1390">
        <v>4.3277041780931222</v>
      </c>
      <c r="BZ200" s="1391">
        <v>3.5607648476793274</v>
      </c>
    </row>
    <row r="201" spans="1:78">
      <c r="A201" s="957"/>
      <c r="B201" s="951">
        <v>41426</v>
      </c>
      <c r="C201" s="952">
        <v>41.817078579499849</v>
      </c>
      <c r="D201" s="952"/>
      <c r="E201" s="952"/>
      <c r="F201" s="950"/>
      <c r="G201" s="952"/>
      <c r="H201" s="952"/>
      <c r="I201" s="952"/>
      <c r="J201" s="9"/>
      <c r="K201" s="944">
        <v>42309</v>
      </c>
      <c r="L201" s="953">
        <v>0</v>
      </c>
      <c r="M201" s="953">
        <v>0</v>
      </c>
      <c r="N201" s="953">
        <v>0</v>
      </c>
      <c r="O201" s="13"/>
      <c r="P201" s="953">
        <v>0</v>
      </c>
      <c r="Q201" s="953">
        <v>0</v>
      </c>
      <c r="R201" s="953">
        <v>0</v>
      </c>
      <c r="S201" s="13"/>
      <c r="T201" s="953">
        <v>0</v>
      </c>
      <c r="U201" s="953">
        <v>0</v>
      </c>
      <c r="V201" s="953">
        <v>0</v>
      </c>
      <c r="W201" s="13"/>
      <c r="X201" s="953">
        <v>0</v>
      </c>
      <c r="Y201" s="953">
        <v>0</v>
      </c>
      <c r="Z201" s="953">
        <v>0</v>
      </c>
      <c r="AA201" s="13">
        <v>0</v>
      </c>
      <c r="AB201" s="953">
        <v>0</v>
      </c>
      <c r="AC201" s="953">
        <v>0</v>
      </c>
      <c r="AD201" s="953">
        <v>0</v>
      </c>
      <c r="AE201" s="13"/>
      <c r="AF201" s="953">
        <v>0</v>
      </c>
      <c r="AG201" s="953">
        <v>0</v>
      </c>
      <c r="AH201" s="953">
        <v>0</v>
      </c>
      <c r="AI201" s="13"/>
      <c r="AJ201" s="953">
        <v>0</v>
      </c>
      <c r="AK201" s="953">
        <v>0</v>
      </c>
      <c r="AL201" s="953">
        <v>0</v>
      </c>
      <c r="AM201" s="1455"/>
      <c r="AN201" s="9">
        <v>64</v>
      </c>
      <c r="AO201" s="955">
        <v>0.35</v>
      </c>
      <c r="AP201" s="13"/>
      <c r="AQ201"/>
      <c r="AR201"/>
      <c r="AS201"/>
      <c r="AT201"/>
      <c r="AU201" t="str">
        <f t="shared" si="41"/>
        <v>2016Q2</v>
      </c>
      <c r="AV201">
        <f t="shared" si="42"/>
        <v>2016</v>
      </c>
      <c r="AW201" s="111">
        <f t="shared" si="38"/>
        <v>42461</v>
      </c>
      <c r="AX201" s="136">
        <f t="shared" si="32"/>
        <v>3.3820084591321913</v>
      </c>
      <c r="AY201" s="1541">
        <v>3.3820084591321913</v>
      </c>
      <c r="AZ201" s="136">
        <f t="shared" si="33"/>
        <v>3.3820084591321913</v>
      </c>
      <c r="BA201" s="137">
        <v>1</v>
      </c>
      <c r="BB201" s="137">
        <v>1</v>
      </c>
      <c r="BC201" s="137">
        <v>1</v>
      </c>
      <c r="BD201" s="137">
        <v>0</v>
      </c>
      <c r="BE201" s="137"/>
      <c r="BF201" s="137">
        <v>0</v>
      </c>
      <c r="BG201" s="145">
        <v>0</v>
      </c>
      <c r="BH201" s="153"/>
      <c r="BI201" s="938"/>
      <c r="BJ201" s="924"/>
      <c r="BK201" s="1443">
        <v>0</v>
      </c>
      <c r="BL201" s="905">
        <f t="shared" si="34"/>
        <v>3.3820084591321913</v>
      </c>
      <c r="BM201" s="1287">
        <f t="shared" si="39"/>
        <v>3.3820084591321913</v>
      </c>
      <c r="BN201" s="1393">
        <f t="shared" si="35"/>
        <v>1.820858445582485E-2</v>
      </c>
      <c r="BO201" s="1377">
        <f t="shared" si="37"/>
        <v>3.3820084591321913</v>
      </c>
      <c r="BP201" s="208">
        <f t="shared" si="36"/>
        <v>1.820858445582485E-2</v>
      </c>
      <c r="BQ201" s="1378">
        <f t="shared" si="43"/>
        <v>3.9275974243438605</v>
      </c>
      <c r="BR201" s="1378">
        <f t="shared" si="40"/>
        <v>3.1489534881180625</v>
      </c>
      <c r="BS201" s="153">
        <v>0</v>
      </c>
      <c r="BU201" s="1389">
        <f t="shared" ref="BU201:BU264" si="44">EDATE(BU200,1)</f>
        <v>42036</v>
      </c>
      <c r="BV201" s="1390">
        <v>2.857478160584253</v>
      </c>
      <c r="BW201" s="1390">
        <v>2.3686191697582029</v>
      </c>
      <c r="BX201" s="1390"/>
      <c r="BY201" s="1390">
        <v>4.0011592748878524</v>
      </c>
      <c r="BZ201" s="1391">
        <v>3.3166386677886082</v>
      </c>
    </row>
    <row r="202" spans="1:78">
      <c r="A202" s="957"/>
      <c r="B202" s="951">
        <v>41456</v>
      </c>
      <c r="C202" s="952">
        <v>58.566183752169813</v>
      </c>
      <c r="D202" s="952"/>
      <c r="E202" s="952"/>
      <c r="F202" s="950"/>
      <c r="G202" s="952"/>
      <c r="H202" s="952"/>
      <c r="I202" s="952"/>
      <c r="J202" s="9"/>
      <c r="K202" s="944">
        <v>42339</v>
      </c>
      <c r="L202" s="953">
        <v>0</v>
      </c>
      <c r="M202" s="953">
        <v>0</v>
      </c>
      <c r="N202" s="953">
        <v>0</v>
      </c>
      <c r="O202" s="13"/>
      <c r="P202" s="953">
        <v>0</v>
      </c>
      <c r="Q202" s="953">
        <v>0</v>
      </c>
      <c r="R202" s="953">
        <v>0</v>
      </c>
      <c r="S202" s="13"/>
      <c r="T202" s="953">
        <v>0</v>
      </c>
      <c r="U202" s="953">
        <v>0</v>
      </c>
      <c r="V202" s="953">
        <v>0</v>
      </c>
      <c r="W202" s="13"/>
      <c r="X202" s="953">
        <v>0</v>
      </c>
      <c r="Y202" s="953">
        <v>0</v>
      </c>
      <c r="Z202" s="953">
        <v>0</v>
      </c>
      <c r="AA202" s="13">
        <v>0</v>
      </c>
      <c r="AB202" s="953">
        <v>0</v>
      </c>
      <c r="AC202" s="953">
        <v>0</v>
      </c>
      <c r="AD202" s="953">
        <v>0</v>
      </c>
      <c r="AE202" s="13"/>
      <c r="AF202" s="953">
        <v>0</v>
      </c>
      <c r="AG202" s="953">
        <v>0</v>
      </c>
      <c r="AH202" s="953">
        <v>0</v>
      </c>
      <c r="AI202" s="13"/>
      <c r="AJ202" s="953">
        <v>0</v>
      </c>
      <c r="AK202" s="953">
        <v>0</v>
      </c>
      <c r="AL202" s="953">
        <v>0</v>
      </c>
      <c r="AM202" s="1455"/>
      <c r="AN202" s="9">
        <v>65</v>
      </c>
      <c r="AO202" s="955">
        <v>0.35</v>
      </c>
      <c r="AP202" s="13"/>
      <c r="AQ202"/>
      <c r="AR202"/>
      <c r="AS202"/>
      <c r="AT202"/>
      <c r="AU202" t="str">
        <f t="shared" si="41"/>
        <v>2016Q2</v>
      </c>
      <c r="AV202">
        <f t="shared" si="42"/>
        <v>2016</v>
      </c>
      <c r="AW202" s="111">
        <f t="shared" si="38"/>
        <v>42491</v>
      </c>
      <c r="AX202" s="136">
        <f t="shared" si="32"/>
        <v>3.3565023975044461</v>
      </c>
      <c r="AY202" s="1541">
        <v>3.3565023975044461</v>
      </c>
      <c r="AZ202" s="136">
        <f t="shared" si="33"/>
        <v>3.3565023975044461</v>
      </c>
      <c r="BA202" s="137">
        <v>1</v>
      </c>
      <c r="BB202" s="137">
        <v>1</v>
      </c>
      <c r="BC202" s="137">
        <v>1</v>
      </c>
      <c r="BD202" s="137">
        <v>0</v>
      </c>
      <c r="BE202" s="137"/>
      <c r="BF202" s="137">
        <v>0</v>
      </c>
      <c r="BG202" s="145">
        <v>0</v>
      </c>
      <c r="BH202" s="153"/>
      <c r="BI202" s="938"/>
      <c r="BJ202" s="924"/>
      <c r="BK202" s="1443">
        <v>0</v>
      </c>
      <c r="BL202" s="905">
        <f t="shared" si="34"/>
        <v>3.3565023975044461</v>
      </c>
      <c r="BM202" s="1287">
        <f t="shared" si="39"/>
        <v>3.3565023975044461</v>
      </c>
      <c r="BN202" s="1393">
        <f t="shared" si="35"/>
        <v>1.8208584455825072E-2</v>
      </c>
      <c r="BO202" s="1377">
        <f t="shared" si="37"/>
        <v>3.3565023975044461</v>
      </c>
      <c r="BP202" s="208">
        <f t="shared" si="36"/>
        <v>1.8208584455825072E-2</v>
      </c>
      <c r="BQ202" s="1378">
        <f t="shared" si="43"/>
        <v>3.8912346965482341</v>
      </c>
      <c r="BR202" s="1378">
        <f t="shared" si="40"/>
        <v>3.1101993873702956</v>
      </c>
      <c r="BS202" s="153">
        <v>0</v>
      </c>
      <c r="BU202" s="1389">
        <f t="shared" si="44"/>
        <v>42064</v>
      </c>
      <c r="BV202" s="1390">
        <v>2.7726344351240884</v>
      </c>
      <c r="BW202" s="1390">
        <v>2.2510371333007506</v>
      </c>
      <c r="BX202" s="1390"/>
      <c r="BY202" s="1390">
        <v>3.8823575763399396</v>
      </c>
      <c r="BZ202" s="1391">
        <v>3.1519954301878896</v>
      </c>
    </row>
    <row r="203" spans="1:78">
      <c r="A203" s="957"/>
      <c r="B203" s="951">
        <v>41487</v>
      </c>
      <c r="C203" s="952">
        <v>70.37464121999345</v>
      </c>
      <c r="D203" s="952"/>
      <c r="E203" s="952"/>
      <c r="F203" s="950"/>
      <c r="G203" s="952"/>
      <c r="H203" s="952"/>
      <c r="I203" s="952"/>
      <c r="J203" s="9"/>
      <c r="K203" s="944">
        <v>42370</v>
      </c>
      <c r="L203" s="953">
        <v>0</v>
      </c>
      <c r="M203" s="953">
        <v>0</v>
      </c>
      <c r="N203" s="953">
        <v>0</v>
      </c>
      <c r="O203" s="13"/>
      <c r="P203" s="953">
        <v>0</v>
      </c>
      <c r="Q203" s="953">
        <v>0</v>
      </c>
      <c r="R203" s="953">
        <v>0</v>
      </c>
      <c r="S203" s="13"/>
      <c r="T203" s="953">
        <v>0</v>
      </c>
      <c r="U203" s="953">
        <v>0</v>
      </c>
      <c r="V203" s="953">
        <v>0</v>
      </c>
      <c r="W203" s="13"/>
      <c r="X203" s="953">
        <v>0</v>
      </c>
      <c r="Y203" s="953">
        <v>0</v>
      </c>
      <c r="Z203" s="953">
        <v>0</v>
      </c>
      <c r="AA203" s="13">
        <v>0</v>
      </c>
      <c r="AB203" s="953">
        <v>0</v>
      </c>
      <c r="AC203" s="953">
        <v>0</v>
      </c>
      <c r="AD203" s="953">
        <v>0</v>
      </c>
      <c r="AE203" s="13"/>
      <c r="AF203" s="953">
        <v>0</v>
      </c>
      <c r="AG203" s="953">
        <v>0</v>
      </c>
      <c r="AH203" s="953">
        <v>0</v>
      </c>
      <c r="AI203" s="13"/>
      <c r="AJ203" s="953">
        <v>0</v>
      </c>
      <c r="AK203" s="953">
        <v>0</v>
      </c>
      <c r="AL203" s="953">
        <v>0</v>
      </c>
      <c r="AM203" s="1455"/>
      <c r="AN203" s="9">
        <v>65</v>
      </c>
      <c r="AO203" s="955">
        <v>0.35</v>
      </c>
      <c r="AP203" s="13"/>
      <c r="AQ203"/>
      <c r="AR203"/>
      <c r="AS203"/>
      <c r="AT203"/>
      <c r="AU203" t="str">
        <f t="shared" si="41"/>
        <v>2016Q2</v>
      </c>
      <c r="AV203">
        <f t="shared" si="42"/>
        <v>2016</v>
      </c>
      <c r="AW203" s="111">
        <f t="shared" si="38"/>
        <v>42522</v>
      </c>
      <c r="AX203" s="136">
        <f t="shared" si="32"/>
        <v>3.3970470086913287</v>
      </c>
      <c r="AY203" s="1541">
        <v>3.3970470086913287</v>
      </c>
      <c r="AZ203" s="136">
        <f t="shared" si="33"/>
        <v>3.3970470086913287</v>
      </c>
      <c r="BA203" s="137">
        <v>1</v>
      </c>
      <c r="BB203" s="137">
        <v>1</v>
      </c>
      <c r="BC203" s="137">
        <v>1</v>
      </c>
      <c r="BD203" s="137">
        <v>0</v>
      </c>
      <c r="BE203" s="137"/>
      <c r="BF203" s="137">
        <v>0</v>
      </c>
      <c r="BG203" s="145">
        <v>0</v>
      </c>
      <c r="BH203" s="153"/>
      <c r="BI203" s="938"/>
      <c r="BJ203" s="924"/>
      <c r="BK203" s="1443">
        <v>0</v>
      </c>
      <c r="BL203" s="905">
        <f t="shared" si="34"/>
        <v>3.3970470086913287</v>
      </c>
      <c r="BM203" s="1287">
        <f t="shared" si="39"/>
        <v>3.3970470086913287</v>
      </c>
      <c r="BN203" s="1393">
        <f t="shared" si="35"/>
        <v>1.8208584455824628E-2</v>
      </c>
      <c r="BO203" s="1377">
        <f t="shared" si="37"/>
        <v>3.3970470086913287</v>
      </c>
      <c r="BP203" s="208">
        <f t="shared" si="36"/>
        <v>1.8208584455824628E-2</v>
      </c>
      <c r="BQ203" s="1378">
        <f t="shared" si="43"/>
        <v>3.8979998552078854</v>
      </c>
      <c r="BR203" s="1378">
        <f t="shared" si="40"/>
        <v>3.1204363196432907</v>
      </c>
      <c r="BS203" s="153">
        <v>0</v>
      </c>
      <c r="BU203" s="1389">
        <f t="shared" si="44"/>
        <v>42095</v>
      </c>
      <c r="BV203" s="1390">
        <v>2.7176322958602572</v>
      </c>
      <c r="BW203" s="1390">
        <v>2.1826165517414573</v>
      </c>
      <c r="BX203" s="1390"/>
      <c r="BY203" s="1390">
        <v>3.8053413027985332</v>
      </c>
      <c r="BZ203" s="1391">
        <v>3.0561900979633339</v>
      </c>
    </row>
    <row r="204" spans="1:78">
      <c r="A204" s="957"/>
      <c r="B204" s="951">
        <v>41518</v>
      </c>
      <c r="C204" s="952">
        <v>62.35687028962969</v>
      </c>
      <c r="D204" s="952"/>
      <c r="E204" s="952"/>
      <c r="F204" s="950"/>
      <c r="G204" s="952"/>
      <c r="H204" s="952"/>
      <c r="I204" s="952"/>
      <c r="J204" s="9"/>
      <c r="K204" s="944">
        <v>42401</v>
      </c>
      <c r="L204" s="953">
        <v>0</v>
      </c>
      <c r="M204" s="953">
        <v>0</v>
      </c>
      <c r="N204" s="953">
        <v>0</v>
      </c>
      <c r="O204" s="13"/>
      <c r="P204" s="953">
        <v>0</v>
      </c>
      <c r="Q204" s="953">
        <v>0</v>
      </c>
      <c r="R204" s="953">
        <v>0</v>
      </c>
      <c r="S204" s="13"/>
      <c r="T204" s="953">
        <v>0</v>
      </c>
      <c r="U204" s="953">
        <v>0</v>
      </c>
      <c r="V204" s="953">
        <v>0</v>
      </c>
      <c r="W204" s="13"/>
      <c r="X204" s="953">
        <v>0</v>
      </c>
      <c r="Y204" s="953">
        <v>0</v>
      </c>
      <c r="Z204" s="953">
        <v>0</v>
      </c>
      <c r="AA204" s="13">
        <v>0</v>
      </c>
      <c r="AB204" s="953">
        <v>0</v>
      </c>
      <c r="AC204" s="953">
        <v>0</v>
      </c>
      <c r="AD204" s="953">
        <v>0</v>
      </c>
      <c r="AE204" s="13"/>
      <c r="AF204" s="953">
        <v>0</v>
      </c>
      <c r="AG204" s="953">
        <v>0</v>
      </c>
      <c r="AH204" s="953">
        <v>0</v>
      </c>
      <c r="AI204" s="13"/>
      <c r="AJ204" s="953">
        <v>0</v>
      </c>
      <c r="AK204" s="953">
        <v>0</v>
      </c>
      <c r="AL204" s="953">
        <v>0</v>
      </c>
      <c r="AM204" s="1455"/>
      <c r="AN204" s="9">
        <v>65</v>
      </c>
      <c r="AO204" s="955">
        <v>0.35</v>
      </c>
      <c r="AP204" s="13"/>
      <c r="AQ204"/>
      <c r="AR204"/>
      <c r="AS204"/>
      <c r="AT204"/>
      <c r="AU204" t="str">
        <f t="shared" si="41"/>
        <v>2016Q3</v>
      </c>
      <c r="AV204">
        <f t="shared" si="42"/>
        <v>2016</v>
      </c>
      <c r="AW204" s="111">
        <f t="shared" si="38"/>
        <v>42552</v>
      </c>
      <c r="AX204" s="136">
        <f t="shared" si="32"/>
        <v>3.4897731108654497</v>
      </c>
      <c r="AY204" s="1541">
        <v>3.4897731108654497</v>
      </c>
      <c r="AZ204" s="136">
        <f t="shared" si="33"/>
        <v>3.4897731108654497</v>
      </c>
      <c r="BA204" s="137">
        <v>1</v>
      </c>
      <c r="BB204" s="137">
        <v>1</v>
      </c>
      <c r="BC204" s="137">
        <v>1</v>
      </c>
      <c r="BD204" s="137">
        <v>0</v>
      </c>
      <c r="BE204" s="137"/>
      <c r="BF204" s="137">
        <v>0</v>
      </c>
      <c r="BG204" s="145">
        <v>0</v>
      </c>
      <c r="BH204" s="153"/>
      <c r="BI204" s="938"/>
      <c r="BJ204" s="924"/>
      <c r="BK204" s="1443">
        <v>0</v>
      </c>
      <c r="BL204" s="905">
        <f t="shared" si="34"/>
        <v>3.4897731108654497</v>
      </c>
      <c r="BM204" s="1287">
        <f t="shared" si="39"/>
        <v>3.4897731108654497</v>
      </c>
      <c r="BN204" s="1393">
        <f t="shared" si="35"/>
        <v>1.8208584455825072E-2</v>
      </c>
      <c r="BO204" s="1377">
        <f t="shared" si="37"/>
        <v>3.4897731108654497</v>
      </c>
      <c r="BP204" s="208">
        <f t="shared" si="36"/>
        <v>1.8208584455825072E-2</v>
      </c>
      <c r="BQ204" s="1378">
        <f t="shared" si="43"/>
        <v>3.9478929003228149</v>
      </c>
      <c r="BR204" s="1378">
        <f t="shared" si="40"/>
        <v>3.1686961432159806</v>
      </c>
      <c r="BS204" s="153">
        <v>0</v>
      </c>
      <c r="BU204" s="1389">
        <f t="shared" si="44"/>
        <v>42125</v>
      </c>
      <c r="BV204" s="1390">
        <v>2.6924717427927596</v>
      </c>
      <c r="BW204" s="1390">
        <v>2.1557551382404014</v>
      </c>
      <c r="BX204" s="1390"/>
      <c r="BY204" s="1390">
        <v>3.7701104542636341</v>
      </c>
      <c r="BZ204" s="1391">
        <v>3.0185776342011006</v>
      </c>
    </row>
    <row r="205" spans="1:78">
      <c r="A205" s="957"/>
      <c r="B205" s="951">
        <v>41548</v>
      </c>
      <c r="C205" s="952">
        <v>51.020732541275969</v>
      </c>
      <c r="D205" s="952"/>
      <c r="E205" s="952"/>
      <c r="F205" s="950"/>
      <c r="G205" s="952"/>
      <c r="H205" s="952"/>
      <c r="I205" s="952"/>
      <c r="J205" s="9"/>
      <c r="K205" s="944">
        <v>42430</v>
      </c>
      <c r="L205" s="953">
        <v>0</v>
      </c>
      <c r="M205" s="953">
        <v>0</v>
      </c>
      <c r="N205" s="953">
        <v>0</v>
      </c>
      <c r="O205" s="13"/>
      <c r="P205" s="953">
        <v>0</v>
      </c>
      <c r="Q205" s="953">
        <v>0</v>
      </c>
      <c r="R205" s="953">
        <v>0</v>
      </c>
      <c r="S205" s="13"/>
      <c r="T205" s="953">
        <v>0</v>
      </c>
      <c r="U205" s="953">
        <v>0</v>
      </c>
      <c r="V205" s="953">
        <v>0</v>
      </c>
      <c r="W205" s="13"/>
      <c r="X205" s="953">
        <v>0</v>
      </c>
      <c r="Y205" s="953">
        <v>0</v>
      </c>
      <c r="Z205" s="953">
        <v>0</v>
      </c>
      <c r="AA205" s="13">
        <v>0</v>
      </c>
      <c r="AB205" s="953">
        <v>0</v>
      </c>
      <c r="AC205" s="953">
        <v>0</v>
      </c>
      <c r="AD205" s="953">
        <v>0</v>
      </c>
      <c r="AE205" s="13"/>
      <c r="AF205" s="953">
        <v>0</v>
      </c>
      <c r="AG205" s="953">
        <v>0</v>
      </c>
      <c r="AH205" s="953">
        <v>0</v>
      </c>
      <c r="AI205" s="13"/>
      <c r="AJ205" s="953">
        <v>0</v>
      </c>
      <c r="AK205" s="953">
        <v>0</v>
      </c>
      <c r="AL205" s="953">
        <v>0</v>
      </c>
      <c r="AM205" s="1455"/>
      <c r="AN205" s="9">
        <v>66</v>
      </c>
      <c r="AO205" s="955">
        <v>0.35</v>
      </c>
      <c r="AP205" s="13"/>
      <c r="AQ205"/>
      <c r="AR205"/>
      <c r="AS205"/>
      <c r="AT205"/>
      <c r="AU205" t="str">
        <f t="shared" si="41"/>
        <v>2016Q3</v>
      </c>
      <c r="AV205">
        <f t="shared" si="42"/>
        <v>2016</v>
      </c>
      <c r="AW205" s="111">
        <f t="shared" si="38"/>
        <v>42583</v>
      </c>
      <c r="AX205" s="136">
        <f t="shared" si="32"/>
        <v>3.6214634340875969</v>
      </c>
      <c r="AY205" s="1541">
        <v>3.6214634340875969</v>
      </c>
      <c r="AZ205" s="136">
        <f t="shared" si="33"/>
        <v>3.6214634340875969</v>
      </c>
      <c r="BA205" s="137">
        <v>1</v>
      </c>
      <c r="BB205" s="137">
        <v>1</v>
      </c>
      <c r="BC205" s="137">
        <v>1</v>
      </c>
      <c r="BD205" s="137">
        <v>0</v>
      </c>
      <c r="BE205" s="137"/>
      <c r="BF205" s="137">
        <v>0</v>
      </c>
      <c r="BG205" s="145">
        <v>0</v>
      </c>
      <c r="BH205" s="153"/>
      <c r="BI205" s="938"/>
      <c r="BJ205" s="924"/>
      <c r="BK205" s="1443">
        <v>0</v>
      </c>
      <c r="BL205" s="905">
        <f t="shared" si="34"/>
        <v>3.6214634340875969</v>
      </c>
      <c r="BM205" s="1287">
        <f t="shared" si="39"/>
        <v>3.6214634340875969</v>
      </c>
      <c r="BN205" s="1393">
        <f t="shared" si="35"/>
        <v>1.820858445582485E-2</v>
      </c>
      <c r="BO205" s="1377">
        <f t="shared" si="37"/>
        <v>3.6214634340875969</v>
      </c>
      <c r="BP205" s="208">
        <f t="shared" si="36"/>
        <v>1.820858445582485E-2</v>
      </c>
      <c r="BQ205" s="1378">
        <f t="shared" si="43"/>
        <v>4.0409138318930209</v>
      </c>
      <c r="BR205" s="1378">
        <f t="shared" si="40"/>
        <v>3.2440107163673013</v>
      </c>
      <c r="BS205" s="153">
        <v>0</v>
      </c>
      <c r="BU205" s="1389">
        <f t="shared" si="44"/>
        <v>42156</v>
      </c>
      <c r="BV205" s="1390">
        <v>2.6971527759215963</v>
      </c>
      <c r="BW205" s="1390">
        <v>2.1628506059576615</v>
      </c>
      <c r="BX205" s="1390"/>
      <c r="BY205" s="1390">
        <v>3.7766650307352432</v>
      </c>
      <c r="BZ205" s="1391">
        <v>3.028513001987351</v>
      </c>
    </row>
    <row r="206" spans="1:78">
      <c r="A206" s="957"/>
      <c r="B206" s="951">
        <v>41579</v>
      </c>
      <c r="C206" s="952">
        <v>52.610879267954168</v>
      </c>
      <c r="D206" s="952"/>
      <c r="E206" s="952"/>
      <c r="F206" s="950"/>
      <c r="G206" s="952"/>
      <c r="H206" s="952"/>
      <c r="I206" s="952"/>
      <c r="J206" s="9"/>
      <c r="K206" s="944">
        <v>42461</v>
      </c>
      <c r="L206" s="953">
        <v>0</v>
      </c>
      <c r="M206" s="953">
        <v>0</v>
      </c>
      <c r="N206" s="953">
        <v>0</v>
      </c>
      <c r="O206" s="13"/>
      <c r="P206" s="953">
        <v>0</v>
      </c>
      <c r="Q206" s="953">
        <v>0</v>
      </c>
      <c r="R206" s="953">
        <v>0</v>
      </c>
      <c r="S206" s="13"/>
      <c r="T206" s="953">
        <v>0</v>
      </c>
      <c r="U206" s="953">
        <v>0</v>
      </c>
      <c r="V206" s="953">
        <v>0</v>
      </c>
      <c r="W206" s="13"/>
      <c r="X206" s="953">
        <v>0</v>
      </c>
      <c r="Y206" s="953">
        <v>0</v>
      </c>
      <c r="Z206" s="953">
        <v>0</v>
      </c>
      <c r="AA206" s="13">
        <v>0</v>
      </c>
      <c r="AB206" s="953">
        <v>0</v>
      </c>
      <c r="AC206" s="953">
        <v>0</v>
      </c>
      <c r="AD206" s="953">
        <v>0</v>
      </c>
      <c r="AE206" s="13"/>
      <c r="AF206" s="953">
        <v>0</v>
      </c>
      <c r="AG206" s="953">
        <v>0</v>
      </c>
      <c r="AH206" s="953">
        <v>0</v>
      </c>
      <c r="AI206" s="13"/>
      <c r="AJ206" s="953">
        <v>0</v>
      </c>
      <c r="AK206" s="953">
        <v>0</v>
      </c>
      <c r="AL206" s="953">
        <v>0</v>
      </c>
      <c r="AM206" s="1455"/>
      <c r="AN206" s="9">
        <v>66</v>
      </c>
      <c r="AO206" s="955">
        <v>0.35</v>
      </c>
      <c r="AP206" s="13"/>
      <c r="AQ206"/>
      <c r="AR206"/>
      <c r="AS206"/>
      <c r="AT206"/>
      <c r="AU206" t="str">
        <f t="shared" si="41"/>
        <v>2016Q3</v>
      </c>
      <c r="AV206">
        <f t="shared" si="42"/>
        <v>2016</v>
      </c>
      <c r="AW206" s="111">
        <f t="shared" si="38"/>
        <v>42614</v>
      </c>
      <c r="AX206" s="136">
        <f t="shared" si="32"/>
        <v>3.7782536817262207</v>
      </c>
      <c r="AY206" s="1541">
        <v>3.7782536817262207</v>
      </c>
      <c r="AZ206" s="136">
        <f t="shared" si="33"/>
        <v>3.7782536817262207</v>
      </c>
      <c r="BA206" s="137">
        <v>1</v>
      </c>
      <c r="BB206" s="137">
        <v>1</v>
      </c>
      <c r="BC206" s="137">
        <v>1</v>
      </c>
      <c r="BD206" s="137">
        <v>0</v>
      </c>
      <c r="BE206" s="137"/>
      <c r="BF206" s="137">
        <v>0</v>
      </c>
      <c r="BG206" s="145">
        <v>0</v>
      </c>
      <c r="BH206" s="153"/>
      <c r="BI206" s="938"/>
      <c r="BJ206" s="924"/>
      <c r="BK206" s="1443">
        <v>0</v>
      </c>
      <c r="BL206" s="905">
        <f t="shared" si="34"/>
        <v>3.7782536817262207</v>
      </c>
      <c r="BM206" s="1287">
        <f t="shared" si="39"/>
        <v>3.7782536817262207</v>
      </c>
      <c r="BN206" s="1393">
        <f t="shared" si="35"/>
        <v>1.820858445582485E-2</v>
      </c>
      <c r="BO206" s="1377">
        <f t="shared" si="37"/>
        <v>3.7782536817262207</v>
      </c>
      <c r="BP206" s="208">
        <f t="shared" si="36"/>
        <v>1.820858445582485E-2</v>
      </c>
      <c r="BQ206" s="1378">
        <f t="shared" si="43"/>
        <v>4.177062649918506</v>
      </c>
      <c r="BR206" s="1378">
        <f t="shared" si="40"/>
        <v>3.335411897376185</v>
      </c>
      <c r="BS206" s="153">
        <v>0</v>
      </c>
      <c r="BU206" s="1389">
        <f t="shared" si="44"/>
        <v>42186</v>
      </c>
      <c r="BV206" s="1390">
        <v>2.7316753952467674</v>
      </c>
      <c r="BW206" s="1390">
        <v>2.1963006680533161</v>
      </c>
      <c r="BX206" s="1390"/>
      <c r="BY206" s="1390">
        <v>3.8250050322133604</v>
      </c>
      <c r="BZ206" s="1391">
        <v>3.0753511644082452</v>
      </c>
    </row>
    <row r="207" spans="1:78">
      <c r="A207" s="957"/>
      <c r="B207" s="951">
        <v>41609</v>
      </c>
      <c r="C207" s="952">
        <v>51.275845930045769</v>
      </c>
      <c r="D207" s="952"/>
      <c r="E207" s="952"/>
      <c r="F207" s="950"/>
      <c r="G207" s="952"/>
      <c r="H207" s="952"/>
      <c r="I207" s="952"/>
      <c r="J207" s="9"/>
      <c r="K207" s="944">
        <v>42491</v>
      </c>
      <c r="L207" s="953">
        <v>0</v>
      </c>
      <c r="M207" s="953">
        <v>0</v>
      </c>
      <c r="N207" s="953">
        <v>0</v>
      </c>
      <c r="O207" s="13"/>
      <c r="P207" s="953">
        <v>0</v>
      </c>
      <c r="Q207" s="953">
        <v>0</v>
      </c>
      <c r="R207" s="953">
        <v>0</v>
      </c>
      <c r="S207" s="13"/>
      <c r="T207" s="953">
        <v>0</v>
      </c>
      <c r="U207" s="953">
        <v>0</v>
      </c>
      <c r="V207" s="953">
        <v>0</v>
      </c>
      <c r="W207" s="13"/>
      <c r="X207" s="953">
        <v>0</v>
      </c>
      <c r="Y207" s="953">
        <v>0</v>
      </c>
      <c r="Z207" s="953">
        <v>0</v>
      </c>
      <c r="AA207" s="13">
        <v>0</v>
      </c>
      <c r="AB207" s="953">
        <v>0</v>
      </c>
      <c r="AC207" s="953">
        <v>0</v>
      </c>
      <c r="AD207" s="953">
        <v>0</v>
      </c>
      <c r="AE207" s="13"/>
      <c r="AF207" s="953">
        <v>0</v>
      </c>
      <c r="AG207" s="953">
        <v>0</v>
      </c>
      <c r="AH207" s="953">
        <v>0</v>
      </c>
      <c r="AI207" s="13"/>
      <c r="AJ207" s="953">
        <v>0</v>
      </c>
      <c r="AK207" s="953">
        <v>0</v>
      </c>
      <c r="AL207" s="953">
        <v>0</v>
      </c>
      <c r="AM207" s="1455"/>
      <c r="AN207" s="9">
        <v>66</v>
      </c>
      <c r="AO207" s="955">
        <v>0.35</v>
      </c>
      <c r="AP207" s="13"/>
      <c r="AQ207"/>
      <c r="AR207"/>
      <c r="AS207"/>
      <c r="AT207"/>
      <c r="AU207" t="str">
        <f t="shared" si="41"/>
        <v>2016Q4</v>
      </c>
      <c r="AV207">
        <f t="shared" si="42"/>
        <v>2016</v>
      </c>
      <c r="AW207" s="111">
        <f t="shared" si="38"/>
        <v>42644</v>
      </c>
      <c r="AX207" s="136">
        <f t="shared" si="32"/>
        <v>3.9461570718739689</v>
      </c>
      <c r="AY207" s="1541">
        <v>3.9461570718739689</v>
      </c>
      <c r="AZ207" s="136">
        <f t="shared" si="33"/>
        <v>3.9461570718739689</v>
      </c>
      <c r="BA207" s="137">
        <v>1</v>
      </c>
      <c r="BB207" s="137">
        <v>1</v>
      </c>
      <c r="BC207" s="137">
        <v>1</v>
      </c>
      <c r="BD207" s="137">
        <v>0</v>
      </c>
      <c r="BE207" s="137"/>
      <c r="BF207" s="137">
        <v>0</v>
      </c>
      <c r="BG207" s="145">
        <v>0</v>
      </c>
      <c r="BH207" s="153"/>
      <c r="BI207" s="938"/>
      <c r="BJ207" s="924"/>
      <c r="BK207" s="1443">
        <v>0</v>
      </c>
      <c r="BL207" s="905">
        <f t="shared" si="34"/>
        <v>3.9461570718739689</v>
      </c>
      <c r="BM207" s="1287">
        <f t="shared" si="39"/>
        <v>3.9461570718739689</v>
      </c>
      <c r="BN207" s="1393">
        <f t="shared" si="35"/>
        <v>1.820858445582485E-2</v>
      </c>
      <c r="BO207" s="1377">
        <f t="shared" si="37"/>
        <v>3.9461570718739689</v>
      </c>
      <c r="BP207" s="208">
        <f t="shared" si="36"/>
        <v>1.820858445582485E-2</v>
      </c>
      <c r="BQ207" s="1378">
        <f t="shared" si="43"/>
        <v>4.3563393543992674</v>
      </c>
      <c r="BR207" s="1378">
        <f t="shared" si="40"/>
        <v>3.431931544521567</v>
      </c>
      <c r="BS207" s="153">
        <v>0</v>
      </c>
      <c r="BU207" s="1389">
        <f t="shared" si="44"/>
        <v>42217</v>
      </c>
      <c r="BV207" s="1390">
        <v>2.7960396007682715</v>
      </c>
      <c r="BW207" s="1390">
        <v>2.2485030376874438</v>
      </c>
      <c r="BX207" s="1390"/>
      <c r="BY207" s="1390">
        <v>3.915130458697984</v>
      </c>
      <c r="BZ207" s="1391">
        <v>3.1484470845499435</v>
      </c>
    </row>
    <row r="208" spans="1:78">
      <c r="A208" s="957"/>
      <c r="B208" s="951">
        <v>41640</v>
      </c>
      <c r="C208" s="952">
        <v>50.866237698770512</v>
      </c>
      <c r="D208" s="952"/>
      <c r="E208" s="952"/>
      <c r="F208" s="950"/>
      <c r="G208" s="952"/>
      <c r="H208" s="952"/>
      <c r="I208" s="952"/>
      <c r="J208" s="9"/>
      <c r="K208" s="944">
        <v>42522</v>
      </c>
      <c r="L208" s="953">
        <v>0</v>
      </c>
      <c r="M208" s="953">
        <v>0</v>
      </c>
      <c r="N208" s="953">
        <v>0</v>
      </c>
      <c r="O208" s="13"/>
      <c r="P208" s="953">
        <v>0</v>
      </c>
      <c r="Q208" s="953">
        <v>0</v>
      </c>
      <c r="R208" s="953">
        <v>0</v>
      </c>
      <c r="S208" s="13"/>
      <c r="T208" s="953">
        <v>0</v>
      </c>
      <c r="U208" s="953">
        <v>0</v>
      </c>
      <c r="V208" s="953">
        <v>0</v>
      </c>
      <c r="W208" s="13"/>
      <c r="X208" s="953">
        <v>0</v>
      </c>
      <c r="Y208" s="953">
        <v>0</v>
      </c>
      <c r="Z208" s="953">
        <v>0</v>
      </c>
      <c r="AA208" s="13">
        <v>0</v>
      </c>
      <c r="AB208" s="953">
        <v>0</v>
      </c>
      <c r="AC208" s="953">
        <v>0</v>
      </c>
      <c r="AD208" s="953">
        <v>0</v>
      </c>
      <c r="AE208" s="13"/>
      <c r="AF208" s="953">
        <v>0</v>
      </c>
      <c r="AG208" s="953">
        <v>0</v>
      </c>
      <c r="AH208" s="953">
        <v>0</v>
      </c>
      <c r="AI208" s="13"/>
      <c r="AJ208" s="953">
        <v>0</v>
      </c>
      <c r="AK208" s="953">
        <v>0</v>
      </c>
      <c r="AL208" s="953">
        <v>0</v>
      </c>
      <c r="AM208" s="1455"/>
      <c r="AN208" s="9">
        <v>67</v>
      </c>
      <c r="AO208" s="955">
        <v>0.35</v>
      </c>
      <c r="AP208" s="13"/>
      <c r="AQ208"/>
      <c r="AR208"/>
      <c r="AS208"/>
      <c r="AT208"/>
      <c r="AU208" t="str">
        <f t="shared" si="41"/>
        <v>2016Q4</v>
      </c>
      <c r="AV208">
        <f t="shared" si="42"/>
        <v>2016</v>
      </c>
      <c r="AW208" s="111">
        <f t="shared" si="38"/>
        <v>42675</v>
      </c>
      <c r="AX208" s="136">
        <f t="shared" si="32"/>
        <v>4.1117266109237409</v>
      </c>
      <c r="AY208" s="1541">
        <v>4.1117266109237409</v>
      </c>
      <c r="AZ208" s="136">
        <f t="shared" si="33"/>
        <v>4.1117266109237409</v>
      </c>
      <c r="BA208" s="137">
        <v>1</v>
      </c>
      <c r="BB208" s="137">
        <v>1</v>
      </c>
      <c r="BC208" s="137">
        <v>1</v>
      </c>
      <c r="BD208" s="137">
        <v>0</v>
      </c>
      <c r="BE208" s="137"/>
      <c r="BF208" s="137">
        <v>0</v>
      </c>
      <c r="BG208" s="145">
        <v>0</v>
      </c>
      <c r="BH208" s="153"/>
      <c r="BI208" s="938"/>
      <c r="BJ208" s="924"/>
      <c r="BK208" s="1443">
        <v>0</v>
      </c>
      <c r="BL208" s="905">
        <f t="shared" si="34"/>
        <v>4.1117266109237409</v>
      </c>
      <c r="BM208" s="1287">
        <f t="shared" si="39"/>
        <v>4.1117266109237409</v>
      </c>
      <c r="BN208" s="1393">
        <f t="shared" si="35"/>
        <v>1.8208584455825072E-2</v>
      </c>
      <c r="BO208" s="1377">
        <f t="shared" si="37"/>
        <v>4.1117266109237409</v>
      </c>
      <c r="BP208" s="208">
        <f t="shared" si="36"/>
        <v>1.8208584455825072E-2</v>
      </c>
      <c r="BQ208" s="1378">
        <f t="shared" si="43"/>
        <v>4.5787439453353072</v>
      </c>
      <c r="BR208" s="1378">
        <f t="shared" si="40"/>
        <v>3.5226015160823807</v>
      </c>
      <c r="BS208" s="153">
        <v>0</v>
      </c>
      <c r="BU208" s="1389">
        <f t="shared" si="44"/>
        <v>42248</v>
      </c>
      <c r="BV208" s="1390">
        <v>2.8902453924861105</v>
      </c>
      <c r="BW208" s="1390">
        <v>2.3118554280201229</v>
      </c>
      <c r="BX208" s="1390"/>
      <c r="BY208" s="1390">
        <v>4.0470413101891172</v>
      </c>
      <c r="BZ208" s="1391">
        <v>3.2371557254986065</v>
      </c>
    </row>
    <row r="209" spans="1:78">
      <c r="A209" s="957"/>
      <c r="B209" s="951">
        <v>41671</v>
      </c>
      <c r="C209" s="952">
        <v>43.416169840400826</v>
      </c>
      <c r="D209" s="952"/>
      <c r="E209" s="952"/>
      <c r="F209" s="950"/>
      <c r="G209" s="952"/>
      <c r="H209" s="952"/>
      <c r="I209" s="952"/>
      <c r="J209" s="9"/>
      <c r="K209" s="944">
        <v>42552</v>
      </c>
      <c r="L209" s="953">
        <v>0</v>
      </c>
      <c r="M209" s="953">
        <v>0</v>
      </c>
      <c r="N209" s="953">
        <v>0</v>
      </c>
      <c r="O209" s="13"/>
      <c r="P209" s="953">
        <v>0</v>
      </c>
      <c r="Q209" s="953">
        <v>0</v>
      </c>
      <c r="R209" s="953">
        <v>0</v>
      </c>
      <c r="S209" s="13"/>
      <c r="T209" s="953">
        <v>0</v>
      </c>
      <c r="U209" s="953">
        <v>0</v>
      </c>
      <c r="V209" s="953">
        <v>0</v>
      </c>
      <c r="W209" s="13"/>
      <c r="X209" s="953">
        <v>0</v>
      </c>
      <c r="Y209" s="953">
        <v>0</v>
      </c>
      <c r="Z209" s="953">
        <v>0</v>
      </c>
      <c r="AA209" s="13">
        <v>0</v>
      </c>
      <c r="AB209" s="953">
        <v>0</v>
      </c>
      <c r="AC209" s="953">
        <v>0</v>
      </c>
      <c r="AD209" s="953">
        <v>0</v>
      </c>
      <c r="AE209" s="13"/>
      <c r="AF209" s="953">
        <v>0</v>
      </c>
      <c r="AG209" s="953">
        <v>0</v>
      </c>
      <c r="AH209" s="953">
        <v>0</v>
      </c>
      <c r="AI209" s="13"/>
      <c r="AJ209" s="953">
        <v>0</v>
      </c>
      <c r="AK209" s="953">
        <v>0</v>
      </c>
      <c r="AL209" s="953">
        <v>0</v>
      </c>
      <c r="AM209" s="1455"/>
      <c r="AN209" s="9">
        <v>67</v>
      </c>
      <c r="AO209" s="955">
        <v>0.35</v>
      </c>
      <c r="AP209" s="13"/>
      <c r="AQ209"/>
      <c r="AR209"/>
      <c r="AS209"/>
      <c r="AT209"/>
      <c r="AU209" t="str">
        <f t="shared" si="41"/>
        <v>2016Q4</v>
      </c>
      <c r="AV209">
        <f t="shared" si="42"/>
        <v>2016</v>
      </c>
      <c r="AW209" s="111">
        <f t="shared" si="38"/>
        <v>42705</v>
      </c>
      <c r="AX209" s="136">
        <f t="shared" si="32"/>
        <v>4.2866193187797572</v>
      </c>
      <c r="AY209" s="1541">
        <v>4.2866193187797572</v>
      </c>
      <c r="AZ209" s="136">
        <f t="shared" si="33"/>
        <v>4.2866193187797572</v>
      </c>
      <c r="BA209" s="137">
        <v>1</v>
      </c>
      <c r="BB209" s="137">
        <v>1</v>
      </c>
      <c r="BC209" s="137">
        <v>1</v>
      </c>
      <c r="BD209" s="137">
        <v>0</v>
      </c>
      <c r="BE209" s="137"/>
      <c r="BF209" s="137">
        <v>0</v>
      </c>
      <c r="BG209" s="145">
        <v>0</v>
      </c>
      <c r="BH209" s="153"/>
      <c r="BI209" s="938"/>
      <c r="BJ209" s="924"/>
      <c r="BK209" s="1443">
        <v>0</v>
      </c>
      <c r="BL209" s="905">
        <f t="shared" si="34"/>
        <v>4.2866193187797572</v>
      </c>
      <c r="BM209" s="1287">
        <f t="shared" si="39"/>
        <v>4.2866193187797572</v>
      </c>
      <c r="BN209" s="1393">
        <f t="shared" si="35"/>
        <v>1.8208584455825072E-2</v>
      </c>
      <c r="BO209" s="1377">
        <f t="shared" si="37"/>
        <v>4.2866193187797572</v>
      </c>
      <c r="BP209" s="208">
        <f t="shared" si="36"/>
        <v>1.8208584455825072E-2</v>
      </c>
      <c r="BQ209" s="1378">
        <f t="shared" si="43"/>
        <v>4.6754688012716734</v>
      </c>
      <c r="BR209" s="1378">
        <f t="shared" si="40"/>
        <v>3.5964536703375569</v>
      </c>
      <c r="BS209" s="153">
        <v>0</v>
      </c>
      <c r="BU209" s="1389">
        <f t="shared" si="44"/>
        <v>42278</v>
      </c>
      <c r="BV209" s="1390">
        <v>3.0142927704002829</v>
      </c>
      <c r="BW209" s="1390">
        <v>2.3787555522114321</v>
      </c>
      <c r="BX209" s="1390"/>
      <c r="BY209" s="1390">
        <v>4.2207375866867567</v>
      </c>
      <c r="BZ209" s="1391">
        <v>3.330832050340395</v>
      </c>
    </row>
    <row r="210" spans="1:78">
      <c r="A210" s="957"/>
      <c r="B210" s="951">
        <v>41699</v>
      </c>
      <c r="C210" s="952">
        <v>39.14753019471673</v>
      </c>
      <c r="D210" s="952"/>
      <c r="E210" s="952"/>
      <c r="F210" s="950"/>
      <c r="G210" s="952"/>
      <c r="H210" s="952"/>
      <c r="I210" s="952"/>
      <c r="J210" s="9"/>
      <c r="K210" s="944">
        <v>42583</v>
      </c>
      <c r="L210" s="953">
        <v>0</v>
      </c>
      <c r="M210" s="953">
        <v>0</v>
      </c>
      <c r="N210" s="953">
        <v>0</v>
      </c>
      <c r="O210" s="13"/>
      <c r="P210" s="953">
        <v>0</v>
      </c>
      <c r="Q210" s="953">
        <v>0</v>
      </c>
      <c r="R210" s="953">
        <v>0</v>
      </c>
      <c r="S210" s="13"/>
      <c r="T210" s="953">
        <v>0</v>
      </c>
      <c r="U210" s="953">
        <v>0</v>
      </c>
      <c r="V210" s="953">
        <v>0</v>
      </c>
      <c r="W210" s="13"/>
      <c r="X210" s="953">
        <v>0</v>
      </c>
      <c r="Y210" s="953">
        <v>0</v>
      </c>
      <c r="Z210" s="953">
        <v>0</v>
      </c>
      <c r="AA210" s="13">
        <v>0</v>
      </c>
      <c r="AB210" s="953">
        <v>0</v>
      </c>
      <c r="AC210" s="953">
        <v>0</v>
      </c>
      <c r="AD210" s="953">
        <v>0</v>
      </c>
      <c r="AE210" s="13"/>
      <c r="AF210" s="953">
        <v>0</v>
      </c>
      <c r="AG210" s="953">
        <v>0</v>
      </c>
      <c r="AH210" s="953">
        <v>0</v>
      </c>
      <c r="AI210" s="13"/>
      <c r="AJ210" s="953">
        <v>0</v>
      </c>
      <c r="AK210" s="953">
        <v>0</v>
      </c>
      <c r="AL210" s="953">
        <v>0</v>
      </c>
      <c r="AM210" s="1455"/>
      <c r="AN210" s="9">
        <v>67</v>
      </c>
      <c r="AO210" s="955">
        <v>0.35</v>
      </c>
      <c r="AP210" s="13"/>
      <c r="AQ210"/>
      <c r="AR210"/>
      <c r="AS210"/>
      <c r="AT210"/>
      <c r="AU210" t="str">
        <f t="shared" si="41"/>
        <v>2017Q1</v>
      </c>
      <c r="AV210">
        <f t="shared" si="42"/>
        <v>2017</v>
      </c>
      <c r="AW210" s="111">
        <f t="shared" si="38"/>
        <v>42736</v>
      </c>
      <c r="AX210" s="136">
        <f t="shared" si="32"/>
        <v>4.0712634959283882</v>
      </c>
      <c r="AY210" s="1541">
        <v>4.0712634959283882</v>
      </c>
      <c r="AZ210" s="136">
        <f t="shared" si="33"/>
        <v>4.0712634959283882</v>
      </c>
      <c r="BA210" s="137">
        <v>1</v>
      </c>
      <c r="BB210" s="137">
        <v>1</v>
      </c>
      <c r="BC210" s="137">
        <v>1</v>
      </c>
      <c r="BD210" s="137">
        <v>0</v>
      </c>
      <c r="BE210" s="137"/>
      <c r="BF210" s="137">
        <v>0</v>
      </c>
      <c r="BG210" s="145">
        <v>0</v>
      </c>
      <c r="BH210" s="153"/>
      <c r="BI210" s="938"/>
      <c r="BJ210" s="924"/>
      <c r="BK210" s="1443">
        <v>0</v>
      </c>
      <c r="BL210" s="905">
        <f t="shared" si="34"/>
        <v>4.0712634959283882</v>
      </c>
      <c r="BM210" s="1287">
        <f t="shared" si="39"/>
        <v>4.0712634959283882</v>
      </c>
      <c r="BN210" s="1393">
        <f t="shared" si="35"/>
        <v>2.0652605308325578E-2</v>
      </c>
      <c r="BO210" s="1377">
        <f t="shared" si="37"/>
        <v>4.0712634959283882</v>
      </c>
      <c r="BP210" s="208">
        <f t="shared" si="36"/>
        <v>2.0652605308325578E-2</v>
      </c>
      <c r="BQ210" s="1378">
        <f t="shared" si="43"/>
        <v>4.6172329331034874</v>
      </c>
      <c r="BR210" s="1378">
        <f t="shared" si="40"/>
        <v>3.8011825701584661</v>
      </c>
      <c r="BS210" s="153">
        <v>0</v>
      </c>
      <c r="BU210" s="1389">
        <f t="shared" si="44"/>
        <v>42309</v>
      </c>
      <c r="BV210" s="1390">
        <v>3.1681817345107897</v>
      </c>
      <c r="BW210" s="1390">
        <v>2.4416011234214503</v>
      </c>
      <c r="BX210" s="1390"/>
      <c r="BY210" s="1390">
        <v>4.4362192881909053</v>
      </c>
      <c r="BZ210" s="1391">
        <v>3.4188310221614695</v>
      </c>
    </row>
    <row r="211" spans="1:78">
      <c r="A211" s="957"/>
      <c r="B211" s="951">
        <v>41730</v>
      </c>
      <c r="C211" s="952">
        <v>39.095812655368931</v>
      </c>
      <c r="D211" s="952"/>
      <c r="E211" s="952"/>
      <c r="F211" s="950"/>
      <c r="G211" s="952"/>
      <c r="H211" s="952"/>
      <c r="I211" s="952"/>
      <c r="J211" s="9"/>
      <c r="K211" s="944">
        <v>42614</v>
      </c>
      <c r="L211" s="953">
        <v>0</v>
      </c>
      <c r="M211" s="953">
        <v>0</v>
      </c>
      <c r="N211" s="953">
        <v>0</v>
      </c>
      <c r="O211" s="13"/>
      <c r="P211" s="953">
        <v>0</v>
      </c>
      <c r="Q211" s="953">
        <v>0</v>
      </c>
      <c r="R211" s="953">
        <v>0</v>
      </c>
      <c r="S211" s="13"/>
      <c r="T211" s="953">
        <v>0</v>
      </c>
      <c r="U211" s="953">
        <v>0</v>
      </c>
      <c r="V211" s="953">
        <v>0</v>
      </c>
      <c r="W211" s="13"/>
      <c r="X211" s="953">
        <v>0</v>
      </c>
      <c r="Y211" s="953">
        <v>0</v>
      </c>
      <c r="Z211" s="953">
        <v>0</v>
      </c>
      <c r="AA211" s="13">
        <v>0</v>
      </c>
      <c r="AB211" s="953">
        <v>0</v>
      </c>
      <c r="AC211" s="953">
        <v>0</v>
      </c>
      <c r="AD211" s="953">
        <v>0</v>
      </c>
      <c r="AE211" s="13"/>
      <c r="AF211" s="953">
        <v>0</v>
      </c>
      <c r="AG211" s="953">
        <v>0</v>
      </c>
      <c r="AH211" s="953">
        <v>0</v>
      </c>
      <c r="AI211" s="13"/>
      <c r="AJ211" s="953">
        <v>0</v>
      </c>
      <c r="AK211" s="953">
        <v>0</v>
      </c>
      <c r="AL211" s="953">
        <v>0</v>
      </c>
      <c r="AM211" s="1455"/>
      <c r="AN211" s="9">
        <v>68</v>
      </c>
      <c r="AO211" s="955">
        <v>0.35</v>
      </c>
      <c r="AP211" s="13"/>
      <c r="AQ211"/>
      <c r="AR211"/>
      <c r="AS211"/>
      <c r="AT211"/>
      <c r="AU211" t="str">
        <f t="shared" si="41"/>
        <v>2017Q1</v>
      </c>
      <c r="AV211">
        <f t="shared" si="42"/>
        <v>2017</v>
      </c>
      <c r="AW211" s="111">
        <f t="shared" si="38"/>
        <v>42767</v>
      </c>
      <c r="AX211" s="136">
        <f t="shared" ref="AX211:AX274" si="45">AY211</f>
        <v>3.760289126863376</v>
      </c>
      <c r="AY211" s="1541">
        <v>3.760289126863376</v>
      </c>
      <c r="AZ211" s="136">
        <f t="shared" ref="AZ211:AZ274" si="46">AY211</f>
        <v>3.760289126863376</v>
      </c>
      <c r="BA211" s="137">
        <v>1</v>
      </c>
      <c r="BB211" s="137">
        <v>1</v>
      </c>
      <c r="BC211" s="137">
        <v>1</v>
      </c>
      <c r="BD211" s="137">
        <v>0</v>
      </c>
      <c r="BE211" s="137"/>
      <c r="BF211" s="137">
        <v>0</v>
      </c>
      <c r="BG211" s="145">
        <v>0</v>
      </c>
      <c r="BH211" s="153"/>
      <c r="BI211" s="938"/>
      <c r="BJ211" s="924"/>
      <c r="BK211" s="1443">
        <v>0</v>
      </c>
      <c r="BL211" s="905">
        <f t="shared" ref="BL211:BL274" si="47">+AY211</f>
        <v>3.760289126863376</v>
      </c>
      <c r="BM211" s="1287">
        <f t="shared" si="39"/>
        <v>3.760289126863376</v>
      </c>
      <c r="BN211" s="1393">
        <f t="shared" ref="BN211:BN274" si="48">+BM211/BM199-1</f>
        <v>2.06526053083258E-2</v>
      </c>
      <c r="BO211" s="1377">
        <f t="shared" si="37"/>
        <v>3.760289126863376</v>
      </c>
      <c r="BP211" s="208">
        <f t="shared" si="36"/>
        <v>2.06526053083258E-2</v>
      </c>
      <c r="BQ211" s="1378">
        <f t="shared" si="43"/>
        <v>4.2688417725318804</v>
      </c>
      <c r="BR211" s="1378">
        <f t="shared" si="40"/>
        <v>3.5405733416314096</v>
      </c>
      <c r="BS211" s="153">
        <v>0</v>
      </c>
      <c r="BU211" s="1389">
        <f t="shared" si="44"/>
        <v>42339</v>
      </c>
      <c r="BV211" s="1390">
        <v>3.2351088056703325</v>
      </c>
      <c r="BW211" s="1390">
        <v>2.4927898548102538</v>
      </c>
      <c r="BX211" s="1390"/>
      <c r="BY211" s="1390">
        <v>4.5299333452937356</v>
      </c>
      <c r="BZ211" s="1391">
        <v>3.4905076040479872</v>
      </c>
    </row>
    <row r="212" spans="1:78">
      <c r="A212" s="957"/>
      <c r="B212" s="951">
        <v>41760</v>
      </c>
      <c r="C212" s="952">
        <v>39.004284334033741</v>
      </c>
      <c r="D212" s="952"/>
      <c r="E212" s="952"/>
      <c r="F212" s="950"/>
      <c r="G212" s="952"/>
      <c r="H212" s="952"/>
      <c r="I212" s="952"/>
      <c r="J212" s="9"/>
      <c r="K212" s="944">
        <v>42644</v>
      </c>
      <c r="L212" s="953">
        <v>0</v>
      </c>
      <c r="M212" s="953">
        <v>0</v>
      </c>
      <c r="N212" s="953">
        <v>0</v>
      </c>
      <c r="O212" s="13"/>
      <c r="P212" s="953">
        <v>0</v>
      </c>
      <c r="Q212" s="953">
        <v>0</v>
      </c>
      <c r="R212" s="953">
        <v>0</v>
      </c>
      <c r="S212" s="13"/>
      <c r="T212" s="953">
        <v>0</v>
      </c>
      <c r="U212" s="953">
        <v>0</v>
      </c>
      <c r="V212" s="953">
        <v>0</v>
      </c>
      <c r="W212" s="13"/>
      <c r="X212" s="953">
        <v>0</v>
      </c>
      <c r="Y212" s="953">
        <v>0</v>
      </c>
      <c r="Z212" s="953">
        <v>0</v>
      </c>
      <c r="AA212" s="13">
        <v>0</v>
      </c>
      <c r="AB212" s="953">
        <v>0</v>
      </c>
      <c r="AC212" s="953">
        <v>0</v>
      </c>
      <c r="AD212" s="953">
        <v>0</v>
      </c>
      <c r="AE212" s="13"/>
      <c r="AF212" s="953">
        <v>0</v>
      </c>
      <c r="AG212" s="953">
        <v>0</v>
      </c>
      <c r="AH212" s="953">
        <v>0</v>
      </c>
      <c r="AI212" s="13"/>
      <c r="AJ212" s="953">
        <v>0</v>
      </c>
      <c r="AK212" s="953">
        <v>0</v>
      </c>
      <c r="AL212" s="953">
        <v>0</v>
      </c>
      <c r="AM212" s="1455"/>
      <c r="AN212" s="9">
        <v>68</v>
      </c>
      <c r="AO212" s="955">
        <v>0.35</v>
      </c>
      <c r="AP212" s="13"/>
      <c r="AQ212"/>
      <c r="AR212"/>
      <c r="AS212"/>
      <c r="AT212"/>
      <c r="AU212" t="str">
        <f t="shared" si="41"/>
        <v>2017Q1</v>
      </c>
      <c r="AV212">
        <f t="shared" si="42"/>
        <v>2017</v>
      </c>
      <c r="AW212" s="111">
        <f t="shared" si="38"/>
        <v>42795</v>
      </c>
      <c r="AX212" s="136">
        <f t="shared" si="45"/>
        <v>3.5584238580472385</v>
      </c>
      <c r="AY212" s="1541">
        <v>3.5584238580472385</v>
      </c>
      <c r="AZ212" s="136">
        <f t="shared" si="46"/>
        <v>3.5584238580472385</v>
      </c>
      <c r="BA212" s="137">
        <v>1</v>
      </c>
      <c r="BB212" s="137">
        <v>1</v>
      </c>
      <c r="BC212" s="137">
        <v>1</v>
      </c>
      <c r="BD212" s="137">
        <v>0</v>
      </c>
      <c r="BE212" s="137"/>
      <c r="BF212" s="137">
        <v>0</v>
      </c>
      <c r="BG212" s="145">
        <v>0</v>
      </c>
      <c r="BH212" s="153"/>
      <c r="BI212" s="938"/>
      <c r="BJ212" s="924"/>
      <c r="BK212" s="1443">
        <v>0</v>
      </c>
      <c r="BL212" s="905">
        <f t="shared" si="47"/>
        <v>3.5584238580472385</v>
      </c>
      <c r="BM212" s="1287">
        <f t="shared" si="39"/>
        <v>3.5584238580472385</v>
      </c>
      <c r="BN212" s="1393">
        <f t="shared" si="48"/>
        <v>2.0597270454802752E-2</v>
      </c>
      <c r="BO212" s="1377">
        <f t="shared" si="37"/>
        <v>3.5584238580472385</v>
      </c>
      <c r="BP212" s="208">
        <f t="shared" si="36"/>
        <v>2.0597270454802752E-2</v>
      </c>
      <c r="BQ212" s="1378">
        <f t="shared" si="43"/>
        <v>4.1420920936095662</v>
      </c>
      <c r="BR212" s="1378">
        <f t="shared" si="40"/>
        <v>3.364813629368975</v>
      </c>
      <c r="BS212" s="153">
        <v>0</v>
      </c>
      <c r="BU212" s="1389">
        <f t="shared" si="44"/>
        <v>42370</v>
      </c>
      <c r="BV212" s="1390">
        <v>3.1274316477852873</v>
      </c>
      <c r="BW212" s="1390">
        <v>2.5687751057792747</v>
      </c>
      <c r="BX212" s="1390"/>
      <c r="BY212" s="1390">
        <v>4.4667425155006155</v>
      </c>
      <c r="BZ212" s="1391">
        <v>3.6688434056965922</v>
      </c>
    </row>
    <row r="213" spans="1:78">
      <c r="A213" s="957"/>
      <c r="B213" s="951">
        <v>41791</v>
      </c>
      <c r="C213" s="952">
        <v>42.932431994316211</v>
      </c>
      <c r="D213" s="952"/>
      <c r="E213" s="952"/>
      <c r="F213" s="950"/>
      <c r="G213" s="952"/>
      <c r="H213" s="952"/>
      <c r="I213" s="952"/>
      <c r="J213" s="9"/>
      <c r="K213" s="944">
        <v>42675</v>
      </c>
      <c r="L213" s="953">
        <v>0</v>
      </c>
      <c r="M213" s="953">
        <v>0</v>
      </c>
      <c r="N213" s="953">
        <v>0</v>
      </c>
      <c r="O213" s="13"/>
      <c r="P213" s="953">
        <v>0</v>
      </c>
      <c r="Q213" s="953">
        <v>0</v>
      </c>
      <c r="R213" s="953">
        <v>0</v>
      </c>
      <c r="S213" s="13"/>
      <c r="T213" s="953">
        <v>0</v>
      </c>
      <c r="U213" s="953">
        <v>0</v>
      </c>
      <c r="V213" s="953">
        <v>0</v>
      </c>
      <c r="W213" s="13"/>
      <c r="X213" s="953">
        <v>0</v>
      </c>
      <c r="Y213" s="953">
        <v>0</v>
      </c>
      <c r="Z213" s="953">
        <v>0</v>
      </c>
      <c r="AA213" s="13">
        <v>0</v>
      </c>
      <c r="AB213" s="953">
        <v>0</v>
      </c>
      <c r="AC213" s="953">
        <v>0</v>
      </c>
      <c r="AD213" s="953">
        <v>0</v>
      </c>
      <c r="AE213" s="13"/>
      <c r="AF213" s="953">
        <v>0</v>
      </c>
      <c r="AG213" s="953">
        <v>0</v>
      </c>
      <c r="AH213" s="953">
        <v>0</v>
      </c>
      <c r="AI213" s="13"/>
      <c r="AJ213" s="953">
        <v>0</v>
      </c>
      <c r="AK213" s="953">
        <v>0</v>
      </c>
      <c r="AL213" s="953">
        <v>0</v>
      </c>
      <c r="AM213" s="1455"/>
      <c r="AN213" s="9">
        <v>68</v>
      </c>
      <c r="AO213" s="955">
        <v>0.35</v>
      </c>
      <c r="AP213" s="13"/>
      <c r="AQ213"/>
      <c r="AR213"/>
      <c r="AS213"/>
      <c r="AT213"/>
      <c r="AU213" t="str">
        <f t="shared" si="41"/>
        <v>2017Q2</v>
      </c>
      <c r="AV213">
        <f t="shared" si="42"/>
        <v>2017</v>
      </c>
      <c r="AW213" s="111">
        <f t="shared" si="38"/>
        <v>42826</v>
      </c>
      <c r="AX213" s="136">
        <f t="shared" si="45"/>
        <v>3.4516686020453684</v>
      </c>
      <c r="AY213" s="1541">
        <v>3.4516686020453684</v>
      </c>
      <c r="AZ213" s="136">
        <f t="shared" si="46"/>
        <v>3.4516686020453684</v>
      </c>
      <c r="BA213" s="137">
        <v>1</v>
      </c>
      <c r="BB213" s="137">
        <v>1</v>
      </c>
      <c r="BC213" s="137">
        <v>1</v>
      </c>
      <c r="BD213" s="137">
        <v>0</v>
      </c>
      <c r="BE213" s="137"/>
      <c r="BF213" s="137">
        <v>0</v>
      </c>
      <c r="BG213" s="145">
        <v>0</v>
      </c>
      <c r="BH213" s="153"/>
      <c r="BI213" s="938"/>
      <c r="BJ213" s="924"/>
      <c r="BK213" s="1443">
        <v>0</v>
      </c>
      <c r="BL213" s="905">
        <f t="shared" si="47"/>
        <v>3.4516686020453684</v>
      </c>
      <c r="BM213" s="1287">
        <f t="shared" si="39"/>
        <v>3.4516686020453684</v>
      </c>
      <c r="BN213" s="1393">
        <f t="shared" si="48"/>
        <v>2.0597270454802974E-2</v>
      </c>
      <c r="BO213" s="1377">
        <f t="shared" si="37"/>
        <v>3.4516686020453684</v>
      </c>
      <c r="BP213" s="208">
        <f t="shared" si="36"/>
        <v>2.0597270454802974E-2</v>
      </c>
      <c r="BQ213" s="1378">
        <f t="shared" si="43"/>
        <v>4.0599233362392386</v>
      </c>
      <c r="BR213" s="1378">
        <f t="shared" si="40"/>
        <v>3.2625396588714373</v>
      </c>
      <c r="BS213" s="153">
        <v>0</v>
      </c>
      <c r="BU213" s="1389">
        <f t="shared" si="44"/>
        <v>42401</v>
      </c>
      <c r="BV213" s="1390">
        <v>2.8914527493483972</v>
      </c>
      <c r="BW213" s="1390">
        <v>2.3926597821344182</v>
      </c>
      <c r="BX213" s="1390"/>
      <c r="BY213" s="1390">
        <v>4.1297065393009458</v>
      </c>
      <c r="BZ213" s="1391">
        <v>3.417307355560145</v>
      </c>
    </row>
    <row r="214" spans="1:78">
      <c r="A214" s="957"/>
      <c r="B214" s="951">
        <v>41821</v>
      </c>
      <c r="C214" s="952">
        <v>59.221013005417433</v>
      </c>
      <c r="D214" s="952"/>
      <c r="E214" s="952"/>
      <c r="F214" s="950"/>
      <c r="G214" s="952"/>
      <c r="H214" s="952"/>
      <c r="I214" s="952"/>
      <c r="J214" s="9"/>
      <c r="K214" s="944">
        <v>42705</v>
      </c>
      <c r="L214" s="953">
        <v>0</v>
      </c>
      <c r="M214" s="953">
        <v>0</v>
      </c>
      <c r="N214" s="953">
        <v>0</v>
      </c>
      <c r="O214" s="13"/>
      <c r="P214" s="953">
        <v>0</v>
      </c>
      <c r="Q214" s="953">
        <v>0</v>
      </c>
      <c r="R214" s="953">
        <v>0</v>
      </c>
      <c r="S214" s="13"/>
      <c r="T214" s="953">
        <v>0</v>
      </c>
      <c r="U214" s="953">
        <v>0</v>
      </c>
      <c r="V214" s="953">
        <v>0</v>
      </c>
      <c r="W214" s="13"/>
      <c r="X214" s="953">
        <v>0</v>
      </c>
      <c r="Y214" s="953">
        <v>0</v>
      </c>
      <c r="Z214" s="953">
        <v>0</v>
      </c>
      <c r="AA214" s="13">
        <v>0</v>
      </c>
      <c r="AB214" s="953">
        <v>0</v>
      </c>
      <c r="AC214" s="953">
        <v>0</v>
      </c>
      <c r="AD214" s="953">
        <v>0</v>
      </c>
      <c r="AE214" s="13"/>
      <c r="AF214" s="953">
        <v>0</v>
      </c>
      <c r="AG214" s="953">
        <v>0</v>
      </c>
      <c r="AH214" s="953">
        <v>0</v>
      </c>
      <c r="AI214" s="13"/>
      <c r="AJ214" s="953">
        <v>0</v>
      </c>
      <c r="AK214" s="953">
        <v>0</v>
      </c>
      <c r="AL214" s="953">
        <v>0</v>
      </c>
      <c r="AM214" s="1455"/>
      <c r="AN214" s="9">
        <v>69</v>
      </c>
      <c r="AO214" s="955">
        <v>0.35</v>
      </c>
      <c r="AP214" s="13"/>
      <c r="AQ214"/>
      <c r="AR214"/>
      <c r="AS214"/>
      <c r="AT214"/>
      <c r="AU214" t="str">
        <f t="shared" si="41"/>
        <v>2017Q2</v>
      </c>
      <c r="AV214">
        <f t="shared" si="42"/>
        <v>2017</v>
      </c>
      <c r="AW214" s="111">
        <f t="shared" si="38"/>
        <v>42856</v>
      </c>
      <c r="AX214" s="136">
        <f t="shared" si="45"/>
        <v>3.4256371851680401</v>
      </c>
      <c r="AY214" s="1541">
        <v>3.4256371851680401</v>
      </c>
      <c r="AZ214" s="136">
        <f t="shared" si="46"/>
        <v>3.4256371851680401</v>
      </c>
      <c r="BA214" s="137">
        <v>1</v>
      </c>
      <c r="BB214" s="137">
        <v>1</v>
      </c>
      <c r="BC214" s="137">
        <v>1</v>
      </c>
      <c r="BD214" s="137">
        <v>0</v>
      </c>
      <c r="BE214" s="137"/>
      <c r="BF214" s="137">
        <v>0</v>
      </c>
      <c r="BG214" s="145">
        <v>0</v>
      </c>
      <c r="BH214" s="153"/>
      <c r="BI214" s="938"/>
      <c r="BJ214" s="924"/>
      <c r="BK214" s="1443">
        <v>0</v>
      </c>
      <c r="BL214" s="905">
        <f t="shared" si="47"/>
        <v>3.4256371851680401</v>
      </c>
      <c r="BM214" s="1287">
        <f t="shared" si="39"/>
        <v>3.4256371851680401</v>
      </c>
      <c r="BN214" s="1393">
        <f t="shared" si="48"/>
        <v>2.0597270454802974E-2</v>
      </c>
      <c r="BO214" s="1377">
        <f t="shared" si="37"/>
        <v>3.4256371851680401</v>
      </c>
      <c r="BP214" s="208">
        <f t="shared" si="36"/>
        <v>2.0597270454802974E-2</v>
      </c>
      <c r="BQ214" s="1378">
        <f t="shared" si="43"/>
        <v>4.0223355004208967</v>
      </c>
      <c r="BR214" s="1378">
        <f t="shared" si="40"/>
        <v>3.2223876556390714</v>
      </c>
      <c r="BS214" s="153">
        <v>0</v>
      </c>
      <c r="BU214" s="1389">
        <f t="shared" si="44"/>
        <v>42430</v>
      </c>
      <c r="BV214" s="1390">
        <v>2.8056002565347358</v>
      </c>
      <c r="BW214" s="1390">
        <v>2.2738843313041652</v>
      </c>
      <c r="BX214" s="1390"/>
      <c r="BY214" s="1390">
        <v>4.0070880385947643</v>
      </c>
      <c r="BZ214" s="1391">
        <v>3.2476667636076559</v>
      </c>
    </row>
    <row r="215" spans="1:78">
      <c r="A215" s="957"/>
      <c r="B215" s="951">
        <v>41852</v>
      </c>
      <c r="C215" s="952">
        <v>69.281270935553366</v>
      </c>
      <c r="D215" s="952"/>
      <c r="E215" s="952"/>
      <c r="F215" s="950"/>
      <c r="G215" s="952"/>
      <c r="H215" s="952"/>
      <c r="I215" s="952"/>
      <c r="J215" s="9"/>
      <c r="K215" s="944">
        <v>42736</v>
      </c>
      <c r="L215" s="953">
        <v>0</v>
      </c>
      <c r="M215" s="953">
        <v>0</v>
      </c>
      <c r="N215" s="953">
        <v>0</v>
      </c>
      <c r="O215" s="13"/>
      <c r="P215" s="953">
        <v>0</v>
      </c>
      <c r="Q215" s="953">
        <v>0</v>
      </c>
      <c r="R215" s="953">
        <v>0</v>
      </c>
      <c r="S215" s="13"/>
      <c r="T215" s="953">
        <v>0</v>
      </c>
      <c r="U215" s="953">
        <v>0</v>
      </c>
      <c r="V215" s="953">
        <v>0</v>
      </c>
      <c r="W215" s="13"/>
      <c r="X215" s="953">
        <v>0</v>
      </c>
      <c r="Y215" s="953">
        <v>0</v>
      </c>
      <c r="Z215" s="953">
        <v>0</v>
      </c>
      <c r="AA215" s="13">
        <v>0</v>
      </c>
      <c r="AB215" s="953">
        <v>0</v>
      </c>
      <c r="AC215" s="953">
        <v>0</v>
      </c>
      <c r="AD215" s="953">
        <v>0</v>
      </c>
      <c r="AE215" s="13"/>
      <c r="AF215" s="953">
        <v>0</v>
      </c>
      <c r="AG215" s="953">
        <v>0</v>
      </c>
      <c r="AH215" s="953">
        <v>0</v>
      </c>
      <c r="AI215" s="13"/>
      <c r="AJ215" s="953">
        <v>0</v>
      </c>
      <c r="AK215" s="953">
        <v>0</v>
      </c>
      <c r="AL215" s="953">
        <v>0</v>
      </c>
      <c r="AM215" s="1455"/>
      <c r="AN215" s="9">
        <v>69</v>
      </c>
      <c r="AO215" s="955">
        <v>0.35</v>
      </c>
      <c r="AP215" s="13"/>
      <c r="AQ215"/>
      <c r="AR215"/>
      <c r="AS215"/>
      <c r="AT215"/>
      <c r="AU215" t="str">
        <f t="shared" si="41"/>
        <v>2017Q2</v>
      </c>
      <c r="AV215">
        <f t="shared" si="42"/>
        <v>2017</v>
      </c>
      <c r="AW215" s="111">
        <f t="shared" si="38"/>
        <v>42887</v>
      </c>
      <c r="AX215" s="136">
        <f t="shared" si="45"/>
        <v>3.4670169046770241</v>
      </c>
      <c r="AY215" s="1541">
        <v>3.4670169046770241</v>
      </c>
      <c r="AZ215" s="136">
        <f t="shared" si="46"/>
        <v>3.4670169046770241</v>
      </c>
      <c r="BA215" s="137">
        <v>1</v>
      </c>
      <c r="BB215" s="137">
        <v>1</v>
      </c>
      <c r="BC215" s="137">
        <v>1</v>
      </c>
      <c r="BD215" s="137">
        <v>0</v>
      </c>
      <c r="BE215" s="137"/>
      <c r="BF215" s="137">
        <v>0</v>
      </c>
      <c r="BG215" s="145">
        <v>0</v>
      </c>
      <c r="BH215" s="153"/>
      <c r="BI215" s="938"/>
      <c r="BJ215" s="924"/>
      <c r="BK215" s="1443">
        <v>0</v>
      </c>
      <c r="BL215" s="905">
        <f t="shared" si="47"/>
        <v>3.4670169046770241</v>
      </c>
      <c r="BM215" s="1287">
        <f t="shared" si="39"/>
        <v>3.4670169046770241</v>
      </c>
      <c r="BN215" s="1393">
        <f t="shared" si="48"/>
        <v>2.0597270454803196E-2</v>
      </c>
      <c r="BO215" s="1377">
        <f t="shared" si="37"/>
        <v>3.4670169046770241</v>
      </c>
      <c r="BP215" s="208">
        <f t="shared" si="36"/>
        <v>2.0597270454803196E-2</v>
      </c>
      <c r="BQ215" s="1378">
        <f t="shared" si="43"/>
        <v>4.0293285861545414</v>
      </c>
      <c r="BR215" s="1378">
        <f t="shared" si="40"/>
        <v>3.2329938451721492</v>
      </c>
      <c r="BS215" s="153">
        <v>0</v>
      </c>
      <c r="BU215" s="1389">
        <f t="shared" si="44"/>
        <v>42461</v>
      </c>
      <c r="BV215" s="1390">
        <v>2.7499441577451895</v>
      </c>
      <c r="BW215" s="1390">
        <v>2.2047693060365621</v>
      </c>
      <c r="BX215" s="1390"/>
      <c r="BY215" s="1390">
        <v>3.9275974243438605</v>
      </c>
      <c r="BZ215" s="1391">
        <v>3.1489534881180625</v>
      </c>
    </row>
    <row r="216" spans="1:78">
      <c r="A216" s="957"/>
      <c r="B216" s="951">
        <v>41883</v>
      </c>
      <c r="C216" s="952">
        <v>61.838450604448738</v>
      </c>
      <c r="D216" s="952"/>
      <c r="E216" s="952"/>
      <c r="F216" s="950"/>
      <c r="G216" s="952"/>
      <c r="H216" s="952"/>
      <c r="I216" s="952"/>
      <c r="J216" s="9"/>
      <c r="K216" s="944">
        <v>42767</v>
      </c>
      <c r="L216" s="953">
        <v>0</v>
      </c>
      <c r="M216" s="953">
        <v>0</v>
      </c>
      <c r="N216" s="953">
        <v>0</v>
      </c>
      <c r="O216" s="13"/>
      <c r="P216" s="953">
        <v>0</v>
      </c>
      <c r="Q216" s="953">
        <v>0</v>
      </c>
      <c r="R216" s="953">
        <v>0</v>
      </c>
      <c r="S216" s="13"/>
      <c r="T216" s="953">
        <v>0</v>
      </c>
      <c r="U216" s="953">
        <v>0</v>
      </c>
      <c r="V216" s="953">
        <v>0</v>
      </c>
      <c r="W216" s="13"/>
      <c r="X216" s="953">
        <v>0</v>
      </c>
      <c r="Y216" s="953">
        <v>0</v>
      </c>
      <c r="Z216" s="953">
        <v>0</v>
      </c>
      <c r="AA216" s="13">
        <v>0</v>
      </c>
      <c r="AB216" s="953">
        <v>0</v>
      </c>
      <c r="AC216" s="953">
        <v>0</v>
      </c>
      <c r="AD216" s="953">
        <v>0</v>
      </c>
      <c r="AE216" s="13"/>
      <c r="AF216" s="953">
        <v>0</v>
      </c>
      <c r="AG216" s="953">
        <v>0</v>
      </c>
      <c r="AH216" s="953">
        <v>0</v>
      </c>
      <c r="AI216" s="13"/>
      <c r="AJ216" s="953">
        <v>0</v>
      </c>
      <c r="AK216" s="953">
        <v>0</v>
      </c>
      <c r="AL216" s="953">
        <v>0</v>
      </c>
      <c r="AM216" s="1455"/>
      <c r="AN216" s="9">
        <v>69</v>
      </c>
      <c r="AO216" s="955">
        <v>0.35</v>
      </c>
      <c r="AP216" s="13"/>
      <c r="AQ216"/>
      <c r="AR216"/>
      <c r="AS216"/>
      <c r="AT216"/>
      <c r="AU216" t="str">
        <f t="shared" si="41"/>
        <v>2017Q3</v>
      </c>
      <c r="AV216">
        <f t="shared" si="42"/>
        <v>2017</v>
      </c>
      <c r="AW216" s="111">
        <f t="shared" si="38"/>
        <v>42917</v>
      </c>
      <c r="AX216" s="136">
        <f t="shared" si="45"/>
        <v>3.5616529114558442</v>
      </c>
      <c r="AY216" s="1541">
        <v>3.5616529114558442</v>
      </c>
      <c r="AZ216" s="136">
        <f t="shared" si="46"/>
        <v>3.5616529114558442</v>
      </c>
      <c r="BA216" s="137">
        <v>1</v>
      </c>
      <c r="BB216" s="137">
        <v>1</v>
      </c>
      <c r="BC216" s="137">
        <v>1</v>
      </c>
      <c r="BD216" s="137">
        <v>0</v>
      </c>
      <c r="BE216" s="137"/>
      <c r="BF216" s="137">
        <v>0</v>
      </c>
      <c r="BG216" s="145">
        <v>0</v>
      </c>
      <c r="BH216" s="153"/>
      <c r="BI216" s="938"/>
      <c r="BJ216" s="924"/>
      <c r="BK216" s="1443">
        <v>0</v>
      </c>
      <c r="BL216" s="905">
        <f t="shared" si="47"/>
        <v>3.5616529114558442</v>
      </c>
      <c r="BM216" s="1287">
        <f t="shared" si="39"/>
        <v>3.5616529114558442</v>
      </c>
      <c r="BN216" s="1393">
        <f t="shared" si="48"/>
        <v>2.0597270454802974E-2</v>
      </c>
      <c r="BO216" s="1377">
        <f t="shared" si="37"/>
        <v>3.5616529114558442</v>
      </c>
      <c r="BP216" s="208">
        <f t="shared" si="36"/>
        <v>2.0597270454802974E-2</v>
      </c>
      <c r="BQ216" s="1378">
        <f t="shared" si="43"/>
        <v>4.0809025934401735</v>
      </c>
      <c r="BR216" s="1378">
        <f t="shared" si="40"/>
        <v>3.2829944529709452</v>
      </c>
      <c r="BS216" s="153">
        <v>0</v>
      </c>
      <c r="BU216" s="1389">
        <f t="shared" si="44"/>
        <v>42491</v>
      </c>
      <c r="BV216" s="1390">
        <v>2.7244844529797585</v>
      </c>
      <c r="BW216" s="1390">
        <v>2.1776352590796506</v>
      </c>
      <c r="BX216" s="1390"/>
      <c r="BY216" s="1390">
        <v>3.8912346965482341</v>
      </c>
      <c r="BZ216" s="1391">
        <v>3.1101993873702956</v>
      </c>
    </row>
    <row r="217" spans="1:78">
      <c r="A217" s="957"/>
      <c r="B217" s="951">
        <v>41913</v>
      </c>
      <c r="C217" s="952">
        <v>52.615950573024719</v>
      </c>
      <c r="D217" s="952"/>
      <c r="E217" s="952"/>
      <c r="F217" s="950"/>
      <c r="G217" s="952"/>
      <c r="H217" s="952"/>
      <c r="I217" s="952"/>
      <c r="J217" s="9"/>
      <c r="K217" s="944">
        <v>42795</v>
      </c>
      <c r="L217" s="953">
        <v>0</v>
      </c>
      <c r="M217" s="953">
        <v>0</v>
      </c>
      <c r="N217" s="953">
        <v>0</v>
      </c>
      <c r="O217" s="13"/>
      <c r="P217" s="953">
        <v>0</v>
      </c>
      <c r="Q217" s="953">
        <v>0</v>
      </c>
      <c r="R217" s="953">
        <v>0</v>
      </c>
      <c r="S217" s="13"/>
      <c r="T217" s="953">
        <v>0</v>
      </c>
      <c r="U217" s="953">
        <v>0</v>
      </c>
      <c r="V217" s="953">
        <v>0</v>
      </c>
      <c r="W217" s="13"/>
      <c r="X217" s="953">
        <v>0</v>
      </c>
      <c r="Y217" s="953">
        <v>0</v>
      </c>
      <c r="Z217" s="953">
        <v>0</v>
      </c>
      <c r="AA217" s="13">
        <v>0</v>
      </c>
      <c r="AB217" s="953">
        <v>0</v>
      </c>
      <c r="AC217" s="953">
        <v>0</v>
      </c>
      <c r="AD217" s="953">
        <v>0</v>
      </c>
      <c r="AE217" s="13"/>
      <c r="AF217" s="953">
        <v>0</v>
      </c>
      <c r="AG217" s="953">
        <v>0</v>
      </c>
      <c r="AH217" s="953">
        <v>0</v>
      </c>
      <c r="AI217" s="13"/>
      <c r="AJ217" s="953">
        <v>0</v>
      </c>
      <c r="AK217" s="953">
        <v>0</v>
      </c>
      <c r="AL217" s="953">
        <v>0</v>
      </c>
      <c r="AM217" s="1455"/>
      <c r="AN217" s="9">
        <v>70</v>
      </c>
      <c r="AO217" s="955">
        <v>0.35</v>
      </c>
      <c r="AP217" s="13"/>
      <c r="AQ217"/>
      <c r="AR217"/>
      <c r="AS217"/>
      <c r="AT217"/>
      <c r="AU217" t="str">
        <f t="shared" si="41"/>
        <v>2017Q3</v>
      </c>
      <c r="AV217">
        <f t="shared" si="42"/>
        <v>2017</v>
      </c>
      <c r="AW217" s="111">
        <f t="shared" si="38"/>
        <v>42948</v>
      </c>
      <c r="AX217" s="136">
        <f t="shared" si="45"/>
        <v>3.6960556958816793</v>
      </c>
      <c r="AY217" s="1541">
        <v>3.6960556958816793</v>
      </c>
      <c r="AZ217" s="136">
        <f t="shared" si="46"/>
        <v>3.6960556958816793</v>
      </c>
      <c r="BA217" s="137">
        <v>1</v>
      </c>
      <c r="BB217" s="137">
        <v>1</v>
      </c>
      <c r="BC217" s="137">
        <v>1</v>
      </c>
      <c r="BD217" s="137">
        <v>0</v>
      </c>
      <c r="BE217" s="137"/>
      <c r="BF217" s="137">
        <v>0</v>
      </c>
      <c r="BG217" s="145">
        <v>0</v>
      </c>
      <c r="BH217" s="153"/>
      <c r="BI217" s="938"/>
      <c r="BJ217" s="924"/>
      <c r="BK217" s="1443">
        <v>0</v>
      </c>
      <c r="BL217" s="905">
        <f t="shared" si="47"/>
        <v>3.6960556958816793</v>
      </c>
      <c r="BM217" s="1287">
        <f t="shared" si="39"/>
        <v>3.6960556958816793</v>
      </c>
      <c r="BN217" s="1393">
        <f t="shared" si="48"/>
        <v>2.0597270454803196E-2</v>
      </c>
      <c r="BO217" s="1377">
        <f t="shared" si="37"/>
        <v>3.6960556958816793</v>
      </c>
      <c r="BP217" s="208">
        <f t="shared" si="36"/>
        <v>2.0597270454803196E-2</v>
      </c>
      <c r="BQ217" s="1378">
        <f t="shared" si="43"/>
        <v>4.1770575222777904</v>
      </c>
      <c r="BR217" s="1378">
        <f t="shared" si="40"/>
        <v>3.3610257045357335</v>
      </c>
      <c r="BS217" s="153">
        <v>0</v>
      </c>
      <c r="BU217" s="1389">
        <f t="shared" si="44"/>
        <v>42522</v>
      </c>
      <c r="BV217" s="1390">
        <v>2.7292211422384431</v>
      </c>
      <c r="BW217" s="1390">
        <v>2.1848027431814763</v>
      </c>
      <c r="BX217" s="1390"/>
      <c r="BY217" s="1390">
        <v>3.8979998552078854</v>
      </c>
      <c r="BZ217" s="1391">
        <v>3.1204363196432907</v>
      </c>
    </row>
    <row r="218" spans="1:78">
      <c r="A218" s="957"/>
      <c r="B218" s="951">
        <v>41944</v>
      </c>
      <c r="C218" s="952">
        <v>54.104206461245106</v>
      </c>
      <c r="D218" s="952"/>
      <c r="E218" s="952"/>
      <c r="F218" s="950"/>
      <c r="G218" s="952"/>
      <c r="H218" s="952"/>
      <c r="I218" s="952"/>
      <c r="J218" s="9"/>
      <c r="K218" s="944">
        <v>42826</v>
      </c>
      <c r="L218" s="953">
        <v>0</v>
      </c>
      <c r="M218" s="953">
        <v>0</v>
      </c>
      <c r="N218" s="953">
        <v>0</v>
      </c>
      <c r="O218" s="13"/>
      <c r="P218" s="953">
        <v>0</v>
      </c>
      <c r="Q218" s="953">
        <v>0</v>
      </c>
      <c r="R218" s="953">
        <v>0</v>
      </c>
      <c r="S218" s="13"/>
      <c r="T218" s="953">
        <v>0</v>
      </c>
      <c r="U218" s="953">
        <v>0</v>
      </c>
      <c r="V218" s="953">
        <v>0</v>
      </c>
      <c r="W218" s="13"/>
      <c r="X218" s="953">
        <v>0</v>
      </c>
      <c r="Y218" s="953">
        <v>0</v>
      </c>
      <c r="Z218" s="953">
        <v>0</v>
      </c>
      <c r="AA218" s="13">
        <v>0</v>
      </c>
      <c r="AB218" s="953">
        <v>0</v>
      </c>
      <c r="AC218" s="953">
        <v>0</v>
      </c>
      <c r="AD218" s="953">
        <v>0</v>
      </c>
      <c r="AE218" s="13"/>
      <c r="AF218" s="953">
        <v>0</v>
      </c>
      <c r="AG218" s="953">
        <v>0</v>
      </c>
      <c r="AH218" s="953">
        <v>0</v>
      </c>
      <c r="AI218" s="13"/>
      <c r="AJ218" s="953">
        <v>0</v>
      </c>
      <c r="AK218" s="953">
        <v>0</v>
      </c>
      <c r="AL218" s="953">
        <v>0</v>
      </c>
      <c r="AM218" s="1455"/>
      <c r="AN218" s="9">
        <v>70</v>
      </c>
      <c r="AO218" s="955">
        <v>0.35</v>
      </c>
      <c r="AP218" s="13"/>
      <c r="AQ218"/>
      <c r="AR218"/>
      <c r="AS218"/>
      <c r="AT218"/>
      <c r="AU218" t="str">
        <f t="shared" si="41"/>
        <v>2017Q3</v>
      </c>
      <c r="AV218">
        <f t="shared" si="42"/>
        <v>2017</v>
      </c>
      <c r="AW218" s="111">
        <f t="shared" si="38"/>
        <v>42979</v>
      </c>
      <c r="AX218" s="136">
        <f t="shared" si="45"/>
        <v>3.856075394655591</v>
      </c>
      <c r="AY218" s="1541">
        <v>3.856075394655591</v>
      </c>
      <c r="AZ218" s="136">
        <f t="shared" si="46"/>
        <v>3.856075394655591</v>
      </c>
      <c r="BA218" s="137">
        <v>1</v>
      </c>
      <c r="BB218" s="137">
        <v>1</v>
      </c>
      <c r="BC218" s="137">
        <v>1</v>
      </c>
      <c r="BD218" s="137">
        <v>0</v>
      </c>
      <c r="BE218" s="137"/>
      <c r="BF218" s="137">
        <v>0</v>
      </c>
      <c r="BG218" s="145">
        <v>0</v>
      </c>
      <c r="BH218" s="153"/>
      <c r="BI218" s="938"/>
      <c r="BJ218" s="924"/>
      <c r="BK218" s="1443">
        <v>0</v>
      </c>
      <c r="BL218" s="905">
        <f t="shared" si="47"/>
        <v>3.856075394655591</v>
      </c>
      <c r="BM218" s="1287">
        <f t="shared" si="39"/>
        <v>3.856075394655591</v>
      </c>
      <c r="BN218" s="1393">
        <f t="shared" si="48"/>
        <v>2.0597270454802974E-2</v>
      </c>
      <c r="BO218" s="1377">
        <f t="shared" si="37"/>
        <v>3.856075394655591</v>
      </c>
      <c r="BP218" s="208">
        <f t="shared" si="36"/>
        <v>2.0597270454802974E-2</v>
      </c>
      <c r="BQ218" s="1378">
        <f t="shared" si="43"/>
        <v>4.3177933726673956</v>
      </c>
      <c r="BR218" s="1378">
        <f t="shared" si="40"/>
        <v>3.4557238253667864</v>
      </c>
      <c r="BS218" s="153">
        <v>0</v>
      </c>
      <c r="BU218" s="1389">
        <f t="shared" si="44"/>
        <v>42552</v>
      </c>
      <c r="BV218" s="1390">
        <v>2.7641542255212439</v>
      </c>
      <c r="BW218" s="1390">
        <v>2.2185923110900823</v>
      </c>
      <c r="BX218" s="1390"/>
      <c r="BY218" s="1390">
        <v>3.9478929003228149</v>
      </c>
      <c r="BZ218" s="1391">
        <v>3.1686961432159806</v>
      </c>
    </row>
    <row r="219" spans="1:78">
      <c r="A219" s="957"/>
      <c r="B219" s="951">
        <v>41974</v>
      </c>
      <c r="C219" s="952">
        <v>52.760000895702106</v>
      </c>
      <c r="D219" s="952"/>
      <c r="E219" s="952"/>
      <c r="F219" s="950"/>
      <c r="G219" s="952"/>
      <c r="H219" s="952"/>
      <c r="I219" s="952"/>
      <c r="J219" s="9"/>
      <c r="K219" s="944">
        <v>42856</v>
      </c>
      <c r="L219" s="953">
        <v>0</v>
      </c>
      <c r="M219" s="953">
        <v>0</v>
      </c>
      <c r="N219" s="953">
        <v>0</v>
      </c>
      <c r="O219" s="13"/>
      <c r="P219" s="953">
        <v>0</v>
      </c>
      <c r="Q219" s="953">
        <v>0</v>
      </c>
      <c r="R219" s="953">
        <v>0</v>
      </c>
      <c r="S219" s="13"/>
      <c r="T219" s="953">
        <v>0</v>
      </c>
      <c r="U219" s="953">
        <v>0</v>
      </c>
      <c r="V219" s="953">
        <v>0</v>
      </c>
      <c r="W219" s="13"/>
      <c r="X219" s="953">
        <v>0</v>
      </c>
      <c r="Y219" s="953">
        <v>0</v>
      </c>
      <c r="Z219" s="953">
        <v>0</v>
      </c>
      <c r="AA219" s="13">
        <v>0</v>
      </c>
      <c r="AB219" s="953">
        <v>0</v>
      </c>
      <c r="AC219" s="953">
        <v>0</v>
      </c>
      <c r="AD219" s="953">
        <v>0</v>
      </c>
      <c r="AE219" s="13"/>
      <c r="AF219" s="953">
        <v>0</v>
      </c>
      <c r="AG219" s="953">
        <v>0</v>
      </c>
      <c r="AH219" s="953">
        <v>0</v>
      </c>
      <c r="AI219" s="13"/>
      <c r="AJ219" s="953">
        <v>0</v>
      </c>
      <c r="AK219" s="953">
        <v>0</v>
      </c>
      <c r="AL219" s="953">
        <v>0</v>
      </c>
      <c r="AM219" s="1455"/>
      <c r="AN219" s="9">
        <v>70</v>
      </c>
      <c r="AO219" s="955">
        <v>0.35</v>
      </c>
      <c r="AP219" s="13"/>
      <c r="AQ219"/>
      <c r="AR219"/>
      <c r="AS219"/>
      <c r="AT219"/>
      <c r="AU219" t="str">
        <f t="shared" si="41"/>
        <v>2017Q4</v>
      </c>
      <c r="AV219">
        <f t="shared" si="42"/>
        <v>2017</v>
      </c>
      <c r="AW219" s="111">
        <f t="shared" si="38"/>
        <v>43009</v>
      </c>
      <c r="AX219" s="136">
        <f t="shared" si="45"/>
        <v>4.0274371363404899</v>
      </c>
      <c r="AY219" s="1541">
        <v>4.0274371363404899</v>
      </c>
      <c r="AZ219" s="136">
        <f t="shared" si="46"/>
        <v>4.0274371363404899</v>
      </c>
      <c r="BA219" s="137">
        <v>1</v>
      </c>
      <c r="BB219" s="137">
        <v>1</v>
      </c>
      <c r="BC219" s="137">
        <v>1</v>
      </c>
      <c r="BD219" s="137">
        <v>0</v>
      </c>
      <c r="BE219" s="137"/>
      <c r="BF219" s="137">
        <v>0</v>
      </c>
      <c r="BG219" s="145">
        <v>0</v>
      </c>
      <c r="BH219" s="153"/>
      <c r="BI219" s="938"/>
      <c r="BJ219" s="924"/>
      <c r="BK219" s="1443">
        <v>0</v>
      </c>
      <c r="BL219" s="905">
        <f t="shared" si="47"/>
        <v>4.0274371363404899</v>
      </c>
      <c r="BM219" s="1287">
        <f t="shared" si="39"/>
        <v>4.0274371363404899</v>
      </c>
      <c r="BN219" s="1393">
        <f t="shared" si="48"/>
        <v>2.0597270454802752E-2</v>
      </c>
      <c r="BO219" s="1377">
        <f t="shared" si="37"/>
        <v>4.0274371363404899</v>
      </c>
      <c r="BP219" s="208">
        <f t="shared" si="36"/>
        <v>2.0597270454802752E-2</v>
      </c>
      <c r="BQ219" s="1378">
        <f t="shared" si="43"/>
        <v>4.5031101446089856</v>
      </c>
      <c r="BR219" s="1378">
        <f t="shared" si="40"/>
        <v>3.5557250409643788</v>
      </c>
      <c r="BS219" s="153">
        <v>0</v>
      </c>
      <c r="BU219" s="1389">
        <f t="shared" si="44"/>
        <v>42583</v>
      </c>
      <c r="BV219" s="1390">
        <v>2.8292837028281594</v>
      </c>
      <c r="BW219" s="1390">
        <v>2.2713245155535136</v>
      </c>
      <c r="BX219" s="1390"/>
      <c r="BY219" s="1390">
        <v>4.0409138318930209</v>
      </c>
      <c r="BZ219" s="1391">
        <v>3.2440107163673013</v>
      </c>
    </row>
    <row r="220" spans="1:78">
      <c r="A220" s="957"/>
      <c r="B220" s="951">
        <v>42005</v>
      </c>
      <c r="C220" s="952">
        <v>52.077612492279776</v>
      </c>
      <c r="D220" s="952"/>
      <c r="E220" s="952"/>
      <c r="F220" s="950"/>
      <c r="G220" s="952"/>
      <c r="H220" s="952"/>
      <c r="I220" s="952"/>
      <c r="J220" s="9"/>
      <c r="K220" s="944">
        <v>42887</v>
      </c>
      <c r="L220" s="953">
        <v>0</v>
      </c>
      <c r="M220" s="953">
        <v>0</v>
      </c>
      <c r="N220" s="953">
        <v>0</v>
      </c>
      <c r="O220" s="13"/>
      <c r="P220" s="953">
        <v>0</v>
      </c>
      <c r="Q220" s="953">
        <v>0</v>
      </c>
      <c r="R220" s="953">
        <v>0</v>
      </c>
      <c r="S220" s="13"/>
      <c r="T220" s="953">
        <v>0</v>
      </c>
      <c r="U220" s="953">
        <v>0</v>
      </c>
      <c r="V220" s="953">
        <v>0</v>
      </c>
      <c r="W220" s="13"/>
      <c r="X220" s="953">
        <v>0</v>
      </c>
      <c r="Y220" s="953">
        <v>0</v>
      </c>
      <c r="Z220" s="953">
        <v>0</v>
      </c>
      <c r="AA220" s="13">
        <v>0</v>
      </c>
      <c r="AB220" s="953">
        <v>0</v>
      </c>
      <c r="AC220" s="953">
        <v>0</v>
      </c>
      <c r="AD220" s="953">
        <v>0</v>
      </c>
      <c r="AE220" s="13"/>
      <c r="AF220" s="953">
        <v>0</v>
      </c>
      <c r="AG220" s="953">
        <v>0</v>
      </c>
      <c r="AH220" s="953">
        <v>0</v>
      </c>
      <c r="AI220" s="13"/>
      <c r="AJ220" s="953">
        <v>0</v>
      </c>
      <c r="AK220" s="953">
        <v>0</v>
      </c>
      <c r="AL220" s="953">
        <v>0</v>
      </c>
      <c r="AM220" s="1455"/>
      <c r="AN220" s="9">
        <v>71</v>
      </c>
      <c r="AO220" s="955">
        <v>0.35</v>
      </c>
      <c r="AP220" s="13"/>
      <c r="AQ220"/>
      <c r="AR220"/>
      <c r="AS220"/>
      <c r="AT220"/>
      <c r="AU220" t="str">
        <f t="shared" si="41"/>
        <v>2017Q4</v>
      </c>
      <c r="AV220">
        <f t="shared" si="42"/>
        <v>2017</v>
      </c>
      <c r="AW220" s="111">
        <f t="shared" si="38"/>
        <v>43040</v>
      </c>
      <c r="AX220" s="136">
        <f t="shared" si="45"/>
        <v>4.1964169559651472</v>
      </c>
      <c r="AY220" s="1541">
        <v>4.1964169559651472</v>
      </c>
      <c r="AZ220" s="136">
        <f t="shared" si="46"/>
        <v>4.1964169559651472</v>
      </c>
      <c r="BA220" s="137">
        <v>1</v>
      </c>
      <c r="BB220" s="137">
        <v>1</v>
      </c>
      <c r="BC220" s="137">
        <v>1</v>
      </c>
      <c r="BD220" s="137">
        <v>0</v>
      </c>
      <c r="BE220" s="137"/>
      <c r="BF220" s="137">
        <v>0</v>
      </c>
      <c r="BG220" s="145">
        <v>0</v>
      </c>
      <c r="BH220" s="153"/>
      <c r="BI220" s="938"/>
      <c r="BJ220" s="924"/>
      <c r="BK220" s="1443">
        <v>0</v>
      </c>
      <c r="BL220" s="905">
        <f t="shared" si="47"/>
        <v>4.1964169559651472</v>
      </c>
      <c r="BM220" s="1287">
        <f t="shared" si="39"/>
        <v>4.1964169559651472</v>
      </c>
      <c r="BN220" s="1393">
        <f t="shared" si="48"/>
        <v>2.0597270454802752E-2</v>
      </c>
      <c r="BO220" s="1377">
        <f t="shared" si="37"/>
        <v>4.1964169559651472</v>
      </c>
      <c r="BP220" s="208">
        <f t="shared" si="36"/>
        <v>2.0597270454802752E-2</v>
      </c>
      <c r="BQ220" s="1378">
        <f t="shared" si="43"/>
        <v>4.733007838102564</v>
      </c>
      <c r="BR220" s="1378">
        <f t="shared" si="40"/>
        <v>3.649665576828784</v>
      </c>
      <c r="BS220" s="153">
        <v>0</v>
      </c>
      <c r="BU220" s="1389">
        <f t="shared" si="44"/>
        <v>42614</v>
      </c>
      <c r="BV220" s="1390">
        <v>2.9246095741591915</v>
      </c>
      <c r="BW220" s="1390">
        <v>2.3353199093198134</v>
      </c>
      <c r="BX220" s="1390"/>
      <c r="BY220" s="1390">
        <v>4.177062649918506</v>
      </c>
      <c r="BZ220" s="1391">
        <v>3.335411897376185</v>
      </c>
    </row>
    <row r="221" spans="1:78">
      <c r="A221" s="957"/>
      <c r="B221" s="951">
        <v>42036</v>
      </c>
      <c r="C221" s="952">
        <v>43.800268932554943</v>
      </c>
      <c r="D221" s="952"/>
      <c r="E221" s="952"/>
      <c r="F221" s="950"/>
      <c r="G221" s="952"/>
      <c r="H221" s="952"/>
      <c r="I221" s="952"/>
      <c r="J221" s="9"/>
      <c r="K221" s="944">
        <v>42917</v>
      </c>
      <c r="L221" s="953">
        <v>0</v>
      </c>
      <c r="M221" s="953">
        <v>0</v>
      </c>
      <c r="N221" s="953">
        <v>0</v>
      </c>
      <c r="O221" s="13"/>
      <c r="P221" s="953">
        <v>0</v>
      </c>
      <c r="Q221" s="953">
        <v>0</v>
      </c>
      <c r="R221" s="953">
        <v>0</v>
      </c>
      <c r="S221" s="13"/>
      <c r="T221" s="953">
        <v>0</v>
      </c>
      <c r="U221" s="953">
        <v>0</v>
      </c>
      <c r="V221" s="953">
        <v>0</v>
      </c>
      <c r="W221" s="13"/>
      <c r="X221" s="953">
        <v>0</v>
      </c>
      <c r="Y221" s="953">
        <v>0</v>
      </c>
      <c r="Z221" s="953">
        <v>0</v>
      </c>
      <c r="AA221" s="13">
        <v>0</v>
      </c>
      <c r="AB221" s="953">
        <v>0</v>
      </c>
      <c r="AC221" s="953">
        <v>0</v>
      </c>
      <c r="AD221" s="953">
        <v>0</v>
      </c>
      <c r="AE221" s="13"/>
      <c r="AF221" s="953">
        <v>0</v>
      </c>
      <c r="AG221" s="953">
        <v>0</v>
      </c>
      <c r="AH221" s="953">
        <v>0</v>
      </c>
      <c r="AI221" s="13"/>
      <c r="AJ221" s="953">
        <v>0</v>
      </c>
      <c r="AK221" s="953">
        <v>0</v>
      </c>
      <c r="AL221" s="953">
        <v>0</v>
      </c>
      <c r="AM221" s="1455"/>
      <c r="AN221" s="9">
        <v>71</v>
      </c>
      <c r="AO221" s="955">
        <v>0.35</v>
      </c>
      <c r="AP221" s="13"/>
      <c r="AQ221"/>
      <c r="AR221"/>
      <c r="AS221"/>
      <c r="AT221"/>
      <c r="AU221" t="str">
        <f t="shared" si="41"/>
        <v>2017Q4</v>
      </c>
      <c r="AV221">
        <f t="shared" si="42"/>
        <v>2017</v>
      </c>
      <c r="AW221" s="111">
        <f t="shared" si="38"/>
        <v>43070</v>
      </c>
      <c r="AX221" s="136">
        <f t="shared" si="45"/>
        <v>4.3749119762254471</v>
      </c>
      <c r="AY221" s="1541">
        <v>4.3749119762254471</v>
      </c>
      <c r="AZ221" s="136">
        <f t="shared" si="46"/>
        <v>4.3749119762254471</v>
      </c>
      <c r="BA221" s="137">
        <v>1</v>
      </c>
      <c r="BB221" s="137">
        <v>1</v>
      </c>
      <c r="BC221" s="137">
        <v>1</v>
      </c>
      <c r="BD221" s="137">
        <v>0</v>
      </c>
      <c r="BE221" s="137"/>
      <c r="BF221" s="137">
        <v>0</v>
      </c>
      <c r="BG221" s="145">
        <v>0</v>
      </c>
      <c r="BH221" s="153"/>
      <c r="BI221" s="938"/>
      <c r="BJ221" s="924"/>
      <c r="BK221" s="1443">
        <v>0</v>
      </c>
      <c r="BL221" s="905">
        <f t="shared" si="47"/>
        <v>4.3749119762254471</v>
      </c>
      <c r="BM221" s="1287">
        <f t="shared" si="39"/>
        <v>4.3749119762254471</v>
      </c>
      <c r="BN221" s="1393">
        <f t="shared" si="48"/>
        <v>2.0597270454802974E-2</v>
      </c>
      <c r="BO221" s="1377">
        <f t="shared" si="37"/>
        <v>4.3749119762254471</v>
      </c>
      <c r="BP221" s="208">
        <f t="shared" si="36"/>
        <v>2.0597270454802974E-2</v>
      </c>
      <c r="BQ221" s="1378">
        <f t="shared" si="43"/>
        <v>4.8329914813793522</v>
      </c>
      <c r="BR221" s="1378">
        <f t="shared" si="40"/>
        <v>3.7261816584602729</v>
      </c>
      <c r="BS221" s="153">
        <v>0</v>
      </c>
      <c r="BU221" s="1389">
        <f t="shared" si="44"/>
        <v>42644</v>
      </c>
      <c r="BV221" s="1390">
        <v>3.050131839514338</v>
      </c>
      <c r="BW221" s="1390">
        <v>2.4028990451370267</v>
      </c>
      <c r="BX221" s="1390"/>
      <c r="BY221" s="1390">
        <v>4.3563393543992674</v>
      </c>
      <c r="BZ221" s="1391">
        <v>3.431931544521567</v>
      </c>
    </row>
    <row r="222" spans="1:78">
      <c r="A222" s="957"/>
      <c r="B222" s="951">
        <v>42064</v>
      </c>
      <c r="C222" s="952">
        <v>41.478628968910193</v>
      </c>
      <c r="D222" s="952"/>
      <c r="E222" s="952"/>
      <c r="F222" s="950"/>
      <c r="G222" s="952"/>
      <c r="H222" s="952"/>
      <c r="I222" s="952"/>
      <c r="J222" s="9"/>
      <c r="K222" s="944">
        <v>42948</v>
      </c>
      <c r="L222" s="953">
        <v>0</v>
      </c>
      <c r="M222" s="953">
        <v>0</v>
      </c>
      <c r="N222" s="953">
        <v>0</v>
      </c>
      <c r="O222" s="13"/>
      <c r="P222" s="953">
        <v>0</v>
      </c>
      <c r="Q222" s="953">
        <v>0</v>
      </c>
      <c r="R222" s="953">
        <v>0</v>
      </c>
      <c r="S222" s="13"/>
      <c r="T222" s="953">
        <v>0</v>
      </c>
      <c r="U222" s="953">
        <v>0</v>
      </c>
      <c r="V222" s="953">
        <v>0</v>
      </c>
      <c r="W222" s="13"/>
      <c r="X222" s="953">
        <v>0</v>
      </c>
      <c r="Y222" s="953">
        <v>0</v>
      </c>
      <c r="Z222" s="953">
        <v>0</v>
      </c>
      <c r="AA222" s="13">
        <v>0</v>
      </c>
      <c r="AB222" s="953">
        <v>0</v>
      </c>
      <c r="AC222" s="953">
        <v>0</v>
      </c>
      <c r="AD222" s="953">
        <v>0</v>
      </c>
      <c r="AE222" s="13"/>
      <c r="AF222" s="953">
        <v>0</v>
      </c>
      <c r="AG222" s="953">
        <v>0</v>
      </c>
      <c r="AH222" s="953">
        <v>0</v>
      </c>
      <c r="AI222" s="13"/>
      <c r="AJ222" s="953">
        <v>0</v>
      </c>
      <c r="AK222" s="953">
        <v>0</v>
      </c>
      <c r="AL222" s="953">
        <v>0</v>
      </c>
      <c r="AM222" s="1455"/>
      <c r="AN222" s="9">
        <v>71</v>
      </c>
      <c r="AO222" s="955">
        <v>0.35</v>
      </c>
      <c r="AP222" s="13"/>
      <c r="AQ222"/>
      <c r="AR222"/>
      <c r="AS222"/>
      <c r="AT222"/>
      <c r="AU222" t="str">
        <f t="shared" si="41"/>
        <v>2018Q1</v>
      </c>
      <c r="AV222">
        <f t="shared" si="42"/>
        <v>2018</v>
      </c>
      <c r="AW222" s="111">
        <f t="shared" si="38"/>
        <v>43101</v>
      </c>
      <c r="AX222" s="136">
        <f t="shared" si="45"/>
        <v>4.1545292111481888</v>
      </c>
      <c r="AY222" s="1541">
        <v>4.1545292111481888</v>
      </c>
      <c r="AZ222" s="136">
        <f t="shared" si="46"/>
        <v>4.1545292111481888</v>
      </c>
      <c r="BA222" s="137"/>
      <c r="BB222" s="137"/>
      <c r="BC222" s="137"/>
      <c r="BD222" s="137">
        <v>0</v>
      </c>
      <c r="BE222" s="137"/>
      <c r="BF222" s="137">
        <v>0</v>
      </c>
      <c r="BG222" s="145">
        <v>0</v>
      </c>
      <c r="BH222" s="153"/>
      <c r="BI222" s="938"/>
      <c r="BJ222" s="924"/>
      <c r="BK222" s="1443">
        <v>0</v>
      </c>
      <c r="BL222" s="905">
        <f t="shared" si="47"/>
        <v>4.1545292111481888</v>
      </c>
      <c r="BM222" s="1287">
        <f t="shared" si="39"/>
        <v>4.1545292111481888</v>
      </c>
      <c r="BN222" s="1393">
        <f t="shared" si="48"/>
        <v>2.0452057525403022E-2</v>
      </c>
      <c r="BO222" s="1377">
        <f t="shared" si="37"/>
        <v>4.1545292111481888</v>
      </c>
      <c r="BP222" s="208">
        <f t="shared" si="36"/>
        <v>2.0452057525403022E-2</v>
      </c>
      <c r="BQ222" s="1378">
        <f t="shared" si="43"/>
        <v>4.7882457510242444</v>
      </c>
      <c r="BR222" s="1378">
        <f t="shared" si="40"/>
        <v>3.9094128011277904</v>
      </c>
      <c r="BS222" s="153">
        <v>0</v>
      </c>
      <c r="BU222" s="1389">
        <f t="shared" si="44"/>
        <v>42675</v>
      </c>
      <c r="BV222" s="1390">
        <v>3.205850498893601</v>
      </c>
      <c r="BW222" s="1390">
        <v>2.4663824757531967</v>
      </c>
      <c r="BX222" s="1390"/>
      <c r="BY222" s="1390">
        <v>4.5787439453353072</v>
      </c>
      <c r="BZ222" s="1391">
        <v>3.5226015160823807</v>
      </c>
    </row>
    <row r="223" spans="1:78">
      <c r="A223" s="957"/>
      <c r="B223" s="951">
        <v>42095</v>
      </c>
      <c r="C223" s="952">
        <v>39.286180750147132</v>
      </c>
      <c r="D223" s="952"/>
      <c r="E223" s="952"/>
      <c r="F223" s="950"/>
      <c r="G223" s="952"/>
      <c r="H223" s="952"/>
      <c r="I223" s="952"/>
      <c r="J223" s="9"/>
      <c r="K223" s="944">
        <v>42979</v>
      </c>
      <c r="L223" s="953">
        <v>0</v>
      </c>
      <c r="M223" s="953">
        <v>0</v>
      </c>
      <c r="N223" s="953">
        <v>0</v>
      </c>
      <c r="O223" s="13"/>
      <c r="P223" s="953">
        <v>0</v>
      </c>
      <c r="Q223" s="953">
        <v>0</v>
      </c>
      <c r="R223" s="953">
        <v>0</v>
      </c>
      <c r="S223" s="13"/>
      <c r="T223" s="953">
        <v>0</v>
      </c>
      <c r="U223" s="953">
        <v>0</v>
      </c>
      <c r="V223" s="953">
        <v>0</v>
      </c>
      <c r="W223" s="13"/>
      <c r="X223" s="953">
        <v>0</v>
      </c>
      <c r="Y223" s="953">
        <v>0</v>
      </c>
      <c r="Z223" s="953">
        <v>0</v>
      </c>
      <c r="AA223" s="13">
        <v>0</v>
      </c>
      <c r="AB223" s="953">
        <v>0</v>
      </c>
      <c r="AC223" s="953">
        <v>0</v>
      </c>
      <c r="AD223" s="953">
        <v>0</v>
      </c>
      <c r="AE223" s="13"/>
      <c r="AF223" s="953">
        <v>0</v>
      </c>
      <c r="AG223" s="953">
        <v>0</v>
      </c>
      <c r="AH223" s="953">
        <v>0</v>
      </c>
      <c r="AI223" s="13"/>
      <c r="AJ223" s="953">
        <v>0</v>
      </c>
      <c r="AK223" s="953">
        <v>0</v>
      </c>
      <c r="AL223" s="953">
        <v>0</v>
      </c>
      <c r="AM223" s="1455"/>
      <c r="AN223" s="9">
        <v>72</v>
      </c>
      <c r="AO223" s="955">
        <v>0.35</v>
      </c>
      <c r="AP223" s="13"/>
      <c r="AQ223"/>
      <c r="AR223"/>
      <c r="AS223"/>
      <c r="AT223"/>
      <c r="AU223" t="str">
        <f t="shared" si="41"/>
        <v>2018Q1</v>
      </c>
      <c r="AV223">
        <f t="shared" si="42"/>
        <v>2018</v>
      </c>
      <c r="AW223" s="111">
        <f t="shared" si="38"/>
        <v>43132</v>
      </c>
      <c r="AX223" s="136">
        <f t="shared" si="45"/>
        <v>3.8371947763981322</v>
      </c>
      <c r="AY223" s="1541">
        <v>3.8371947763981322</v>
      </c>
      <c r="AZ223" s="136">
        <f t="shared" si="46"/>
        <v>3.8371947763981322</v>
      </c>
      <c r="BA223" s="137"/>
      <c r="BB223" s="137"/>
      <c r="BC223" s="137"/>
      <c r="BD223" s="137">
        <v>0</v>
      </c>
      <c r="BE223" s="137"/>
      <c r="BF223" s="137">
        <v>0</v>
      </c>
      <c r="BG223" s="145">
        <v>0</v>
      </c>
      <c r="BH223" s="153"/>
      <c r="BI223" s="938"/>
      <c r="BJ223" s="924"/>
      <c r="BK223" s="1443">
        <v>0</v>
      </c>
      <c r="BL223" s="905">
        <f t="shared" si="47"/>
        <v>3.8371947763981322</v>
      </c>
      <c r="BM223" s="1287">
        <f t="shared" si="39"/>
        <v>3.8371947763981322</v>
      </c>
      <c r="BN223" s="1393">
        <f t="shared" si="48"/>
        <v>2.04520575254028E-2</v>
      </c>
      <c r="BO223" s="1377">
        <f t="shared" si="37"/>
        <v>3.8371947763981322</v>
      </c>
      <c r="BP223" s="208">
        <f t="shared" si="36"/>
        <v>2.04520575254028E-2</v>
      </c>
      <c r="BQ223" s="1378">
        <f t="shared" si="43"/>
        <v>4.4269508979226639</v>
      </c>
      <c r="BR223" s="1378">
        <f t="shared" si="40"/>
        <v>3.6413833036513661</v>
      </c>
      <c r="BS223" s="153">
        <v>0</v>
      </c>
      <c r="BU223" s="1389">
        <f t="shared" si="44"/>
        <v>42705</v>
      </c>
      <c r="BV223" s="1390">
        <v>3.273573313569647</v>
      </c>
      <c r="BW223" s="1390">
        <v>2.5180907539163657</v>
      </c>
      <c r="BX223" s="1390"/>
      <c r="BY223" s="1390">
        <v>4.6754688012716734</v>
      </c>
      <c r="BZ223" s="1391">
        <v>3.5964536703375569</v>
      </c>
    </row>
    <row r="224" spans="1:78">
      <c r="A224" s="957"/>
      <c r="B224" s="951">
        <v>42125</v>
      </c>
      <c r="C224" s="952">
        <v>41.125906454379709</v>
      </c>
      <c r="D224" s="952"/>
      <c r="E224" s="952"/>
      <c r="F224" s="950"/>
      <c r="G224" s="952"/>
      <c r="H224" s="952"/>
      <c r="I224" s="952"/>
      <c r="J224" s="9"/>
      <c r="K224" s="944">
        <v>43009</v>
      </c>
      <c r="L224" s="953">
        <v>0</v>
      </c>
      <c r="M224" s="953">
        <v>0</v>
      </c>
      <c r="N224" s="953">
        <v>0</v>
      </c>
      <c r="O224" s="13"/>
      <c r="P224" s="953">
        <v>0</v>
      </c>
      <c r="Q224" s="953">
        <v>0</v>
      </c>
      <c r="R224" s="953">
        <v>0</v>
      </c>
      <c r="S224" s="13"/>
      <c r="T224" s="953">
        <v>0</v>
      </c>
      <c r="U224" s="953">
        <v>0</v>
      </c>
      <c r="V224" s="953">
        <v>0</v>
      </c>
      <c r="W224" s="13"/>
      <c r="X224" s="953">
        <v>0</v>
      </c>
      <c r="Y224" s="953">
        <v>0</v>
      </c>
      <c r="Z224" s="953">
        <v>0</v>
      </c>
      <c r="AA224" s="13">
        <v>0</v>
      </c>
      <c r="AB224" s="953">
        <v>0</v>
      </c>
      <c r="AC224" s="953">
        <v>0</v>
      </c>
      <c r="AD224" s="953">
        <v>0</v>
      </c>
      <c r="AE224" s="13"/>
      <c r="AF224" s="953">
        <v>0</v>
      </c>
      <c r="AG224" s="953">
        <v>0</v>
      </c>
      <c r="AH224" s="953">
        <v>0</v>
      </c>
      <c r="AI224" s="13"/>
      <c r="AJ224" s="953">
        <v>0</v>
      </c>
      <c r="AK224" s="953">
        <v>0</v>
      </c>
      <c r="AL224" s="953">
        <v>0</v>
      </c>
      <c r="AM224" s="1455"/>
      <c r="AN224" s="9">
        <v>72</v>
      </c>
      <c r="AO224" s="955">
        <v>0.35</v>
      </c>
      <c r="AP224" s="13"/>
      <c r="AQ224"/>
      <c r="AR224"/>
      <c r="AS224"/>
      <c r="AT224"/>
      <c r="AU224" t="str">
        <f t="shared" si="41"/>
        <v>2018Q1</v>
      </c>
      <c r="AV224">
        <f t="shared" si="42"/>
        <v>2018</v>
      </c>
      <c r="AW224" s="111">
        <f t="shared" si="38"/>
        <v>43160</v>
      </c>
      <c r="AX224" s="136">
        <f t="shared" si="45"/>
        <v>3.6312009474917879</v>
      </c>
      <c r="AY224" s="1541">
        <v>3.6312009474917879</v>
      </c>
      <c r="AZ224" s="136">
        <f t="shared" si="46"/>
        <v>3.6312009474917879</v>
      </c>
      <c r="BA224" s="137"/>
      <c r="BB224" s="137"/>
      <c r="BC224" s="137"/>
      <c r="BD224" s="137">
        <v>0</v>
      </c>
      <c r="BE224" s="137"/>
      <c r="BF224" s="137">
        <v>0</v>
      </c>
      <c r="BG224" s="145">
        <v>0</v>
      </c>
      <c r="BH224" s="153"/>
      <c r="BI224" s="938"/>
      <c r="BJ224" s="924"/>
      <c r="BK224" s="1443">
        <v>0</v>
      </c>
      <c r="BL224" s="905">
        <f t="shared" si="47"/>
        <v>3.6312009474917879</v>
      </c>
      <c r="BM224" s="1287">
        <f t="shared" si="39"/>
        <v>3.6312009474917879</v>
      </c>
      <c r="BN224" s="1393">
        <f t="shared" si="48"/>
        <v>2.0452057525403244E-2</v>
      </c>
      <c r="BO224" s="1377">
        <f t="shared" si="37"/>
        <v>3.6312009474917879</v>
      </c>
      <c r="BP224" s="208">
        <f t="shared" si="36"/>
        <v>2.0452057525403244E-2</v>
      </c>
      <c r="BQ224" s="1378">
        <f t="shared" si="43"/>
        <v>4.2955066714050467</v>
      </c>
      <c r="BR224" s="1378">
        <f t="shared" si="40"/>
        <v>3.4606192239579636</v>
      </c>
      <c r="BS224" s="153">
        <v>0</v>
      </c>
      <c r="BU224" s="1389">
        <f t="shared" si="44"/>
        <v>42736</v>
      </c>
      <c r="BV224" s="1390">
        <v>3.1694107103063036</v>
      </c>
      <c r="BW224" s="1390">
        <v>2.6092486396591896</v>
      </c>
      <c r="BX224" s="1390"/>
      <c r="BY224" s="1390">
        <v>4.6172329331034874</v>
      </c>
      <c r="BZ224" s="1391">
        <v>3.8011825701584661</v>
      </c>
    </row>
    <row r="225" spans="1:78">
      <c r="A225" s="957"/>
      <c r="B225" s="951">
        <v>42156</v>
      </c>
      <c r="C225" s="952">
        <v>44.054535717814453</v>
      </c>
      <c r="D225" s="952"/>
      <c r="E225" s="952"/>
      <c r="F225" s="950"/>
      <c r="G225" s="952"/>
      <c r="H225" s="952"/>
      <c r="I225" s="952"/>
      <c r="J225" s="9"/>
      <c r="K225" s="944">
        <v>43040</v>
      </c>
      <c r="L225" s="953">
        <v>0</v>
      </c>
      <c r="M225" s="953">
        <v>0</v>
      </c>
      <c r="N225" s="953">
        <v>0</v>
      </c>
      <c r="O225" s="13"/>
      <c r="P225" s="953">
        <v>0</v>
      </c>
      <c r="Q225" s="953">
        <v>0</v>
      </c>
      <c r="R225" s="953">
        <v>0</v>
      </c>
      <c r="S225" s="13"/>
      <c r="T225" s="953">
        <v>0</v>
      </c>
      <c r="U225" s="953">
        <v>0</v>
      </c>
      <c r="V225" s="953">
        <v>0</v>
      </c>
      <c r="W225" s="13"/>
      <c r="X225" s="953">
        <v>0</v>
      </c>
      <c r="Y225" s="953">
        <v>0</v>
      </c>
      <c r="Z225" s="953">
        <v>0</v>
      </c>
      <c r="AA225" s="13">
        <v>0</v>
      </c>
      <c r="AB225" s="953">
        <v>0</v>
      </c>
      <c r="AC225" s="953">
        <v>0</v>
      </c>
      <c r="AD225" s="953">
        <v>0</v>
      </c>
      <c r="AE225" s="13"/>
      <c r="AF225" s="953">
        <v>0</v>
      </c>
      <c r="AG225" s="953">
        <v>0</v>
      </c>
      <c r="AH225" s="953">
        <v>0</v>
      </c>
      <c r="AI225" s="13"/>
      <c r="AJ225" s="953">
        <v>0</v>
      </c>
      <c r="AK225" s="953">
        <v>0</v>
      </c>
      <c r="AL225" s="953">
        <v>0</v>
      </c>
      <c r="AM225" s="1455"/>
      <c r="AN225" s="9">
        <v>72</v>
      </c>
      <c r="AO225" s="955">
        <v>0.35</v>
      </c>
      <c r="AP225" s="13"/>
      <c r="AQ225"/>
      <c r="AR225"/>
      <c r="AS225"/>
      <c r="AT225"/>
      <c r="AU225" t="str">
        <f t="shared" si="41"/>
        <v>2018Q2</v>
      </c>
      <c r="AV225">
        <f t="shared" si="42"/>
        <v>2018</v>
      </c>
      <c r="AW225" s="111">
        <f t="shared" si="38"/>
        <v>43191</v>
      </c>
      <c r="AX225" s="136">
        <f t="shared" si="45"/>
        <v>3.5222623268530282</v>
      </c>
      <c r="AY225" s="1541">
        <v>3.5222623268530282</v>
      </c>
      <c r="AZ225" s="136">
        <f t="shared" si="46"/>
        <v>3.5222623268530282</v>
      </c>
      <c r="BA225" s="137"/>
      <c r="BB225" s="137"/>
      <c r="BC225" s="137"/>
      <c r="BD225" s="137">
        <v>0</v>
      </c>
      <c r="BE225" s="137"/>
      <c r="BF225" s="137">
        <v>0</v>
      </c>
      <c r="BG225" s="145">
        <v>0</v>
      </c>
      <c r="BH225" s="153"/>
      <c r="BI225" s="938"/>
      <c r="BJ225" s="924"/>
      <c r="BK225" s="1443">
        <v>0</v>
      </c>
      <c r="BL225" s="905">
        <f t="shared" si="47"/>
        <v>3.5222623268530282</v>
      </c>
      <c r="BM225" s="1287">
        <f t="shared" si="39"/>
        <v>3.5222623268530282</v>
      </c>
      <c r="BN225" s="1393">
        <f t="shared" si="48"/>
        <v>2.0452057525403244E-2</v>
      </c>
      <c r="BO225" s="1377">
        <f t="shared" si="37"/>
        <v>3.5222623268530282</v>
      </c>
      <c r="BP225" s="208">
        <f t="shared" ref="BP225:BP283" si="49">+AY225/AY213-1</f>
        <v>2.0452057525403244E-2</v>
      </c>
      <c r="BQ225" s="1378">
        <f t="shared" si="43"/>
        <v>4.2102945521453501</v>
      </c>
      <c r="BR225" s="1378">
        <f t="shared" si="40"/>
        <v>3.3554332293087854</v>
      </c>
      <c r="BS225" s="153">
        <v>0</v>
      </c>
      <c r="BU225" s="1389">
        <f t="shared" si="44"/>
        <v>42767</v>
      </c>
      <c r="BV225" s="1390">
        <v>2.9302643012579068</v>
      </c>
      <c r="BW225" s="1390">
        <v>2.4303584489182315</v>
      </c>
      <c r="BX225" s="1390"/>
      <c r="BY225" s="1390">
        <v>4.2688417725318804</v>
      </c>
      <c r="BZ225" s="1391">
        <v>3.5405733416314096</v>
      </c>
    </row>
    <row r="226" spans="1:78">
      <c r="A226" s="957"/>
      <c r="B226" s="951">
        <v>42186</v>
      </c>
      <c r="C226" s="952">
        <v>60.563544240106211</v>
      </c>
      <c r="D226" s="952"/>
      <c r="E226" s="952"/>
      <c r="F226" s="950"/>
      <c r="G226" s="952"/>
      <c r="H226" s="952"/>
      <c r="I226" s="952"/>
      <c r="J226" s="9"/>
      <c r="K226" s="944">
        <v>43070</v>
      </c>
      <c r="L226" s="953">
        <v>0</v>
      </c>
      <c r="M226" s="953">
        <v>0</v>
      </c>
      <c r="N226" s="953">
        <v>0</v>
      </c>
      <c r="O226" s="13"/>
      <c r="P226" s="953">
        <v>0</v>
      </c>
      <c r="Q226" s="953">
        <v>0</v>
      </c>
      <c r="R226" s="953">
        <v>0</v>
      </c>
      <c r="S226" s="13"/>
      <c r="T226" s="953">
        <v>0</v>
      </c>
      <c r="U226" s="953">
        <v>0</v>
      </c>
      <c r="V226" s="953">
        <v>0</v>
      </c>
      <c r="W226" s="13"/>
      <c r="X226" s="953">
        <v>0</v>
      </c>
      <c r="Y226" s="953">
        <v>0</v>
      </c>
      <c r="Z226" s="953">
        <v>0</v>
      </c>
      <c r="AA226" s="13">
        <v>0</v>
      </c>
      <c r="AB226" s="953">
        <v>0</v>
      </c>
      <c r="AC226" s="953">
        <v>0</v>
      </c>
      <c r="AD226" s="953">
        <v>0</v>
      </c>
      <c r="AE226" s="13"/>
      <c r="AF226" s="953">
        <v>0</v>
      </c>
      <c r="AG226" s="953">
        <v>0</v>
      </c>
      <c r="AH226" s="953">
        <v>0</v>
      </c>
      <c r="AI226" s="13"/>
      <c r="AJ226" s="953">
        <v>0</v>
      </c>
      <c r="AK226" s="953">
        <v>0</v>
      </c>
      <c r="AL226" s="953">
        <v>0</v>
      </c>
      <c r="AM226" s="1455"/>
      <c r="AN226" s="9">
        <v>73</v>
      </c>
      <c r="AO226" s="955">
        <v>0.35</v>
      </c>
      <c r="AP226" s="13"/>
      <c r="AQ226"/>
      <c r="AR226"/>
      <c r="AS226"/>
      <c r="AT226"/>
      <c r="AU226" t="str">
        <f t="shared" si="41"/>
        <v>2018Q2</v>
      </c>
      <c r="AV226">
        <f t="shared" si="42"/>
        <v>2018</v>
      </c>
      <c r="AW226" s="111">
        <f t="shared" si="38"/>
        <v>43221</v>
      </c>
      <c r="AX226" s="136">
        <f t="shared" si="45"/>
        <v>3.4956985139402561</v>
      </c>
      <c r="AY226" s="1541">
        <v>3.4956985139402561</v>
      </c>
      <c r="AZ226" s="136">
        <f t="shared" si="46"/>
        <v>3.4956985139402561</v>
      </c>
      <c r="BA226" s="137"/>
      <c r="BB226" s="137"/>
      <c r="BC226" s="137"/>
      <c r="BD226" s="137">
        <v>0</v>
      </c>
      <c r="BE226" s="137"/>
      <c r="BF226" s="137">
        <v>0</v>
      </c>
      <c r="BG226" s="145">
        <v>0</v>
      </c>
      <c r="BH226" s="153"/>
      <c r="BI226" s="938"/>
      <c r="BJ226" s="924"/>
      <c r="BK226" s="1443">
        <v>0</v>
      </c>
      <c r="BL226" s="905">
        <f t="shared" si="47"/>
        <v>3.4956985139402561</v>
      </c>
      <c r="BM226" s="1287">
        <f t="shared" si="39"/>
        <v>3.4956985139402561</v>
      </c>
      <c r="BN226" s="1393">
        <f t="shared" si="48"/>
        <v>2.04520575254028E-2</v>
      </c>
      <c r="BO226" s="1377">
        <f t="shared" si="37"/>
        <v>3.4956985139402561</v>
      </c>
      <c r="BP226" s="208">
        <f t="shared" si="49"/>
        <v>2.04520575254028E-2</v>
      </c>
      <c r="BQ226" s="1378">
        <f t="shared" si="43"/>
        <v>4.1713145401435732</v>
      </c>
      <c r="BR226" s="1378">
        <f t="shared" si="40"/>
        <v>3.3141379869650338</v>
      </c>
      <c r="BS226" s="153">
        <v>0</v>
      </c>
      <c r="BU226" s="1389">
        <f t="shared" si="44"/>
        <v>42795</v>
      </c>
      <c r="BV226" s="1390">
        <v>2.8432594228546315</v>
      </c>
      <c r="BW226" s="1390">
        <v>2.3097115760929334</v>
      </c>
      <c r="BX226" s="1390"/>
      <c r="BY226" s="1390">
        <v>4.1420920936095662</v>
      </c>
      <c r="BZ226" s="1391">
        <v>3.364813629368975</v>
      </c>
    </row>
    <row r="227" spans="1:78">
      <c r="A227" s="957"/>
      <c r="B227" s="951">
        <v>42217</v>
      </c>
      <c r="C227" s="952">
        <v>74.624260535336703</v>
      </c>
      <c r="D227" s="952"/>
      <c r="E227" s="952"/>
      <c r="F227" s="950"/>
      <c r="G227" s="952"/>
      <c r="H227" s="952"/>
      <c r="I227" s="952"/>
      <c r="J227" s="9"/>
      <c r="K227" s="944">
        <v>43101</v>
      </c>
      <c r="L227" s="953">
        <v>0</v>
      </c>
      <c r="M227" s="953">
        <v>0</v>
      </c>
      <c r="N227" s="953">
        <v>0</v>
      </c>
      <c r="O227" s="13"/>
      <c r="P227" s="953">
        <v>0</v>
      </c>
      <c r="Q227" s="953">
        <v>0</v>
      </c>
      <c r="R227" s="953">
        <v>0</v>
      </c>
      <c r="S227" s="13"/>
      <c r="T227" s="953">
        <v>0</v>
      </c>
      <c r="U227" s="953">
        <v>0</v>
      </c>
      <c r="V227" s="953">
        <v>0</v>
      </c>
      <c r="W227" s="13"/>
      <c r="X227" s="953">
        <v>0</v>
      </c>
      <c r="Y227" s="953">
        <v>0</v>
      </c>
      <c r="Z227" s="953">
        <v>0</v>
      </c>
      <c r="AA227" s="13">
        <v>0</v>
      </c>
      <c r="AB227" s="953">
        <v>0</v>
      </c>
      <c r="AC227" s="953">
        <v>0</v>
      </c>
      <c r="AD227" s="953">
        <v>0</v>
      </c>
      <c r="AE227" s="13"/>
      <c r="AF227" s="953">
        <v>0</v>
      </c>
      <c r="AG227" s="953">
        <v>0</v>
      </c>
      <c r="AH227" s="953">
        <v>0</v>
      </c>
      <c r="AI227" s="13"/>
      <c r="AJ227" s="953">
        <v>0</v>
      </c>
      <c r="AK227" s="953">
        <v>0</v>
      </c>
      <c r="AL227" s="953">
        <v>0</v>
      </c>
      <c r="AM227" s="1455"/>
      <c r="AN227" s="9">
        <v>73</v>
      </c>
      <c r="AO227" s="955">
        <v>0.35</v>
      </c>
      <c r="AP227" s="13"/>
      <c r="AQ227"/>
      <c r="AR227"/>
      <c r="AS227"/>
      <c r="AT227"/>
      <c r="AU227" t="str">
        <f t="shared" si="41"/>
        <v>2018Q2</v>
      </c>
      <c r="AV227">
        <f t="shared" si="42"/>
        <v>2018</v>
      </c>
      <c r="AW227" s="111">
        <f t="shared" si="38"/>
        <v>43252</v>
      </c>
      <c r="AX227" s="136">
        <f t="shared" si="45"/>
        <v>3.5379245338530239</v>
      </c>
      <c r="AY227" s="1541">
        <v>3.5379245338530239</v>
      </c>
      <c r="AZ227" s="136">
        <f t="shared" si="46"/>
        <v>3.5379245338530239</v>
      </c>
      <c r="BA227" s="137"/>
      <c r="BB227" s="137"/>
      <c r="BC227" s="137"/>
      <c r="BD227" s="137">
        <v>0</v>
      </c>
      <c r="BE227" s="137"/>
      <c r="BF227" s="137">
        <v>0</v>
      </c>
      <c r="BG227" s="145">
        <v>0</v>
      </c>
      <c r="BH227" s="153"/>
      <c r="BI227" s="938"/>
      <c r="BJ227" s="924"/>
      <c r="BK227" s="1443">
        <v>0</v>
      </c>
      <c r="BL227" s="905">
        <f t="shared" si="47"/>
        <v>3.5379245338530239</v>
      </c>
      <c r="BM227" s="1287">
        <f t="shared" si="39"/>
        <v>3.5379245338530239</v>
      </c>
      <c r="BN227" s="1393">
        <f t="shared" si="48"/>
        <v>2.0452057525403244E-2</v>
      </c>
      <c r="BO227" s="1377">
        <f t="shared" si="37"/>
        <v>3.5379245338530239</v>
      </c>
      <c r="BP227" s="208">
        <f t="shared" si="49"/>
        <v>2.0452057525403244E-2</v>
      </c>
      <c r="BQ227" s="1378">
        <f t="shared" si="43"/>
        <v>4.1785666353997177</v>
      </c>
      <c r="BR227" s="1378">
        <f t="shared" si="40"/>
        <v>3.3250461641879117</v>
      </c>
      <c r="BS227" s="153">
        <v>0</v>
      </c>
      <c r="BU227" s="1389">
        <f t="shared" si="44"/>
        <v>42826</v>
      </c>
      <c r="BV227" s="1390">
        <v>2.7868562603035425</v>
      </c>
      <c r="BW227" s="1390">
        <v>2.2395075768195918</v>
      </c>
      <c r="BX227" s="1390"/>
      <c r="BY227" s="1390">
        <v>4.0599233362392386</v>
      </c>
      <c r="BZ227" s="1391">
        <v>3.2625396588714373</v>
      </c>
    </row>
    <row r="228" spans="1:78">
      <c r="A228" s="957"/>
      <c r="B228" s="951">
        <v>42248</v>
      </c>
      <c r="C228" s="952">
        <v>64.296522733155868</v>
      </c>
      <c r="D228" s="952"/>
      <c r="E228" s="952"/>
      <c r="F228" s="950"/>
      <c r="G228" s="952"/>
      <c r="H228" s="952"/>
      <c r="I228" s="952"/>
      <c r="J228" s="9"/>
      <c r="K228" s="944">
        <v>43132</v>
      </c>
      <c r="L228" s="953">
        <v>0</v>
      </c>
      <c r="M228" s="953">
        <v>0</v>
      </c>
      <c r="N228" s="953">
        <v>0</v>
      </c>
      <c r="O228" s="13"/>
      <c r="P228" s="953">
        <v>0</v>
      </c>
      <c r="Q228" s="953">
        <v>0</v>
      </c>
      <c r="R228" s="953">
        <v>0</v>
      </c>
      <c r="S228" s="13"/>
      <c r="T228" s="953">
        <v>0</v>
      </c>
      <c r="U228" s="953">
        <v>0</v>
      </c>
      <c r="V228" s="953">
        <v>0</v>
      </c>
      <c r="W228" s="13"/>
      <c r="X228" s="953">
        <v>0</v>
      </c>
      <c r="Y228" s="953">
        <v>0</v>
      </c>
      <c r="Z228" s="953">
        <v>0</v>
      </c>
      <c r="AA228" s="13">
        <v>0</v>
      </c>
      <c r="AB228" s="953">
        <v>0</v>
      </c>
      <c r="AC228" s="953">
        <v>0</v>
      </c>
      <c r="AD228" s="953">
        <v>0</v>
      </c>
      <c r="AE228" s="13"/>
      <c r="AF228" s="953">
        <v>0</v>
      </c>
      <c r="AG228" s="953">
        <v>0</v>
      </c>
      <c r="AH228" s="953">
        <v>0</v>
      </c>
      <c r="AI228" s="13"/>
      <c r="AJ228" s="953">
        <v>0</v>
      </c>
      <c r="AK228" s="953">
        <v>0</v>
      </c>
      <c r="AL228" s="953">
        <v>0</v>
      </c>
      <c r="AM228" s="1455"/>
      <c r="AN228" s="9">
        <v>73</v>
      </c>
      <c r="AO228" s="955">
        <v>0.35</v>
      </c>
      <c r="AP228" s="13"/>
      <c r="AQ228"/>
      <c r="AR228"/>
      <c r="AS228"/>
      <c r="AT228"/>
      <c r="AU228" t="str">
        <f t="shared" si="41"/>
        <v>2018Q3</v>
      </c>
      <c r="AV228">
        <f t="shared" si="42"/>
        <v>2018</v>
      </c>
      <c r="AW228" s="111">
        <f t="shared" si="38"/>
        <v>43282</v>
      </c>
      <c r="AX228" s="136">
        <f t="shared" si="45"/>
        <v>3.6344960416864582</v>
      </c>
      <c r="AY228" s="1541">
        <v>3.6344960416864582</v>
      </c>
      <c r="AZ228" s="136">
        <f t="shared" si="46"/>
        <v>3.6344960416864582</v>
      </c>
      <c r="BA228" s="137"/>
      <c r="BB228" s="137"/>
      <c r="BC228" s="137"/>
      <c r="BD228" s="137">
        <v>0</v>
      </c>
      <c r="BE228" s="137"/>
      <c r="BF228" s="137">
        <v>0</v>
      </c>
      <c r="BG228" s="145">
        <v>0</v>
      </c>
      <c r="BH228" s="153"/>
      <c r="BI228" s="938"/>
      <c r="BJ228" s="924"/>
      <c r="BK228" s="1443">
        <v>0</v>
      </c>
      <c r="BL228" s="905">
        <f t="shared" si="47"/>
        <v>3.6344960416864582</v>
      </c>
      <c r="BM228" s="1287">
        <f t="shared" si="39"/>
        <v>3.6344960416864582</v>
      </c>
      <c r="BN228" s="1393">
        <f t="shared" si="48"/>
        <v>2.0452057525403022E-2</v>
      </c>
      <c r="BO228" s="1377">
        <f t="shared" si="37"/>
        <v>3.6344960416864582</v>
      </c>
      <c r="BP228" s="208">
        <f t="shared" si="49"/>
        <v>2.0452057525403022E-2</v>
      </c>
      <c r="BQ228" s="1378">
        <f t="shared" si="43"/>
        <v>4.2320508379137829</v>
      </c>
      <c r="BR228" s="1378">
        <f t="shared" si="40"/>
        <v>3.3764704282386209</v>
      </c>
      <c r="BS228" s="153">
        <v>0</v>
      </c>
      <c r="BU228" s="1389">
        <f t="shared" si="44"/>
        <v>42856</v>
      </c>
      <c r="BV228" s="1390">
        <v>2.7610548136046398</v>
      </c>
      <c r="BW228" s="1390">
        <v>2.2119460067345025</v>
      </c>
      <c r="BX228" s="1390"/>
      <c r="BY228" s="1390">
        <v>4.0223355004208967</v>
      </c>
      <c r="BZ228" s="1391">
        <v>3.2223876556390714</v>
      </c>
    </row>
    <row r="229" spans="1:78">
      <c r="A229" s="957"/>
      <c r="B229" s="951">
        <v>42278</v>
      </c>
      <c r="C229" s="952">
        <v>55.619865048152704</v>
      </c>
      <c r="D229" s="952"/>
      <c r="E229" s="952"/>
      <c r="F229" s="950"/>
      <c r="G229" s="952"/>
      <c r="H229" s="952"/>
      <c r="I229" s="952"/>
      <c r="J229" s="9"/>
      <c r="K229" s="944">
        <v>43160</v>
      </c>
      <c r="L229" s="953">
        <v>0</v>
      </c>
      <c r="M229" s="953">
        <v>0</v>
      </c>
      <c r="N229" s="953">
        <v>0</v>
      </c>
      <c r="O229" s="13"/>
      <c r="P229" s="953">
        <v>0</v>
      </c>
      <c r="Q229" s="953">
        <v>0</v>
      </c>
      <c r="R229" s="953">
        <v>0</v>
      </c>
      <c r="S229" s="13"/>
      <c r="T229" s="953">
        <v>0</v>
      </c>
      <c r="U229" s="953">
        <v>0</v>
      </c>
      <c r="V229" s="953">
        <v>0</v>
      </c>
      <c r="W229" s="13"/>
      <c r="X229" s="953">
        <v>0</v>
      </c>
      <c r="Y229" s="953">
        <v>0</v>
      </c>
      <c r="Z229" s="953">
        <v>0</v>
      </c>
      <c r="AA229" s="13">
        <v>0</v>
      </c>
      <c r="AB229" s="953">
        <v>0</v>
      </c>
      <c r="AC229" s="953">
        <v>0</v>
      </c>
      <c r="AD229" s="953">
        <v>0</v>
      </c>
      <c r="AE229" s="13"/>
      <c r="AF229" s="953">
        <v>0</v>
      </c>
      <c r="AG229" s="953">
        <v>0</v>
      </c>
      <c r="AH229" s="953">
        <v>0</v>
      </c>
      <c r="AI229" s="13"/>
      <c r="AJ229" s="953">
        <v>0</v>
      </c>
      <c r="AK229" s="953">
        <v>0</v>
      </c>
      <c r="AL229" s="953">
        <v>0</v>
      </c>
      <c r="AM229" s="1455"/>
      <c r="AN229" s="9">
        <v>74</v>
      </c>
      <c r="AO229" s="955">
        <v>0.35</v>
      </c>
      <c r="AP229" s="13"/>
      <c r="AQ229"/>
      <c r="AR229"/>
      <c r="AS229"/>
      <c r="AT229"/>
      <c r="AU229" t="str">
        <f t="shared" si="41"/>
        <v>2018Q3</v>
      </c>
      <c r="AV229">
        <f t="shared" si="42"/>
        <v>2018</v>
      </c>
      <c r="AW229" s="111">
        <f t="shared" si="38"/>
        <v>43313</v>
      </c>
      <c r="AX229" s="136">
        <f t="shared" si="45"/>
        <v>3.7716476395909444</v>
      </c>
      <c r="AY229" s="1541">
        <v>3.7716476395909444</v>
      </c>
      <c r="AZ229" s="136">
        <f t="shared" si="46"/>
        <v>3.7716476395909444</v>
      </c>
      <c r="BA229" s="137"/>
      <c r="BB229" s="137"/>
      <c r="BC229" s="137"/>
      <c r="BD229" s="137">
        <v>0</v>
      </c>
      <c r="BE229" s="137"/>
      <c r="BF229" s="137">
        <v>0</v>
      </c>
      <c r="BG229" s="145">
        <v>0</v>
      </c>
      <c r="BH229" s="153"/>
      <c r="BI229" s="938"/>
      <c r="BJ229" s="924"/>
      <c r="BK229" s="1443">
        <v>0</v>
      </c>
      <c r="BL229" s="905">
        <f t="shared" si="47"/>
        <v>3.7716476395909444</v>
      </c>
      <c r="BM229" s="1287">
        <f t="shared" si="39"/>
        <v>3.7716476395909444</v>
      </c>
      <c r="BN229" s="1393">
        <f t="shared" si="48"/>
        <v>2.04520575254028E-2</v>
      </c>
      <c r="BO229" s="1377">
        <f t="shared" si="37"/>
        <v>3.7716476395909444</v>
      </c>
      <c r="BP229" s="208">
        <f t="shared" si="49"/>
        <v>2.04520575254028E-2</v>
      </c>
      <c r="BQ229" s="1378">
        <f t="shared" si="43"/>
        <v>4.3317671476857678</v>
      </c>
      <c r="BR229" s="1378">
        <f t="shared" si="40"/>
        <v>3.4567234463783656</v>
      </c>
      <c r="BS229" s="153">
        <v>0</v>
      </c>
      <c r="BU229" s="1389">
        <f t="shared" si="44"/>
        <v>42887</v>
      </c>
      <c r="BV229" s="1390">
        <v>2.7658550827579238</v>
      </c>
      <c r="BW229" s="1390">
        <v>2.2192264214739601</v>
      </c>
      <c r="BX229" s="1390"/>
      <c r="BY229" s="1390">
        <v>4.0293285861545414</v>
      </c>
      <c r="BZ229" s="1391">
        <v>3.2329938451721492</v>
      </c>
    </row>
    <row r="230" spans="1:78">
      <c r="A230" s="957"/>
      <c r="B230" s="951">
        <v>42309</v>
      </c>
      <c r="C230" s="952">
        <v>55.05933938171367</v>
      </c>
      <c r="D230" s="952"/>
      <c r="E230" s="952"/>
      <c r="F230" s="950"/>
      <c r="G230" s="952"/>
      <c r="H230" s="952"/>
      <c r="I230" s="952"/>
      <c r="J230" s="9"/>
      <c r="K230" s="944">
        <v>43191</v>
      </c>
      <c r="L230" s="953">
        <v>0</v>
      </c>
      <c r="M230" s="953">
        <v>0</v>
      </c>
      <c r="N230" s="953">
        <v>0</v>
      </c>
      <c r="O230" s="13"/>
      <c r="P230" s="953">
        <v>0</v>
      </c>
      <c r="Q230" s="953">
        <v>0</v>
      </c>
      <c r="R230" s="953">
        <v>0</v>
      </c>
      <c r="S230" s="13"/>
      <c r="T230" s="953">
        <v>0</v>
      </c>
      <c r="U230" s="953">
        <v>0</v>
      </c>
      <c r="V230" s="953">
        <v>0</v>
      </c>
      <c r="W230" s="13"/>
      <c r="X230" s="953">
        <v>0</v>
      </c>
      <c r="Y230" s="953">
        <v>0</v>
      </c>
      <c r="Z230" s="953">
        <v>0</v>
      </c>
      <c r="AA230" s="13">
        <v>0</v>
      </c>
      <c r="AB230" s="953">
        <v>0</v>
      </c>
      <c r="AC230" s="953">
        <v>0</v>
      </c>
      <c r="AD230" s="953">
        <v>0</v>
      </c>
      <c r="AE230" s="13"/>
      <c r="AF230" s="953">
        <v>0</v>
      </c>
      <c r="AG230" s="953">
        <v>0</v>
      </c>
      <c r="AH230" s="953">
        <v>0</v>
      </c>
      <c r="AI230" s="13"/>
      <c r="AJ230" s="953">
        <v>0</v>
      </c>
      <c r="AK230" s="953">
        <v>0</v>
      </c>
      <c r="AL230" s="953">
        <v>0</v>
      </c>
      <c r="AM230" s="1455"/>
      <c r="AN230" s="9">
        <v>74</v>
      </c>
      <c r="AO230" s="955">
        <v>0.35</v>
      </c>
      <c r="AP230" s="13"/>
      <c r="AQ230"/>
      <c r="AR230"/>
      <c r="AS230"/>
      <c r="AT230"/>
      <c r="AU230" t="str">
        <f t="shared" si="41"/>
        <v>2018Q3</v>
      </c>
      <c r="AV230">
        <f t="shared" si="42"/>
        <v>2018</v>
      </c>
      <c r="AW230" s="111">
        <f t="shared" si="38"/>
        <v>43344</v>
      </c>
      <c r="AX230" s="136">
        <f t="shared" si="45"/>
        <v>3.934940070449378</v>
      </c>
      <c r="AY230" s="1541">
        <v>3.934940070449378</v>
      </c>
      <c r="AZ230" s="136">
        <f t="shared" si="46"/>
        <v>3.934940070449378</v>
      </c>
      <c r="BA230" s="137"/>
      <c r="BB230" s="137"/>
      <c r="BC230" s="137"/>
      <c r="BD230" s="137">
        <v>0</v>
      </c>
      <c r="BE230" s="137"/>
      <c r="BF230" s="137">
        <v>0</v>
      </c>
      <c r="BG230" s="145">
        <v>0</v>
      </c>
      <c r="BH230" s="153"/>
      <c r="BI230" s="938"/>
      <c r="BJ230" s="924"/>
      <c r="BK230" s="1443">
        <v>0</v>
      </c>
      <c r="BL230" s="905">
        <f t="shared" si="47"/>
        <v>3.934940070449378</v>
      </c>
      <c r="BM230" s="1287">
        <f t="shared" si="39"/>
        <v>3.934940070449378</v>
      </c>
      <c r="BN230" s="1393">
        <f t="shared" si="48"/>
        <v>2.0452057525403022E-2</v>
      </c>
      <c r="BO230" s="1377">
        <f t="shared" si="37"/>
        <v>3.934940070449378</v>
      </c>
      <c r="BP230" s="208">
        <f t="shared" si="49"/>
        <v>2.0452057525403022E-2</v>
      </c>
      <c r="BQ230" s="1378">
        <f t="shared" si="43"/>
        <v>4.4777155647156759</v>
      </c>
      <c r="BR230" s="1378">
        <f t="shared" si="40"/>
        <v>3.5541178858683447</v>
      </c>
      <c r="BS230" s="153">
        <v>0</v>
      </c>
      <c r="BU230" s="1389">
        <f t="shared" si="44"/>
        <v>42917</v>
      </c>
      <c r="BV230" s="1390">
        <v>2.801257067763395</v>
      </c>
      <c r="BW230" s="1390">
        <v>2.2535483766742601</v>
      </c>
      <c r="BX230" s="1390"/>
      <c r="BY230" s="1390">
        <v>4.0809025934401735</v>
      </c>
      <c r="BZ230" s="1391">
        <v>3.2829944529709452</v>
      </c>
    </row>
    <row r="231" spans="1:78">
      <c r="A231" s="957"/>
      <c r="B231" s="951">
        <v>42339</v>
      </c>
      <c r="C231" s="952">
        <v>54.903896554078599</v>
      </c>
      <c r="D231" s="952"/>
      <c r="E231" s="952"/>
      <c r="F231" s="950"/>
      <c r="G231" s="952"/>
      <c r="H231" s="952"/>
      <c r="I231" s="952"/>
      <c r="J231" s="9"/>
      <c r="K231" s="944">
        <v>43221</v>
      </c>
      <c r="L231" s="953">
        <v>0</v>
      </c>
      <c r="M231" s="953">
        <v>0</v>
      </c>
      <c r="N231" s="953">
        <v>0</v>
      </c>
      <c r="O231" s="13"/>
      <c r="P231" s="953">
        <v>0</v>
      </c>
      <c r="Q231" s="953">
        <v>0</v>
      </c>
      <c r="R231" s="953">
        <v>0</v>
      </c>
      <c r="S231" s="13"/>
      <c r="T231" s="953">
        <v>0</v>
      </c>
      <c r="U231" s="953">
        <v>0</v>
      </c>
      <c r="V231" s="953">
        <v>0</v>
      </c>
      <c r="W231" s="13"/>
      <c r="X231" s="953">
        <v>0</v>
      </c>
      <c r="Y231" s="953">
        <v>0</v>
      </c>
      <c r="Z231" s="953">
        <v>0</v>
      </c>
      <c r="AA231" s="13">
        <v>0</v>
      </c>
      <c r="AB231" s="953">
        <v>0</v>
      </c>
      <c r="AC231" s="953">
        <v>0</v>
      </c>
      <c r="AD231" s="953">
        <v>0</v>
      </c>
      <c r="AE231" s="13"/>
      <c r="AF231" s="953">
        <v>0</v>
      </c>
      <c r="AG231" s="953">
        <v>0</v>
      </c>
      <c r="AH231" s="953">
        <v>0</v>
      </c>
      <c r="AI231" s="13"/>
      <c r="AJ231" s="953">
        <v>0</v>
      </c>
      <c r="AK231" s="953">
        <v>0</v>
      </c>
      <c r="AL231" s="953">
        <v>0</v>
      </c>
      <c r="AM231" s="1455"/>
      <c r="AN231" s="9">
        <v>74</v>
      </c>
      <c r="AO231" s="955">
        <v>0.35</v>
      </c>
      <c r="AP231" s="13"/>
      <c r="AQ231"/>
      <c r="AR231"/>
      <c r="AS231"/>
      <c r="AT231"/>
      <c r="AU231" t="str">
        <f t="shared" si="41"/>
        <v>2018Q4</v>
      </c>
      <c r="AV231">
        <f t="shared" si="42"/>
        <v>2018</v>
      </c>
      <c r="AW231" s="111">
        <f t="shared" si="38"/>
        <v>43374</v>
      </c>
      <c r="AX231" s="136">
        <f t="shared" si="45"/>
        <v>4.1098065123328711</v>
      </c>
      <c r="AY231" s="1541">
        <v>4.1098065123328711</v>
      </c>
      <c r="AZ231" s="136">
        <f t="shared" si="46"/>
        <v>4.1098065123328711</v>
      </c>
      <c r="BA231" s="137"/>
      <c r="BB231" s="137"/>
      <c r="BC231" s="137"/>
      <c r="BD231" s="137">
        <v>0</v>
      </c>
      <c r="BE231" s="137"/>
      <c r="BF231" s="137">
        <v>0</v>
      </c>
      <c r="BG231" s="145">
        <v>0</v>
      </c>
      <c r="BH231" s="153"/>
      <c r="BI231" s="938"/>
      <c r="BJ231" s="924"/>
      <c r="BK231" s="1443">
        <v>0</v>
      </c>
      <c r="BL231" s="905">
        <f t="shared" si="47"/>
        <v>4.1098065123328711</v>
      </c>
      <c r="BM231" s="1287">
        <f t="shared" si="39"/>
        <v>4.1098065123328711</v>
      </c>
      <c r="BN231" s="1393">
        <f t="shared" si="48"/>
        <v>2.0452057525403244E-2</v>
      </c>
      <c r="BO231" s="1377">
        <f t="shared" si="37"/>
        <v>4.1098065123328711</v>
      </c>
      <c r="BP231" s="208">
        <f t="shared" si="49"/>
        <v>2.0452057525403244E-2</v>
      </c>
      <c r="BQ231" s="1378">
        <f t="shared" si="43"/>
        <v>4.6698960890035028</v>
      </c>
      <c r="BR231" s="1378">
        <f t="shared" si="40"/>
        <v>3.6569664139697635</v>
      </c>
      <c r="BS231" s="153">
        <v>0</v>
      </c>
      <c r="BU231" s="1389">
        <f t="shared" si="44"/>
        <v>42948</v>
      </c>
      <c r="BV231" s="1390">
        <v>2.8672607686210521</v>
      </c>
      <c r="BW231" s="1390">
        <v>2.3071114279716989</v>
      </c>
      <c r="BX231" s="1390"/>
      <c r="BY231" s="1390">
        <v>4.1770575222777904</v>
      </c>
      <c r="BZ231" s="1391">
        <v>3.3610257045357335</v>
      </c>
    </row>
    <row r="232" spans="1:78">
      <c r="A232" s="957"/>
      <c r="B232" s="951">
        <v>42370</v>
      </c>
      <c r="C232" s="952">
        <v>57.06303807923134</v>
      </c>
      <c r="D232" s="952"/>
      <c r="E232" s="952"/>
      <c r="F232" s="950"/>
      <c r="G232" s="952"/>
      <c r="H232" s="952"/>
      <c r="I232" s="952"/>
      <c r="J232" s="9"/>
      <c r="K232" s="944">
        <v>43252</v>
      </c>
      <c r="L232" s="953">
        <v>0</v>
      </c>
      <c r="M232" s="953">
        <v>0</v>
      </c>
      <c r="N232" s="953">
        <v>0</v>
      </c>
      <c r="O232" s="13"/>
      <c r="P232" s="953">
        <v>0</v>
      </c>
      <c r="Q232" s="953">
        <v>0</v>
      </c>
      <c r="R232" s="953">
        <v>0</v>
      </c>
      <c r="S232" s="13"/>
      <c r="T232" s="953">
        <v>0</v>
      </c>
      <c r="U232" s="953">
        <v>0</v>
      </c>
      <c r="V232" s="953">
        <v>0</v>
      </c>
      <c r="W232" s="13"/>
      <c r="X232" s="953">
        <v>0</v>
      </c>
      <c r="Y232" s="953">
        <v>0</v>
      </c>
      <c r="Z232" s="953">
        <v>0</v>
      </c>
      <c r="AA232" s="13">
        <v>0</v>
      </c>
      <c r="AB232" s="953">
        <v>0</v>
      </c>
      <c r="AC232" s="953">
        <v>0</v>
      </c>
      <c r="AD232" s="953">
        <v>0</v>
      </c>
      <c r="AE232" s="13"/>
      <c r="AF232" s="953">
        <v>0</v>
      </c>
      <c r="AG232" s="953">
        <v>0</v>
      </c>
      <c r="AH232" s="953">
        <v>0</v>
      </c>
      <c r="AI232" s="13"/>
      <c r="AJ232" s="953">
        <v>0</v>
      </c>
      <c r="AK232" s="953">
        <v>0</v>
      </c>
      <c r="AL232" s="953">
        <v>0</v>
      </c>
      <c r="AM232" s="1455"/>
      <c r="AN232" s="9">
        <v>75</v>
      </c>
      <c r="AO232" s="955">
        <v>0.35</v>
      </c>
      <c r="AP232" s="13"/>
      <c r="AQ232"/>
      <c r="AR232"/>
      <c r="AS232"/>
      <c r="AT232"/>
      <c r="AU232" t="str">
        <f t="shared" si="41"/>
        <v>2018Q4</v>
      </c>
      <c r="AV232">
        <f t="shared" si="42"/>
        <v>2018</v>
      </c>
      <c r="AW232" s="111">
        <f t="shared" si="38"/>
        <v>43405</v>
      </c>
      <c r="AX232" s="136">
        <f t="shared" si="45"/>
        <v>4.2822423169491231</v>
      </c>
      <c r="AY232" s="1541">
        <v>4.2822423169491231</v>
      </c>
      <c r="AZ232" s="136">
        <f t="shared" si="46"/>
        <v>4.2822423169491231</v>
      </c>
      <c r="BA232" s="137"/>
      <c r="BB232" s="137"/>
      <c r="BC232" s="137"/>
      <c r="BD232" s="137">
        <v>0</v>
      </c>
      <c r="BE232" s="137"/>
      <c r="BF232" s="137">
        <v>0</v>
      </c>
      <c r="BG232" s="145">
        <v>0</v>
      </c>
      <c r="BH232" s="153"/>
      <c r="BI232" s="938"/>
      <c r="BJ232" s="924"/>
      <c r="BK232" s="1443">
        <v>0</v>
      </c>
      <c r="BL232" s="905">
        <f t="shared" si="47"/>
        <v>4.2822423169491231</v>
      </c>
      <c r="BM232" s="1287">
        <f t="shared" si="39"/>
        <v>4.2822423169491231</v>
      </c>
      <c r="BN232" s="1393">
        <f t="shared" si="48"/>
        <v>2.0452057525403022E-2</v>
      </c>
      <c r="BO232" s="1377">
        <f t="shared" si="37"/>
        <v>4.2822423169491231</v>
      </c>
      <c r="BP232" s="208">
        <f t="shared" si="49"/>
        <v>2.0452057525403022E-2</v>
      </c>
      <c r="BQ232" s="1378">
        <f t="shared" si="43"/>
        <v>4.9083087205492513</v>
      </c>
      <c r="BR232" s="1378">
        <f t="shared" si="40"/>
        <v>3.753581697943825</v>
      </c>
      <c r="BS232" s="153">
        <v>0</v>
      </c>
      <c r="BU232" s="1389">
        <f t="shared" si="44"/>
        <v>42979</v>
      </c>
      <c r="BV232" s="1390">
        <v>2.9638661853308967</v>
      </c>
      <c r="BW232" s="1390">
        <v>2.3721151310025705</v>
      </c>
      <c r="BX232" s="1390"/>
      <c r="BY232" s="1390">
        <v>4.3177933726673956</v>
      </c>
      <c r="BZ232" s="1391">
        <v>3.4557238253667864</v>
      </c>
    </row>
    <row r="233" spans="1:78">
      <c r="A233" s="957"/>
      <c r="B233" s="951">
        <v>42401</v>
      </c>
      <c r="C233" s="952">
        <v>42.954814048056519</v>
      </c>
      <c r="D233" s="952"/>
      <c r="E233" s="952"/>
      <c r="F233" s="950"/>
      <c r="G233" s="952"/>
      <c r="H233" s="952"/>
      <c r="I233" s="952"/>
      <c r="J233" s="9"/>
      <c r="K233" s="944">
        <v>43282</v>
      </c>
      <c r="L233" s="953">
        <v>0</v>
      </c>
      <c r="M233" s="953">
        <v>0</v>
      </c>
      <c r="N233" s="953">
        <v>0</v>
      </c>
      <c r="O233" s="13"/>
      <c r="P233" s="953">
        <v>0</v>
      </c>
      <c r="Q233" s="953">
        <v>0</v>
      </c>
      <c r="R233" s="953">
        <v>0</v>
      </c>
      <c r="S233" s="13"/>
      <c r="T233" s="953">
        <v>0</v>
      </c>
      <c r="U233" s="953">
        <v>0</v>
      </c>
      <c r="V233" s="953">
        <v>0</v>
      </c>
      <c r="W233" s="13"/>
      <c r="X233" s="953">
        <v>0</v>
      </c>
      <c r="Y233" s="953">
        <v>0</v>
      </c>
      <c r="Z233" s="953">
        <v>0</v>
      </c>
      <c r="AA233" s="13">
        <v>0</v>
      </c>
      <c r="AB233" s="953">
        <v>0</v>
      </c>
      <c r="AC233" s="953">
        <v>0</v>
      </c>
      <c r="AD233" s="953">
        <v>0</v>
      </c>
      <c r="AE233" s="13"/>
      <c r="AF233" s="953">
        <v>0</v>
      </c>
      <c r="AG233" s="953">
        <v>0</v>
      </c>
      <c r="AH233" s="953">
        <v>0</v>
      </c>
      <c r="AI233" s="13"/>
      <c r="AJ233" s="953">
        <v>0</v>
      </c>
      <c r="AK233" s="953">
        <v>0</v>
      </c>
      <c r="AL233" s="953">
        <v>0</v>
      </c>
      <c r="AM233" s="1455"/>
      <c r="AN233" s="9">
        <v>75</v>
      </c>
      <c r="AO233" s="955">
        <v>0.35</v>
      </c>
      <c r="AP233" s="13"/>
      <c r="AQ233"/>
      <c r="AR233"/>
      <c r="AS233"/>
      <c r="AT233"/>
      <c r="AU233" t="str">
        <f t="shared" si="41"/>
        <v>2018Q4</v>
      </c>
      <c r="AV233">
        <f t="shared" si="42"/>
        <v>2018</v>
      </c>
      <c r="AW233" s="111">
        <f t="shared" si="38"/>
        <v>43435</v>
      </c>
      <c r="AX233" s="136">
        <f t="shared" si="45"/>
        <v>4.464387927631785</v>
      </c>
      <c r="AY233" s="1541">
        <v>4.464387927631785</v>
      </c>
      <c r="AZ233" s="136">
        <f t="shared" si="46"/>
        <v>4.464387927631785</v>
      </c>
      <c r="BA233" s="137"/>
      <c r="BB233" s="137"/>
      <c r="BC233" s="137"/>
      <c r="BD233" s="137">
        <v>0</v>
      </c>
      <c r="BE233" s="137"/>
      <c r="BF233" s="137">
        <v>0</v>
      </c>
      <c r="BG233" s="145">
        <v>0</v>
      </c>
      <c r="BH233" s="153"/>
      <c r="BI233" s="938"/>
      <c r="BJ233" s="924"/>
      <c r="BK233" s="1443">
        <v>0</v>
      </c>
      <c r="BL233" s="905">
        <f t="shared" si="47"/>
        <v>4.464387927631785</v>
      </c>
      <c r="BM233" s="1287">
        <f t="shared" si="39"/>
        <v>4.464387927631785</v>
      </c>
      <c r="BN233" s="1393">
        <f t="shared" si="48"/>
        <v>2.0452057525403022E-2</v>
      </c>
      <c r="BO233" s="1377">
        <f t="shared" si="37"/>
        <v>4.464387927631785</v>
      </c>
      <c r="BP233" s="208">
        <f t="shared" si="49"/>
        <v>2.0452057525403022E-2</v>
      </c>
      <c r="BQ233" s="1378">
        <f t="shared" si="43"/>
        <v>5.0119955524739765</v>
      </c>
      <c r="BR233" s="1378">
        <f t="shared" si="40"/>
        <v>3.8322764050517266</v>
      </c>
      <c r="BS233" s="153">
        <v>0</v>
      </c>
      <c r="BU233" s="1389">
        <f t="shared" si="44"/>
        <v>43009</v>
      </c>
      <c r="BV233" s="1390">
        <v>3.0910733178929268</v>
      </c>
      <c r="BW233" s="1390">
        <v>2.4407590414031715</v>
      </c>
      <c r="BX233" s="1390"/>
      <c r="BY233" s="1390">
        <v>4.5031101446089856</v>
      </c>
      <c r="BZ233" s="1391">
        <v>3.5557250409643788</v>
      </c>
    </row>
    <row r="234" spans="1:78">
      <c r="A234" s="957"/>
      <c r="B234" s="951">
        <v>42430</v>
      </c>
      <c r="C234" s="952">
        <v>41.447730895082188</v>
      </c>
      <c r="D234" s="952"/>
      <c r="E234" s="952"/>
      <c r="F234" s="950"/>
      <c r="G234" s="952"/>
      <c r="H234" s="952"/>
      <c r="I234" s="952"/>
      <c r="J234" s="9"/>
      <c r="K234" s="944">
        <v>43313</v>
      </c>
      <c r="L234" s="953">
        <v>0</v>
      </c>
      <c r="M234" s="953">
        <v>0</v>
      </c>
      <c r="N234" s="953">
        <v>0</v>
      </c>
      <c r="O234" s="13"/>
      <c r="P234" s="953">
        <v>0</v>
      </c>
      <c r="Q234" s="953">
        <v>0</v>
      </c>
      <c r="R234" s="953">
        <v>0</v>
      </c>
      <c r="S234" s="13"/>
      <c r="T234" s="953">
        <v>0</v>
      </c>
      <c r="U234" s="953">
        <v>0</v>
      </c>
      <c r="V234" s="953">
        <v>0</v>
      </c>
      <c r="W234" s="13"/>
      <c r="X234" s="953">
        <v>0</v>
      </c>
      <c r="Y234" s="953">
        <v>0</v>
      </c>
      <c r="Z234" s="953">
        <v>0</v>
      </c>
      <c r="AA234" s="13">
        <v>0</v>
      </c>
      <c r="AB234" s="953">
        <v>0</v>
      </c>
      <c r="AC234" s="953">
        <v>0</v>
      </c>
      <c r="AD234" s="953">
        <v>0</v>
      </c>
      <c r="AE234" s="13"/>
      <c r="AF234" s="953">
        <v>0</v>
      </c>
      <c r="AG234" s="953">
        <v>0</v>
      </c>
      <c r="AH234" s="953">
        <v>0</v>
      </c>
      <c r="AI234" s="13"/>
      <c r="AJ234" s="953">
        <v>0</v>
      </c>
      <c r="AK234" s="953">
        <v>0</v>
      </c>
      <c r="AL234" s="953">
        <v>0</v>
      </c>
      <c r="AM234" s="1455"/>
      <c r="AN234" s="9">
        <v>75</v>
      </c>
      <c r="AO234" s="955">
        <v>0.35</v>
      </c>
      <c r="AP234" s="13"/>
      <c r="AQ234"/>
      <c r="AR234"/>
      <c r="AS234"/>
      <c r="AT234"/>
      <c r="AU234" t="str">
        <f t="shared" si="41"/>
        <v>2019Q1</v>
      </c>
      <c r="AV234">
        <f t="shared" si="42"/>
        <v>2019</v>
      </c>
      <c r="AW234" s="111">
        <f t="shared" si="38"/>
        <v>43466</v>
      </c>
      <c r="AX234" s="136">
        <f t="shared" si="45"/>
        <v>4.2552611917118242</v>
      </c>
      <c r="AY234" s="1541">
        <v>4.2552611917118242</v>
      </c>
      <c r="AZ234" s="136">
        <f t="shared" si="46"/>
        <v>4.2552611917118242</v>
      </c>
      <c r="BA234" s="137"/>
      <c r="BB234" s="137"/>
      <c r="BC234" s="137"/>
      <c r="BD234" s="137">
        <v>0</v>
      </c>
      <c r="BE234" s="137"/>
      <c r="BF234" s="137">
        <v>0</v>
      </c>
      <c r="BG234" s="145">
        <v>0</v>
      </c>
      <c r="BH234" s="153"/>
      <c r="BI234" s="938"/>
      <c r="BJ234" s="924"/>
      <c r="BK234" s="1443">
        <v>0</v>
      </c>
      <c r="BL234" s="905">
        <f t="shared" si="47"/>
        <v>4.2552611917118242</v>
      </c>
      <c r="BM234" s="1287">
        <f t="shared" si="39"/>
        <v>4.2552611917118242</v>
      </c>
      <c r="BN234" s="1393">
        <f t="shared" si="48"/>
        <v>2.4246304561617471E-2</v>
      </c>
      <c r="BO234" s="1377">
        <f t="shared" si="37"/>
        <v>4.2552611917118242</v>
      </c>
      <c r="BP234" s="208">
        <f t="shared" si="49"/>
        <v>2.4246304561617471E-2</v>
      </c>
      <c r="BQ234" s="1378">
        <f t="shared" si="43"/>
        <v>4.9603920467909912</v>
      </c>
      <c r="BR234" s="1378">
        <f t="shared" si="40"/>
        <v>4.0404282978130031</v>
      </c>
      <c r="BS234" s="153">
        <v>0</v>
      </c>
      <c r="BU234" s="1389">
        <f t="shared" si="44"/>
        <v>43040</v>
      </c>
      <c r="BV234" s="1390">
        <v>3.2488821663071445</v>
      </c>
      <c r="BW234" s="1390">
        <v>2.5052427148097967</v>
      </c>
      <c r="BX234" s="1390"/>
      <c r="BY234" s="1390">
        <v>4.733007838102564</v>
      </c>
      <c r="BZ234" s="1391">
        <v>3.649665576828784</v>
      </c>
    </row>
    <row r="235" spans="1:78">
      <c r="A235" s="957"/>
      <c r="B235" s="951">
        <v>42461</v>
      </c>
      <c r="C235" s="952">
        <v>41.087272548179193</v>
      </c>
      <c r="D235" s="952"/>
      <c r="E235" s="952"/>
      <c r="F235" s="950"/>
      <c r="G235" s="952"/>
      <c r="H235" s="952"/>
      <c r="I235" s="952"/>
      <c r="J235" s="9"/>
      <c r="K235" s="944">
        <v>43344</v>
      </c>
      <c r="L235" s="953">
        <v>0</v>
      </c>
      <c r="M235" s="953">
        <v>0</v>
      </c>
      <c r="N235" s="953">
        <v>0</v>
      </c>
      <c r="O235" s="13"/>
      <c r="P235" s="953">
        <v>0</v>
      </c>
      <c r="Q235" s="953">
        <v>0</v>
      </c>
      <c r="R235" s="953">
        <v>0</v>
      </c>
      <c r="S235" s="13"/>
      <c r="T235" s="953">
        <v>0</v>
      </c>
      <c r="U235" s="953">
        <v>0</v>
      </c>
      <c r="V235" s="953">
        <v>0</v>
      </c>
      <c r="W235" s="13"/>
      <c r="X235" s="953">
        <v>0</v>
      </c>
      <c r="Y235" s="953">
        <v>0</v>
      </c>
      <c r="Z235" s="953">
        <v>0</v>
      </c>
      <c r="AA235" s="13">
        <v>0</v>
      </c>
      <c r="AB235" s="953">
        <v>0</v>
      </c>
      <c r="AC235" s="953">
        <v>0</v>
      </c>
      <c r="AD235" s="953">
        <v>0</v>
      </c>
      <c r="AE235" s="13"/>
      <c r="AF235" s="953">
        <v>0</v>
      </c>
      <c r="AG235" s="953">
        <v>0</v>
      </c>
      <c r="AH235" s="953">
        <v>0</v>
      </c>
      <c r="AI235" s="13"/>
      <c r="AJ235" s="953">
        <v>0</v>
      </c>
      <c r="AK235" s="953">
        <v>0</v>
      </c>
      <c r="AL235" s="953">
        <v>0</v>
      </c>
      <c r="AM235" s="1455"/>
      <c r="AN235" s="9">
        <v>76</v>
      </c>
      <c r="AO235" s="955">
        <v>0.35</v>
      </c>
      <c r="AP235" s="13"/>
      <c r="AQ235"/>
      <c r="AR235"/>
      <c r="AS235"/>
      <c r="AT235"/>
      <c r="AU235" t="str">
        <f t="shared" si="41"/>
        <v>2019Q1</v>
      </c>
      <c r="AV235">
        <f t="shared" si="42"/>
        <v>2019</v>
      </c>
      <c r="AW235" s="111">
        <f t="shared" si="38"/>
        <v>43497</v>
      </c>
      <c r="AX235" s="136">
        <f t="shared" si="45"/>
        <v>3.9302325696089291</v>
      </c>
      <c r="AY235" s="1541">
        <v>3.9302325696089291</v>
      </c>
      <c r="AZ235" s="136">
        <f t="shared" si="46"/>
        <v>3.9302325696089291</v>
      </c>
      <c r="BA235" s="137"/>
      <c r="BB235" s="137"/>
      <c r="BC235" s="137"/>
      <c r="BD235" s="137">
        <v>0</v>
      </c>
      <c r="BE235" s="137"/>
      <c r="BF235" s="137">
        <v>0</v>
      </c>
      <c r="BG235" s="145">
        <v>0</v>
      </c>
      <c r="BH235" s="153"/>
      <c r="BI235" s="938"/>
      <c r="BJ235" s="924"/>
      <c r="BK235" s="1443">
        <v>0</v>
      </c>
      <c r="BL235" s="905">
        <f t="shared" si="47"/>
        <v>3.9302325696089291</v>
      </c>
      <c r="BM235" s="1287">
        <f t="shared" si="39"/>
        <v>3.9302325696089291</v>
      </c>
      <c r="BN235" s="1393">
        <f t="shared" si="48"/>
        <v>2.4246304561617471E-2</v>
      </c>
      <c r="BO235" s="1377">
        <f t="shared" si="37"/>
        <v>3.9302325696089291</v>
      </c>
      <c r="BP235" s="208">
        <f t="shared" si="49"/>
        <v>2.4246304561617471E-2</v>
      </c>
      <c r="BQ235" s="1378">
        <f t="shared" si="43"/>
        <v>4.5861079751164651</v>
      </c>
      <c r="BR235" s="1378">
        <f t="shared" si="40"/>
        <v>3.7634163726615002</v>
      </c>
      <c r="BS235" s="153">
        <v>0</v>
      </c>
      <c r="BU235" s="1389">
        <f t="shared" si="44"/>
        <v>43070</v>
      </c>
      <c r="BV235" s="1390">
        <v>3.3175140145262247</v>
      </c>
      <c r="BW235" s="1390">
        <v>2.5577657068587398</v>
      </c>
      <c r="BX235" s="1390"/>
      <c r="BY235" s="1390">
        <v>4.8329914813793522</v>
      </c>
      <c r="BZ235" s="1391">
        <v>3.7261816584602729</v>
      </c>
    </row>
    <row r="236" spans="1:78">
      <c r="A236" s="957"/>
      <c r="B236" s="951">
        <v>42491</v>
      </c>
      <c r="C236" s="952">
        <v>44.743169360146148</v>
      </c>
      <c r="D236" s="952"/>
      <c r="E236" s="952"/>
      <c r="F236" s="950"/>
      <c r="G236" s="952"/>
      <c r="H236" s="952"/>
      <c r="I236" s="952"/>
      <c r="J236" s="9"/>
      <c r="K236" s="944">
        <v>43374</v>
      </c>
      <c r="L236" s="953">
        <v>0</v>
      </c>
      <c r="M236" s="953">
        <v>0</v>
      </c>
      <c r="N236" s="953">
        <v>0</v>
      </c>
      <c r="O236" s="13"/>
      <c r="P236" s="953">
        <v>0</v>
      </c>
      <c r="Q236" s="953">
        <v>0</v>
      </c>
      <c r="R236" s="953">
        <v>0</v>
      </c>
      <c r="S236" s="13"/>
      <c r="T236" s="953">
        <v>0</v>
      </c>
      <c r="U236" s="953">
        <v>0</v>
      </c>
      <c r="V236" s="953">
        <v>0</v>
      </c>
      <c r="W236" s="13"/>
      <c r="X236" s="953">
        <v>0</v>
      </c>
      <c r="Y236" s="953">
        <v>0</v>
      </c>
      <c r="Z236" s="953">
        <v>0</v>
      </c>
      <c r="AA236" s="13">
        <v>0</v>
      </c>
      <c r="AB236" s="953">
        <v>0</v>
      </c>
      <c r="AC236" s="953">
        <v>0</v>
      </c>
      <c r="AD236" s="953">
        <v>0</v>
      </c>
      <c r="AE236" s="13"/>
      <c r="AF236" s="953">
        <v>0</v>
      </c>
      <c r="AG236" s="953">
        <v>0</v>
      </c>
      <c r="AH236" s="953">
        <v>0</v>
      </c>
      <c r="AI236" s="13"/>
      <c r="AJ236" s="953">
        <v>0</v>
      </c>
      <c r="AK236" s="953">
        <v>0</v>
      </c>
      <c r="AL236" s="953">
        <v>0</v>
      </c>
      <c r="AM236" s="1455"/>
      <c r="AN236" s="9">
        <v>76</v>
      </c>
      <c r="AO236" s="955">
        <v>0.35</v>
      </c>
      <c r="AP236" s="13"/>
      <c r="AQ236"/>
      <c r="AR236"/>
      <c r="AS236"/>
      <c r="AT236"/>
      <c r="AU236" t="str">
        <f t="shared" si="41"/>
        <v>2019Q1</v>
      </c>
      <c r="AV236">
        <f t="shared" si="42"/>
        <v>2019</v>
      </c>
      <c r="AW236" s="111">
        <f t="shared" si="38"/>
        <v>43525</v>
      </c>
      <c r="AX236" s="136">
        <f t="shared" si="45"/>
        <v>3.7192441515891077</v>
      </c>
      <c r="AY236" s="1541">
        <v>3.7192441515891077</v>
      </c>
      <c r="AZ236" s="136">
        <f t="shared" si="46"/>
        <v>3.7192441515891077</v>
      </c>
      <c r="BA236" s="137"/>
      <c r="BB236" s="137"/>
      <c r="BC236" s="137"/>
      <c r="BD236" s="137">
        <v>0</v>
      </c>
      <c r="BE236" s="137"/>
      <c r="BF236" s="137">
        <v>0</v>
      </c>
      <c r="BG236" s="145">
        <v>0</v>
      </c>
      <c r="BH236" s="153"/>
      <c r="BI236" s="938"/>
      <c r="BJ236" s="924"/>
      <c r="BK236" s="1443">
        <v>0</v>
      </c>
      <c r="BL236" s="905">
        <f t="shared" si="47"/>
        <v>3.7192441515891077</v>
      </c>
      <c r="BM236" s="1287">
        <f t="shared" si="39"/>
        <v>3.7192441515891077</v>
      </c>
      <c r="BN236" s="1393">
        <f t="shared" si="48"/>
        <v>2.4246304561617471E-2</v>
      </c>
      <c r="BO236" s="1377">
        <f t="shared" si="37"/>
        <v>3.7192441515891077</v>
      </c>
      <c r="BP236" s="208">
        <f t="shared" si="49"/>
        <v>2.4246304561617471E-2</v>
      </c>
      <c r="BQ236" s="1378">
        <f t="shared" si="43"/>
        <v>4.4499380854078785</v>
      </c>
      <c r="BR236" s="1378">
        <f t="shared" si="40"/>
        <v>3.5765943766290893</v>
      </c>
      <c r="BS236" s="153">
        <v>0</v>
      </c>
      <c r="BU236" s="1389">
        <f t="shared" si="44"/>
        <v>43101</v>
      </c>
      <c r="BV236" s="1390">
        <v>3.2223521263157791</v>
      </c>
      <c r="BW236" s="1390">
        <v>2.6309227444446752</v>
      </c>
      <c r="BX236" s="1390"/>
      <c r="BY236" s="1390">
        <v>4.7882457510242444</v>
      </c>
      <c r="BZ236" s="1391">
        <v>3.9094128011277904</v>
      </c>
    </row>
    <row r="237" spans="1:78">
      <c r="A237" s="957"/>
      <c r="B237" s="951">
        <v>42522</v>
      </c>
      <c r="C237" s="952">
        <v>44.158397775649718</v>
      </c>
      <c r="D237" s="952"/>
      <c r="E237" s="952"/>
      <c r="F237" s="950"/>
      <c r="G237" s="952"/>
      <c r="H237" s="952"/>
      <c r="I237" s="952"/>
      <c r="J237" s="9"/>
      <c r="K237" s="944">
        <v>43405</v>
      </c>
      <c r="L237" s="953">
        <v>0</v>
      </c>
      <c r="M237" s="953">
        <v>0</v>
      </c>
      <c r="N237" s="953">
        <v>0</v>
      </c>
      <c r="O237" s="13"/>
      <c r="P237" s="953">
        <v>0</v>
      </c>
      <c r="Q237" s="953">
        <v>0</v>
      </c>
      <c r="R237" s="953">
        <v>0</v>
      </c>
      <c r="S237" s="13"/>
      <c r="T237" s="953">
        <v>0</v>
      </c>
      <c r="U237" s="953">
        <v>0</v>
      </c>
      <c r="V237" s="953">
        <v>0</v>
      </c>
      <c r="W237" s="13"/>
      <c r="X237" s="953">
        <v>0</v>
      </c>
      <c r="Y237" s="953">
        <v>0</v>
      </c>
      <c r="Z237" s="953">
        <v>0</v>
      </c>
      <c r="AA237" s="13">
        <v>0</v>
      </c>
      <c r="AB237" s="953">
        <v>0</v>
      </c>
      <c r="AC237" s="953">
        <v>0</v>
      </c>
      <c r="AD237" s="953">
        <v>0</v>
      </c>
      <c r="AE237" s="13"/>
      <c r="AF237" s="953">
        <v>0</v>
      </c>
      <c r="AG237" s="953">
        <v>0</v>
      </c>
      <c r="AH237" s="953">
        <v>0</v>
      </c>
      <c r="AI237" s="13"/>
      <c r="AJ237" s="953">
        <v>0</v>
      </c>
      <c r="AK237" s="953">
        <v>0</v>
      </c>
      <c r="AL237" s="953">
        <v>0</v>
      </c>
      <c r="AM237" s="1455"/>
      <c r="AN237" s="9">
        <v>76</v>
      </c>
      <c r="AO237" s="955">
        <v>0.35</v>
      </c>
      <c r="AP237" s="13"/>
      <c r="AQ237"/>
      <c r="AR237"/>
      <c r="AS237"/>
      <c r="AT237"/>
      <c r="AU237" t="str">
        <f t="shared" si="41"/>
        <v>2019Q2</v>
      </c>
      <c r="AV237">
        <f t="shared" si="42"/>
        <v>2019</v>
      </c>
      <c r="AW237" s="111">
        <f t="shared" si="38"/>
        <v>43556</v>
      </c>
      <c r="AX237" s="136">
        <f t="shared" si="45"/>
        <v>3.6076641719758178</v>
      </c>
      <c r="AY237" s="1541">
        <v>3.6076641719758178</v>
      </c>
      <c r="AZ237" s="136">
        <f t="shared" si="46"/>
        <v>3.6076641719758178</v>
      </c>
      <c r="BA237" s="137"/>
      <c r="BB237" s="137"/>
      <c r="BC237" s="137"/>
      <c r="BD237" s="137">
        <v>0</v>
      </c>
      <c r="BE237" s="137"/>
      <c r="BF237" s="137">
        <v>0</v>
      </c>
      <c r="BG237" s="145">
        <v>0</v>
      </c>
      <c r="BH237" s="153"/>
      <c r="BI237" s="938"/>
      <c r="BJ237" s="924"/>
      <c r="BK237" s="1443">
        <v>0</v>
      </c>
      <c r="BL237" s="905">
        <f t="shared" si="47"/>
        <v>3.6076641719758178</v>
      </c>
      <c r="BM237" s="1287">
        <f t="shared" si="39"/>
        <v>3.6076641719758178</v>
      </c>
      <c r="BN237" s="1393">
        <f t="shared" si="48"/>
        <v>2.4246304561617471E-2</v>
      </c>
      <c r="BO237" s="1377">
        <f t="shared" si="37"/>
        <v>3.6076641719758178</v>
      </c>
      <c r="BP237" s="208">
        <f t="shared" si="49"/>
        <v>2.4246304561617471E-2</v>
      </c>
      <c r="BQ237" s="1378">
        <f t="shared" si="43"/>
        <v>4.361662432769208</v>
      </c>
      <c r="BR237" s="1378">
        <f t="shared" si="40"/>
        <v>3.4678833013516099</v>
      </c>
      <c r="BS237" s="153">
        <v>0</v>
      </c>
      <c r="BU237" s="1389">
        <f t="shared" si="44"/>
        <v>43132</v>
      </c>
      <c r="BV237" s="1390">
        <v>2.9792110473789286</v>
      </c>
      <c r="BW237" s="1390">
        <v>2.4505465762156833</v>
      </c>
      <c r="BX237" s="1390"/>
      <c r="BY237" s="1390">
        <v>4.4269508979226639</v>
      </c>
      <c r="BZ237" s="1391">
        <v>3.6413833036513661</v>
      </c>
    </row>
    <row r="238" spans="1:78">
      <c r="A238" s="957"/>
      <c r="B238" s="951">
        <v>42552</v>
      </c>
      <c r="C238" s="952">
        <v>60.766274624804261</v>
      </c>
      <c r="D238" s="952"/>
      <c r="E238" s="952"/>
      <c r="F238" s="950"/>
      <c r="G238" s="952"/>
      <c r="H238" s="952"/>
      <c r="I238" s="952"/>
      <c r="J238" s="9"/>
      <c r="K238" s="944">
        <v>43435</v>
      </c>
      <c r="L238" s="953">
        <v>0</v>
      </c>
      <c r="M238" s="953">
        <v>0</v>
      </c>
      <c r="N238" s="953">
        <v>0</v>
      </c>
      <c r="O238" s="13"/>
      <c r="P238" s="953">
        <v>0</v>
      </c>
      <c r="Q238" s="953">
        <v>0</v>
      </c>
      <c r="R238" s="953">
        <v>0</v>
      </c>
      <c r="S238" s="13"/>
      <c r="T238" s="953">
        <v>0</v>
      </c>
      <c r="U238" s="953">
        <v>0</v>
      </c>
      <c r="V238" s="953">
        <v>0</v>
      </c>
      <c r="W238" s="13"/>
      <c r="X238" s="953">
        <v>0</v>
      </c>
      <c r="Y238" s="953">
        <v>0</v>
      </c>
      <c r="Z238" s="953">
        <v>0</v>
      </c>
      <c r="AA238" s="13">
        <v>0</v>
      </c>
      <c r="AB238" s="953">
        <v>0</v>
      </c>
      <c r="AC238" s="953">
        <v>0</v>
      </c>
      <c r="AD238" s="953">
        <v>0</v>
      </c>
      <c r="AE238" s="13"/>
      <c r="AF238" s="953">
        <v>0</v>
      </c>
      <c r="AG238" s="953">
        <v>0</v>
      </c>
      <c r="AH238" s="953">
        <v>0</v>
      </c>
      <c r="AI238" s="13"/>
      <c r="AJ238" s="953">
        <v>0</v>
      </c>
      <c r="AK238" s="953">
        <v>0</v>
      </c>
      <c r="AL238" s="953">
        <v>0</v>
      </c>
      <c r="AM238" s="1455"/>
      <c r="AN238" s="9">
        <v>77</v>
      </c>
      <c r="AO238" s="955">
        <v>0.35</v>
      </c>
      <c r="AP238" s="13"/>
      <c r="AQ238"/>
      <c r="AR238"/>
      <c r="AS238"/>
      <c r="AT238"/>
      <c r="AU238" t="str">
        <f t="shared" si="41"/>
        <v>2019Q2</v>
      </c>
      <c r="AV238">
        <f t="shared" si="42"/>
        <v>2019</v>
      </c>
      <c r="AW238" s="111">
        <f t="shared" si="38"/>
        <v>43586</v>
      </c>
      <c r="AX238" s="136">
        <f t="shared" si="45"/>
        <v>3.5804562847648449</v>
      </c>
      <c r="AY238" s="1541">
        <v>3.5804562847648449</v>
      </c>
      <c r="AZ238" s="136">
        <f t="shared" si="46"/>
        <v>3.5804562847648449</v>
      </c>
      <c r="BA238" s="137"/>
      <c r="BB238" s="137"/>
      <c r="BC238" s="137"/>
      <c r="BD238" s="137">
        <v>0</v>
      </c>
      <c r="BE238" s="137"/>
      <c r="BF238" s="137">
        <v>0</v>
      </c>
      <c r="BG238" s="145">
        <v>0</v>
      </c>
      <c r="BH238" s="153"/>
      <c r="BI238" s="938"/>
      <c r="BJ238" s="924"/>
      <c r="BK238" s="1443">
        <v>0</v>
      </c>
      <c r="BL238" s="905">
        <f t="shared" si="47"/>
        <v>3.5804562847648449</v>
      </c>
      <c r="BM238" s="1287">
        <f t="shared" si="39"/>
        <v>3.5804562847648449</v>
      </c>
      <c r="BN238" s="1393">
        <f t="shared" si="48"/>
        <v>2.4246304561617471E-2</v>
      </c>
      <c r="BO238" s="1377">
        <f t="shared" si="37"/>
        <v>3.5804562847648449</v>
      </c>
      <c r="BP238" s="208">
        <f t="shared" si="49"/>
        <v>2.4246304561617471E-2</v>
      </c>
      <c r="BQ238" s="1378">
        <f t="shared" si="43"/>
        <v>4.3212810172004543</v>
      </c>
      <c r="BR238" s="1378">
        <f t="shared" si="40"/>
        <v>3.4252041384648955</v>
      </c>
      <c r="BS238" s="153">
        <v>0</v>
      </c>
      <c r="BU238" s="1389">
        <f t="shared" si="44"/>
        <v>43160</v>
      </c>
      <c r="BV238" s="1390">
        <v>2.89075285103001</v>
      </c>
      <c r="BW238" s="1390">
        <v>2.328897532526363</v>
      </c>
      <c r="BX238" s="1390"/>
      <c r="BY238" s="1390">
        <v>4.2955066714050467</v>
      </c>
      <c r="BZ238" s="1391">
        <v>3.4606192239579636</v>
      </c>
    </row>
    <row r="239" spans="1:78">
      <c r="A239" s="957"/>
      <c r="B239" s="951">
        <v>42583</v>
      </c>
      <c r="C239" s="952">
        <v>74.457675055981269</v>
      </c>
      <c r="D239" s="952"/>
      <c r="E239" s="952"/>
      <c r="F239" s="950"/>
      <c r="G239" s="952"/>
      <c r="H239" s="952"/>
      <c r="I239" s="952"/>
      <c r="J239" s="9"/>
      <c r="K239" s="944">
        <v>43466</v>
      </c>
      <c r="L239" s="953">
        <v>0</v>
      </c>
      <c r="M239" s="953">
        <v>0</v>
      </c>
      <c r="N239" s="953">
        <v>0</v>
      </c>
      <c r="O239" s="13"/>
      <c r="P239" s="953">
        <v>0</v>
      </c>
      <c r="Q239" s="953">
        <v>0</v>
      </c>
      <c r="R239" s="953">
        <v>0</v>
      </c>
      <c r="S239" s="13"/>
      <c r="T239" s="953">
        <v>0</v>
      </c>
      <c r="U239" s="953">
        <v>0</v>
      </c>
      <c r="V239" s="953">
        <v>0</v>
      </c>
      <c r="W239" s="13"/>
      <c r="X239" s="953">
        <v>0</v>
      </c>
      <c r="Y239" s="953">
        <v>0</v>
      </c>
      <c r="Z239" s="953">
        <v>0</v>
      </c>
      <c r="AA239" s="13">
        <v>0</v>
      </c>
      <c r="AB239" s="953">
        <v>0</v>
      </c>
      <c r="AC239" s="953">
        <v>0</v>
      </c>
      <c r="AD239" s="953">
        <v>0</v>
      </c>
      <c r="AE239" s="13"/>
      <c r="AF239" s="953">
        <v>0</v>
      </c>
      <c r="AG239" s="953">
        <v>0</v>
      </c>
      <c r="AH239" s="953">
        <v>0</v>
      </c>
      <c r="AI239" s="13"/>
      <c r="AJ239" s="953">
        <v>0</v>
      </c>
      <c r="AK239" s="953">
        <v>0</v>
      </c>
      <c r="AL239" s="953">
        <v>0</v>
      </c>
      <c r="AM239" s="1455"/>
      <c r="AN239" s="9">
        <v>77</v>
      </c>
      <c r="AO239" s="955">
        <v>0.35</v>
      </c>
      <c r="AP239" s="13"/>
      <c r="AQ239"/>
      <c r="AR239"/>
      <c r="AS239"/>
      <c r="AT239"/>
      <c r="AU239" t="str">
        <f t="shared" si="41"/>
        <v>2019Q2</v>
      </c>
      <c r="AV239">
        <f t="shared" si="42"/>
        <v>2019</v>
      </c>
      <c r="AW239" s="111">
        <f t="shared" si="38"/>
        <v>43617</v>
      </c>
      <c r="AX239" s="136">
        <f t="shared" si="45"/>
        <v>3.623706129616842</v>
      </c>
      <c r="AY239" s="1541">
        <v>3.623706129616842</v>
      </c>
      <c r="AZ239" s="136">
        <f t="shared" si="46"/>
        <v>3.623706129616842</v>
      </c>
      <c r="BA239" s="137"/>
      <c r="BB239" s="137"/>
      <c r="BC239" s="137"/>
      <c r="BD239" s="137">
        <v>0</v>
      </c>
      <c r="BE239" s="137"/>
      <c r="BF239" s="137">
        <v>0</v>
      </c>
      <c r="BG239" s="145">
        <v>0</v>
      </c>
      <c r="BH239" s="153"/>
      <c r="BI239" s="938"/>
      <c r="BJ239" s="924"/>
      <c r="BK239" s="1443">
        <v>0</v>
      </c>
      <c r="BL239" s="905">
        <f t="shared" si="47"/>
        <v>3.623706129616842</v>
      </c>
      <c r="BM239" s="1287">
        <f t="shared" si="39"/>
        <v>3.623706129616842</v>
      </c>
      <c r="BN239" s="1393">
        <f t="shared" si="48"/>
        <v>2.4246304561617249E-2</v>
      </c>
      <c r="BO239" s="1377">
        <f t="shared" si="37"/>
        <v>3.623706129616842</v>
      </c>
      <c r="BP239" s="208">
        <f t="shared" si="49"/>
        <v>2.4246304561617249E-2</v>
      </c>
      <c r="BQ239" s="1378">
        <f t="shared" si="43"/>
        <v>4.3287938387016176</v>
      </c>
      <c r="BR239" s="1378">
        <f t="shared" si="40"/>
        <v>3.4364778796047823</v>
      </c>
      <c r="BS239" s="153">
        <v>0</v>
      </c>
      <c r="BU239" s="1389">
        <f t="shared" si="44"/>
        <v>43191</v>
      </c>
      <c r="BV239" s="1390">
        <v>2.8334075375348493</v>
      </c>
      <c r="BW239" s="1390">
        <v>2.2581103734830084</v>
      </c>
      <c r="BX239" s="1390"/>
      <c r="BY239" s="1390">
        <v>4.2102945521453501</v>
      </c>
      <c r="BZ239" s="1391">
        <v>3.3554332293087854</v>
      </c>
    </row>
    <row r="240" spans="1:78">
      <c r="A240" s="957"/>
      <c r="B240" s="951">
        <v>42614</v>
      </c>
      <c r="C240" s="952">
        <v>64.960276424880234</v>
      </c>
      <c r="D240" s="952"/>
      <c r="E240" s="952"/>
      <c r="F240" s="950"/>
      <c r="G240" s="952"/>
      <c r="H240" s="952"/>
      <c r="I240" s="952"/>
      <c r="J240" s="9"/>
      <c r="K240" s="944">
        <v>43497</v>
      </c>
      <c r="L240" s="953">
        <v>0</v>
      </c>
      <c r="M240" s="953">
        <v>0</v>
      </c>
      <c r="N240" s="953">
        <v>0</v>
      </c>
      <c r="O240" s="13"/>
      <c r="P240" s="953">
        <v>0</v>
      </c>
      <c r="Q240" s="953">
        <v>0</v>
      </c>
      <c r="R240" s="953">
        <v>0</v>
      </c>
      <c r="S240" s="13"/>
      <c r="T240" s="953">
        <v>0</v>
      </c>
      <c r="U240" s="953">
        <v>0</v>
      </c>
      <c r="V240" s="953">
        <v>0</v>
      </c>
      <c r="W240" s="13"/>
      <c r="X240" s="953">
        <v>0</v>
      </c>
      <c r="Y240" s="953">
        <v>0</v>
      </c>
      <c r="Z240" s="953">
        <v>0</v>
      </c>
      <c r="AA240" s="13">
        <v>0</v>
      </c>
      <c r="AB240" s="953">
        <v>0</v>
      </c>
      <c r="AC240" s="953">
        <v>0</v>
      </c>
      <c r="AD240" s="953">
        <v>0</v>
      </c>
      <c r="AE240" s="13"/>
      <c r="AF240" s="953">
        <v>0</v>
      </c>
      <c r="AG240" s="953">
        <v>0</v>
      </c>
      <c r="AH240" s="953">
        <v>0</v>
      </c>
      <c r="AI240" s="13"/>
      <c r="AJ240" s="953">
        <v>0</v>
      </c>
      <c r="AK240" s="953">
        <v>0</v>
      </c>
      <c r="AL240" s="953">
        <v>0</v>
      </c>
      <c r="AM240" s="1455"/>
      <c r="AN240" s="9">
        <v>77</v>
      </c>
      <c r="AO240" s="955">
        <v>0.35</v>
      </c>
      <c r="AP240" s="13"/>
      <c r="AQ240"/>
      <c r="AR240"/>
      <c r="AS240"/>
      <c r="AT240"/>
      <c r="AU240" t="str">
        <f t="shared" si="41"/>
        <v>2019Q3</v>
      </c>
      <c r="AV240">
        <f t="shared" si="42"/>
        <v>2019</v>
      </c>
      <c r="AW240" s="111">
        <f t="shared" si="38"/>
        <v>43647</v>
      </c>
      <c r="AX240" s="136">
        <f t="shared" si="45"/>
        <v>3.7226191396411807</v>
      </c>
      <c r="AY240" s="1541">
        <v>3.7226191396411807</v>
      </c>
      <c r="AZ240" s="136">
        <f t="shared" si="46"/>
        <v>3.7226191396411807</v>
      </c>
      <c r="BA240" s="137"/>
      <c r="BB240" s="137"/>
      <c r="BC240" s="137"/>
      <c r="BD240" s="137">
        <v>0</v>
      </c>
      <c r="BE240" s="137"/>
      <c r="BF240" s="137">
        <v>0</v>
      </c>
      <c r="BG240" s="145">
        <v>0</v>
      </c>
      <c r="BH240" s="153"/>
      <c r="BI240" s="938"/>
      <c r="BJ240" s="924"/>
      <c r="BK240" s="1443">
        <v>0</v>
      </c>
      <c r="BL240" s="905">
        <f t="shared" si="47"/>
        <v>3.7226191396411807</v>
      </c>
      <c r="BM240" s="1287">
        <f t="shared" si="39"/>
        <v>3.7226191396411807</v>
      </c>
      <c r="BN240" s="1393">
        <f t="shared" si="48"/>
        <v>2.4246304561617249E-2</v>
      </c>
      <c r="BO240" s="1377">
        <f t="shared" si="37"/>
        <v>3.7226191396411807</v>
      </c>
      <c r="BP240" s="208">
        <f t="shared" si="49"/>
        <v>2.4246304561617249E-2</v>
      </c>
      <c r="BQ240" s="1378">
        <f t="shared" si="43"/>
        <v>4.3842008972726978</v>
      </c>
      <c r="BR240" s="1378">
        <f t="shared" si="40"/>
        <v>3.4896255164071057</v>
      </c>
      <c r="BS240" s="153">
        <v>0</v>
      </c>
      <c r="BU240" s="1389">
        <f t="shared" si="44"/>
        <v>43221</v>
      </c>
      <c r="BV240" s="1390">
        <v>2.8071751068934452</v>
      </c>
      <c r="BW240" s="1390">
        <v>2.2303198591919138</v>
      </c>
      <c r="BX240" s="1390"/>
      <c r="BY240" s="1390">
        <v>4.1713145401435732</v>
      </c>
      <c r="BZ240" s="1391">
        <v>3.3141379869650338</v>
      </c>
    </row>
    <row r="241" spans="1:78">
      <c r="A241" s="957"/>
      <c r="B241" s="951">
        <v>42644</v>
      </c>
      <c r="C241" s="952">
        <v>56.055229198609112</v>
      </c>
      <c r="D241" s="952"/>
      <c r="E241" s="952"/>
      <c r="F241" s="950"/>
      <c r="G241" s="952"/>
      <c r="H241" s="952"/>
      <c r="I241" s="952"/>
      <c r="J241" s="9"/>
      <c r="K241" s="944">
        <v>43525</v>
      </c>
      <c r="L241" s="953">
        <v>0</v>
      </c>
      <c r="M241" s="953">
        <v>0</v>
      </c>
      <c r="N241" s="953">
        <v>0</v>
      </c>
      <c r="O241" s="13"/>
      <c r="P241" s="953">
        <v>0</v>
      </c>
      <c r="Q241" s="953">
        <v>0</v>
      </c>
      <c r="R241" s="953">
        <v>0</v>
      </c>
      <c r="S241" s="13"/>
      <c r="T241" s="953">
        <v>0</v>
      </c>
      <c r="U241" s="953">
        <v>0</v>
      </c>
      <c r="V241" s="953">
        <v>0</v>
      </c>
      <c r="W241" s="13"/>
      <c r="X241" s="953">
        <v>0</v>
      </c>
      <c r="Y241" s="953">
        <v>0</v>
      </c>
      <c r="Z241" s="953">
        <v>0</v>
      </c>
      <c r="AA241" s="13">
        <v>0</v>
      </c>
      <c r="AB241" s="953">
        <v>0</v>
      </c>
      <c r="AC241" s="953">
        <v>0</v>
      </c>
      <c r="AD241" s="953">
        <v>0</v>
      </c>
      <c r="AE241" s="13"/>
      <c r="AF241" s="953">
        <v>0</v>
      </c>
      <c r="AG241" s="953">
        <v>0</v>
      </c>
      <c r="AH241" s="953">
        <v>0</v>
      </c>
      <c r="AI241" s="13"/>
      <c r="AJ241" s="953">
        <v>0</v>
      </c>
      <c r="AK241" s="953">
        <v>0</v>
      </c>
      <c r="AL241" s="953">
        <v>0</v>
      </c>
      <c r="AM241" s="1455"/>
      <c r="AN241" s="9">
        <v>78</v>
      </c>
      <c r="AO241" s="955">
        <v>0.35</v>
      </c>
      <c r="AP241" s="13"/>
      <c r="AQ241"/>
      <c r="AR241"/>
      <c r="AS241"/>
      <c r="AT241"/>
      <c r="AU241" t="str">
        <f t="shared" si="41"/>
        <v>2019Q3</v>
      </c>
      <c r="AV241">
        <f t="shared" si="42"/>
        <v>2019</v>
      </c>
      <c r="AW241" s="111">
        <f t="shared" si="38"/>
        <v>43678</v>
      </c>
      <c r="AX241" s="136">
        <f t="shared" si="45"/>
        <v>3.8630961569595716</v>
      </c>
      <c r="AY241" s="1541">
        <v>3.8630961569595716</v>
      </c>
      <c r="AZ241" s="136">
        <f t="shared" si="46"/>
        <v>3.8630961569595716</v>
      </c>
      <c r="BA241" s="137"/>
      <c r="BB241" s="137"/>
      <c r="BC241" s="137"/>
      <c r="BD241" s="137">
        <v>0</v>
      </c>
      <c r="BE241" s="137"/>
      <c r="BF241" s="137">
        <v>0</v>
      </c>
      <c r="BG241" s="145">
        <v>0</v>
      </c>
      <c r="BH241" s="153"/>
      <c r="BI241" s="938"/>
      <c r="BJ241" s="924"/>
      <c r="BK241" s="1443">
        <v>0</v>
      </c>
      <c r="BL241" s="905">
        <f t="shared" si="47"/>
        <v>3.8630961569595716</v>
      </c>
      <c r="BM241" s="1287">
        <f t="shared" si="39"/>
        <v>3.8630961569595716</v>
      </c>
      <c r="BN241" s="1393">
        <f t="shared" si="48"/>
        <v>2.4246304561617249E-2</v>
      </c>
      <c r="BO241" s="1377">
        <f t="shared" si="37"/>
        <v>3.8630961569595716</v>
      </c>
      <c r="BP241" s="208">
        <f t="shared" si="49"/>
        <v>2.4246304561617249E-2</v>
      </c>
      <c r="BQ241" s="1378">
        <f t="shared" si="43"/>
        <v>4.4875021929136949</v>
      </c>
      <c r="BR241" s="1378">
        <f t="shared" si="40"/>
        <v>3.572568040507702</v>
      </c>
      <c r="BS241" s="153">
        <v>0</v>
      </c>
      <c r="BU241" s="1389">
        <f t="shared" si="44"/>
        <v>43252</v>
      </c>
      <c r="BV241" s="1390">
        <v>2.8120555591057994</v>
      </c>
      <c r="BW241" s="1390">
        <v>2.2376607497593728</v>
      </c>
      <c r="BX241" s="1390"/>
      <c r="BY241" s="1390">
        <v>4.1785666353997177</v>
      </c>
      <c r="BZ241" s="1391">
        <v>3.3250461641879117</v>
      </c>
    </row>
    <row r="242" spans="1:78">
      <c r="A242" s="957"/>
      <c r="B242" s="951">
        <v>42675</v>
      </c>
      <c r="C242" s="952">
        <v>56.880389761502741</v>
      </c>
      <c r="D242" s="952"/>
      <c r="E242" s="952"/>
      <c r="F242" s="950"/>
      <c r="G242" s="952"/>
      <c r="H242" s="952"/>
      <c r="I242" s="952"/>
      <c r="J242" s="9"/>
      <c r="K242" s="944">
        <v>43556</v>
      </c>
      <c r="L242" s="953">
        <v>0</v>
      </c>
      <c r="M242" s="953">
        <v>0</v>
      </c>
      <c r="N242" s="953">
        <v>0</v>
      </c>
      <c r="O242" s="13"/>
      <c r="P242" s="953">
        <v>0</v>
      </c>
      <c r="Q242" s="953">
        <v>0</v>
      </c>
      <c r="R242" s="953">
        <v>0</v>
      </c>
      <c r="S242" s="13"/>
      <c r="T242" s="953">
        <v>0</v>
      </c>
      <c r="U242" s="953">
        <v>0</v>
      </c>
      <c r="V242" s="953">
        <v>0</v>
      </c>
      <c r="W242" s="13"/>
      <c r="X242" s="953">
        <v>0</v>
      </c>
      <c r="Y242" s="953">
        <v>0</v>
      </c>
      <c r="Z242" s="953">
        <v>0</v>
      </c>
      <c r="AA242" s="13">
        <v>0</v>
      </c>
      <c r="AB242" s="953">
        <v>0</v>
      </c>
      <c r="AC242" s="953">
        <v>0</v>
      </c>
      <c r="AD242" s="953">
        <v>0</v>
      </c>
      <c r="AE242" s="13"/>
      <c r="AF242" s="953">
        <v>0</v>
      </c>
      <c r="AG242" s="953">
        <v>0</v>
      </c>
      <c r="AH242" s="953">
        <v>0</v>
      </c>
      <c r="AI242" s="13"/>
      <c r="AJ242" s="953">
        <v>0</v>
      </c>
      <c r="AK242" s="953">
        <v>0</v>
      </c>
      <c r="AL242" s="953">
        <v>0</v>
      </c>
      <c r="AM242" s="1455"/>
      <c r="AN242" s="9">
        <v>78</v>
      </c>
      <c r="AO242" s="955">
        <v>0.35</v>
      </c>
      <c r="AP242" s="13"/>
      <c r="AQ242"/>
      <c r="AR242"/>
      <c r="AS242"/>
      <c r="AT242"/>
      <c r="AU242" t="str">
        <f t="shared" si="41"/>
        <v>2019Q3</v>
      </c>
      <c r="AV242">
        <f t="shared" si="42"/>
        <v>2019</v>
      </c>
      <c r="AW242" s="111">
        <f t="shared" si="38"/>
        <v>43709</v>
      </c>
      <c r="AX242" s="136">
        <f t="shared" si="45"/>
        <v>4.0303478258292058</v>
      </c>
      <c r="AY242" s="1541">
        <v>4.0303478258292058</v>
      </c>
      <c r="AZ242" s="136">
        <f t="shared" si="46"/>
        <v>4.0303478258292058</v>
      </c>
      <c r="BA242" s="137"/>
      <c r="BB242" s="137"/>
      <c r="BC242" s="137"/>
      <c r="BD242" s="137">
        <v>0</v>
      </c>
      <c r="BE242" s="137"/>
      <c r="BF242" s="137">
        <v>0</v>
      </c>
      <c r="BG242" s="145">
        <v>0</v>
      </c>
      <c r="BH242" s="153"/>
      <c r="BI242" s="938"/>
      <c r="BJ242" s="924"/>
      <c r="BK242" s="1443">
        <v>0</v>
      </c>
      <c r="BL242" s="905">
        <f t="shared" si="47"/>
        <v>4.0303478258292058</v>
      </c>
      <c r="BM242" s="1287">
        <f t="shared" si="39"/>
        <v>4.0303478258292058</v>
      </c>
      <c r="BN242" s="1393">
        <f t="shared" si="48"/>
        <v>2.4246304561617471E-2</v>
      </c>
      <c r="BO242" s="1377">
        <f t="shared" si="37"/>
        <v>4.0303478258292058</v>
      </c>
      <c r="BP242" s="208">
        <f t="shared" si="49"/>
        <v>2.4246304561617471E-2</v>
      </c>
      <c r="BQ242" s="1378">
        <f t="shared" si="43"/>
        <v>4.6386977256246098</v>
      </c>
      <c r="BR242" s="1378">
        <f t="shared" si="40"/>
        <v>3.673226443542406</v>
      </c>
      <c r="BS242" s="153">
        <v>0</v>
      </c>
      <c r="BU242" s="1389">
        <f t="shared" si="44"/>
        <v>43282</v>
      </c>
      <c r="BV242" s="1390">
        <v>2.8480488941719115</v>
      </c>
      <c r="BW242" s="1390">
        <v>2.2722678052916794</v>
      </c>
      <c r="BX242" s="1390"/>
      <c r="BY242" s="1390">
        <v>4.2320508379137829</v>
      </c>
      <c r="BZ242" s="1391">
        <v>3.3764704282386209</v>
      </c>
    </row>
    <row r="243" spans="1:78">
      <c r="A243" s="957"/>
      <c r="B243" s="951">
        <v>42705</v>
      </c>
      <c r="C243" s="952">
        <v>58.495467815064316</v>
      </c>
      <c r="D243" s="952"/>
      <c r="E243" s="952"/>
      <c r="F243" s="950"/>
      <c r="G243" s="952"/>
      <c r="H243" s="952"/>
      <c r="I243" s="952"/>
      <c r="J243" s="9"/>
      <c r="K243" s="944">
        <v>43586</v>
      </c>
      <c r="L243" s="953">
        <v>0</v>
      </c>
      <c r="M243" s="953">
        <v>0</v>
      </c>
      <c r="N243" s="953">
        <v>0</v>
      </c>
      <c r="O243" s="13"/>
      <c r="P243" s="953">
        <v>0</v>
      </c>
      <c r="Q243" s="953">
        <v>0</v>
      </c>
      <c r="R243" s="953">
        <v>0</v>
      </c>
      <c r="S243" s="13"/>
      <c r="T243" s="953">
        <v>0</v>
      </c>
      <c r="U243" s="953">
        <v>0</v>
      </c>
      <c r="V243" s="953">
        <v>0</v>
      </c>
      <c r="W243" s="13"/>
      <c r="X243" s="953">
        <v>0</v>
      </c>
      <c r="Y243" s="953">
        <v>0</v>
      </c>
      <c r="Z243" s="953">
        <v>0</v>
      </c>
      <c r="AA243" s="13">
        <v>0</v>
      </c>
      <c r="AB243" s="953">
        <v>0</v>
      </c>
      <c r="AC243" s="953">
        <v>0</v>
      </c>
      <c r="AD243" s="953">
        <v>0</v>
      </c>
      <c r="AE243" s="13"/>
      <c r="AF243" s="953">
        <v>0</v>
      </c>
      <c r="AG243" s="953">
        <v>0</v>
      </c>
      <c r="AH243" s="953">
        <v>0</v>
      </c>
      <c r="AI243" s="13"/>
      <c r="AJ243" s="953">
        <v>0</v>
      </c>
      <c r="AK243" s="953">
        <v>0</v>
      </c>
      <c r="AL243" s="953">
        <v>0</v>
      </c>
      <c r="AM243" s="1455"/>
      <c r="AN243" s="9">
        <v>78</v>
      </c>
      <c r="AO243" s="955">
        <v>0.35</v>
      </c>
      <c r="AP243" s="13"/>
      <c r="AQ243"/>
      <c r="AR243"/>
      <c r="AS243"/>
      <c r="AT243"/>
      <c r="AU243" t="str">
        <f t="shared" si="41"/>
        <v>2019Q4</v>
      </c>
      <c r="AV243">
        <f t="shared" si="42"/>
        <v>2019</v>
      </c>
      <c r="AW243" s="111">
        <f t="shared" si="38"/>
        <v>43739</v>
      </c>
      <c r="AX243" s="136">
        <f t="shared" si="45"/>
        <v>4.2094541327202126</v>
      </c>
      <c r="AY243" s="1541">
        <v>4.2094541327202126</v>
      </c>
      <c r="AZ243" s="136">
        <f t="shared" si="46"/>
        <v>4.2094541327202126</v>
      </c>
      <c r="BA243" s="137"/>
      <c r="BB243" s="137"/>
      <c r="BC243" s="137"/>
      <c r="BD243" s="137">
        <v>0</v>
      </c>
      <c r="BE243" s="137"/>
      <c r="BF243" s="137">
        <v>0</v>
      </c>
      <c r="BG243" s="145">
        <v>0</v>
      </c>
      <c r="BH243" s="153"/>
      <c r="BI243" s="938"/>
      <c r="BJ243" s="924"/>
      <c r="BK243" s="1443">
        <v>0</v>
      </c>
      <c r="BL243" s="905">
        <f t="shared" si="47"/>
        <v>4.2094541327202126</v>
      </c>
      <c r="BM243" s="1287">
        <f t="shared" si="39"/>
        <v>4.2094541327202126</v>
      </c>
      <c r="BN243" s="1393">
        <f t="shared" si="48"/>
        <v>2.4246304561617471E-2</v>
      </c>
      <c r="BO243" s="1377">
        <f t="shared" si="37"/>
        <v>4.2094541327202126</v>
      </c>
      <c r="BP243" s="208">
        <f t="shared" si="49"/>
        <v>2.4246304561617471E-2</v>
      </c>
      <c r="BQ243" s="1378">
        <f t="shared" si="43"/>
        <v>4.8377874954054407</v>
      </c>
      <c r="BR243" s="1378">
        <f t="shared" si="40"/>
        <v>3.7795217171470532</v>
      </c>
      <c r="BS243" s="153">
        <v>0</v>
      </c>
      <c r="BU243" s="1389">
        <f t="shared" si="44"/>
        <v>43313</v>
      </c>
      <c r="BV243" s="1390">
        <v>2.9151551120917802</v>
      </c>
      <c r="BW243" s="1390">
        <v>2.3262757858951284</v>
      </c>
      <c r="BX243" s="1390"/>
      <c r="BY243" s="1390">
        <v>4.3317671476857678</v>
      </c>
      <c r="BZ243" s="1391">
        <v>3.4567234463783656</v>
      </c>
    </row>
    <row r="244" spans="1:78">
      <c r="A244" s="957"/>
      <c r="B244" s="951">
        <v>42736</v>
      </c>
      <c r="C244" s="952">
        <v>55.5155762008891</v>
      </c>
      <c r="D244" s="952"/>
      <c r="E244" s="952"/>
      <c r="F244" s="950"/>
      <c r="G244" s="952"/>
      <c r="H244" s="952"/>
      <c r="I244" s="952"/>
      <c r="J244" s="9"/>
      <c r="K244" s="944">
        <v>43617</v>
      </c>
      <c r="L244" s="953">
        <v>0</v>
      </c>
      <c r="M244" s="953">
        <v>0</v>
      </c>
      <c r="N244" s="953">
        <v>0</v>
      </c>
      <c r="O244" s="13"/>
      <c r="P244" s="953">
        <v>0</v>
      </c>
      <c r="Q244" s="953">
        <v>0</v>
      </c>
      <c r="R244" s="953">
        <v>0</v>
      </c>
      <c r="S244" s="13"/>
      <c r="T244" s="953">
        <v>0</v>
      </c>
      <c r="U244" s="953">
        <v>0</v>
      </c>
      <c r="V244" s="953">
        <v>0</v>
      </c>
      <c r="W244" s="13"/>
      <c r="X244" s="953">
        <v>0</v>
      </c>
      <c r="Y244" s="953">
        <v>0</v>
      </c>
      <c r="Z244" s="953">
        <v>0</v>
      </c>
      <c r="AA244" s="13">
        <v>0</v>
      </c>
      <c r="AB244" s="953">
        <v>0</v>
      </c>
      <c r="AC244" s="953">
        <v>0</v>
      </c>
      <c r="AD244" s="953">
        <v>0</v>
      </c>
      <c r="AE244" s="13"/>
      <c r="AF244" s="953">
        <v>0</v>
      </c>
      <c r="AG244" s="953">
        <v>0</v>
      </c>
      <c r="AH244" s="953">
        <v>0</v>
      </c>
      <c r="AI244" s="13"/>
      <c r="AJ244" s="953">
        <v>0</v>
      </c>
      <c r="AK244" s="953">
        <v>0</v>
      </c>
      <c r="AL244" s="953">
        <v>0</v>
      </c>
      <c r="AM244" s="1455"/>
      <c r="AN244" s="9">
        <v>79</v>
      </c>
      <c r="AO244" s="955">
        <v>0.35</v>
      </c>
      <c r="AP244" s="13"/>
      <c r="AQ244"/>
      <c r="AR244"/>
      <c r="AS244"/>
      <c r="AT244"/>
      <c r="AU244" t="str">
        <f t="shared" si="41"/>
        <v>2019Q4</v>
      </c>
      <c r="AV244">
        <f t="shared" si="42"/>
        <v>2019</v>
      </c>
      <c r="AW244" s="111">
        <f t="shared" si="38"/>
        <v>43770</v>
      </c>
      <c r="AX244" s="136">
        <f t="shared" si="45"/>
        <v>4.386070868372518</v>
      </c>
      <c r="AY244" s="1541">
        <v>4.386070868372518</v>
      </c>
      <c r="AZ244" s="136">
        <f t="shared" si="46"/>
        <v>4.386070868372518</v>
      </c>
      <c r="BA244" s="137"/>
      <c r="BB244" s="137"/>
      <c r="BC244" s="137"/>
      <c r="BD244" s="137">
        <v>0</v>
      </c>
      <c r="BE244" s="137"/>
      <c r="BF244" s="137">
        <v>0</v>
      </c>
      <c r="BG244" s="145">
        <v>0</v>
      </c>
      <c r="BH244" s="153"/>
      <c r="BI244" s="938"/>
      <c r="BJ244" s="924"/>
      <c r="BK244" s="1443">
        <v>0</v>
      </c>
      <c r="BL244" s="905">
        <f t="shared" si="47"/>
        <v>4.386070868372518</v>
      </c>
      <c r="BM244" s="1287">
        <f t="shared" si="39"/>
        <v>4.386070868372518</v>
      </c>
      <c r="BN244" s="1393">
        <f t="shared" si="48"/>
        <v>2.4246304561617471E-2</v>
      </c>
      <c r="BO244" s="1377">
        <f t="shared" si="37"/>
        <v>4.386070868372518</v>
      </c>
      <c r="BP244" s="208">
        <f t="shared" si="49"/>
        <v>2.4246304561617471E-2</v>
      </c>
      <c r="BQ244" s="1378">
        <f t="shared" si="43"/>
        <v>5.0847715022561903</v>
      </c>
      <c r="BR244" s="1378">
        <f t="shared" si="40"/>
        <v>3.8793748529574801</v>
      </c>
      <c r="BS244" s="153">
        <v>0</v>
      </c>
      <c r="BU244" s="1389">
        <f t="shared" si="44"/>
        <v>43344</v>
      </c>
      <c r="BV244" s="1390">
        <v>3.0133742128654077</v>
      </c>
      <c r="BW244" s="1390">
        <v>2.3918194516760116</v>
      </c>
      <c r="BX244" s="1390"/>
      <c r="BY244" s="1390">
        <v>4.4777155647156759</v>
      </c>
      <c r="BZ244" s="1391">
        <v>3.5541178858683447</v>
      </c>
    </row>
    <row r="245" spans="1:78">
      <c r="A245" s="957"/>
      <c r="B245" s="951">
        <v>42767</v>
      </c>
      <c r="C245" s="952">
        <v>45.643235413372459</v>
      </c>
      <c r="D245" s="952"/>
      <c r="E245" s="952"/>
      <c r="F245" s="950"/>
      <c r="G245" s="952"/>
      <c r="H245" s="952"/>
      <c r="I245" s="952"/>
      <c r="J245" s="9"/>
      <c r="K245" s="944">
        <v>43647</v>
      </c>
      <c r="L245" s="953">
        <v>0</v>
      </c>
      <c r="M245" s="953">
        <v>0</v>
      </c>
      <c r="N245" s="953">
        <v>0</v>
      </c>
      <c r="O245" s="13"/>
      <c r="P245" s="953">
        <v>0</v>
      </c>
      <c r="Q245" s="953">
        <v>0</v>
      </c>
      <c r="R245" s="953">
        <v>0</v>
      </c>
      <c r="S245" s="13"/>
      <c r="T245" s="953">
        <v>0</v>
      </c>
      <c r="U245" s="953">
        <v>0</v>
      </c>
      <c r="V245" s="953">
        <v>0</v>
      </c>
      <c r="W245" s="13"/>
      <c r="X245" s="953">
        <v>0</v>
      </c>
      <c r="Y245" s="953">
        <v>0</v>
      </c>
      <c r="Z245" s="953">
        <v>0</v>
      </c>
      <c r="AA245" s="13">
        <v>0</v>
      </c>
      <c r="AB245" s="953">
        <v>0</v>
      </c>
      <c r="AC245" s="953">
        <v>0</v>
      </c>
      <c r="AD245" s="953">
        <v>0</v>
      </c>
      <c r="AE245" s="13"/>
      <c r="AF245" s="953">
        <v>0</v>
      </c>
      <c r="AG245" s="953">
        <v>0</v>
      </c>
      <c r="AH245" s="953">
        <v>0</v>
      </c>
      <c r="AI245" s="13"/>
      <c r="AJ245" s="953">
        <v>0</v>
      </c>
      <c r="AK245" s="953">
        <v>0</v>
      </c>
      <c r="AL245" s="953">
        <v>0</v>
      </c>
      <c r="AM245" s="1455"/>
      <c r="AN245" s="9">
        <v>79</v>
      </c>
      <c r="AO245" s="955">
        <v>0.35</v>
      </c>
      <c r="AP245" s="13"/>
      <c r="AQ245"/>
      <c r="AR245"/>
      <c r="AS245"/>
      <c r="AT245"/>
      <c r="AU245" t="str">
        <f t="shared" si="41"/>
        <v>2019Q4</v>
      </c>
      <c r="AV245">
        <f t="shared" si="42"/>
        <v>2019</v>
      </c>
      <c r="AW245" s="111">
        <f t="shared" si="38"/>
        <v>43800</v>
      </c>
      <c r="AX245" s="136">
        <f t="shared" si="45"/>
        <v>4.5726328370063527</v>
      </c>
      <c r="AY245" s="1541">
        <v>4.5726328370063527</v>
      </c>
      <c r="AZ245" s="136">
        <f t="shared" si="46"/>
        <v>4.5726328370063527</v>
      </c>
      <c r="BA245" s="137"/>
      <c r="BB245" s="137"/>
      <c r="BC245" s="137"/>
      <c r="BD245" s="137">
        <v>0</v>
      </c>
      <c r="BE245" s="137"/>
      <c r="BF245" s="137">
        <v>0</v>
      </c>
      <c r="BG245" s="145">
        <v>0</v>
      </c>
      <c r="BH245" s="153"/>
      <c r="BI245" s="938"/>
      <c r="BJ245" s="924"/>
      <c r="BK245" s="1443">
        <v>0</v>
      </c>
      <c r="BL245" s="905">
        <f t="shared" si="47"/>
        <v>4.5726328370063527</v>
      </c>
      <c r="BM245" s="1287">
        <f t="shared" si="39"/>
        <v>4.5726328370063527</v>
      </c>
      <c r="BN245" s="1393">
        <f t="shared" si="48"/>
        <v>2.4246304561617249E-2</v>
      </c>
      <c r="BO245" s="1377">
        <f t="shared" si="37"/>
        <v>4.5726328370063527</v>
      </c>
      <c r="BP245" s="208">
        <f t="shared" si="49"/>
        <v>2.4246304561617249E-2</v>
      </c>
      <c r="BQ245" s="1378">
        <f t="shared" si="43"/>
        <v>5.1921860676690752</v>
      </c>
      <c r="BR245" s="1378">
        <f t="shared" si="40"/>
        <v>3.9607068426095191</v>
      </c>
      <c r="BS245" s="153">
        <v>0</v>
      </c>
      <c r="BU245" s="1389">
        <f t="shared" si="44"/>
        <v>43374</v>
      </c>
      <c r="BV245" s="1390">
        <v>3.1427061964927923</v>
      </c>
      <c r="BW245" s="1390">
        <v>2.4610335627406252</v>
      </c>
      <c r="BX245" s="1390"/>
      <c r="BY245" s="1390">
        <v>4.6698960890035028</v>
      </c>
      <c r="BZ245" s="1391">
        <v>3.6569664139697635</v>
      </c>
    </row>
    <row r="246" spans="1:78">
      <c r="A246" s="957"/>
      <c r="B246" s="951">
        <v>42795</v>
      </c>
      <c r="C246" s="952">
        <v>41.661408113656307</v>
      </c>
      <c r="D246" s="952"/>
      <c r="E246" s="952"/>
      <c r="F246" s="950"/>
      <c r="G246" s="952"/>
      <c r="H246" s="952"/>
      <c r="I246" s="952"/>
      <c r="J246" s="9"/>
      <c r="K246" s="944">
        <v>43678</v>
      </c>
      <c r="L246" s="953">
        <v>0</v>
      </c>
      <c r="M246" s="953">
        <v>0</v>
      </c>
      <c r="N246" s="953">
        <v>0</v>
      </c>
      <c r="O246" s="13"/>
      <c r="P246" s="953">
        <v>0</v>
      </c>
      <c r="Q246" s="953">
        <v>0</v>
      </c>
      <c r="R246" s="953">
        <v>0</v>
      </c>
      <c r="S246" s="13"/>
      <c r="T246" s="953">
        <v>0</v>
      </c>
      <c r="U246" s="953">
        <v>0</v>
      </c>
      <c r="V246" s="953">
        <v>0</v>
      </c>
      <c r="W246" s="13"/>
      <c r="X246" s="953">
        <v>0</v>
      </c>
      <c r="Y246" s="953">
        <v>0</v>
      </c>
      <c r="Z246" s="953">
        <v>0</v>
      </c>
      <c r="AA246" s="13">
        <v>0</v>
      </c>
      <c r="AB246" s="953">
        <v>0</v>
      </c>
      <c r="AC246" s="953">
        <v>0</v>
      </c>
      <c r="AD246" s="953">
        <v>0</v>
      </c>
      <c r="AE246" s="13"/>
      <c r="AF246" s="953">
        <v>0</v>
      </c>
      <c r="AG246" s="953">
        <v>0</v>
      </c>
      <c r="AH246" s="953">
        <v>0</v>
      </c>
      <c r="AI246" s="13"/>
      <c r="AJ246" s="953">
        <v>0</v>
      </c>
      <c r="AK246" s="953">
        <v>0</v>
      </c>
      <c r="AL246" s="953">
        <v>0</v>
      </c>
      <c r="AM246" s="1455"/>
      <c r="AN246" s="9">
        <v>79</v>
      </c>
      <c r="AO246" s="955">
        <v>0.35</v>
      </c>
      <c r="AP246" s="13"/>
      <c r="AQ246"/>
      <c r="AR246"/>
      <c r="AS246"/>
      <c r="AT246"/>
      <c r="AU246" t="str">
        <f t="shared" si="41"/>
        <v>2020Q1</v>
      </c>
      <c r="AV246">
        <f t="shared" si="42"/>
        <v>2020</v>
      </c>
      <c r="AW246" s="111">
        <f t="shared" si="38"/>
        <v>43831</v>
      </c>
      <c r="AX246" s="136">
        <f t="shared" si="45"/>
        <v>4.3685917403178136</v>
      </c>
      <c r="AY246" s="1541">
        <v>4.3685917403178136</v>
      </c>
      <c r="AZ246" s="136">
        <f t="shared" si="46"/>
        <v>4.3685917403178136</v>
      </c>
      <c r="BA246" s="137"/>
      <c r="BB246" s="137"/>
      <c r="BC246" s="137"/>
      <c r="BD246" s="137">
        <v>0</v>
      </c>
      <c r="BE246" s="137"/>
      <c r="BF246" s="137">
        <v>0</v>
      </c>
      <c r="BG246" s="145">
        <v>0</v>
      </c>
      <c r="BH246" s="153"/>
      <c r="BI246" s="938"/>
      <c r="BJ246" s="924"/>
      <c r="BK246" s="1443">
        <v>0</v>
      </c>
      <c r="BL246" s="905">
        <f t="shared" si="47"/>
        <v>4.3685917403178136</v>
      </c>
      <c r="BM246" s="1287">
        <f t="shared" si="39"/>
        <v>4.3685917403178136</v>
      </c>
      <c r="BN246" s="1393">
        <f t="shared" si="48"/>
        <v>2.66330416630427E-2</v>
      </c>
      <c r="BO246" s="1377">
        <f t="shared" si="37"/>
        <v>4.3685917403178136</v>
      </c>
      <c r="BP246" s="208">
        <f t="shared" si="49"/>
        <v>2.66330416630427E-2</v>
      </c>
      <c r="BQ246" s="1378">
        <f t="shared" si="43"/>
        <v>5.1634090481253887</v>
      </c>
      <c r="BR246" s="1378">
        <f t="shared" si="40"/>
        <v>4.185878044869316</v>
      </c>
      <c r="BS246" s="153">
        <v>0</v>
      </c>
      <c r="BU246" s="1389">
        <f t="shared" si="44"/>
        <v>43405</v>
      </c>
      <c r="BV246" s="1390">
        <v>3.3031510629739351</v>
      </c>
      <c r="BW246" s="1390">
        <v>2.5260528791952628</v>
      </c>
      <c r="BX246" s="1390"/>
      <c r="BY246" s="1390">
        <v>4.9083087205492513</v>
      </c>
      <c r="BZ246" s="1391">
        <v>3.753581697943825</v>
      </c>
    </row>
    <row r="247" spans="1:78">
      <c r="A247" s="957"/>
      <c r="B247" s="951">
        <v>42826</v>
      </c>
      <c r="C247" s="952">
        <v>42.335642892743628</v>
      </c>
      <c r="D247" s="952"/>
      <c r="E247" s="952"/>
      <c r="F247" s="950"/>
      <c r="G247" s="952"/>
      <c r="H247" s="952"/>
      <c r="I247" s="952"/>
      <c r="J247" s="9"/>
      <c r="K247" s="944">
        <v>43709</v>
      </c>
      <c r="L247" s="953">
        <v>0</v>
      </c>
      <c r="M247" s="953">
        <v>0</v>
      </c>
      <c r="N247" s="953">
        <v>0</v>
      </c>
      <c r="O247" s="13"/>
      <c r="P247" s="953">
        <v>0</v>
      </c>
      <c r="Q247" s="953">
        <v>0</v>
      </c>
      <c r="R247" s="953">
        <v>0</v>
      </c>
      <c r="S247" s="13"/>
      <c r="T247" s="953">
        <v>0</v>
      </c>
      <c r="U247" s="953">
        <v>0</v>
      </c>
      <c r="V247" s="953">
        <v>0</v>
      </c>
      <c r="W247" s="13"/>
      <c r="X247" s="953">
        <v>0</v>
      </c>
      <c r="Y247" s="953">
        <v>0</v>
      </c>
      <c r="Z247" s="953">
        <v>0</v>
      </c>
      <c r="AA247" s="13">
        <v>0</v>
      </c>
      <c r="AB247" s="953">
        <v>0</v>
      </c>
      <c r="AC247" s="953">
        <v>0</v>
      </c>
      <c r="AD247" s="953">
        <v>0</v>
      </c>
      <c r="AE247" s="13"/>
      <c r="AF247" s="953">
        <v>0</v>
      </c>
      <c r="AG247" s="953">
        <v>0</v>
      </c>
      <c r="AH247" s="953">
        <v>0</v>
      </c>
      <c r="AI247" s="13"/>
      <c r="AJ247" s="953">
        <v>0</v>
      </c>
      <c r="AK247" s="953">
        <v>0</v>
      </c>
      <c r="AL247" s="953">
        <v>0</v>
      </c>
      <c r="AM247" s="1455"/>
      <c r="AN247" s="9">
        <v>80</v>
      </c>
      <c r="AO247" s="955">
        <v>0.35</v>
      </c>
      <c r="AP247" s="13"/>
      <c r="AQ247"/>
      <c r="AR247"/>
      <c r="AS247"/>
      <c r="AT247"/>
      <c r="AU247" t="str">
        <f t="shared" si="41"/>
        <v>2020Q1</v>
      </c>
      <c r="AV247">
        <f t="shared" si="42"/>
        <v>2020</v>
      </c>
      <c r="AW247" s="111">
        <f t="shared" si="38"/>
        <v>43862</v>
      </c>
      <c r="AX247" s="136">
        <f t="shared" si="45"/>
        <v>4.0349066173807708</v>
      </c>
      <c r="AY247" s="1541">
        <v>4.0349066173807708</v>
      </c>
      <c r="AZ247" s="136">
        <f t="shared" si="46"/>
        <v>4.0349066173807708</v>
      </c>
      <c r="BA247" s="137"/>
      <c r="BB247" s="137"/>
      <c r="BC247" s="137"/>
      <c r="BD247" s="137">
        <v>0</v>
      </c>
      <c r="BE247" s="137"/>
      <c r="BF247" s="137">
        <v>0</v>
      </c>
      <c r="BG247" s="145">
        <v>0</v>
      </c>
      <c r="BH247" s="153"/>
      <c r="BI247" s="938"/>
      <c r="BJ247" s="924"/>
      <c r="BK247" s="1443">
        <v>0</v>
      </c>
      <c r="BL247" s="905">
        <f t="shared" si="47"/>
        <v>4.0349066173807708</v>
      </c>
      <c r="BM247" s="1287">
        <f t="shared" si="39"/>
        <v>4.0349066173807708</v>
      </c>
      <c r="BN247" s="1393">
        <f t="shared" si="48"/>
        <v>2.66330416630427E-2</v>
      </c>
      <c r="BO247" s="1377">
        <f t="shared" si="37"/>
        <v>4.0349066173807708</v>
      </c>
      <c r="BP247" s="208">
        <f t="shared" si="49"/>
        <v>2.66330416630427E-2</v>
      </c>
      <c r="BQ247" s="1378">
        <f t="shared" si="43"/>
        <v>4.7738064231668043</v>
      </c>
      <c r="BR247" s="1378">
        <f t="shared" si="40"/>
        <v>3.8988940792619338</v>
      </c>
      <c r="BS247" s="153">
        <v>0</v>
      </c>
      <c r="BU247" s="1389">
        <f t="shared" si="44"/>
        <v>43435</v>
      </c>
      <c r="BV247" s="1390">
        <v>3.3729293284800681</v>
      </c>
      <c r="BW247" s="1390">
        <v>2.5790121611462156</v>
      </c>
      <c r="BX247" s="1390"/>
      <c r="BY247" s="1390">
        <v>5.0119955524739765</v>
      </c>
      <c r="BZ247" s="1391">
        <v>3.8322764050517266</v>
      </c>
    </row>
    <row r="248" spans="1:78">
      <c r="A248" s="957"/>
      <c r="B248" s="951">
        <v>42856</v>
      </c>
      <c r="C248" s="952">
        <v>43.609662434549882</v>
      </c>
      <c r="D248" s="952"/>
      <c r="E248" s="952"/>
      <c r="F248" s="1292"/>
      <c r="G248" s="952"/>
      <c r="H248" s="952"/>
      <c r="I248" s="952"/>
      <c r="J248" s="9"/>
      <c r="K248" s="944">
        <v>43739</v>
      </c>
      <c r="L248" s="953">
        <v>0</v>
      </c>
      <c r="M248" s="953">
        <v>0</v>
      </c>
      <c r="N248" s="953">
        <v>0</v>
      </c>
      <c r="O248" s="13"/>
      <c r="P248" s="953">
        <v>0</v>
      </c>
      <c r="Q248" s="953">
        <v>0</v>
      </c>
      <c r="R248" s="953">
        <v>0</v>
      </c>
      <c r="S248" s="13"/>
      <c r="T248" s="953">
        <v>0</v>
      </c>
      <c r="U248" s="953">
        <v>0</v>
      </c>
      <c r="V248" s="953">
        <v>0</v>
      </c>
      <c r="W248" s="13"/>
      <c r="X248" s="953">
        <v>0</v>
      </c>
      <c r="Y248" s="953">
        <v>0</v>
      </c>
      <c r="Z248" s="953">
        <v>0</v>
      </c>
      <c r="AA248" s="13">
        <v>0</v>
      </c>
      <c r="AB248" s="953">
        <v>0</v>
      </c>
      <c r="AC248" s="953">
        <v>0</v>
      </c>
      <c r="AD248" s="953">
        <v>0</v>
      </c>
      <c r="AE248" s="13"/>
      <c r="AF248" s="953">
        <v>0</v>
      </c>
      <c r="AG248" s="953">
        <v>0</v>
      </c>
      <c r="AH248" s="953">
        <v>0</v>
      </c>
      <c r="AI248" s="13"/>
      <c r="AJ248" s="953">
        <v>0</v>
      </c>
      <c r="AK248" s="953">
        <v>0</v>
      </c>
      <c r="AL248" s="953">
        <v>0</v>
      </c>
      <c r="AM248" s="1455"/>
      <c r="AN248" s="9">
        <v>80</v>
      </c>
      <c r="AO248" s="955">
        <v>0.35</v>
      </c>
      <c r="AP248" s="13"/>
      <c r="AQ248"/>
      <c r="AR248"/>
      <c r="AS248"/>
      <c r="AT248"/>
      <c r="AU248" t="str">
        <f t="shared" si="41"/>
        <v>2020Q1</v>
      </c>
      <c r="AV248">
        <f t="shared" si="42"/>
        <v>2020</v>
      </c>
      <c r="AW248" s="111">
        <f t="shared" si="38"/>
        <v>43891</v>
      </c>
      <c r="AX248" s="136">
        <f t="shared" si="45"/>
        <v>3.8185059569793256</v>
      </c>
      <c r="AY248" s="1541">
        <v>3.8185059569793256</v>
      </c>
      <c r="AZ248" s="136">
        <f t="shared" si="46"/>
        <v>3.8185059569793256</v>
      </c>
      <c r="BA248" s="137"/>
      <c r="BB248" s="137"/>
      <c r="BC248" s="137"/>
      <c r="BD248" s="137">
        <v>0</v>
      </c>
      <c r="BE248" s="137"/>
      <c r="BF248" s="137">
        <v>0</v>
      </c>
      <c r="BG248" s="145">
        <v>0</v>
      </c>
      <c r="BH248" s="153"/>
      <c r="BI248" s="938"/>
      <c r="BJ248" s="924"/>
      <c r="BK248" s="1443">
        <v>0</v>
      </c>
      <c r="BL248" s="905">
        <f t="shared" si="47"/>
        <v>3.8185059569793256</v>
      </c>
      <c r="BM248" s="1287">
        <f t="shared" si="39"/>
        <v>3.8185059569793256</v>
      </c>
      <c r="BN248" s="1393">
        <f t="shared" si="48"/>
        <v>2.6688703764663257E-2</v>
      </c>
      <c r="BO248" s="1377">
        <f t="shared" si="37"/>
        <v>3.8185059569793256</v>
      </c>
      <c r="BP248" s="208">
        <f t="shared" si="49"/>
        <v>2.6688703764663257E-2</v>
      </c>
      <c r="BQ248" s="1378">
        <f t="shared" si="43"/>
        <v>4.6320634250385799</v>
      </c>
      <c r="BR248" s="1378">
        <f t="shared" si="40"/>
        <v>3.7053467536197444</v>
      </c>
      <c r="BS248" s="153">
        <v>0</v>
      </c>
      <c r="BU248" s="1389">
        <f t="shared" si="44"/>
        <v>43466</v>
      </c>
      <c r="BV248" s="1390">
        <v>3.2727467141838633</v>
      </c>
      <c r="BW248" s="1390">
        <v>2.6657768803007231</v>
      </c>
      <c r="BX248" s="1390"/>
      <c r="BY248" s="1390">
        <v>4.9603920467909912</v>
      </c>
      <c r="BZ248" s="1391">
        <v>4.0404282978130031</v>
      </c>
    </row>
    <row r="249" spans="1:78">
      <c r="A249" s="957"/>
      <c r="B249" s="951">
        <v>42887</v>
      </c>
      <c r="C249" s="952">
        <v>45.657053108424961</v>
      </c>
      <c r="D249" s="952"/>
      <c r="E249" s="952"/>
      <c r="F249" s="1292"/>
      <c r="G249" s="952"/>
      <c r="H249" s="952"/>
      <c r="I249" s="952"/>
      <c r="J249" s="9"/>
      <c r="K249" s="944">
        <v>43770</v>
      </c>
      <c r="L249" s="953">
        <v>0</v>
      </c>
      <c r="M249" s="953">
        <v>0</v>
      </c>
      <c r="N249" s="953">
        <v>0</v>
      </c>
      <c r="O249" s="13"/>
      <c r="P249" s="953">
        <v>0</v>
      </c>
      <c r="Q249" s="953">
        <v>0</v>
      </c>
      <c r="R249" s="953">
        <v>0</v>
      </c>
      <c r="S249" s="13"/>
      <c r="T249" s="953">
        <v>0</v>
      </c>
      <c r="U249" s="953">
        <v>0</v>
      </c>
      <c r="V249" s="953">
        <v>0</v>
      </c>
      <c r="W249" s="13"/>
      <c r="X249" s="953">
        <v>0</v>
      </c>
      <c r="Y249" s="953">
        <v>0</v>
      </c>
      <c r="Z249" s="953">
        <v>0</v>
      </c>
      <c r="AA249" s="13">
        <v>0</v>
      </c>
      <c r="AB249" s="953">
        <v>0</v>
      </c>
      <c r="AC249" s="953">
        <v>0</v>
      </c>
      <c r="AD249" s="953">
        <v>0</v>
      </c>
      <c r="AE249" s="13"/>
      <c r="AF249" s="953">
        <v>0</v>
      </c>
      <c r="AG249" s="953">
        <v>0</v>
      </c>
      <c r="AH249" s="953">
        <v>0</v>
      </c>
      <c r="AI249" s="13"/>
      <c r="AJ249" s="953">
        <v>0</v>
      </c>
      <c r="AK249" s="953">
        <v>0</v>
      </c>
      <c r="AL249" s="953">
        <v>0</v>
      </c>
      <c r="AM249" s="1455"/>
      <c r="AN249" s="9">
        <v>80</v>
      </c>
      <c r="AO249" s="955">
        <v>0.35</v>
      </c>
      <c r="AP249" s="13"/>
      <c r="AQ249"/>
      <c r="AR249"/>
      <c r="AS249"/>
      <c r="AT249"/>
      <c r="AU249" t="str">
        <f t="shared" si="41"/>
        <v>2020Q2</v>
      </c>
      <c r="AV249">
        <f t="shared" si="42"/>
        <v>2020</v>
      </c>
      <c r="AW249" s="111">
        <f t="shared" si="38"/>
        <v>43922</v>
      </c>
      <c r="AX249" s="136">
        <f t="shared" si="45"/>
        <v>3.70394805234407</v>
      </c>
      <c r="AY249" s="1541">
        <v>3.70394805234407</v>
      </c>
      <c r="AZ249" s="136">
        <f t="shared" si="46"/>
        <v>3.70394805234407</v>
      </c>
      <c r="BA249" s="137"/>
      <c r="BB249" s="137"/>
      <c r="BC249" s="137"/>
      <c r="BD249" s="137">
        <v>0</v>
      </c>
      <c r="BE249" s="137"/>
      <c r="BF249" s="137">
        <v>0</v>
      </c>
      <c r="BG249" s="145">
        <v>0</v>
      </c>
      <c r="BH249" s="153"/>
      <c r="BI249" s="938"/>
      <c r="BJ249" s="924"/>
      <c r="BK249" s="1443">
        <v>0</v>
      </c>
      <c r="BL249" s="905">
        <f t="shared" si="47"/>
        <v>3.70394805234407</v>
      </c>
      <c r="BM249" s="1287">
        <f t="shared" si="39"/>
        <v>3.70394805234407</v>
      </c>
      <c r="BN249" s="1393">
        <f t="shared" si="48"/>
        <v>2.6688703764663479E-2</v>
      </c>
      <c r="BO249" s="1377">
        <f t="shared" si="37"/>
        <v>3.70394805234407</v>
      </c>
      <c r="BP249" s="208">
        <f t="shared" si="49"/>
        <v>2.6688703764663479E-2</v>
      </c>
      <c r="BQ249" s="1378">
        <f t="shared" si="43"/>
        <v>4.5401748607347656</v>
      </c>
      <c r="BR249" s="1378">
        <f t="shared" si="40"/>
        <v>3.5927222322331267</v>
      </c>
      <c r="BS249" s="153">
        <v>0</v>
      </c>
      <c r="BU249" s="1389">
        <f t="shared" si="44"/>
        <v>43497</v>
      </c>
      <c r="BV249" s="1390">
        <v>3.0258031350898267</v>
      </c>
      <c r="BW249" s="1390">
        <v>2.4830111111281381</v>
      </c>
      <c r="BX249" s="1390"/>
      <c r="BY249" s="1390">
        <v>4.5861079751164651</v>
      </c>
      <c r="BZ249" s="1391">
        <v>3.7634163726615002</v>
      </c>
    </row>
    <row r="250" spans="1:78">
      <c r="A250" s="957"/>
      <c r="B250" s="951">
        <v>42917</v>
      </c>
      <c r="C250" s="952">
        <v>61.707272172458588</v>
      </c>
      <c r="D250" s="952"/>
      <c r="E250" s="952"/>
      <c r="F250" s="1292"/>
      <c r="G250" s="952"/>
      <c r="H250" s="952"/>
      <c r="I250" s="952"/>
      <c r="J250" s="9"/>
      <c r="K250" s="944">
        <v>43800</v>
      </c>
      <c r="L250" s="953">
        <v>0</v>
      </c>
      <c r="M250" s="953">
        <v>0</v>
      </c>
      <c r="N250" s="953">
        <v>0</v>
      </c>
      <c r="O250" s="13"/>
      <c r="P250" s="953">
        <v>0</v>
      </c>
      <c r="Q250" s="953">
        <v>0</v>
      </c>
      <c r="R250" s="953">
        <v>0</v>
      </c>
      <c r="S250" s="13"/>
      <c r="T250" s="953">
        <v>0</v>
      </c>
      <c r="U250" s="953">
        <v>0</v>
      </c>
      <c r="V250" s="953">
        <v>0</v>
      </c>
      <c r="W250" s="13"/>
      <c r="X250" s="953">
        <v>0</v>
      </c>
      <c r="Y250" s="953">
        <v>0</v>
      </c>
      <c r="Z250" s="953">
        <v>0</v>
      </c>
      <c r="AA250" s="13">
        <v>0</v>
      </c>
      <c r="AB250" s="953">
        <v>0</v>
      </c>
      <c r="AC250" s="953">
        <v>0</v>
      </c>
      <c r="AD250" s="953">
        <v>0</v>
      </c>
      <c r="AE250" s="13"/>
      <c r="AF250" s="953">
        <v>0</v>
      </c>
      <c r="AG250" s="953">
        <v>0</v>
      </c>
      <c r="AH250" s="953">
        <v>0</v>
      </c>
      <c r="AI250" s="13"/>
      <c r="AJ250" s="953">
        <v>0</v>
      </c>
      <c r="AK250" s="953">
        <v>0</v>
      </c>
      <c r="AL250" s="953">
        <v>0</v>
      </c>
      <c r="AM250" s="1455"/>
      <c r="AN250" s="9">
        <v>81</v>
      </c>
      <c r="AO250" s="955">
        <v>0.35</v>
      </c>
      <c r="AP250" s="13"/>
      <c r="AQ250"/>
      <c r="AR250"/>
      <c r="AS250"/>
      <c r="AT250"/>
      <c r="AU250" t="str">
        <f t="shared" si="41"/>
        <v>2020Q2</v>
      </c>
      <c r="AV250">
        <f t="shared" si="42"/>
        <v>2020</v>
      </c>
      <c r="AW250" s="111">
        <f t="shared" si="38"/>
        <v>43952</v>
      </c>
      <c r="AX250" s="136">
        <f t="shared" si="45"/>
        <v>3.6760140218912607</v>
      </c>
      <c r="AY250" s="1541">
        <v>3.6760140218912607</v>
      </c>
      <c r="AZ250" s="136">
        <f t="shared" si="46"/>
        <v>3.6760140218912607</v>
      </c>
      <c r="BA250" s="137"/>
      <c r="BB250" s="137"/>
      <c r="BC250" s="137"/>
      <c r="BD250" s="137">
        <v>0</v>
      </c>
      <c r="BE250" s="137"/>
      <c r="BF250" s="137">
        <v>0</v>
      </c>
      <c r="BG250" s="145">
        <v>0</v>
      </c>
      <c r="BH250" s="153"/>
      <c r="BI250" s="938"/>
      <c r="BJ250" s="924"/>
      <c r="BK250" s="1443">
        <v>0</v>
      </c>
      <c r="BL250" s="905">
        <f t="shared" si="47"/>
        <v>3.6760140218912607</v>
      </c>
      <c r="BM250" s="1287">
        <f t="shared" si="39"/>
        <v>3.6760140218912607</v>
      </c>
      <c r="BN250" s="1393">
        <f t="shared" si="48"/>
        <v>2.6688703764663257E-2</v>
      </c>
      <c r="BO250" s="1377">
        <f t="shared" si="37"/>
        <v>3.6760140218912607</v>
      </c>
      <c r="BP250" s="208">
        <f t="shared" si="49"/>
        <v>2.6688703764663257E-2</v>
      </c>
      <c r="BQ250" s="1378">
        <f t="shared" si="43"/>
        <v>4.4981407302553595</v>
      </c>
      <c r="BR250" s="1378">
        <f t="shared" si="40"/>
        <v>3.5485066793924549</v>
      </c>
      <c r="BS250" s="153">
        <v>0</v>
      </c>
      <c r="BU250" s="1389">
        <f t="shared" si="44"/>
        <v>43525</v>
      </c>
      <c r="BV250" s="1390">
        <v>2.9359615348875083</v>
      </c>
      <c r="BW250" s="1390">
        <v>2.3597504761047658</v>
      </c>
      <c r="BX250" s="1390"/>
      <c r="BY250" s="1390">
        <v>4.4499380854078785</v>
      </c>
      <c r="BZ250" s="1391">
        <v>3.5765943766290893</v>
      </c>
    </row>
    <row r="251" spans="1:78">
      <c r="A251" s="957"/>
      <c r="B251" s="951">
        <v>42948</v>
      </c>
      <c r="C251" s="952">
        <v>75.451007144558361</v>
      </c>
      <c r="D251" s="952"/>
      <c r="E251" s="952"/>
      <c r="F251" s="1292"/>
      <c r="G251" s="952"/>
      <c r="H251" s="952"/>
      <c r="I251" s="952"/>
      <c r="J251" s="9"/>
      <c r="K251" s="944">
        <v>43831</v>
      </c>
      <c r="L251" s="953">
        <v>0</v>
      </c>
      <c r="M251" s="953">
        <v>0</v>
      </c>
      <c r="N251" s="953">
        <v>0</v>
      </c>
      <c r="O251" s="13"/>
      <c r="P251" s="953">
        <v>0</v>
      </c>
      <c r="Q251" s="953">
        <v>0</v>
      </c>
      <c r="R251" s="953">
        <v>0</v>
      </c>
      <c r="S251" s="13"/>
      <c r="T251" s="953">
        <v>0</v>
      </c>
      <c r="U251" s="953">
        <v>0</v>
      </c>
      <c r="V251" s="953">
        <v>0</v>
      </c>
      <c r="W251" s="13"/>
      <c r="X251" s="953">
        <v>0</v>
      </c>
      <c r="Y251" s="953">
        <v>0</v>
      </c>
      <c r="Z251" s="953">
        <v>0</v>
      </c>
      <c r="AA251" s="13">
        <v>0</v>
      </c>
      <c r="AB251" s="953">
        <v>0</v>
      </c>
      <c r="AC251" s="953">
        <v>0</v>
      </c>
      <c r="AD251" s="953">
        <v>0</v>
      </c>
      <c r="AE251" s="13"/>
      <c r="AF251" s="953">
        <v>0</v>
      </c>
      <c r="AG251" s="953">
        <v>0</v>
      </c>
      <c r="AH251" s="953">
        <v>0</v>
      </c>
      <c r="AI251" s="13"/>
      <c r="AJ251" s="953">
        <v>0</v>
      </c>
      <c r="AK251" s="953">
        <v>0</v>
      </c>
      <c r="AL251" s="953">
        <v>0</v>
      </c>
      <c r="AM251" s="1455"/>
      <c r="AN251" s="9">
        <v>81</v>
      </c>
      <c r="AO251" s="955">
        <v>0.35</v>
      </c>
      <c r="AP251" s="13"/>
      <c r="AQ251"/>
      <c r="AR251"/>
      <c r="AS251"/>
      <c r="AT251"/>
      <c r="AU251" t="str">
        <f t="shared" si="41"/>
        <v>2020Q2</v>
      </c>
      <c r="AV251">
        <f t="shared" si="42"/>
        <v>2020</v>
      </c>
      <c r="AW251" s="111">
        <f t="shared" si="38"/>
        <v>43983</v>
      </c>
      <c r="AX251" s="136">
        <f t="shared" si="45"/>
        <v>3.72041814904038</v>
      </c>
      <c r="AY251" s="1541">
        <v>3.72041814904038</v>
      </c>
      <c r="AZ251" s="136">
        <f t="shared" si="46"/>
        <v>3.72041814904038</v>
      </c>
      <c r="BA251" s="137"/>
      <c r="BB251" s="137"/>
      <c r="BC251" s="137"/>
      <c r="BD251" s="137">
        <v>0</v>
      </c>
      <c r="BE251" s="137"/>
      <c r="BF251" s="137">
        <v>0</v>
      </c>
      <c r="BG251" s="145">
        <v>0</v>
      </c>
      <c r="BH251" s="153"/>
      <c r="BI251" s="938"/>
      <c r="BJ251" s="924"/>
      <c r="BK251" s="1443">
        <v>0</v>
      </c>
      <c r="BL251" s="905">
        <f t="shared" si="47"/>
        <v>3.72041814904038</v>
      </c>
      <c r="BM251" s="1287">
        <f t="shared" si="39"/>
        <v>3.72041814904038</v>
      </c>
      <c r="BN251" s="1393">
        <f t="shared" si="48"/>
        <v>2.6688703764663257E-2</v>
      </c>
      <c r="BO251" s="1377">
        <f t="shared" si="37"/>
        <v>3.72041814904038</v>
      </c>
      <c r="BP251" s="208">
        <f t="shared" si="49"/>
        <v>2.6688703764663257E-2</v>
      </c>
      <c r="BQ251" s="1378">
        <f t="shared" si="43"/>
        <v>4.5059610336003653</v>
      </c>
      <c r="BR251" s="1378">
        <f t="shared" si="40"/>
        <v>3.5601862593881037</v>
      </c>
      <c r="BS251" s="153">
        <v>0</v>
      </c>
      <c r="BU251" s="1389">
        <f t="shared" si="44"/>
        <v>43556</v>
      </c>
      <c r="BV251" s="1390">
        <v>2.8777193940666943</v>
      </c>
      <c r="BW251" s="1390">
        <v>2.2880255376213388</v>
      </c>
      <c r="BX251" s="1390"/>
      <c r="BY251" s="1390">
        <v>4.361662432769208</v>
      </c>
      <c r="BZ251" s="1391">
        <v>3.4678833013516099</v>
      </c>
    </row>
    <row r="252" spans="1:78">
      <c r="A252" s="957"/>
      <c r="B252" s="951">
        <v>42979</v>
      </c>
      <c r="C252" s="952">
        <v>64.640416875055436</v>
      </c>
      <c r="D252" s="952"/>
      <c r="E252" s="952"/>
      <c r="F252" s="1292"/>
      <c r="G252" s="952"/>
      <c r="H252" s="952"/>
      <c r="I252" s="952"/>
      <c r="J252" s="9"/>
      <c r="K252" s="944">
        <v>43862</v>
      </c>
      <c r="L252" s="953">
        <v>0</v>
      </c>
      <c r="M252" s="953">
        <v>0</v>
      </c>
      <c r="N252" s="953">
        <v>0</v>
      </c>
      <c r="O252" s="13"/>
      <c r="P252" s="953">
        <v>0</v>
      </c>
      <c r="Q252" s="953">
        <v>0</v>
      </c>
      <c r="R252" s="953">
        <v>0</v>
      </c>
      <c r="S252" s="13"/>
      <c r="T252" s="953">
        <v>0</v>
      </c>
      <c r="U252" s="953">
        <v>0</v>
      </c>
      <c r="V252" s="953">
        <v>0</v>
      </c>
      <c r="W252" s="13"/>
      <c r="X252" s="953">
        <v>0</v>
      </c>
      <c r="Y252" s="953">
        <v>0</v>
      </c>
      <c r="Z252" s="953">
        <v>0</v>
      </c>
      <c r="AA252" s="13">
        <v>0</v>
      </c>
      <c r="AB252" s="953">
        <v>0</v>
      </c>
      <c r="AC252" s="953">
        <v>0</v>
      </c>
      <c r="AD252" s="953">
        <v>0</v>
      </c>
      <c r="AE252" s="13"/>
      <c r="AF252" s="953">
        <v>0</v>
      </c>
      <c r="AG252" s="953">
        <v>0</v>
      </c>
      <c r="AH252" s="953">
        <v>0</v>
      </c>
      <c r="AI252" s="13"/>
      <c r="AJ252" s="953">
        <v>0</v>
      </c>
      <c r="AK252" s="953">
        <v>0</v>
      </c>
      <c r="AL252" s="953">
        <v>0</v>
      </c>
      <c r="AM252" s="1455"/>
      <c r="AN252" s="9">
        <v>81</v>
      </c>
      <c r="AO252" s="955">
        <v>0.35</v>
      </c>
      <c r="AP252" s="13"/>
      <c r="AQ252"/>
      <c r="AR252"/>
      <c r="AS252"/>
      <c r="AT252"/>
      <c r="AU252" t="str">
        <f t="shared" si="41"/>
        <v>2020Q3</v>
      </c>
      <c r="AV252">
        <f t="shared" si="42"/>
        <v>2020</v>
      </c>
      <c r="AW252" s="111">
        <f t="shared" si="38"/>
        <v>44013</v>
      </c>
      <c r="AX252" s="136">
        <f t="shared" si="45"/>
        <v>3.8219710190877305</v>
      </c>
      <c r="AY252" s="1541">
        <v>3.8219710190877305</v>
      </c>
      <c r="AZ252" s="136">
        <f t="shared" si="46"/>
        <v>3.8219710190877305</v>
      </c>
      <c r="BA252" s="137"/>
      <c r="BB252" s="137"/>
      <c r="BC252" s="137"/>
      <c r="BD252" s="137">
        <v>0</v>
      </c>
      <c r="BE252" s="137"/>
      <c r="BF252" s="137">
        <v>0</v>
      </c>
      <c r="BG252" s="145">
        <v>0</v>
      </c>
      <c r="BH252" s="153"/>
      <c r="BI252" s="938"/>
      <c r="BJ252" s="924"/>
      <c r="BK252" s="1443">
        <v>0</v>
      </c>
      <c r="BL252" s="905">
        <f t="shared" si="47"/>
        <v>3.8219710190877305</v>
      </c>
      <c r="BM252" s="1287">
        <f t="shared" si="39"/>
        <v>3.8219710190877305</v>
      </c>
      <c r="BN252" s="1393">
        <f t="shared" si="48"/>
        <v>2.6688703764663479E-2</v>
      </c>
      <c r="BO252" s="1377">
        <f t="shared" si="37"/>
        <v>3.8219710190877305</v>
      </c>
      <c r="BP252" s="208">
        <f t="shared" si="49"/>
        <v>2.6688703764663479E-2</v>
      </c>
      <c r="BQ252" s="1378">
        <f t="shared" si="43"/>
        <v>4.563635770769781</v>
      </c>
      <c r="BR252" s="1378">
        <f t="shared" si="40"/>
        <v>3.6152471365104502</v>
      </c>
      <c r="BS252" s="153">
        <v>0</v>
      </c>
      <c r="BU252" s="1389">
        <f t="shared" si="44"/>
        <v>43586</v>
      </c>
      <c r="BV252" s="1390">
        <v>2.8510767126273859</v>
      </c>
      <c r="BW252" s="1390">
        <v>2.2598668580685857</v>
      </c>
      <c r="BX252" s="1390"/>
      <c r="BY252" s="1390">
        <v>4.3212810172004543</v>
      </c>
      <c r="BZ252" s="1391">
        <v>3.4252041384648955</v>
      </c>
    </row>
    <row r="253" spans="1:78">
      <c r="A253" s="957"/>
      <c r="B253" s="951">
        <v>43009</v>
      </c>
      <c r="C253" s="952">
        <v>55.822424591706451</v>
      </c>
      <c r="D253" s="952"/>
      <c r="E253" s="952"/>
      <c r="F253" s="1292"/>
      <c r="G253" s="952"/>
      <c r="H253" s="952"/>
      <c r="I253" s="952"/>
      <c r="J253" s="9"/>
      <c r="K253" s="944">
        <v>43891</v>
      </c>
      <c r="L253" s="953">
        <v>0</v>
      </c>
      <c r="M253" s="953">
        <v>0</v>
      </c>
      <c r="N253" s="953">
        <v>0</v>
      </c>
      <c r="O253" s="13"/>
      <c r="P253" s="953">
        <v>0</v>
      </c>
      <c r="Q253" s="953">
        <v>0</v>
      </c>
      <c r="R253" s="953">
        <v>0</v>
      </c>
      <c r="S253" s="13"/>
      <c r="T253" s="953">
        <v>0</v>
      </c>
      <c r="U253" s="953">
        <v>0</v>
      </c>
      <c r="V253" s="953">
        <v>0</v>
      </c>
      <c r="W253" s="13"/>
      <c r="X253" s="953">
        <v>0</v>
      </c>
      <c r="Y253" s="953">
        <v>0</v>
      </c>
      <c r="Z253" s="953">
        <v>0</v>
      </c>
      <c r="AA253" s="13">
        <v>0</v>
      </c>
      <c r="AB253" s="953">
        <v>0</v>
      </c>
      <c r="AC253" s="953">
        <v>0</v>
      </c>
      <c r="AD253" s="953">
        <v>0</v>
      </c>
      <c r="AE253" s="13"/>
      <c r="AF253" s="953">
        <v>0</v>
      </c>
      <c r="AG253" s="953">
        <v>0</v>
      </c>
      <c r="AH253" s="953">
        <v>0</v>
      </c>
      <c r="AI253" s="13"/>
      <c r="AJ253" s="953">
        <v>0</v>
      </c>
      <c r="AK253" s="953">
        <v>0</v>
      </c>
      <c r="AL253" s="953">
        <v>0</v>
      </c>
      <c r="AM253" s="1455"/>
      <c r="AN253" s="9">
        <v>82</v>
      </c>
      <c r="AO253" s="955">
        <v>0.35</v>
      </c>
      <c r="AP253" s="13"/>
      <c r="AQ253"/>
      <c r="AR253"/>
      <c r="AS253"/>
      <c r="AT253"/>
      <c r="AU253" t="str">
        <f t="shared" si="41"/>
        <v>2020Q3</v>
      </c>
      <c r="AV253">
        <f t="shared" si="42"/>
        <v>2020</v>
      </c>
      <c r="AW253" s="111">
        <f t="shared" si="38"/>
        <v>44044</v>
      </c>
      <c r="AX253" s="136">
        <f t="shared" si="45"/>
        <v>3.9661971859070753</v>
      </c>
      <c r="AY253" s="1541">
        <v>3.9661971859070753</v>
      </c>
      <c r="AZ253" s="136">
        <f t="shared" si="46"/>
        <v>3.9661971859070753</v>
      </c>
      <c r="BA253" s="137"/>
      <c r="BB253" s="137"/>
      <c r="BC253" s="137"/>
      <c r="BD253" s="137">
        <v>0</v>
      </c>
      <c r="BE253" s="137"/>
      <c r="BF253" s="137">
        <v>0</v>
      </c>
      <c r="BG253" s="145">
        <v>0</v>
      </c>
      <c r="BH253" s="153"/>
      <c r="BI253" s="938"/>
      <c r="BJ253" s="924"/>
      <c r="BK253" s="1443">
        <v>0</v>
      </c>
      <c r="BL253" s="905">
        <f t="shared" si="47"/>
        <v>3.9661971859070753</v>
      </c>
      <c r="BM253" s="1287">
        <f t="shared" si="39"/>
        <v>3.9661971859070753</v>
      </c>
      <c r="BN253" s="1393">
        <f t="shared" si="48"/>
        <v>2.6688703764663479E-2</v>
      </c>
      <c r="BO253" s="1377">
        <f t="shared" si="37"/>
        <v>3.9661971859070753</v>
      </c>
      <c r="BP253" s="208">
        <f t="shared" si="49"/>
        <v>2.6688703764663479E-2</v>
      </c>
      <c r="BQ253" s="1378">
        <f t="shared" si="43"/>
        <v>4.6711649417636067</v>
      </c>
      <c r="BR253" s="1378">
        <f t="shared" si="40"/>
        <v>3.7011754750498707</v>
      </c>
      <c r="BS253" s="153">
        <v>0</v>
      </c>
      <c r="BU253" s="1389">
        <f t="shared" si="44"/>
        <v>43617</v>
      </c>
      <c r="BV253" s="1390">
        <v>2.8560334905695828</v>
      </c>
      <c r="BW253" s="1390">
        <v>2.2673049998372372</v>
      </c>
      <c r="BX253" s="1390"/>
      <c r="BY253" s="1390">
        <v>4.3287938387016176</v>
      </c>
      <c r="BZ253" s="1391">
        <v>3.4364778796047823</v>
      </c>
    </row>
    <row r="254" spans="1:78">
      <c r="A254" s="957"/>
      <c r="B254" s="951">
        <v>43040</v>
      </c>
      <c r="C254" s="952">
        <v>59.476959902541537</v>
      </c>
      <c r="D254" s="952"/>
      <c r="E254" s="952"/>
      <c r="F254" s="1292"/>
      <c r="G254" s="952"/>
      <c r="H254" s="952"/>
      <c r="I254" s="952"/>
      <c r="J254" s="9"/>
      <c r="K254" s="944">
        <v>43922</v>
      </c>
      <c r="L254" s="953">
        <v>0</v>
      </c>
      <c r="M254" s="953">
        <v>0</v>
      </c>
      <c r="N254" s="953">
        <v>0</v>
      </c>
      <c r="O254" s="13"/>
      <c r="P254" s="953">
        <v>0</v>
      </c>
      <c r="Q254" s="953">
        <v>0</v>
      </c>
      <c r="R254" s="953">
        <v>0</v>
      </c>
      <c r="S254" s="13"/>
      <c r="T254" s="953">
        <v>0</v>
      </c>
      <c r="U254" s="953">
        <v>0</v>
      </c>
      <c r="V254" s="953">
        <v>0</v>
      </c>
      <c r="W254" s="13"/>
      <c r="X254" s="953">
        <v>0</v>
      </c>
      <c r="Y254" s="953">
        <v>0</v>
      </c>
      <c r="Z254" s="953">
        <v>0</v>
      </c>
      <c r="AA254" s="13">
        <v>0</v>
      </c>
      <c r="AB254" s="953">
        <v>0</v>
      </c>
      <c r="AC254" s="953">
        <v>0</v>
      </c>
      <c r="AD254" s="953">
        <v>0</v>
      </c>
      <c r="AE254" s="13"/>
      <c r="AF254" s="953">
        <v>0</v>
      </c>
      <c r="AG254" s="953">
        <v>0</v>
      </c>
      <c r="AH254" s="953">
        <v>0</v>
      </c>
      <c r="AI254" s="13"/>
      <c r="AJ254" s="953">
        <v>0</v>
      </c>
      <c r="AK254" s="953">
        <v>0</v>
      </c>
      <c r="AL254" s="953">
        <v>0</v>
      </c>
      <c r="AM254" s="1455"/>
      <c r="AN254" s="9">
        <v>82</v>
      </c>
      <c r="AO254" s="955">
        <v>0.35</v>
      </c>
      <c r="AP254" s="13"/>
      <c r="AQ254"/>
      <c r="AR254"/>
      <c r="AS254"/>
      <c r="AT254"/>
      <c r="AU254" t="str">
        <f t="shared" si="41"/>
        <v>2020Q3</v>
      </c>
      <c r="AV254">
        <f t="shared" si="42"/>
        <v>2020</v>
      </c>
      <c r="AW254" s="111">
        <f t="shared" si="38"/>
        <v>44075</v>
      </c>
      <c r="AX254" s="136">
        <f t="shared" si="45"/>
        <v>4.1379125850213176</v>
      </c>
      <c r="AY254" s="1541">
        <v>4.1379125850213176</v>
      </c>
      <c r="AZ254" s="136">
        <f t="shared" si="46"/>
        <v>4.1379125850213176</v>
      </c>
      <c r="BA254" s="137"/>
      <c r="BB254" s="137"/>
      <c r="BC254" s="137"/>
      <c r="BD254" s="137">
        <v>0</v>
      </c>
      <c r="BE254" s="137"/>
      <c r="BF254" s="137">
        <v>0</v>
      </c>
      <c r="BG254" s="145">
        <v>0</v>
      </c>
      <c r="BH254" s="153"/>
      <c r="BI254" s="938"/>
      <c r="BJ254" s="924"/>
      <c r="BK254" s="1443">
        <v>0</v>
      </c>
      <c r="BL254" s="905">
        <f t="shared" si="47"/>
        <v>4.1379125850213176</v>
      </c>
      <c r="BM254" s="1287">
        <f t="shared" si="39"/>
        <v>4.1379125850213176</v>
      </c>
      <c r="BN254" s="1393">
        <f t="shared" si="48"/>
        <v>2.6688703764663702E-2</v>
      </c>
      <c r="BO254" s="1377">
        <f t="shared" si="37"/>
        <v>4.1379125850213176</v>
      </c>
      <c r="BP254" s="208">
        <f t="shared" si="49"/>
        <v>2.6688703764663702E-2</v>
      </c>
      <c r="BQ254" s="1378">
        <f t="shared" si="43"/>
        <v>4.8285485465818425</v>
      </c>
      <c r="BR254" s="1378">
        <f t="shared" si="40"/>
        <v>3.8054574392967395</v>
      </c>
      <c r="BS254" s="153">
        <v>0</v>
      </c>
      <c r="BU254" s="1389">
        <f t="shared" si="44"/>
        <v>43647</v>
      </c>
      <c r="BV254" s="1390">
        <v>2.8925897278932848</v>
      </c>
      <c r="BW254" s="1390">
        <v>2.302370525318024</v>
      </c>
      <c r="BX254" s="1390"/>
      <c r="BY254" s="1390">
        <v>4.3842008972726978</v>
      </c>
      <c r="BZ254" s="1391">
        <v>3.4896255164071057</v>
      </c>
    </row>
    <row r="255" spans="1:78">
      <c r="A255" s="957"/>
      <c r="B255" s="951">
        <v>43070</v>
      </c>
      <c r="C255" s="952">
        <v>58.144461977136217</v>
      </c>
      <c r="D255" s="952"/>
      <c r="E255" s="952"/>
      <c r="F255" s="1292"/>
      <c r="G255" s="952"/>
      <c r="H255" s="952"/>
      <c r="I255" s="952"/>
      <c r="J255" s="9"/>
      <c r="K255" s="944">
        <v>43952</v>
      </c>
      <c r="L255" s="953">
        <v>0</v>
      </c>
      <c r="M255" s="953">
        <v>0</v>
      </c>
      <c r="N255" s="953">
        <v>0</v>
      </c>
      <c r="O255" s="13"/>
      <c r="P255" s="953">
        <v>0</v>
      </c>
      <c r="Q255" s="953">
        <v>0</v>
      </c>
      <c r="R255" s="953">
        <v>0</v>
      </c>
      <c r="S255" s="13"/>
      <c r="T255" s="953">
        <v>0</v>
      </c>
      <c r="U255" s="953">
        <v>0</v>
      </c>
      <c r="V255" s="953">
        <v>0</v>
      </c>
      <c r="W255" s="13"/>
      <c r="X255" s="953">
        <v>0</v>
      </c>
      <c r="Y255" s="953">
        <v>0</v>
      </c>
      <c r="Z255" s="953">
        <v>0</v>
      </c>
      <c r="AA255" s="13">
        <v>0</v>
      </c>
      <c r="AB255" s="953">
        <v>0</v>
      </c>
      <c r="AC255" s="953">
        <v>0</v>
      </c>
      <c r="AD255" s="953">
        <v>0</v>
      </c>
      <c r="AE255" s="13"/>
      <c r="AF255" s="953">
        <v>0</v>
      </c>
      <c r="AG255" s="953">
        <v>0</v>
      </c>
      <c r="AH255" s="953">
        <v>0</v>
      </c>
      <c r="AI255" s="13"/>
      <c r="AJ255" s="953">
        <v>0</v>
      </c>
      <c r="AK255" s="953">
        <v>0</v>
      </c>
      <c r="AL255" s="953">
        <v>0</v>
      </c>
      <c r="AM255" s="1455"/>
      <c r="AN255" s="9">
        <v>82</v>
      </c>
      <c r="AO255" s="955">
        <v>0.35</v>
      </c>
      <c r="AP255" s="13"/>
      <c r="AQ255"/>
      <c r="AR255"/>
      <c r="AS255"/>
      <c r="AT255"/>
      <c r="AU255" t="str">
        <f t="shared" si="41"/>
        <v>2020Q4</v>
      </c>
      <c r="AV255">
        <f t="shared" si="42"/>
        <v>2020</v>
      </c>
      <c r="AW255" s="111">
        <f t="shared" si="38"/>
        <v>44105</v>
      </c>
      <c r="AX255" s="136">
        <f t="shared" si="45"/>
        <v>4.3217990070793197</v>
      </c>
      <c r="AY255" s="1541">
        <v>4.3217990070793197</v>
      </c>
      <c r="AZ255" s="136">
        <f t="shared" si="46"/>
        <v>4.3217990070793197</v>
      </c>
      <c r="BA255" s="137"/>
      <c r="BB255" s="137"/>
      <c r="BC255" s="137"/>
      <c r="BD255" s="137">
        <v>0</v>
      </c>
      <c r="BE255" s="137"/>
      <c r="BF255" s="137">
        <v>0</v>
      </c>
      <c r="BG255" s="145">
        <v>0</v>
      </c>
      <c r="BH255" s="153"/>
      <c r="BI255" s="938"/>
      <c r="BJ255" s="924"/>
      <c r="BK255" s="1443">
        <v>0</v>
      </c>
      <c r="BL255" s="905">
        <f t="shared" si="47"/>
        <v>4.3217990070793197</v>
      </c>
      <c r="BM255" s="1287">
        <f t="shared" si="39"/>
        <v>4.3217990070793197</v>
      </c>
      <c r="BN255" s="1393">
        <f t="shared" si="48"/>
        <v>2.6688703764663257E-2</v>
      </c>
      <c r="BO255" s="1377">
        <f t="shared" si="37"/>
        <v>4.3217990070793197</v>
      </c>
      <c r="BP255" s="208">
        <f t="shared" si="49"/>
        <v>2.6688703764663257E-2</v>
      </c>
      <c r="BQ255" s="1378">
        <f t="shared" si="43"/>
        <v>5.0357865852244892</v>
      </c>
      <c r="BR255" s="1378">
        <f t="shared" si="40"/>
        <v>3.9155791935414337</v>
      </c>
      <c r="BS255" s="153">
        <v>0</v>
      </c>
      <c r="BU255" s="1389">
        <f t="shared" si="44"/>
        <v>43678</v>
      </c>
      <c r="BV255" s="1390">
        <v>2.9607454245984921</v>
      </c>
      <c r="BW255" s="1390">
        <v>2.3570939969016766</v>
      </c>
      <c r="BX255" s="1390"/>
      <c r="BY255" s="1390">
        <v>4.4875021929136949</v>
      </c>
      <c r="BZ255" s="1391">
        <v>3.572568040507702</v>
      </c>
    </row>
    <row r="256" spans="1:78">
      <c r="A256" s="957"/>
      <c r="B256" s="951">
        <v>43101</v>
      </c>
      <c r="C256" s="952">
        <v>55.044094319928945</v>
      </c>
      <c r="D256" s="952"/>
      <c r="E256" s="952"/>
      <c r="F256" s="1292"/>
      <c r="G256" s="952"/>
      <c r="H256" s="952"/>
      <c r="I256" s="952"/>
      <c r="J256" s="9"/>
      <c r="K256" s="944">
        <v>43983</v>
      </c>
      <c r="L256" s="953">
        <v>0</v>
      </c>
      <c r="M256" s="953">
        <v>0</v>
      </c>
      <c r="N256" s="953">
        <v>0</v>
      </c>
      <c r="O256" s="13"/>
      <c r="P256" s="953">
        <v>0</v>
      </c>
      <c r="Q256" s="953">
        <v>0</v>
      </c>
      <c r="R256" s="953">
        <v>0</v>
      </c>
      <c r="S256" s="13"/>
      <c r="T256" s="953">
        <v>0</v>
      </c>
      <c r="U256" s="953">
        <v>0</v>
      </c>
      <c r="V256" s="953">
        <v>0</v>
      </c>
      <c r="W256" s="13"/>
      <c r="X256" s="953">
        <v>0</v>
      </c>
      <c r="Y256" s="953">
        <v>0</v>
      </c>
      <c r="Z256" s="953">
        <v>0</v>
      </c>
      <c r="AA256" s="13">
        <v>0</v>
      </c>
      <c r="AB256" s="953">
        <v>0</v>
      </c>
      <c r="AC256" s="953">
        <v>0</v>
      </c>
      <c r="AD256" s="953">
        <v>0</v>
      </c>
      <c r="AE256" s="13"/>
      <c r="AF256" s="953">
        <v>0</v>
      </c>
      <c r="AG256" s="953">
        <v>0</v>
      </c>
      <c r="AH256" s="953">
        <v>0</v>
      </c>
      <c r="AI256" s="13"/>
      <c r="AJ256" s="953">
        <v>0</v>
      </c>
      <c r="AK256" s="953">
        <v>0</v>
      </c>
      <c r="AL256" s="953">
        <v>0</v>
      </c>
      <c r="AM256" s="1455"/>
      <c r="AN256" s="9">
        <v>83</v>
      </c>
      <c r="AO256" s="955">
        <v>0.35</v>
      </c>
      <c r="AP256" s="13"/>
      <c r="AQ256"/>
      <c r="AR256"/>
      <c r="AS256"/>
      <c r="AT256"/>
      <c r="AU256" t="str">
        <f t="shared" si="41"/>
        <v>2020Q4</v>
      </c>
      <c r="AV256">
        <f t="shared" si="42"/>
        <v>2020</v>
      </c>
      <c r="AW256" s="111">
        <f t="shared" si="38"/>
        <v>44136</v>
      </c>
      <c r="AX256" s="136">
        <f t="shared" si="45"/>
        <v>4.5031294144693321</v>
      </c>
      <c r="AY256" s="1541">
        <v>4.5031294144693321</v>
      </c>
      <c r="AZ256" s="136">
        <f t="shared" si="46"/>
        <v>4.5031294144693321</v>
      </c>
      <c r="BA256" s="137"/>
      <c r="BB256" s="137"/>
      <c r="BC256" s="137"/>
      <c r="BD256" s="137">
        <v>0</v>
      </c>
      <c r="BE256" s="137"/>
      <c r="BF256" s="137">
        <v>0</v>
      </c>
      <c r="BG256" s="145">
        <v>0</v>
      </c>
      <c r="BH256" s="153"/>
      <c r="BI256" s="938"/>
      <c r="BJ256" s="924"/>
      <c r="BK256" s="1443">
        <v>0</v>
      </c>
      <c r="BL256" s="905">
        <f t="shared" si="47"/>
        <v>4.5031294144693321</v>
      </c>
      <c r="BM256" s="1287">
        <f t="shared" si="39"/>
        <v>4.5031294144693321</v>
      </c>
      <c r="BN256" s="1393">
        <f t="shared" si="48"/>
        <v>2.6688703764663479E-2</v>
      </c>
      <c r="BO256" s="1377">
        <f t="shared" si="37"/>
        <v>4.5031294144693321</v>
      </c>
      <c r="BP256" s="208">
        <f t="shared" si="49"/>
        <v>2.6688703764663479E-2</v>
      </c>
      <c r="BQ256" s="1378">
        <f t="shared" si="43"/>
        <v>5.2928790576915459</v>
      </c>
      <c r="BR256" s="1378">
        <f t="shared" si="40"/>
        <v>4.0190269020743283</v>
      </c>
      <c r="BS256" s="153">
        <v>0</v>
      </c>
      <c r="BU256" s="1389">
        <f t="shared" si="44"/>
        <v>43709</v>
      </c>
      <c r="BV256" s="1390">
        <v>3.060500580685205</v>
      </c>
      <c r="BW256" s="1390">
        <v>2.4235059769789244</v>
      </c>
      <c r="BX256" s="1390"/>
      <c r="BY256" s="1390">
        <v>4.6386977256246098</v>
      </c>
      <c r="BZ256" s="1391">
        <v>3.673226443542406</v>
      </c>
    </row>
    <row r="257" spans="1:78">
      <c r="A257" s="957"/>
      <c r="B257" s="951">
        <v>43132</v>
      </c>
      <c r="C257" s="952">
        <v>43.237973867032736</v>
      </c>
      <c r="D257" s="952"/>
      <c r="E257" s="952"/>
      <c r="F257" s="1292"/>
      <c r="G257" s="952"/>
      <c r="H257" s="952"/>
      <c r="I257" s="952"/>
      <c r="J257" s="9"/>
      <c r="K257" s="944">
        <v>44013</v>
      </c>
      <c r="L257" s="953">
        <v>0</v>
      </c>
      <c r="M257" s="953">
        <v>0</v>
      </c>
      <c r="N257" s="953">
        <v>0</v>
      </c>
      <c r="O257" s="13"/>
      <c r="P257" s="953">
        <v>0</v>
      </c>
      <c r="Q257" s="953">
        <v>0</v>
      </c>
      <c r="R257" s="953">
        <v>0</v>
      </c>
      <c r="S257" s="13"/>
      <c r="T257" s="953">
        <v>0</v>
      </c>
      <c r="U257" s="953">
        <v>0</v>
      </c>
      <c r="V257" s="953">
        <v>0</v>
      </c>
      <c r="W257" s="13"/>
      <c r="X257" s="953">
        <v>0</v>
      </c>
      <c r="Y257" s="953">
        <v>0</v>
      </c>
      <c r="Z257" s="953">
        <v>0</v>
      </c>
      <c r="AA257" s="13">
        <v>0</v>
      </c>
      <c r="AB257" s="953">
        <v>0</v>
      </c>
      <c r="AC257" s="953">
        <v>0</v>
      </c>
      <c r="AD257" s="953">
        <v>0</v>
      </c>
      <c r="AE257" s="13"/>
      <c r="AF257" s="953">
        <v>0</v>
      </c>
      <c r="AG257" s="953">
        <v>0</v>
      </c>
      <c r="AH257" s="953">
        <v>0</v>
      </c>
      <c r="AI257" s="13"/>
      <c r="AJ257" s="953">
        <v>0</v>
      </c>
      <c r="AK257" s="953">
        <v>0</v>
      </c>
      <c r="AL257" s="953">
        <v>0</v>
      </c>
      <c r="AM257" s="1455"/>
      <c r="AN257" s="9">
        <v>83</v>
      </c>
      <c r="AO257" s="955">
        <v>0.35</v>
      </c>
      <c r="AP257" s="13"/>
      <c r="AQ257"/>
      <c r="AR257"/>
      <c r="AS257"/>
      <c r="AT257"/>
      <c r="AU257" t="str">
        <f t="shared" si="41"/>
        <v>2020Q4</v>
      </c>
      <c r="AV257">
        <f t="shared" si="42"/>
        <v>2020</v>
      </c>
      <c r="AW257" s="111">
        <f t="shared" si="38"/>
        <v>44166</v>
      </c>
      <c r="AX257" s="136">
        <f t="shared" si="45"/>
        <v>4.6946704802177877</v>
      </c>
      <c r="AY257" s="1541">
        <v>4.6946704802177877</v>
      </c>
      <c r="AZ257" s="136">
        <f t="shared" si="46"/>
        <v>4.6946704802177877</v>
      </c>
      <c r="BA257" s="137"/>
      <c r="BB257" s="137"/>
      <c r="BC257" s="137"/>
      <c r="BD257" s="137">
        <v>0</v>
      </c>
      <c r="BE257" s="137"/>
      <c r="BF257" s="137">
        <v>0</v>
      </c>
      <c r="BG257" s="145">
        <v>0</v>
      </c>
      <c r="BH257" s="153"/>
      <c r="BI257" s="938"/>
      <c r="BJ257" s="924"/>
      <c r="BK257" s="1443">
        <v>0</v>
      </c>
      <c r="BL257" s="905">
        <f t="shared" si="47"/>
        <v>4.6946704802177877</v>
      </c>
      <c r="BM257" s="1287">
        <f t="shared" si="39"/>
        <v>4.6946704802177877</v>
      </c>
      <c r="BN257" s="1393">
        <f t="shared" si="48"/>
        <v>2.6688703764663479E-2</v>
      </c>
      <c r="BO257" s="1377">
        <f t="shared" si="37"/>
        <v>4.6946704802177877</v>
      </c>
      <c r="BP257" s="208">
        <f t="shared" si="49"/>
        <v>2.6688703764663479E-2</v>
      </c>
      <c r="BQ257" s="1378">
        <f t="shared" si="43"/>
        <v>5.4046898447667626</v>
      </c>
      <c r="BR257" s="1378">
        <f t="shared" si="40"/>
        <v>4.1032867291857968</v>
      </c>
      <c r="BS257" s="153">
        <v>0</v>
      </c>
      <c r="BU257" s="1389">
        <f t="shared" si="44"/>
        <v>43739</v>
      </c>
      <c r="BV257" s="1390">
        <v>3.1918551961534232</v>
      </c>
      <c r="BW257" s="1390">
        <v>2.493637027940498</v>
      </c>
      <c r="BX257" s="1390"/>
      <c r="BY257" s="1390">
        <v>4.8377874954054407</v>
      </c>
      <c r="BZ257" s="1391">
        <v>3.7795217171470532</v>
      </c>
    </row>
    <row r="258" spans="1:78">
      <c r="A258" s="957"/>
      <c r="B258" s="951">
        <v>43160</v>
      </c>
      <c r="C258" s="952">
        <v>42.26071543978766</v>
      </c>
      <c r="D258" s="952"/>
      <c r="E258" s="952"/>
      <c r="F258" s="1292"/>
      <c r="G258" s="952"/>
      <c r="H258" s="952"/>
      <c r="I258" s="952"/>
      <c r="J258" s="9"/>
      <c r="K258" s="944">
        <v>44044</v>
      </c>
      <c r="L258" s="953">
        <v>0</v>
      </c>
      <c r="M258" s="953">
        <v>0</v>
      </c>
      <c r="N258" s="953">
        <v>0</v>
      </c>
      <c r="O258" s="13"/>
      <c r="P258" s="953">
        <v>0</v>
      </c>
      <c r="Q258" s="953">
        <v>0</v>
      </c>
      <c r="R258" s="953">
        <v>0</v>
      </c>
      <c r="S258" s="13"/>
      <c r="T258" s="953">
        <v>0</v>
      </c>
      <c r="U258" s="953">
        <v>0</v>
      </c>
      <c r="V258" s="953">
        <v>0</v>
      </c>
      <c r="W258" s="13"/>
      <c r="X258" s="953">
        <v>0</v>
      </c>
      <c r="Y258" s="953">
        <v>0</v>
      </c>
      <c r="Z258" s="953">
        <v>0</v>
      </c>
      <c r="AA258" s="13">
        <v>0</v>
      </c>
      <c r="AB258" s="953">
        <v>0</v>
      </c>
      <c r="AC258" s="953">
        <v>0</v>
      </c>
      <c r="AD258" s="953">
        <v>0</v>
      </c>
      <c r="AE258" s="13"/>
      <c r="AF258" s="953">
        <v>0</v>
      </c>
      <c r="AG258" s="953">
        <v>0</v>
      </c>
      <c r="AH258" s="953">
        <v>0</v>
      </c>
      <c r="AI258" s="13"/>
      <c r="AJ258" s="953">
        <v>0</v>
      </c>
      <c r="AK258" s="953">
        <v>0</v>
      </c>
      <c r="AL258" s="953">
        <v>0</v>
      </c>
      <c r="AM258" s="1455"/>
      <c r="AN258" s="9">
        <v>83</v>
      </c>
      <c r="AO258" s="955">
        <v>0.35</v>
      </c>
      <c r="AP258" s="13"/>
      <c r="AQ258"/>
      <c r="AR258"/>
      <c r="AS258"/>
      <c r="AT258"/>
      <c r="AU258" t="str">
        <f t="shared" si="41"/>
        <v>2021Q1</v>
      </c>
      <c r="AV258">
        <f t="shared" si="42"/>
        <v>2021</v>
      </c>
      <c r="AW258" s="111">
        <f t="shared" si="38"/>
        <v>44197</v>
      </c>
      <c r="AX258" s="136">
        <f t="shared" si="45"/>
        <v>4.4767110867385771</v>
      </c>
      <c r="AY258" s="1541">
        <v>4.4767110867385771</v>
      </c>
      <c r="AZ258" s="136">
        <f t="shared" si="46"/>
        <v>4.4767110867385771</v>
      </c>
      <c r="BA258" s="137"/>
      <c r="BB258" s="137"/>
      <c r="BC258" s="137"/>
      <c r="BD258" s="137">
        <v>0</v>
      </c>
      <c r="BE258" s="137"/>
      <c r="BF258" s="137">
        <v>0</v>
      </c>
      <c r="BG258" s="145">
        <v>0</v>
      </c>
      <c r="BH258" s="153"/>
      <c r="BI258" s="938"/>
      <c r="BJ258" s="924"/>
      <c r="BK258" s="1443">
        <v>0</v>
      </c>
      <c r="BL258" s="905">
        <f t="shared" si="47"/>
        <v>4.4767110867385771</v>
      </c>
      <c r="BM258" s="1287">
        <f t="shared" si="39"/>
        <v>4.4767110867385771</v>
      </c>
      <c r="BN258" s="1393">
        <f t="shared" si="48"/>
        <v>2.4749244801918202E-2</v>
      </c>
      <c r="BO258" s="1377">
        <f t="shared" si="37"/>
        <v>4.4767110867385771</v>
      </c>
      <c r="BP258" s="208">
        <f t="shared" si="49"/>
        <v>2.4749244801918202E-2</v>
      </c>
      <c r="BQ258" s="1378">
        <f t="shared" si="43"/>
        <v>5.3748686483795005</v>
      </c>
      <c r="BR258" s="1378">
        <f t="shared" si="40"/>
        <v>4.3367036638137364</v>
      </c>
      <c r="BS258" s="153">
        <v>0</v>
      </c>
      <c r="BU258" s="1389">
        <f t="shared" si="44"/>
        <v>43770</v>
      </c>
      <c r="BV258" s="1390">
        <v>3.3548092710031474</v>
      </c>
      <c r="BW258" s="1390">
        <v>2.5595177121771284</v>
      </c>
      <c r="BX258" s="1390"/>
      <c r="BY258" s="1390">
        <v>5.0847715022561903</v>
      </c>
      <c r="BZ258" s="1391">
        <v>3.8793748529574801</v>
      </c>
    </row>
    <row r="259" spans="1:78">
      <c r="A259" s="957"/>
      <c r="B259" s="951">
        <v>43191</v>
      </c>
      <c r="C259" s="952">
        <v>41.684114580306712</v>
      </c>
      <c r="D259" s="952"/>
      <c r="E259" s="952"/>
      <c r="F259" s="1292"/>
      <c r="G259" s="952"/>
      <c r="H259" s="952"/>
      <c r="I259" s="952"/>
      <c r="J259" s="9"/>
      <c r="K259" s="944">
        <v>44075</v>
      </c>
      <c r="L259" s="953">
        <v>0</v>
      </c>
      <c r="M259" s="953">
        <v>0</v>
      </c>
      <c r="N259" s="953">
        <v>0</v>
      </c>
      <c r="O259" s="13"/>
      <c r="P259" s="953">
        <v>0</v>
      </c>
      <c r="Q259" s="953">
        <v>0</v>
      </c>
      <c r="R259" s="953">
        <v>0</v>
      </c>
      <c r="S259" s="13"/>
      <c r="T259" s="953">
        <v>0</v>
      </c>
      <c r="U259" s="953">
        <v>0</v>
      </c>
      <c r="V259" s="953">
        <v>0</v>
      </c>
      <c r="W259" s="13"/>
      <c r="X259" s="953">
        <v>0</v>
      </c>
      <c r="Y259" s="953">
        <v>0</v>
      </c>
      <c r="Z259" s="953">
        <v>0</v>
      </c>
      <c r="AA259" s="13">
        <v>0</v>
      </c>
      <c r="AB259" s="953">
        <v>0</v>
      </c>
      <c r="AC259" s="953">
        <v>0</v>
      </c>
      <c r="AD259" s="953">
        <v>0</v>
      </c>
      <c r="AE259" s="13"/>
      <c r="AF259" s="953">
        <v>0</v>
      </c>
      <c r="AG259" s="953">
        <v>0</v>
      </c>
      <c r="AH259" s="953">
        <v>0</v>
      </c>
      <c r="AI259" s="13"/>
      <c r="AJ259" s="953">
        <v>0</v>
      </c>
      <c r="AK259" s="953">
        <v>0</v>
      </c>
      <c r="AL259" s="953">
        <v>0</v>
      </c>
      <c r="AM259" s="1455"/>
      <c r="AN259" s="9">
        <v>84</v>
      </c>
      <c r="AO259" s="955">
        <v>0.35</v>
      </c>
      <c r="AP259" s="13"/>
      <c r="AQ259"/>
      <c r="AR259"/>
      <c r="AS259"/>
      <c r="AT259"/>
      <c r="AU259" t="str">
        <f t="shared" si="41"/>
        <v>2021Q1</v>
      </c>
      <c r="AV259">
        <f t="shared" si="42"/>
        <v>2021</v>
      </c>
      <c r="AW259" s="111">
        <f t="shared" si="38"/>
        <v>44228</v>
      </c>
      <c r="AX259" s="136">
        <f t="shared" si="45"/>
        <v>4.134767509007208</v>
      </c>
      <c r="AY259" s="1541">
        <v>4.134767509007208</v>
      </c>
      <c r="AZ259" s="136">
        <f t="shared" si="46"/>
        <v>4.134767509007208</v>
      </c>
      <c r="BA259" s="137"/>
      <c r="BB259" s="137"/>
      <c r="BC259" s="137"/>
      <c r="BD259" s="137">
        <v>0</v>
      </c>
      <c r="BE259" s="137"/>
      <c r="BF259" s="137">
        <v>0</v>
      </c>
      <c r="BG259" s="145">
        <v>0</v>
      </c>
      <c r="BH259" s="153"/>
      <c r="BI259" s="938"/>
      <c r="BJ259" s="924"/>
      <c r="BK259" s="1443">
        <v>0</v>
      </c>
      <c r="BL259" s="905">
        <f t="shared" si="47"/>
        <v>4.134767509007208</v>
      </c>
      <c r="BM259" s="1287">
        <f t="shared" si="39"/>
        <v>4.134767509007208</v>
      </c>
      <c r="BN259" s="1393">
        <f t="shared" si="48"/>
        <v>2.4749244801918424E-2</v>
      </c>
      <c r="BO259" s="1377">
        <f t="shared" ref="BO259:BO283" si="50">BM259</f>
        <v>4.134767509007208</v>
      </c>
      <c r="BP259" s="208">
        <f t="shared" si="49"/>
        <v>2.4749244801918424E-2</v>
      </c>
      <c r="BQ259" s="1378">
        <f t="shared" si="43"/>
        <v>4.9693104377673629</v>
      </c>
      <c r="BR259" s="1378">
        <f t="shared" si="40"/>
        <v>4.0393790877595412</v>
      </c>
      <c r="BS259" s="153">
        <v>0</v>
      </c>
      <c r="BU259" s="1389">
        <f t="shared" si="44"/>
        <v>43800</v>
      </c>
      <c r="BV259" s="1390">
        <v>3.4256788036317078</v>
      </c>
      <c r="BW259" s="1390">
        <v>2.6131785920795436</v>
      </c>
      <c r="BX259" s="1390"/>
      <c r="BY259" s="1390">
        <v>5.1921860676690752</v>
      </c>
      <c r="BZ259" s="1391">
        <v>3.9607068426095191</v>
      </c>
    </row>
    <row r="260" spans="1:78">
      <c r="A260" s="957"/>
      <c r="B260" s="951">
        <v>43221</v>
      </c>
      <c r="C260" s="952">
        <v>44.279215618601043</v>
      </c>
      <c r="D260" s="952"/>
      <c r="E260" s="952"/>
      <c r="F260" s="1292"/>
      <c r="G260" s="952"/>
      <c r="H260" s="952"/>
      <c r="I260" s="952"/>
      <c r="J260" s="9"/>
      <c r="K260" s="944">
        <v>44105</v>
      </c>
      <c r="L260" s="953">
        <v>0</v>
      </c>
      <c r="M260" s="953">
        <v>0</v>
      </c>
      <c r="N260" s="953">
        <v>0</v>
      </c>
      <c r="O260" s="13"/>
      <c r="P260" s="953">
        <v>0</v>
      </c>
      <c r="Q260" s="953">
        <v>0</v>
      </c>
      <c r="R260" s="953">
        <v>0</v>
      </c>
      <c r="S260" s="13"/>
      <c r="T260" s="953">
        <v>0</v>
      </c>
      <c r="U260" s="953">
        <v>0</v>
      </c>
      <c r="V260" s="953">
        <v>0</v>
      </c>
      <c r="W260" s="13"/>
      <c r="X260" s="953">
        <v>0</v>
      </c>
      <c r="Y260" s="953">
        <v>0</v>
      </c>
      <c r="Z260" s="953">
        <v>0</v>
      </c>
      <c r="AA260" s="13">
        <v>0</v>
      </c>
      <c r="AB260" s="953">
        <v>0</v>
      </c>
      <c r="AC260" s="953">
        <v>0</v>
      </c>
      <c r="AD260" s="953">
        <v>0</v>
      </c>
      <c r="AE260" s="13"/>
      <c r="AF260" s="953">
        <v>0</v>
      </c>
      <c r="AG260" s="953">
        <v>0</v>
      </c>
      <c r="AH260" s="953">
        <v>0</v>
      </c>
      <c r="AI260" s="13"/>
      <c r="AJ260" s="953">
        <v>0</v>
      </c>
      <c r="AK260" s="953">
        <v>0</v>
      </c>
      <c r="AL260" s="953">
        <v>0</v>
      </c>
      <c r="AM260" s="1455"/>
      <c r="AN260" s="9">
        <v>84</v>
      </c>
      <c r="AO260" s="955">
        <v>0.35</v>
      </c>
      <c r="AP260" s="13"/>
      <c r="AQ260"/>
      <c r="AR260"/>
      <c r="AS260"/>
      <c r="AT260"/>
      <c r="AU260" t="str">
        <f t="shared" si="41"/>
        <v>2021Q1</v>
      </c>
      <c r="AV260">
        <f t="shared" si="42"/>
        <v>2021</v>
      </c>
      <c r="AW260" s="111">
        <f t="shared" si="38"/>
        <v>44256</v>
      </c>
      <c r="AX260" s="136">
        <f t="shared" si="45"/>
        <v>3.9127989511282024</v>
      </c>
      <c r="AY260" s="1541">
        <v>3.9127989511282024</v>
      </c>
      <c r="AZ260" s="136">
        <f t="shared" si="46"/>
        <v>3.9127989511282024</v>
      </c>
      <c r="BA260" s="137"/>
      <c r="BB260" s="137"/>
      <c r="BC260" s="137"/>
      <c r="BD260" s="137">
        <v>0</v>
      </c>
      <c r="BE260" s="137"/>
      <c r="BF260" s="137">
        <v>0</v>
      </c>
      <c r="BG260" s="145">
        <v>0</v>
      </c>
      <c r="BH260" s="153"/>
      <c r="BI260" s="938"/>
      <c r="BJ260" s="924"/>
      <c r="BK260" s="1443">
        <v>0</v>
      </c>
      <c r="BL260" s="905">
        <f t="shared" si="47"/>
        <v>3.9127989511282024</v>
      </c>
      <c r="BM260" s="1287">
        <f t="shared" si="39"/>
        <v>3.9127989511282024</v>
      </c>
      <c r="BN260" s="1393">
        <f t="shared" si="48"/>
        <v>2.4693687848392987E-2</v>
      </c>
      <c r="BO260" s="1377">
        <f t="shared" si="50"/>
        <v>3.9127989511282024</v>
      </c>
      <c r="BP260" s="208">
        <f t="shared" si="49"/>
        <v>2.4693687848392987E-2</v>
      </c>
      <c r="BQ260" s="1378">
        <f t="shared" si="43"/>
        <v>4.821762569747241</v>
      </c>
      <c r="BR260" s="1378">
        <f t="shared" si="40"/>
        <v>3.838857862048572</v>
      </c>
      <c r="BS260" s="153">
        <v>0</v>
      </c>
      <c r="BU260" s="1389">
        <f t="shared" si="44"/>
        <v>43831</v>
      </c>
      <c r="BV260" s="1390">
        <v>3.3398945314294024</v>
      </c>
      <c r="BW260" s="1390">
        <v>2.7075893195727163</v>
      </c>
      <c r="BX260" s="1390"/>
      <c r="BY260" s="1390">
        <v>5.1634090481253887</v>
      </c>
      <c r="BZ260" s="1391">
        <v>4.185878044869316</v>
      </c>
    </row>
    <row r="261" spans="1:78">
      <c r="A261" s="957"/>
      <c r="B261" s="951">
        <v>43252</v>
      </c>
      <c r="C261" s="952">
        <v>46.741519141724815</v>
      </c>
      <c r="D261" s="952"/>
      <c r="E261" s="952"/>
      <c r="F261" s="1292"/>
      <c r="G261" s="952"/>
      <c r="H261" s="952"/>
      <c r="I261" s="952"/>
      <c r="J261" s="9"/>
      <c r="K261" s="944">
        <v>44136</v>
      </c>
      <c r="L261" s="953">
        <v>0</v>
      </c>
      <c r="M261" s="953">
        <v>0</v>
      </c>
      <c r="N261" s="953">
        <v>0</v>
      </c>
      <c r="O261" s="13"/>
      <c r="P261" s="953">
        <v>0</v>
      </c>
      <c r="Q261" s="953">
        <v>0</v>
      </c>
      <c r="R261" s="953">
        <v>0</v>
      </c>
      <c r="S261" s="13"/>
      <c r="T261" s="953">
        <v>0</v>
      </c>
      <c r="U261" s="953">
        <v>0</v>
      </c>
      <c r="V261" s="953">
        <v>0</v>
      </c>
      <c r="W261" s="13"/>
      <c r="X261" s="953">
        <v>0</v>
      </c>
      <c r="Y261" s="953">
        <v>0</v>
      </c>
      <c r="Z261" s="953">
        <v>0</v>
      </c>
      <c r="AA261" s="13">
        <v>0</v>
      </c>
      <c r="AB261" s="953">
        <v>0</v>
      </c>
      <c r="AC261" s="953">
        <v>0</v>
      </c>
      <c r="AD261" s="953">
        <v>0</v>
      </c>
      <c r="AE261" s="13"/>
      <c r="AF261" s="953">
        <v>0</v>
      </c>
      <c r="AG261" s="953">
        <v>0</v>
      </c>
      <c r="AH261" s="953">
        <v>0</v>
      </c>
      <c r="AI261" s="13"/>
      <c r="AJ261" s="953">
        <v>0</v>
      </c>
      <c r="AK261" s="953">
        <v>0</v>
      </c>
      <c r="AL261" s="953">
        <v>0</v>
      </c>
      <c r="AM261" s="1455"/>
      <c r="AN261" s="9">
        <v>84</v>
      </c>
      <c r="AO261" s="955">
        <v>0.35</v>
      </c>
      <c r="AP261" s="13"/>
      <c r="AQ261"/>
      <c r="AR261"/>
      <c r="AS261"/>
      <c r="AT261"/>
      <c r="AU261" t="str">
        <f t="shared" si="41"/>
        <v>2021Q2</v>
      </c>
      <c r="AV261">
        <f t="shared" si="42"/>
        <v>2021</v>
      </c>
      <c r="AW261" s="111">
        <f t="shared" si="38"/>
        <v>44287</v>
      </c>
      <c r="AX261" s="136">
        <f t="shared" si="45"/>
        <v>3.7954121893553179</v>
      </c>
      <c r="AY261" s="1541">
        <v>3.7954121893553179</v>
      </c>
      <c r="AZ261" s="136">
        <f t="shared" si="46"/>
        <v>3.7954121893553179</v>
      </c>
      <c r="BA261" s="137"/>
      <c r="BB261" s="137"/>
      <c r="BC261" s="137"/>
      <c r="BD261" s="137">
        <v>0</v>
      </c>
      <c r="BE261" s="137"/>
      <c r="BF261" s="137">
        <v>0</v>
      </c>
      <c r="BG261" s="145">
        <v>0</v>
      </c>
      <c r="BH261" s="153"/>
      <c r="BI261" s="938"/>
      <c r="BJ261" s="924"/>
      <c r="BK261" s="1443">
        <v>0</v>
      </c>
      <c r="BL261" s="905">
        <f t="shared" si="47"/>
        <v>3.7954121893553179</v>
      </c>
      <c r="BM261" s="1287">
        <f t="shared" si="39"/>
        <v>3.7954121893553179</v>
      </c>
      <c r="BN261" s="1393">
        <f t="shared" si="48"/>
        <v>2.4693687848392987E-2</v>
      </c>
      <c r="BO261" s="1377">
        <f t="shared" si="50"/>
        <v>3.7954121893553179</v>
      </c>
      <c r="BP261" s="208">
        <f t="shared" si="49"/>
        <v>2.4693687848392987E-2</v>
      </c>
      <c r="BQ261" s="1378">
        <f t="shared" si="43"/>
        <v>4.726110848410058</v>
      </c>
      <c r="BR261" s="1378">
        <f t="shared" si="40"/>
        <v>3.7221752522598623</v>
      </c>
      <c r="BS261" s="153">
        <v>0</v>
      </c>
      <c r="BU261" s="1389">
        <f t="shared" si="44"/>
        <v>43862</v>
      </c>
      <c r="BV261" s="1390">
        <v>3.0878843450580287</v>
      </c>
      <c r="BW261" s="1390">
        <v>2.5219568878969789</v>
      </c>
      <c r="BX261" s="1390"/>
      <c r="BY261" s="1390">
        <v>4.7738064231668043</v>
      </c>
      <c r="BZ261" s="1391">
        <v>3.8988940792619338</v>
      </c>
    </row>
    <row r="262" spans="1:78">
      <c r="A262" s="957"/>
      <c r="B262" s="951">
        <v>43282</v>
      </c>
      <c r="C262" s="952">
        <v>63.009802271789681</v>
      </c>
      <c r="D262" s="952"/>
      <c r="E262" s="952"/>
      <c r="F262" s="1292"/>
      <c r="G262" s="952"/>
      <c r="H262" s="952"/>
      <c r="I262" s="952"/>
      <c r="J262" s="9"/>
      <c r="K262" s="944">
        <v>44166</v>
      </c>
      <c r="L262" s="953">
        <v>0</v>
      </c>
      <c r="M262" s="953">
        <v>0</v>
      </c>
      <c r="N262" s="953">
        <v>0</v>
      </c>
      <c r="O262" s="13"/>
      <c r="P262" s="953">
        <v>0</v>
      </c>
      <c r="Q262" s="953">
        <v>0</v>
      </c>
      <c r="R262" s="953">
        <v>0</v>
      </c>
      <c r="S262" s="13"/>
      <c r="T262" s="953">
        <v>0</v>
      </c>
      <c r="U262" s="953">
        <v>0</v>
      </c>
      <c r="V262" s="953">
        <v>0</v>
      </c>
      <c r="W262" s="13"/>
      <c r="X262" s="953">
        <v>0</v>
      </c>
      <c r="Y262" s="953">
        <v>0</v>
      </c>
      <c r="Z262" s="953">
        <v>0</v>
      </c>
      <c r="AA262" s="13">
        <v>0</v>
      </c>
      <c r="AB262" s="953">
        <v>0</v>
      </c>
      <c r="AC262" s="953">
        <v>0</v>
      </c>
      <c r="AD262" s="953">
        <v>0</v>
      </c>
      <c r="AE262" s="13"/>
      <c r="AF262" s="953">
        <v>0</v>
      </c>
      <c r="AG262" s="953">
        <v>0</v>
      </c>
      <c r="AH262" s="953">
        <v>0</v>
      </c>
      <c r="AI262" s="13"/>
      <c r="AJ262" s="953">
        <v>0</v>
      </c>
      <c r="AK262" s="953">
        <v>0</v>
      </c>
      <c r="AL262" s="953">
        <v>0</v>
      </c>
      <c r="AM262" s="1455"/>
      <c r="AN262" s="9">
        <v>85</v>
      </c>
      <c r="AO262" s="955">
        <v>0.35</v>
      </c>
      <c r="AP262" s="13"/>
      <c r="AQ262"/>
      <c r="AR262"/>
      <c r="AS262"/>
      <c r="AT262"/>
      <c r="AU262" t="str">
        <f t="shared" si="41"/>
        <v>2021Q2</v>
      </c>
      <c r="AV262">
        <f t="shared" si="42"/>
        <v>2021</v>
      </c>
      <c r="AW262" s="111">
        <f t="shared" si="38"/>
        <v>44317</v>
      </c>
      <c r="AX262" s="136">
        <f t="shared" si="45"/>
        <v>3.7667883646741598</v>
      </c>
      <c r="AY262" s="1541">
        <v>3.7667883646741598</v>
      </c>
      <c r="AZ262" s="136">
        <f t="shared" si="46"/>
        <v>3.7667883646741598</v>
      </c>
      <c r="BA262" s="137"/>
      <c r="BB262" s="137"/>
      <c r="BC262" s="137"/>
      <c r="BD262" s="137">
        <v>0</v>
      </c>
      <c r="BE262" s="137"/>
      <c r="BF262" s="137">
        <v>0</v>
      </c>
      <c r="BG262" s="145">
        <v>0</v>
      </c>
      <c r="BH262" s="153"/>
      <c r="BI262" s="938"/>
      <c r="BJ262" s="924"/>
      <c r="BK262" s="1443">
        <v>0</v>
      </c>
      <c r="BL262" s="905">
        <f t="shared" si="47"/>
        <v>3.7667883646741598</v>
      </c>
      <c r="BM262" s="1287">
        <f t="shared" si="39"/>
        <v>3.7667883646741598</v>
      </c>
      <c r="BN262" s="1393">
        <f t="shared" si="48"/>
        <v>2.4693687848393209E-2</v>
      </c>
      <c r="BO262" s="1377">
        <f t="shared" si="50"/>
        <v>3.7667883646741598</v>
      </c>
      <c r="BP262" s="208">
        <f t="shared" si="49"/>
        <v>2.4693687848393209E-2</v>
      </c>
      <c r="BQ262" s="1378">
        <f t="shared" si="43"/>
        <v>4.6823552737558147</v>
      </c>
      <c r="BR262" s="1378">
        <f t="shared" si="40"/>
        <v>3.6763665239724435</v>
      </c>
      <c r="BS262" s="153">
        <v>0</v>
      </c>
      <c r="BU262" s="1389">
        <f t="shared" si="44"/>
        <v>43891</v>
      </c>
      <c r="BV262" s="1390">
        <v>2.9961994407817079</v>
      </c>
      <c r="BW262" s="1390">
        <v>2.3967629223482252</v>
      </c>
      <c r="BX262" s="1390"/>
      <c r="BY262" s="1390">
        <v>4.6320634250385799</v>
      </c>
      <c r="BZ262" s="1391">
        <v>3.7053467536197444</v>
      </c>
    </row>
    <row r="263" spans="1:78">
      <c r="A263" s="957"/>
      <c r="B263" s="951">
        <v>43313</v>
      </c>
      <c r="C263" s="952">
        <v>74.158018812289725</v>
      </c>
      <c r="D263" s="952"/>
      <c r="E263" s="952"/>
      <c r="F263" s="1292"/>
      <c r="G263" s="952"/>
      <c r="H263" s="952"/>
      <c r="I263" s="952"/>
      <c r="J263" s="9"/>
      <c r="K263" s="944">
        <v>44197</v>
      </c>
      <c r="L263" s="953">
        <v>0</v>
      </c>
      <c r="M263" s="953">
        <v>0</v>
      </c>
      <c r="N263" s="953">
        <v>0</v>
      </c>
      <c r="O263" s="13"/>
      <c r="P263" s="953">
        <v>0</v>
      </c>
      <c r="Q263" s="953">
        <v>0</v>
      </c>
      <c r="R263" s="953">
        <v>0</v>
      </c>
      <c r="S263" s="13"/>
      <c r="T263" s="953">
        <v>0</v>
      </c>
      <c r="U263" s="953">
        <v>0</v>
      </c>
      <c r="V263" s="953">
        <v>0</v>
      </c>
      <c r="W263" s="13"/>
      <c r="X263" s="953">
        <v>0</v>
      </c>
      <c r="Y263" s="953">
        <v>0</v>
      </c>
      <c r="Z263" s="953">
        <v>0</v>
      </c>
      <c r="AA263" s="13">
        <v>0</v>
      </c>
      <c r="AB263" s="953">
        <v>0</v>
      </c>
      <c r="AC263" s="953">
        <v>0</v>
      </c>
      <c r="AD263" s="953">
        <v>0</v>
      </c>
      <c r="AE263" s="13"/>
      <c r="AF263" s="953">
        <v>0</v>
      </c>
      <c r="AG263" s="953">
        <v>0</v>
      </c>
      <c r="AH263" s="953">
        <v>0</v>
      </c>
      <c r="AI263" s="13"/>
      <c r="AJ263" s="953">
        <v>0</v>
      </c>
      <c r="AK263" s="953">
        <v>0</v>
      </c>
      <c r="AL263" s="953">
        <v>0</v>
      </c>
      <c r="AM263" s="1455"/>
      <c r="AN263" s="9">
        <v>85</v>
      </c>
      <c r="AO263" s="955">
        <v>0.35</v>
      </c>
      <c r="AP263" s="13"/>
      <c r="AQ263"/>
      <c r="AR263"/>
      <c r="AS263"/>
      <c r="AT263"/>
      <c r="AU263" t="str">
        <f t="shared" si="41"/>
        <v>2021Q2</v>
      </c>
      <c r="AV263">
        <f t="shared" si="42"/>
        <v>2021</v>
      </c>
      <c r="AW263" s="111">
        <f t="shared" ref="AW263:AW283" si="51">EOMONTH(AW262,0)+1</f>
        <v>44348</v>
      </c>
      <c r="AX263" s="136">
        <f t="shared" si="45"/>
        <v>3.8122889934782811</v>
      </c>
      <c r="AY263" s="1541">
        <v>3.8122889934782811</v>
      </c>
      <c r="AZ263" s="136">
        <f t="shared" si="46"/>
        <v>3.8122889934782811</v>
      </c>
      <c r="BA263" s="137"/>
      <c r="BB263" s="137"/>
      <c r="BC263" s="137"/>
      <c r="BD263" s="137">
        <v>0</v>
      </c>
      <c r="BE263" s="137"/>
      <c r="BF263" s="137">
        <v>0</v>
      </c>
      <c r="BG263" s="145">
        <v>0</v>
      </c>
      <c r="BH263" s="153"/>
      <c r="BI263" s="938"/>
      <c r="BJ263" s="924"/>
      <c r="BK263" s="1443">
        <v>0</v>
      </c>
      <c r="BL263" s="905">
        <f t="shared" si="47"/>
        <v>3.8122889934782811</v>
      </c>
      <c r="BM263" s="1287">
        <f t="shared" ref="BM263:BM298" si="52">AY263</f>
        <v>3.8122889934782811</v>
      </c>
      <c r="BN263" s="1393">
        <f t="shared" si="48"/>
        <v>2.4693687848393431E-2</v>
      </c>
      <c r="BO263" s="1377">
        <f t="shared" si="50"/>
        <v>3.8122889934782811</v>
      </c>
      <c r="BP263" s="208">
        <f t="shared" si="49"/>
        <v>2.4693687848393431E-2</v>
      </c>
      <c r="BQ263" s="1378">
        <f t="shared" si="43"/>
        <v>4.6904958457845112</v>
      </c>
      <c r="BR263" s="1378">
        <f t="shared" ref="BR263:BR283" si="53">VLOOKUP($AW263,$BU$8:$BZ$291,6,FALSE)</f>
        <v>3.6884669427653458</v>
      </c>
      <c r="BS263" s="153">
        <v>0</v>
      </c>
      <c r="BU263" s="1389">
        <f t="shared" si="44"/>
        <v>43922</v>
      </c>
      <c r="BV263" s="1390">
        <v>2.9367623304232655</v>
      </c>
      <c r="BW263" s="1390">
        <v>2.3239129854987355</v>
      </c>
      <c r="BX263" s="1390"/>
      <c r="BY263" s="1390">
        <v>4.5401748607347656</v>
      </c>
      <c r="BZ263" s="1391">
        <v>3.5927222322331267</v>
      </c>
    </row>
    <row r="264" spans="1:78">
      <c r="A264" s="957"/>
      <c r="B264" s="951">
        <v>43344</v>
      </c>
      <c r="C264" s="952">
        <v>66.567904142635257</v>
      </c>
      <c r="D264" s="952"/>
      <c r="E264" s="952"/>
      <c r="F264" s="1292"/>
      <c r="G264" s="952"/>
      <c r="H264" s="952"/>
      <c r="I264" s="952"/>
      <c r="J264" s="9"/>
      <c r="K264" s="944">
        <v>44228</v>
      </c>
      <c r="L264" s="953">
        <v>0</v>
      </c>
      <c r="M264" s="953">
        <v>0</v>
      </c>
      <c r="N264" s="953">
        <v>0</v>
      </c>
      <c r="O264" s="13"/>
      <c r="P264" s="953">
        <v>0</v>
      </c>
      <c r="Q264" s="953">
        <v>0</v>
      </c>
      <c r="R264" s="953">
        <v>0</v>
      </c>
      <c r="S264" s="13"/>
      <c r="T264" s="953">
        <v>0</v>
      </c>
      <c r="U264" s="953">
        <v>0</v>
      </c>
      <c r="V264" s="953">
        <v>0</v>
      </c>
      <c r="W264" s="13"/>
      <c r="X264" s="953">
        <v>0</v>
      </c>
      <c r="Y264" s="953">
        <v>0</v>
      </c>
      <c r="Z264" s="953">
        <v>0</v>
      </c>
      <c r="AA264" s="13">
        <v>0</v>
      </c>
      <c r="AB264" s="953">
        <v>0</v>
      </c>
      <c r="AC264" s="953">
        <v>0</v>
      </c>
      <c r="AD264" s="953">
        <v>0</v>
      </c>
      <c r="AE264" s="13"/>
      <c r="AF264" s="953">
        <v>0</v>
      </c>
      <c r="AG264" s="953">
        <v>0</v>
      </c>
      <c r="AH264" s="953">
        <v>0</v>
      </c>
      <c r="AI264" s="13"/>
      <c r="AJ264" s="953">
        <v>0</v>
      </c>
      <c r="AK264" s="953">
        <v>0</v>
      </c>
      <c r="AL264" s="953">
        <v>0</v>
      </c>
      <c r="AM264" s="1455"/>
      <c r="AN264" s="9">
        <v>85</v>
      </c>
      <c r="AO264" s="955">
        <v>0.35</v>
      </c>
      <c r="AP264" s="13"/>
      <c r="AQ264"/>
      <c r="AR264"/>
      <c r="AS264"/>
      <c r="AT264"/>
      <c r="AU264" t="str">
        <f t="shared" ref="AU264:AU283" si="54">AV264&amp;"Q"&amp;ROUNDUP(MONTH(AW264)/3,0)</f>
        <v>2021Q3</v>
      </c>
      <c r="AV264">
        <f t="shared" ref="AV264:AV283" si="55">YEAR(AW264)</f>
        <v>2021</v>
      </c>
      <c r="AW264" s="111">
        <f t="shared" si="51"/>
        <v>44378</v>
      </c>
      <c r="AX264" s="136">
        <f t="shared" si="45"/>
        <v>3.9163495783986875</v>
      </c>
      <c r="AY264" s="1541">
        <v>3.9163495783986875</v>
      </c>
      <c r="AZ264" s="136">
        <f t="shared" si="46"/>
        <v>3.9163495783986875</v>
      </c>
      <c r="BA264" s="137"/>
      <c r="BB264" s="137"/>
      <c r="BC264" s="137"/>
      <c r="BD264" s="137">
        <v>0</v>
      </c>
      <c r="BE264" s="137"/>
      <c r="BF264" s="137">
        <v>0</v>
      </c>
      <c r="BG264" s="145">
        <v>0</v>
      </c>
      <c r="BH264" s="153"/>
      <c r="BI264" s="938"/>
      <c r="BJ264" s="924"/>
      <c r="BK264" s="1443">
        <v>0</v>
      </c>
      <c r="BL264" s="905">
        <f t="shared" si="47"/>
        <v>3.9163495783986875</v>
      </c>
      <c r="BM264" s="1287">
        <f t="shared" si="52"/>
        <v>3.9163495783986875</v>
      </c>
      <c r="BN264" s="1393">
        <f t="shared" si="48"/>
        <v>2.4693687848392987E-2</v>
      </c>
      <c r="BO264" s="1377">
        <f t="shared" si="50"/>
        <v>3.9163495783986875</v>
      </c>
      <c r="BP264" s="208">
        <f t="shared" si="49"/>
        <v>2.4693687848392987E-2</v>
      </c>
      <c r="BQ264" s="1378">
        <f t="shared" ref="BQ264:BQ283" si="56">VLOOKUP($AW264,$BU$8:$BZ$291,5,FALSE)</f>
        <v>4.7505325644961474</v>
      </c>
      <c r="BR264" s="1378">
        <f t="shared" si="53"/>
        <v>3.7455117742176047</v>
      </c>
      <c r="BS264" s="153">
        <v>0</v>
      </c>
      <c r="BU264" s="1389">
        <f t="shared" si="44"/>
        <v>43952</v>
      </c>
      <c r="BV264" s="1390">
        <v>2.9095730139827007</v>
      </c>
      <c r="BW264" s="1390">
        <v>2.2953126399207879</v>
      </c>
      <c r="BX264" s="1390"/>
      <c r="BY264" s="1390">
        <v>4.4981407302553595</v>
      </c>
      <c r="BZ264" s="1391">
        <v>3.5485066793924549</v>
      </c>
    </row>
    <row r="265" spans="1:78">
      <c r="A265" s="957"/>
      <c r="B265" s="951">
        <v>43374</v>
      </c>
      <c r="C265" s="952">
        <v>54.851013114329838</v>
      </c>
      <c r="D265" s="952"/>
      <c r="E265" s="952"/>
      <c r="F265" s="1292"/>
      <c r="G265" s="952"/>
      <c r="H265" s="952"/>
      <c r="I265" s="952"/>
      <c r="J265" s="9"/>
      <c r="K265" s="944">
        <v>44256</v>
      </c>
      <c r="L265" s="953">
        <v>0</v>
      </c>
      <c r="M265" s="953">
        <v>0</v>
      </c>
      <c r="N265" s="953">
        <v>0</v>
      </c>
      <c r="O265" s="13"/>
      <c r="P265" s="953">
        <v>0</v>
      </c>
      <c r="Q265" s="953">
        <v>0</v>
      </c>
      <c r="R265" s="953">
        <v>0</v>
      </c>
      <c r="S265" s="13"/>
      <c r="T265" s="953">
        <v>0</v>
      </c>
      <c r="U265" s="953">
        <v>0</v>
      </c>
      <c r="V265" s="953">
        <v>0</v>
      </c>
      <c r="W265" s="13"/>
      <c r="X265" s="953">
        <v>0</v>
      </c>
      <c r="Y265" s="953">
        <v>0</v>
      </c>
      <c r="Z265" s="953">
        <v>0</v>
      </c>
      <c r="AA265" s="13">
        <v>0</v>
      </c>
      <c r="AB265" s="953">
        <v>0</v>
      </c>
      <c r="AC265" s="953">
        <v>0</v>
      </c>
      <c r="AD265" s="953">
        <v>0</v>
      </c>
      <c r="AE265" s="13"/>
      <c r="AF265" s="953">
        <v>0</v>
      </c>
      <c r="AG265" s="953">
        <v>0</v>
      </c>
      <c r="AH265" s="953">
        <v>0</v>
      </c>
      <c r="AI265" s="13"/>
      <c r="AJ265" s="953">
        <v>0</v>
      </c>
      <c r="AK265" s="953">
        <v>0</v>
      </c>
      <c r="AL265" s="953">
        <v>0</v>
      </c>
      <c r="AM265" s="1455"/>
      <c r="AN265" s="9">
        <v>86</v>
      </c>
      <c r="AO265" s="955">
        <v>0.35</v>
      </c>
      <c r="AP265" s="13"/>
      <c r="AQ265"/>
      <c r="AR265"/>
      <c r="AS265"/>
      <c r="AT265"/>
      <c r="AU265" t="str">
        <f t="shared" si="54"/>
        <v>2021Q3</v>
      </c>
      <c r="AV265">
        <f t="shared" si="55"/>
        <v>2021</v>
      </c>
      <c r="AW265" s="111">
        <f t="shared" si="51"/>
        <v>44409</v>
      </c>
      <c r="AX265" s="136">
        <f t="shared" si="45"/>
        <v>4.0641372211610394</v>
      </c>
      <c r="AY265" s="1541">
        <v>4.0641372211610394</v>
      </c>
      <c r="AZ265" s="136">
        <f t="shared" si="46"/>
        <v>4.0641372211610394</v>
      </c>
      <c r="BA265" s="137"/>
      <c r="BB265" s="137"/>
      <c r="BC265" s="137"/>
      <c r="BD265" s="137">
        <v>0</v>
      </c>
      <c r="BE265" s="137"/>
      <c r="BF265" s="137">
        <v>0</v>
      </c>
      <c r="BG265" s="145">
        <v>0</v>
      </c>
      <c r="BH265" s="153"/>
      <c r="BI265" s="938"/>
      <c r="BJ265" s="924"/>
      <c r="BK265" s="1443">
        <v>0</v>
      </c>
      <c r="BL265" s="905">
        <f t="shared" si="47"/>
        <v>4.0641372211610394</v>
      </c>
      <c r="BM265" s="1287">
        <f t="shared" si="52"/>
        <v>4.0641372211610394</v>
      </c>
      <c r="BN265" s="1393">
        <f t="shared" si="48"/>
        <v>2.4693687848392987E-2</v>
      </c>
      <c r="BO265" s="1377">
        <f t="shared" si="50"/>
        <v>4.0641372211610394</v>
      </c>
      <c r="BP265" s="208">
        <f t="shared" si="49"/>
        <v>2.4693687848392987E-2</v>
      </c>
      <c r="BQ265" s="1378">
        <f t="shared" si="56"/>
        <v>4.8624654298907224</v>
      </c>
      <c r="BR265" s="1378">
        <f t="shared" si="53"/>
        <v>3.8345362839082511</v>
      </c>
      <c r="BS265" s="153">
        <v>0</v>
      </c>
      <c r="BU265" s="1389">
        <f t="shared" ref="BU265:BU291" si="57">EDATE(BU264,1)</f>
        <v>43983</v>
      </c>
      <c r="BV265" s="1390">
        <v>2.9146314914600149</v>
      </c>
      <c r="BW265" s="1390">
        <v>2.3028674481866607</v>
      </c>
      <c r="BX265" s="1390"/>
      <c r="BY265" s="1390">
        <v>4.5059610336003653</v>
      </c>
      <c r="BZ265" s="1391">
        <v>3.5601862593881037</v>
      </c>
    </row>
    <row r="266" spans="1:78">
      <c r="A266" s="957"/>
      <c r="B266" s="951">
        <v>43405</v>
      </c>
      <c r="C266" s="952">
        <v>57.843361016149494</v>
      </c>
      <c r="D266" s="952"/>
      <c r="E266" s="952"/>
      <c r="F266" s="1292"/>
      <c r="G266" s="952"/>
      <c r="H266" s="952"/>
      <c r="I266" s="952"/>
      <c r="J266" s="9"/>
      <c r="K266" s="944">
        <v>44287</v>
      </c>
      <c r="L266" s="953">
        <v>0</v>
      </c>
      <c r="M266" s="953">
        <v>0</v>
      </c>
      <c r="N266" s="953">
        <v>0</v>
      </c>
      <c r="O266" s="13"/>
      <c r="P266" s="953">
        <v>0</v>
      </c>
      <c r="Q266" s="953">
        <v>0</v>
      </c>
      <c r="R266" s="953">
        <v>0</v>
      </c>
      <c r="S266" s="13"/>
      <c r="T266" s="953">
        <v>0</v>
      </c>
      <c r="U266" s="953">
        <v>0</v>
      </c>
      <c r="V266" s="953">
        <v>0</v>
      </c>
      <c r="W266" s="13"/>
      <c r="X266" s="953">
        <v>0</v>
      </c>
      <c r="Y266" s="953">
        <v>0</v>
      </c>
      <c r="Z266" s="953">
        <v>0</v>
      </c>
      <c r="AA266" s="13">
        <v>0</v>
      </c>
      <c r="AB266" s="953">
        <v>0</v>
      </c>
      <c r="AC266" s="953">
        <v>0</v>
      </c>
      <c r="AD266" s="953">
        <v>0</v>
      </c>
      <c r="AE266" s="13"/>
      <c r="AF266" s="953">
        <v>0</v>
      </c>
      <c r="AG266" s="953">
        <v>0</v>
      </c>
      <c r="AH266" s="953">
        <v>0</v>
      </c>
      <c r="AI266" s="13"/>
      <c r="AJ266" s="953">
        <v>0</v>
      </c>
      <c r="AK266" s="953">
        <v>0</v>
      </c>
      <c r="AL266" s="953">
        <v>0</v>
      </c>
      <c r="AM266" s="1455"/>
      <c r="AN266" s="9">
        <v>86</v>
      </c>
      <c r="AO266" s="955">
        <v>0.35</v>
      </c>
      <c r="AP266" s="13"/>
      <c r="AQ266"/>
      <c r="AR266"/>
      <c r="AS266"/>
      <c r="AT266"/>
      <c r="AU266" t="str">
        <f t="shared" si="54"/>
        <v>2021Q3</v>
      </c>
      <c r="AV266">
        <f t="shared" si="55"/>
        <v>2021</v>
      </c>
      <c r="AW266" s="111">
        <f t="shared" si="51"/>
        <v>44440</v>
      </c>
      <c r="AX266" s="136">
        <f t="shared" si="45"/>
        <v>4.2400929067397701</v>
      </c>
      <c r="AY266" s="1541">
        <v>4.2400929067397701</v>
      </c>
      <c r="AZ266" s="136">
        <f t="shared" si="46"/>
        <v>4.2400929067397701</v>
      </c>
      <c r="BA266" s="137"/>
      <c r="BB266" s="137"/>
      <c r="BC266" s="137"/>
      <c r="BD266" s="137">
        <v>0</v>
      </c>
      <c r="BE266" s="137"/>
      <c r="BF266" s="137">
        <v>0</v>
      </c>
      <c r="BG266" s="145">
        <v>0</v>
      </c>
      <c r="BH266" s="153"/>
      <c r="BI266" s="940"/>
      <c r="BJ266" s="924"/>
      <c r="BK266" s="1443">
        <v>0</v>
      </c>
      <c r="BL266" s="905">
        <f t="shared" si="47"/>
        <v>4.2400929067397701</v>
      </c>
      <c r="BM266" s="1287">
        <f t="shared" si="52"/>
        <v>4.2400929067397701</v>
      </c>
      <c r="BN266" s="1393">
        <f t="shared" si="48"/>
        <v>2.4693687848392765E-2</v>
      </c>
      <c r="BO266" s="1377">
        <f t="shared" si="50"/>
        <v>4.2400929067397701</v>
      </c>
      <c r="BP266" s="208">
        <f t="shared" si="49"/>
        <v>2.4693687848392765E-2</v>
      </c>
      <c r="BQ266" s="1378">
        <f t="shared" si="56"/>
        <v>5.0262944419682389</v>
      </c>
      <c r="BR266" s="1378">
        <f t="shared" si="53"/>
        <v>3.9425757374163162</v>
      </c>
      <c r="BS266" s="153">
        <v>0</v>
      </c>
      <c r="BU266" s="1389">
        <f t="shared" si="57"/>
        <v>44013</v>
      </c>
      <c r="BV266" s="1390">
        <v>2.9519377628552079</v>
      </c>
      <c r="BW266" s="1390">
        <v>2.3384829728686332</v>
      </c>
      <c r="BX266" s="1390"/>
      <c r="BY266" s="1390">
        <v>4.563635770769781</v>
      </c>
      <c r="BZ266" s="1391">
        <v>3.6152471365104502</v>
      </c>
    </row>
    <row r="267" spans="1:78">
      <c r="A267" s="957"/>
      <c r="B267" s="951">
        <v>43435</v>
      </c>
      <c r="C267" s="952">
        <v>60.586864407493252</v>
      </c>
      <c r="D267" s="952"/>
      <c r="E267" s="952"/>
      <c r="F267" s="1292"/>
      <c r="G267" s="952"/>
      <c r="H267" s="952"/>
      <c r="I267" s="952"/>
      <c r="J267" s="9"/>
      <c r="K267" s="944">
        <v>44317</v>
      </c>
      <c r="L267" s="953">
        <v>0</v>
      </c>
      <c r="M267" s="953">
        <v>0</v>
      </c>
      <c r="N267" s="953">
        <v>0</v>
      </c>
      <c r="O267" s="13"/>
      <c r="P267" s="953">
        <v>0</v>
      </c>
      <c r="Q267" s="953">
        <v>0</v>
      </c>
      <c r="R267" s="953">
        <v>0</v>
      </c>
      <c r="S267" s="13"/>
      <c r="T267" s="953">
        <v>0</v>
      </c>
      <c r="U267" s="953">
        <v>0</v>
      </c>
      <c r="V267" s="953">
        <v>0</v>
      </c>
      <c r="W267" s="13"/>
      <c r="X267" s="953">
        <v>0</v>
      </c>
      <c r="Y267" s="953">
        <v>0</v>
      </c>
      <c r="Z267" s="953">
        <v>0</v>
      </c>
      <c r="AA267" s="13">
        <v>0</v>
      </c>
      <c r="AB267" s="953">
        <v>0</v>
      </c>
      <c r="AC267" s="953">
        <v>0</v>
      </c>
      <c r="AD267" s="953">
        <v>0</v>
      </c>
      <c r="AE267" s="13"/>
      <c r="AF267" s="953">
        <v>0</v>
      </c>
      <c r="AG267" s="953">
        <v>0</v>
      </c>
      <c r="AH267" s="953">
        <v>0</v>
      </c>
      <c r="AI267" s="13"/>
      <c r="AJ267" s="953">
        <v>0</v>
      </c>
      <c r="AK267" s="953">
        <v>0</v>
      </c>
      <c r="AL267" s="953">
        <v>0</v>
      </c>
      <c r="AM267" s="1455"/>
      <c r="AN267" s="9">
        <v>86</v>
      </c>
      <c r="AO267" s="955">
        <v>0.35</v>
      </c>
      <c r="AP267" s="13"/>
      <c r="AQ267"/>
      <c r="AR267"/>
      <c r="AS267"/>
      <c r="AT267"/>
      <c r="AU267" t="str">
        <f t="shared" si="54"/>
        <v>2021Q4</v>
      </c>
      <c r="AV267">
        <f t="shared" si="55"/>
        <v>2021</v>
      </c>
      <c r="AW267" s="111">
        <f t="shared" si="51"/>
        <v>44470</v>
      </c>
      <c r="AX267" s="136">
        <f t="shared" si="45"/>
        <v>4.4285201627036317</v>
      </c>
      <c r="AY267" s="1541">
        <v>4.4285201627036317</v>
      </c>
      <c r="AZ267" s="136">
        <f t="shared" si="46"/>
        <v>4.4285201627036317</v>
      </c>
      <c r="BA267" s="137"/>
      <c r="BB267" s="137"/>
      <c r="BC267" s="137"/>
      <c r="BD267" s="137">
        <v>0</v>
      </c>
      <c r="BE267" s="137"/>
      <c r="BF267" s="137">
        <v>0</v>
      </c>
      <c r="BG267" s="145">
        <v>0</v>
      </c>
      <c r="BH267" s="153"/>
      <c r="BI267" s="886"/>
      <c r="BJ267" s="924"/>
      <c r="BK267" s="1443">
        <v>0</v>
      </c>
      <c r="BL267" s="905">
        <f t="shared" si="47"/>
        <v>4.4285201627036317</v>
      </c>
      <c r="BM267" s="1287">
        <f t="shared" si="52"/>
        <v>4.4285201627036317</v>
      </c>
      <c r="BN267" s="1393">
        <f t="shared" si="48"/>
        <v>2.4693687848392987E-2</v>
      </c>
      <c r="BO267" s="1377">
        <f t="shared" si="50"/>
        <v>4.4285201627036317</v>
      </c>
      <c r="BP267" s="208">
        <f t="shared" si="49"/>
        <v>2.4693687848392987E-2</v>
      </c>
      <c r="BQ267" s="1378">
        <f t="shared" si="56"/>
        <v>5.2420196007286926</v>
      </c>
      <c r="BR267" s="1378">
        <f t="shared" si="53"/>
        <v>4.0566654003208331</v>
      </c>
      <c r="BS267" s="153">
        <v>0</v>
      </c>
      <c r="BU267" s="1389">
        <f t="shared" si="57"/>
        <v>44044</v>
      </c>
      <c r="BV267" s="1390">
        <v>3.021491828168279</v>
      </c>
      <c r="BW267" s="1390">
        <v>2.3940647765389853</v>
      </c>
      <c r="BX267" s="1390"/>
      <c r="BY267" s="1390">
        <v>4.6711649417636067</v>
      </c>
      <c r="BZ267" s="1391">
        <v>3.7011754750498707</v>
      </c>
    </row>
    <row r="268" spans="1:78">
      <c r="A268" s="957"/>
      <c r="B268" s="951">
        <v>43466</v>
      </c>
      <c r="C268" s="952">
        <v>60.131780166127307</v>
      </c>
      <c r="D268" s="952"/>
      <c r="E268" s="952"/>
      <c r="F268" s="1292"/>
      <c r="G268" s="952"/>
      <c r="H268" s="952"/>
      <c r="I268" s="952"/>
      <c r="J268" s="9"/>
      <c r="K268" s="944">
        <v>44348</v>
      </c>
      <c r="L268" s="953">
        <v>0</v>
      </c>
      <c r="M268" s="953">
        <v>0</v>
      </c>
      <c r="N268" s="953">
        <v>0</v>
      </c>
      <c r="O268" s="13"/>
      <c r="P268" s="953">
        <v>0</v>
      </c>
      <c r="Q268" s="953">
        <v>0</v>
      </c>
      <c r="R268" s="953">
        <v>0</v>
      </c>
      <c r="S268" s="13"/>
      <c r="T268" s="953">
        <v>0</v>
      </c>
      <c r="U268" s="953">
        <v>0</v>
      </c>
      <c r="V268" s="953">
        <v>0</v>
      </c>
      <c r="W268" s="13"/>
      <c r="X268" s="953">
        <v>0</v>
      </c>
      <c r="Y268" s="953">
        <v>0</v>
      </c>
      <c r="Z268" s="953">
        <v>0</v>
      </c>
      <c r="AA268" s="13">
        <v>0</v>
      </c>
      <c r="AB268" s="953">
        <v>0</v>
      </c>
      <c r="AC268" s="953">
        <v>0</v>
      </c>
      <c r="AD268" s="953">
        <v>0</v>
      </c>
      <c r="AE268" s="13"/>
      <c r="AF268" s="953">
        <v>0</v>
      </c>
      <c r="AG268" s="953">
        <v>0</v>
      </c>
      <c r="AH268" s="953">
        <v>0</v>
      </c>
      <c r="AI268" s="13"/>
      <c r="AJ268" s="953">
        <v>0</v>
      </c>
      <c r="AK268" s="953">
        <v>0</v>
      </c>
      <c r="AL268" s="953">
        <v>0</v>
      </c>
      <c r="AM268" s="1455"/>
      <c r="AN268" s="9">
        <v>87</v>
      </c>
      <c r="AO268" s="955">
        <v>0.35</v>
      </c>
      <c r="AP268" s="13"/>
      <c r="AQ268"/>
      <c r="AR268"/>
      <c r="AS268"/>
      <c r="AT268"/>
      <c r="AU268" t="str">
        <f t="shared" si="54"/>
        <v>2021Q4</v>
      </c>
      <c r="AV268">
        <f t="shared" si="55"/>
        <v>2021</v>
      </c>
      <c r="AW268" s="111">
        <f t="shared" si="51"/>
        <v>44501</v>
      </c>
      <c r="AX268" s="136">
        <f t="shared" si="45"/>
        <v>4.6143282865711548</v>
      </c>
      <c r="AY268" s="1541">
        <v>4.6143282865711548</v>
      </c>
      <c r="AZ268" s="136">
        <f t="shared" si="46"/>
        <v>4.6143282865711548</v>
      </c>
      <c r="BA268" s="137"/>
      <c r="BB268" s="137"/>
      <c r="BC268" s="137"/>
      <c r="BD268" s="137">
        <v>0</v>
      </c>
      <c r="BE268" s="137"/>
      <c r="BF268" s="137">
        <v>0</v>
      </c>
      <c r="BG268" s="145">
        <v>0</v>
      </c>
      <c r="BH268" s="153"/>
      <c r="BI268" s="886"/>
      <c r="BJ268" s="924"/>
      <c r="BK268" s="1443">
        <v>0</v>
      </c>
      <c r="BL268" s="905">
        <f t="shared" si="47"/>
        <v>4.6143282865711548</v>
      </c>
      <c r="BM268" s="1287">
        <f t="shared" si="52"/>
        <v>4.6143282865711548</v>
      </c>
      <c r="BN268" s="1393">
        <f t="shared" si="48"/>
        <v>2.4693687848392987E-2</v>
      </c>
      <c r="BO268" s="1377">
        <f t="shared" si="50"/>
        <v>4.6143282865711548</v>
      </c>
      <c r="BP268" s="208">
        <f t="shared" si="49"/>
        <v>2.4693687848392987E-2</v>
      </c>
      <c r="BQ268" s="1378">
        <f t="shared" si="56"/>
        <v>5.5096409061720877</v>
      </c>
      <c r="BR268" s="1378">
        <f t="shared" si="53"/>
        <v>4.1638405382008346</v>
      </c>
      <c r="BS268" s="153">
        <v>0</v>
      </c>
      <c r="BU268" s="1389">
        <f t="shared" si="57"/>
        <v>44075</v>
      </c>
      <c r="BV268" s="1390">
        <v>3.1232936873992285</v>
      </c>
      <c r="BW268" s="1390">
        <v>2.4615184217699948</v>
      </c>
      <c r="BX268" s="1390"/>
      <c r="BY268" s="1390">
        <v>4.8285485465818425</v>
      </c>
      <c r="BZ268" s="1391">
        <v>3.8054574392967395</v>
      </c>
    </row>
    <row r="269" spans="1:78">
      <c r="A269" s="957"/>
      <c r="B269" s="951">
        <v>43497</v>
      </c>
      <c r="C269" s="952">
        <v>47.080110499173607</v>
      </c>
      <c r="D269" s="952"/>
      <c r="E269" s="952"/>
      <c r="F269" s="1292"/>
      <c r="G269" s="952"/>
      <c r="H269" s="952"/>
      <c r="I269" s="952"/>
      <c r="J269" s="9"/>
      <c r="K269" s="944">
        <v>44378</v>
      </c>
      <c r="L269" s="953">
        <v>0</v>
      </c>
      <c r="M269" s="953">
        <v>0</v>
      </c>
      <c r="N269" s="953">
        <v>0</v>
      </c>
      <c r="O269" s="13"/>
      <c r="P269" s="953">
        <v>0</v>
      </c>
      <c r="Q269" s="953">
        <v>0</v>
      </c>
      <c r="R269" s="953">
        <v>0</v>
      </c>
      <c r="S269" s="13"/>
      <c r="T269" s="953">
        <v>0</v>
      </c>
      <c r="U269" s="953">
        <v>0</v>
      </c>
      <c r="V269" s="953">
        <v>0</v>
      </c>
      <c r="W269" s="13"/>
      <c r="X269" s="953">
        <v>0</v>
      </c>
      <c r="Y269" s="953">
        <v>0</v>
      </c>
      <c r="Z269" s="953">
        <v>0</v>
      </c>
      <c r="AA269" s="13">
        <v>0</v>
      </c>
      <c r="AB269" s="953">
        <v>0</v>
      </c>
      <c r="AC269" s="953">
        <v>0</v>
      </c>
      <c r="AD269" s="953">
        <v>0</v>
      </c>
      <c r="AE269" s="13"/>
      <c r="AF269" s="953">
        <v>0</v>
      </c>
      <c r="AG269" s="953">
        <v>0</v>
      </c>
      <c r="AH269" s="953">
        <v>0</v>
      </c>
      <c r="AI269" s="13"/>
      <c r="AJ269" s="953">
        <v>0</v>
      </c>
      <c r="AK269" s="953">
        <v>0</v>
      </c>
      <c r="AL269" s="953">
        <v>0</v>
      </c>
      <c r="AM269" s="1455"/>
      <c r="AN269" s="9">
        <v>87</v>
      </c>
      <c r="AO269" s="955">
        <v>0.35</v>
      </c>
      <c r="AP269" s="13"/>
      <c r="AQ269"/>
      <c r="AR269"/>
      <c r="AS269"/>
      <c r="AT269"/>
      <c r="AU269" t="str">
        <f t="shared" si="54"/>
        <v>2021Q4</v>
      </c>
      <c r="AV269">
        <f t="shared" si="55"/>
        <v>2021</v>
      </c>
      <c r="AW269" s="111">
        <f t="shared" si="51"/>
        <v>44531</v>
      </c>
      <c r="AX269" s="136">
        <f t="shared" si="45"/>
        <v>4.8105992076073516</v>
      </c>
      <c r="AY269" s="1541">
        <v>4.8105992076073516</v>
      </c>
      <c r="AZ269" s="136">
        <f t="shared" si="46"/>
        <v>4.8105992076073516</v>
      </c>
      <c r="BA269" s="137"/>
      <c r="BB269" s="137"/>
      <c r="BC269" s="137"/>
      <c r="BD269" s="137">
        <v>0</v>
      </c>
      <c r="BE269" s="137"/>
      <c r="BF269" s="137">
        <v>0</v>
      </c>
      <c r="BG269" s="145">
        <v>0</v>
      </c>
      <c r="BH269" s="153"/>
      <c r="BI269" s="886"/>
      <c r="BJ269" s="924"/>
      <c r="BK269" s="1443">
        <v>0</v>
      </c>
      <c r="BL269" s="905">
        <f t="shared" si="47"/>
        <v>4.8105992076073516</v>
      </c>
      <c r="BM269" s="1287">
        <f t="shared" si="52"/>
        <v>4.8105992076073516</v>
      </c>
      <c r="BN269" s="1393">
        <f t="shared" si="48"/>
        <v>2.4693687848393209E-2</v>
      </c>
      <c r="BO269" s="1377">
        <f t="shared" si="50"/>
        <v>4.8105992076073516</v>
      </c>
      <c r="BP269" s="208">
        <f t="shared" si="49"/>
        <v>2.4693687848393209E-2</v>
      </c>
      <c r="BQ269" s="1378">
        <f t="shared" si="56"/>
        <v>5.6260307347523746</v>
      </c>
      <c r="BR269" s="1378">
        <f t="shared" si="53"/>
        <v>4.2511364166353491</v>
      </c>
      <c r="BS269" s="153">
        <v>0</v>
      </c>
      <c r="BU269" s="1389">
        <f t="shared" si="57"/>
        <v>44105</v>
      </c>
      <c r="BV269" s="1390">
        <v>3.257343340548057</v>
      </c>
      <c r="BW269" s="1390">
        <v>2.5327494711339411</v>
      </c>
      <c r="BX269" s="1390"/>
      <c r="BY269" s="1390">
        <v>5.0357865852244892</v>
      </c>
      <c r="BZ269" s="1391">
        <v>3.9155791935414337</v>
      </c>
    </row>
    <row r="270" spans="1:78">
      <c r="A270" s="957"/>
      <c r="B270" s="951">
        <v>43525</v>
      </c>
      <c r="C270" s="952">
        <v>42.424803430366794</v>
      </c>
      <c r="D270" s="952"/>
      <c r="E270" s="952"/>
      <c r="F270" s="1292"/>
      <c r="G270" s="952"/>
      <c r="H270" s="952"/>
      <c r="I270" s="952"/>
      <c r="J270" s="9"/>
      <c r="K270" s="944">
        <v>44409</v>
      </c>
      <c r="L270" s="953">
        <v>0</v>
      </c>
      <c r="M270" s="953">
        <v>0</v>
      </c>
      <c r="N270" s="953">
        <v>0</v>
      </c>
      <c r="O270" s="13"/>
      <c r="P270" s="953">
        <v>0</v>
      </c>
      <c r="Q270" s="953">
        <v>0</v>
      </c>
      <c r="R270" s="953">
        <v>0</v>
      </c>
      <c r="S270" s="13"/>
      <c r="T270" s="953">
        <v>0</v>
      </c>
      <c r="U270" s="953">
        <v>0</v>
      </c>
      <c r="V270" s="953">
        <v>0</v>
      </c>
      <c r="W270" s="13"/>
      <c r="X270" s="953">
        <v>0</v>
      </c>
      <c r="Y270" s="953">
        <v>0</v>
      </c>
      <c r="Z270" s="953">
        <v>0</v>
      </c>
      <c r="AA270" s="13">
        <v>0</v>
      </c>
      <c r="AB270" s="953">
        <v>0</v>
      </c>
      <c r="AC270" s="953">
        <v>0</v>
      </c>
      <c r="AD270" s="953">
        <v>0</v>
      </c>
      <c r="AE270" s="13"/>
      <c r="AF270" s="953">
        <v>0</v>
      </c>
      <c r="AG270" s="953">
        <v>0</v>
      </c>
      <c r="AH270" s="953">
        <v>0</v>
      </c>
      <c r="AI270" s="13"/>
      <c r="AJ270" s="953">
        <v>0</v>
      </c>
      <c r="AK270" s="953">
        <v>0</v>
      </c>
      <c r="AL270" s="953">
        <v>0</v>
      </c>
      <c r="AM270" s="1455"/>
      <c r="AN270" s="9">
        <v>87</v>
      </c>
      <c r="AO270" s="955">
        <v>0.35</v>
      </c>
      <c r="AP270" s="13"/>
      <c r="AQ270"/>
      <c r="AR270"/>
      <c r="AS270"/>
      <c r="AT270"/>
      <c r="AU270" t="str">
        <f t="shared" si="54"/>
        <v>2022Q1</v>
      </c>
      <c r="AV270">
        <f t="shared" si="55"/>
        <v>2022</v>
      </c>
      <c r="AW270" s="111">
        <f t="shared" si="51"/>
        <v>44562</v>
      </c>
      <c r="AX270" s="136">
        <f t="shared" si="45"/>
        <v>4.851</v>
      </c>
      <c r="AY270" s="136">
        <v>4.851</v>
      </c>
      <c r="AZ270" s="136">
        <f t="shared" si="46"/>
        <v>4.851</v>
      </c>
      <c r="BA270" s="137"/>
      <c r="BB270" s="137"/>
      <c r="BC270" s="137"/>
      <c r="BD270" s="137">
        <v>0</v>
      </c>
      <c r="BE270" s="137"/>
      <c r="BF270" s="137">
        <v>0</v>
      </c>
      <c r="BG270" s="145">
        <v>0</v>
      </c>
      <c r="BH270" s="153"/>
      <c r="BI270" s="886"/>
      <c r="BJ270" s="924"/>
      <c r="BK270" s="1443">
        <v>0</v>
      </c>
      <c r="BL270" s="905">
        <f t="shared" si="47"/>
        <v>4.851</v>
      </c>
      <c r="BM270" s="1287">
        <f t="shared" si="52"/>
        <v>4.851</v>
      </c>
      <c r="BN270" s="1393">
        <f t="shared" si="48"/>
        <v>8.3608011776811875E-2</v>
      </c>
      <c r="BO270" s="1377">
        <f t="shared" si="50"/>
        <v>4.851</v>
      </c>
      <c r="BP270" s="208">
        <f t="shared" si="49"/>
        <v>8.3608011776811875E-2</v>
      </c>
      <c r="BQ270" s="1378">
        <f t="shared" si="56"/>
        <v>5.59512517333666</v>
      </c>
      <c r="BR270" s="1378">
        <f t="shared" si="53"/>
        <v>4.493106908439068</v>
      </c>
      <c r="BS270" s="153">
        <v>0</v>
      </c>
      <c r="BU270" s="1389">
        <f t="shared" si="57"/>
        <v>44136</v>
      </c>
      <c r="BV270" s="1390">
        <v>3.4236407876147639</v>
      </c>
      <c r="BW270" s="1390">
        <v>2.5996634872031028</v>
      </c>
      <c r="BX270" s="1390"/>
      <c r="BY270" s="1390">
        <v>5.2928790576915459</v>
      </c>
      <c r="BZ270" s="1391">
        <v>4.0190269020743283</v>
      </c>
    </row>
    <row r="271" spans="1:78">
      <c r="A271" s="957"/>
      <c r="B271" s="951">
        <v>43556</v>
      </c>
      <c r="C271" s="952">
        <v>42.09368907155779</v>
      </c>
      <c r="D271" s="952"/>
      <c r="E271" s="952"/>
      <c r="F271" s="1292"/>
      <c r="G271" s="952"/>
      <c r="H271" s="952"/>
      <c r="I271" s="952"/>
      <c r="J271" s="9"/>
      <c r="K271" s="944">
        <v>44440</v>
      </c>
      <c r="L271" s="953">
        <v>0</v>
      </c>
      <c r="M271" s="953">
        <v>0</v>
      </c>
      <c r="N271" s="953">
        <v>0</v>
      </c>
      <c r="O271" s="13"/>
      <c r="P271" s="953">
        <v>0</v>
      </c>
      <c r="Q271" s="953">
        <v>0</v>
      </c>
      <c r="R271" s="953">
        <v>0</v>
      </c>
      <c r="S271" s="13"/>
      <c r="T271" s="953">
        <v>0</v>
      </c>
      <c r="U271" s="953">
        <v>0</v>
      </c>
      <c r="V271" s="953">
        <v>0</v>
      </c>
      <c r="W271" s="13"/>
      <c r="X271" s="953">
        <v>0</v>
      </c>
      <c r="Y271" s="953">
        <v>0</v>
      </c>
      <c r="Z271" s="953">
        <v>0</v>
      </c>
      <c r="AA271" s="13">
        <v>0</v>
      </c>
      <c r="AB271" s="953">
        <v>0</v>
      </c>
      <c r="AC271" s="953">
        <v>0</v>
      </c>
      <c r="AD271" s="953">
        <v>0</v>
      </c>
      <c r="AE271" s="13"/>
      <c r="AF271" s="953">
        <v>0</v>
      </c>
      <c r="AG271" s="953">
        <v>0</v>
      </c>
      <c r="AH271" s="953">
        <v>0</v>
      </c>
      <c r="AI271" s="13"/>
      <c r="AJ271" s="953">
        <v>0</v>
      </c>
      <c r="AK271" s="953">
        <v>0</v>
      </c>
      <c r="AL271" s="953">
        <v>0</v>
      </c>
      <c r="AM271" s="1455"/>
      <c r="AN271" s="9">
        <v>88</v>
      </c>
      <c r="AO271" s="955">
        <v>0.35</v>
      </c>
      <c r="AP271" s="13"/>
      <c r="AQ271"/>
      <c r="AR271"/>
      <c r="AS271"/>
      <c r="AT271"/>
      <c r="AU271" t="str">
        <f t="shared" si="54"/>
        <v>2022Q1</v>
      </c>
      <c r="AV271">
        <f t="shared" si="55"/>
        <v>2022</v>
      </c>
      <c r="AW271" s="111">
        <f t="shared" si="51"/>
        <v>44593</v>
      </c>
      <c r="AX271" s="136">
        <f t="shared" si="45"/>
        <v>4.8</v>
      </c>
      <c r="AY271" s="136">
        <v>4.8</v>
      </c>
      <c r="AZ271" s="136">
        <f t="shared" si="46"/>
        <v>4.8</v>
      </c>
      <c r="BA271" s="137"/>
      <c r="BB271" s="137"/>
      <c r="BC271" s="137"/>
      <c r="BD271" s="137">
        <v>0</v>
      </c>
      <c r="BE271" s="137"/>
      <c r="BF271" s="137">
        <v>0</v>
      </c>
      <c r="BG271" s="145">
        <v>0</v>
      </c>
      <c r="BH271" s="153"/>
      <c r="BI271" s="886"/>
      <c r="BJ271" s="924"/>
      <c r="BK271" s="1443">
        <v>0</v>
      </c>
      <c r="BL271" s="905">
        <f t="shared" si="47"/>
        <v>4.8</v>
      </c>
      <c r="BM271" s="1287">
        <f t="shared" si="52"/>
        <v>4.8</v>
      </c>
      <c r="BN271" s="1393">
        <f t="shared" si="48"/>
        <v>0.16088752016737207</v>
      </c>
      <c r="BO271" s="1377">
        <f t="shared" si="50"/>
        <v>4.8</v>
      </c>
      <c r="BP271" s="208">
        <f t="shared" si="49"/>
        <v>0.16088752016737207</v>
      </c>
      <c r="BQ271" s="1378">
        <f t="shared" si="56"/>
        <v>5.172947609214515</v>
      </c>
      <c r="BR271" s="1378">
        <f t="shared" si="53"/>
        <v>4.1850593196990511</v>
      </c>
      <c r="BS271" s="153">
        <v>0</v>
      </c>
      <c r="BU271" s="1389">
        <f t="shared" si="57"/>
        <v>44166</v>
      </c>
      <c r="BV271" s="1390">
        <v>3.4959643693466647</v>
      </c>
      <c r="BW271" s="1390">
        <v>2.6541660325497571</v>
      </c>
      <c r="BX271" s="1390"/>
      <c r="BY271" s="1390">
        <v>5.4046898447667626</v>
      </c>
      <c r="BZ271" s="1391">
        <v>4.1032867291857968</v>
      </c>
    </row>
    <row r="272" spans="1:78">
      <c r="A272" s="957"/>
      <c r="B272" s="951">
        <v>43586</v>
      </c>
      <c r="C272" s="952">
        <v>45.83913099621131</v>
      </c>
      <c r="D272" s="952"/>
      <c r="E272" s="952"/>
      <c r="F272" s="1292"/>
      <c r="G272" s="952"/>
      <c r="H272" s="952"/>
      <c r="I272" s="952"/>
      <c r="J272" s="9"/>
      <c r="K272" s="944">
        <v>44470</v>
      </c>
      <c r="L272" s="953">
        <v>0</v>
      </c>
      <c r="M272" s="953">
        <v>0</v>
      </c>
      <c r="N272" s="953">
        <v>0</v>
      </c>
      <c r="O272" s="13"/>
      <c r="P272" s="953">
        <v>0</v>
      </c>
      <c r="Q272" s="953">
        <v>0</v>
      </c>
      <c r="R272" s="953">
        <v>0</v>
      </c>
      <c r="S272" s="13"/>
      <c r="T272" s="953">
        <v>0</v>
      </c>
      <c r="U272" s="953">
        <v>0</v>
      </c>
      <c r="V272" s="953">
        <v>0</v>
      </c>
      <c r="W272" s="13"/>
      <c r="X272" s="953">
        <v>0</v>
      </c>
      <c r="Y272" s="953">
        <v>0</v>
      </c>
      <c r="Z272" s="953">
        <v>0</v>
      </c>
      <c r="AA272" s="13">
        <v>0</v>
      </c>
      <c r="AB272" s="953">
        <v>0</v>
      </c>
      <c r="AC272" s="953">
        <v>0</v>
      </c>
      <c r="AD272" s="953">
        <v>0</v>
      </c>
      <c r="AE272" s="13"/>
      <c r="AF272" s="953">
        <v>0</v>
      </c>
      <c r="AG272" s="953">
        <v>0</v>
      </c>
      <c r="AH272" s="953">
        <v>0</v>
      </c>
      <c r="AI272" s="13"/>
      <c r="AJ272" s="953">
        <v>0</v>
      </c>
      <c r="AK272" s="953">
        <v>0</v>
      </c>
      <c r="AL272" s="953">
        <v>0</v>
      </c>
      <c r="AM272" s="1455"/>
      <c r="AN272" s="9">
        <v>88</v>
      </c>
      <c r="AO272" s="955">
        <v>0.35</v>
      </c>
      <c r="AP272" s="13"/>
      <c r="AQ272"/>
      <c r="AR272"/>
      <c r="AS272"/>
      <c r="AT272"/>
      <c r="AU272" t="str">
        <f t="shared" si="54"/>
        <v>2022Q1</v>
      </c>
      <c r="AV272">
        <f t="shared" si="55"/>
        <v>2022</v>
      </c>
      <c r="AW272" s="111">
        <f t="shared" si="51"/>
        <v>44621</v>
      </c>
      <c r="AX272" s="136">
        <f t="shared" si="45"/>
        <v>4.6989999999999998</v>
      </c>
      <c r="AY272" s="136">
        <v>4.6989999999999998</v>
      </c>
      <c r="AZ272" s="136">
        <f t="shared" si="46"/>
        <v>4.6989999999999998</v>
      </c>
      <c r="BA272" s="137"/>
      <c r="BB272" s="137"/>
      <c r="BC272" s="137"/>
      <c r="BD272" s="137">
        <v>0</v>
      </c>
      <c r="BE272" s="137"/>
      <c r="BF272" s="137">
        <v>0</v>
      </c>
      <c r="BG272" s="145">
        <v>0</v>
      </c>
      <c r="BH272" s="153"/>
      <c r="BI272" s="886"/>
      <c r="BJ272" s="924"/>
      <c r="BK272" s="1443">
        <v>0</v>
      </c>
      <c r="BL272" s="905">
        <f t="shared" si="47"/>
        <v>4.6989999999999998</v>
      </c>
      <c r="BM272" s="1287">
        <f t="shared" si="52"/>
        <v>4.6989999999999998</v>
      </c>
      <c r="BN272" s="1393">
        <f t="shared" si="48"/>
        <v>0.20093060202980961</v>
      </c>
      <c r="BO272" s="1377">
        <f t="shared" si="50"/>
        <v>4.6989999999999998</v>
      </c>
      <c r="BP272" s="208">
        <f t="shared" si="49"/>
        <v>0.20093060202980961</v>
      </c>
      <c r="BQ272" s="1378">
        <f t="shared" si="56"/>
        <v>5.0193533830783217</v>
      </c>
      <c r="BR272" s="1378">
        <f t="shared" si="53"/>
        <v>3.9773062947348525</v>
      </c>
      <c r="BS272" s="153">
        <v>0</v>
      </c>
      <c r="BU272" s="1389">
        <f t="shared" si="57"/>
        <v>44197</v>
      </c>
      <c r="BV272" s="1390">
        <v>3.4085047602172782</v>
      </c>
      <c r="BW272" s="1390">
        <v>2.7501462917084387</v>
      </c>
      <c r="BX272" s="1390"/>
      <c r="BY272" s="1390">
        <v>5.3748686483795005</v>
      </c>
      <c r="BZ272" s="1391">
        <v>4.3367036638137364</v>
      </c>
    </row>
    <row r="273" spans="1:78">
      <c r="A273" s="957"/>
      <c r="B273" s="951">
        <v>43617</v>
      </c>
      <c r="C273" s="952">
        <v>47.170793095004761</v>
      </c>
      <c r="D273" s="952"/>
      <c r="E273" s="952"/>
      <c r="F273" s="1292"/>
      <c r="G273" s="952"/>
      <c r="H273" s="952"/>
      <c r="I273" s="952"/>
      <c r="J273" s="9"/>
      <c r="K273" s="944">
        <v>44501</v>
      </c>
      <c r="L273" s="953">
        <v>0</v>
      </c>
      <c r="M273" s="953">
        <v>0</v>
      </c>
      <c r="N273" s="953">
        <v>0</v>
      </c>
      <c r="O273" s="13"/>
      <c r="P273" s="953">
        <v>0</v>
      </c>
      <c r="Q273" s="953">
        <v>0</v>
      </c>
      <c r="R273" s="953">
        <v>0</v>
      </c>
      <c r="S273" s="13"/>
      <c r="T273" s="953">
        <v>0</v>
      </c>
      <c r="U273" s="953">
        <v>0</v>
      </c>
      <c r="V273" s="953">
        <v>0</v>
      </c>
      <c r="W273" s="13"/>
      <c r="X273" s="953">
        <v>0</v>
      </c>
      <c r="Y273" s="953">
        <v>0</v>
      </c>
      <c r="Z273" s="953">
        <v>0</v>
      </c>
      <c r="AA273" s="13">
        <v>0</v>
      </c>
      <c r="AB273" s="953">
        <v>0</v>
      </c>
      <c r="AC273" s="953">
        <v>0</v>
      </c>
      <c r="AD273" s="953">
        <v>0</v>
      </c>
      <c r="AE273" s="13"/>
      <c r="AF273" s="953">
        <v>0</v>
      </c>
      <c r="AG273" s="953">
        <v>0</v>
      </c>
      <c r="AH273" s="953">
        <v>0</v>
      </c>
      <c r="AI273" s="13"/>
      <c r="AJ273" s="953">
        <v>0</v>
      </c>
      <c r="AK273" s="953">
        <v>0</v>
      </c>
      <c r="AL273" s="953">
        <v>0</v>
      </c>
      <c r="AM273" s="1455"/>
      <c r="AN273" s="9">
        <v>88</v>
      </c>
      <c r="AO273" s="955">
        <v>0.35</v>
      </c>
      <c r="AP273" s="13"/>
      <c r="AQ273"/>
      <c r="AR273"/>
      <c r="AS273"/>
      <c r="AT273"/>
      <c r="AU273" t="str">
        <f t="shared" si="54"/>
        <v>2022Q2</v>
      </c>
      <c r="AV273">
        <f t="shared" si="55"/>
        <v>2022</v>
      </c>
      <c r="AW273" s="111">
        <f t="shared" si="51"/>
        <v>44652</v>
      </c>
      <c r="AX273" s="136">
        <f t="shared" si="45"/>
        <v>4.601</v>
      </c>
      <c r="AY273" s="136">
        <v>4.601</v>
      </c>
      <c r="AZ273" s="136">
        <f t="shared" si="46"/>
        <v>4.601</v>
      </c>
      <c r="BA273" s="137"/>
      <c r="BB273" s="137"/>
      <c r="BC273" s="137"/>
      <c r="BD273" s="137">
        <v>0</v>
      </c>
      <c r="BE273" s="137"/>
      <c r="BF273" s="137">
        <v>0</v>
      </c>
      <c r="BG273" s="145">
        <v>0</v>
      </c>
      <c r="BH273" s="153"/>
      <c r="BI273" s="886"/>
      <c r="BJ273" s="924"/>
      <c r="BK273" s="1443">
        <v>0</v>
      </c>
      <c r="BL273" s="905">
        <f t="shared" si="47"/>
        <v>4.601</v>
      </c>
      <c r="BM273" s="1287">
        <f t="shared" si="52"/>
        <v>4.601</v>
      </c>
      <c r="BN273" s="1393">
        <f t="shared" si="48"/>
        <v>0.21225304932730316</v>
      </c>
      <c r="BO273" s="1377">
        <f t="shared" si="50"/>
        <v>4.601</v>
      </c>
      <c r="BP273" s="208">
        <f t="shared" si="49"/>
        <v>0.21225304932730316</v>
      </c>
      <c r="BQ273" s="1378">
        <f t="shared" si="56"/>
        <v>4.9197819537210643</v>
      </c>
      <c r="BR273" s="1378">
        <f t="shared" si="53"/>
        <v>3.8564155258979276</v>
      </c>
      <c r="BS273" s="153">
        <v>0</v>
      </c>
      <c r="BU273" s="1389">
        <f t="shared" si="57"/>
        <v>44228</v>
      </c>
      <c r="BV273" s="1390">
        <v>3.1513176209867328</v>
      </c>
      <c r="BW273" s="1390">
        <v>2.5615961523267345</v>
      </c>
      <c r="BX273" s="1390"/>
      <c r="BY273" s="1390">
        <v>4.9693104377673629</v>
      </c>
      <c r="BZ273" s="1391">
        <v>4.0393790877595412</v>
      </c>
    </row>
    <row r="274" spans="1:78">
      <c r="A274" s="957"/>
      <c r="B274" s="951">
        <v>43647</v>
      </c>
      <c r="C274" s="952">
        <v>64.888087288419854</v>
      </c>
      <c r="D274" s="952"/>
      <c r="E274" s="952"/>
      <c r="F274" s="1292"/>
      <c r="G274" s="952"/>
      <c r="H274" s="952"/>
      <c r="I274" s="952"/>
      <c r="J274" s="9"/>
      <c r="K274" s="944">
        <v>44531</v>
      </c>
      <c r="L274" s="953">
        <v>0</v>
      </c>
      <c r="M274" s="953">
        <v>0</v>
      </c>
      <c r="N274" s="953">
        <v>0</v>
      </c>
      <c r="O274" s="13"/>
      <c r="P274" s="953">
        <v>0</v>
      </c>
      <c r="Q274" s="953">
        <v>0</v>
      </c>
      <c r="R274" s="953">
        <v>0</v>
      </c>
      <c r="S274" s="13"/>
      <c r="T274" s="953">
        <v>0</v>
      </c>
      <c r="U274" s="953">
        <v>0</v>
      </c>
      <c r="V274" s="953">
        <v>0</v>
      </c>
      <c r="W274" s="13"/>
      <c r="X274" s="953">
        <v>0</v>
      </c>
      <c r="Y274" s="953">
        <v>0</v>
      </c>
      <c r="Z274" s="953">
        <v>0</v>
      </c>
      <c r="AA274" s="13">
        <v>0</v>
      </c>
      <c r="AB274" s="953">
        <v>0</v>
      </c>
      <c r="AC274" s="953">
        <v>0</v>
      </c>
      <c r="AD274" s="953">
        <v>0</v>
      </c>
      <c r="AE274" s="13"/>
      <c r="AF274" s="953">
        <v>0</v>
      </c>
      <c r="AG274" s="953">
        <v>0</v>
      </c>
      <c r="AH274" s="953">
        <v>0</v>
      </c>
      <c r="AI274" s="13"/>
      <c r="AJ274" s="953">
        <v>0</v>
      </c>
      <c r="AK274" s="953">
        <v>0</v>
      </c>
      <c r="AL274" s="953">
        <v>0</v>
      </c>
      <c r="AM274" s="1455"/>
      <c r="AN274" s="9">
        <v>89</v>
      </c>
      <c r="AO274" s="955">
        <v>0.35</v>
      </c>
      <c r="AP274" s="13"/>
      <c r="AQ274"/>
      <c r="AR274"/>
      <c r="AS274"/>
      <c r="AT274"/>
      <c r="AU274" t="str">
        <f t="shared" si="54"/>
        <v>2022Q2</v>
      </c>
      <c r="AV274">
        <f t="shared" si="55"/>
        <v>2022</v>
      </c>
      <c r="AW274" s="111">
        <f t="shared" si="51"/>
        <v>44682</v>
      </c>
      <c r="AX274" s="136">
        <f t="shared" si="45"/>
        <v>4.5919999999999996</v>
      </c>
      <c r="AY274" s="136">
        <v>4.5919999999999996</v>
      </c>
      <c r="AZ274" s="136">
        <f t="shared" si="46"/>
        <v>4.5919999999999996</v>
      </c>
      <c r="BA274" s="137"/>
      <c r="BB274" s="137"/>
      <c r="BC274" s="137"/>
      <c r="BD274" s="137">
        <v>0</v>
      </c>
      <c r="BE274" s="137"/>
      <c r="BF274" s="137">
        <v>0</v>
      </c>
      <c r="BG274" s="145">
        <v>0</v>
      </c>
      <c r="BH274" s="153"/>
      <c r="BI274" s="886"/>
      <c r="BJ274" s="924"/>
      <c r="BK274" s="1443">
        <v>0</v>
      </c>
      <c r="BL274" s="905">
        <f t="shared" si="47"/>
        <v>4.5919999999999996</v>
      </c>
      <c r="BM274" s="1287">
        <f t="shared" si="52"/>
        <v>4.5919999999999996</v>
      </c>
      <c r="BN274" s="1393">
        <f t="shared" si="48"/>
        <v>0.21907565688183372</v>
      </c>
      <c r="BO274" s="1377">
        <f t="shared" si="50"/>
        <v>4.5919999999999996</v>
      </c>
      <c r="BP274" s="208">
        <f t="shared" si="49"/>
        <v>0.21907565688183372</v>
      </c>
      <c r="BQ274" s="1378">
        <f t="shared" si="56"/>
        <v>4.8742333211427447</v>
      </c>
      <c r="BR274" s="1378">
        <f t="shared" si="53"/>
        <v>3.808954705539727</v>
      </c>
      <c r="BS274" s="153">
        <v>0</v>
      </c>
      <c r="BU274" s="1389">
        <f t="shared" si="57"/>
        <v>44256</v>
      </c>
      <c r="BV274" s="1390">
        <v>3.0577492673381048</v>
      </c>
      <c r="BW274" s="1390">
        <v>2.4344344304181429</v>
      </c>
      <c r="BX274" s="1390"/>
      <c r="BY274" s="1390">
        <v>4.821762569747241</v>
      </c>
      <c r="BZ274" s="1391">
        <v>3.838857862048572</v>
      </c>
    </row>
    <row r="275" spans="1:78">
      <c r="A275" s="957"/>
      <c r="B275" s="951">
        <v>43678</v>
      </c>
      <c r="C275" s="952">
        <v>78.016825446531584</v>
      </c>
      <c r="D275" s="952"/>
      <c r="E275" s="952"/>
      <c r="F275" s="1292"/>
      <c r="G275" s="952"/>
      <c r="H275" s="952"/>
      <c r="I275" s="952"/>
      <c r="J275" s="9"/>
      <c r="K275" s="944">
        <v>44562</v>
      </c>
      <c r="L275" s="953">
        <v>0</v>
      </c>
      <c r="M275" s="953">
        <v>0</v>
      </c>
      <c r="N275" s="953">
        <v>0</v>
      </c>
      <c r="O275" s="13"/>
      <c r="P275" s="953">
        <v>0</v>
      </c>
      <c r="Q275" s="953">
        <v>0</v>
      </c>
      <c r="R275" s="953">
        <v>0</v>
      </c>
      <c r="S275" s="13"/>
      <c r="T275" s="953">
        <v>0</v>
      </c>
      <c r="U275" s="953">
        <v>0</v>
      </c>
      <c r="V275" s="953">
        <v>0</v>
      </c>
      <c r="W275" s="13"/>
      <c r="X275" s="953">
        <v>0</v>
      </c>
      <c r="Y275" s="953">
        <v>0</v>
      </c>
      <c r="Z275" s="953">
        <v>0</v>
      </c>
      <c r="AA275" s="13">
        <v>0</v>
      </c>
      <c r="AB275" s="953">
        <v>0</v>
      </c>
      <c r="AC275" s="953">
        <v>0</v>
      </c>
      <c r="AD275" s="953">
        <v>0</v>
      </c>
      <c r="AE275" s="13"/>
      <c r="AF275" s="953">
        <v>0</v>
      </c>
      <c r="AG275" s="953">
        <v>0</v>
      </c>
      <c r="AH275" s="953">
        <v>0</v>
      </c>
      <c r="AI275" s="13"/>
      <c r="AJ275" s="953">
        <v>0</v>
      </c>
      <c r="AK275" s="953">
        <v>0</v>
      </c>
      <c r="AL275" s="953">
        <v>0</v>
      </c>
      <c r="AM275" s="1455"/>
      <c r="AN275" s="9">
        <v>89</v>
      </c>
      <c r="AO275" s="955">
        <v>0.35</v>
      </c>
      <c r="AP275" s="13"/>
      <c r="AQ275"/>
      <c r="AR275"/>
      <c r="AS275"/>
      <c r="AT275"/>
      <c r="AU275" t="str">
        <f t="shared" si="54"/>
        <v>2022Q2</v>
      </c>
      <c r="AV275">
        <f t="shared" si="55"/>
        <v>2022</v>
      </c>
      <c r="AW275" s="111">
        <f t="shared" si="51"/>
        <v>44713</v>
      </c>
      <c r="AX275" s="136">
        <f t="shared" ref="AX275:AX298" si="58">AY275</f>
        <v>4.5910000000000002</v>
      </c>
      <c r="AY275" s="136">
        <v>4.5910000000000002</v>
      </c>
      <c r="AZ275" s="136">
        <f t="shared" ref="AZ275:AZ298" si="59">AY275</f>
        <v>4.5910000000000002</v>
      </c>
      <c r="BA275" s="137"/>
      <c r="BB275" s="137"/>
      <c r="BC275" s="137"/>
      <c r="BD275" s="137">
        <v>0</v>
      </c>
      <c r="BE275" s="137"/>
      <c r="BF275" s="137">
        <v>0</v>
      </c>
      <c r="BG275" s="145">
        <v>0</v>
      </c>
      <c r="BH275" s="153"/>
      <c r="BI275" s="886"/>
      <c r="BJ275" s="924"/>
      <c r="BK275" s="1443">
        <v>0</v>
      </c>
      <c r="BL275" s="905">
        <f t="shared" ref="BL275:BL299" si="60">+AY275</f>
        <v>4.5910000000000002</v>
      </c>
      <c r="BM275" s="1287">
        <f t="shared" si="52"/>
        <v>4.5910000000000002</v>
      </c>
      <c r="BN275" s="1393">
        <f t="shared" ref="BN275:BN283" si="61">+BM275/BM263-1</f>
        <v>0.20426337243946291</v>
      </c>
      <c r="BO275" s="1377">
        <f t="shared" si="50"/>
        <v>4.5910000000000002</v>
      </c>
      <c r="BP275" s="208">
        <f t="shared" si="49"/>
        <v>0.20426337243946291</v>
      </c>
      <c r="BQ275" s="1378">
        <f t="shared" si="56"/>
        <v>4.8827074853433619</v>
      </c>
      <c r="BR275" s="1378">
        <f t="shared" si="53"/>
        <v>3.8214915260117044</v>
      </c>
      <c r="BS275" s="153">
        <v>0</v>
      </c>
      <c r="BU275" s="1389">
        <f t="shared" si="57"/>
        <v>44287</v>
      </c>
      <c r="BV275" s="1390">
        <v>2.9970911622141667</v>
      </c>
      <c r="BW275" s="1390">
        <v>2.3604394629282299</v>
      </c>
      <c r="BX275" s="1390"/>
      <c r="BY275" s="1390">
        <v>4.726110848410058</v>
      </c>
      <c r="BZ275" s="1391">
        <v>3.7221752522598623</v>
      </c>
    </row>
    <row r="276" spans="1:78">
      <c r="A276" s="957"/>
      <c r="B276" s="951">
        <v>43709</v>
      </c>
      <c r="C276" s="952">
        <v>68.093937159385106</v>
      </c>
      <c r="D276" s="952"/>
      <c r="E276" s="952"/>
      <c r="F276" s="1292"/>
      <c r="G276" s="952"/>
      <c r="H276" s="952"/>
      <c r="I276" s="952"/>
      <c r="J276" s="9"/>
      <c r="K276" s="944">
        <v>44593</v>
      </c>
      <c r="L276" s="953">
        <v>0</v>
      </c>
      <c r="M276" s="953">
        <v>0</v>
      </c>
      <c r="N276" s="953">
        <v>0</v>
      </c>
      <c r="O276" s="13"/>
      <c r="P276" s="953">
        <v>0</v>
      </c>
      <c r="Q276" s="953">
        <v>0</v>
      </c>
      <c r="R276" s="953">
        <v>0</v>
      </c>
      <c r="S276" s="13"/>
      <c r="T276" s="953">
        <v>0</v>
      </c>
      <c r="U276" s="953">
        <v>0</v>
      </c>
      <c r="V276" s="953">
        <v>0</v>
      </c>
      <c r="W276" s="13"/>
      <c r="X276" s="953">
        <v>0</v>
      </c>
      <c r="Y276" s="953">
        <v>0</v>
      </c>
      <c r="Z276" s="953">
        <v>0</v>
      </c>
      <c r="AA276" s="13">
        <v>0</v>
      </c>
      <c r="AB276" s="953">
        <v>0</v>
      </c>
      <c r="AC276" s="953">
        <v>0</v>
      </c>
      <c r="AD276" s="953">
        <v>0</v>
      </c>
      <c r="AE276" s="13"/>
      <c r="AF276" s="953">
        <v>0</v>
      </c>
      <c r="AG276" s="953">
        <v>0</v>
      </c>
      <c r="AH276" s="953">
        <v>0</v>
      </c>
      <c r="AI276" s="13"/>
      <c r="AJ276" s="953">
        <v>0</v>
      </c>
      <c r="AK276" s="953">
        <v>0</v>
      </c>
      <c r="AL276" s="953">
        <v>0</v>
      </c>
      <c r="AM276" s="1455"/>
      <c r="AN276" s="9">
        <v>89</v>
      </c>
      <c r="AO276" s="955">
        <v>0.35</v>
      </c>
      <c r="AP276" s="13"/>
      <c r="AQ276"/>
      <c r="AR276"/>
      <c r="AS276"/>
      <c r="AT276"/>
      <c r="AU276" t="str">
        <f t="shared" si="54"/>
        <v>2022Q3</v>
      </c>
      <c r="AV276">
        <f t="shared" si="55"/>
        <v>2022</v>
      </c>
      <c r="AW276" s="111">
        <f t="shared" si="51"/>
        <v>44743</v>
      </c>
      <c r="AX276" s="136">
        <f t="shared" si="58"/>
        <v>4.6559999999999997</v>
      </c>
      <c r="AY276" s="136">
        <v>4.6559999999999997</v>
      </c>
      <c r="AZ276" s="136">
        <f t="shared" si="59"/>
        <v>4.6559999999999997</v>
      </c>
      <c r="BA276" s="137"/>
      <c r="BB276" s="137"/>
      <c r="BC276" s="137"/>
      <c r="BD276" s="137">
        <v>0</v>
      </c>
      <c r="BE276" s="137"/>
      <c r="BF276" s="137">
        <v>0</v>
      </c>
      <c r="BG276" s="145">
        <v>0</v>
      </c>
      <c r="BH276" s="153"/>
      <c r="BI276" s="886"/>
      <c r="BJ276" s="924"/>
      <c r="BK276" s="1443">
        <v>0</v>
      </c>
      <c r="BL276" s="905">
        <f t="shared" si="60"/>
        <v>4.6559999999999997</v>
      </c>
      <c r="BM276" s="1287">
        <f t="shared" si="52"/>
        <v>4.6559999999999997</v>
      </c>
      <c r="BN276" s="1393">
        <f t="shared" si="61"/>
        <v>0.18886220619348792</v>
      </c>
      <c r="BO276" s="1377">
        <f t="shared" si="50"/>
        <v>4.6559999999999997</v>
      </c>
      <c r="BP276" s="208">
        <f t="shared" si="49"/>
        <v>0.18886220619348792</v>
      </c>
      <c r="BQ276" s="1378">
        <f t="shared" si="56"/>
        <v>4.9452044463229168</v>
      </c>
      <c r="BR276" s="1378">
        <f t="shared" si="53"/>
        <v>3.8805936796653122</v>
      </c>
      <c r="BS276" s="153">
        <v>0</v>
      </c>
      <c r="BU276" s="1389">
        <f t="shared" si="57"/>
        <v>44317</v>
      </c>
      <c r="BV276" s="1390">
        <v>2.9693433056149181</v>
      </c>
      <c r="BW276" s="1390">
        <v>2.3313895868025609</v>
      </c>
      <c r="BX276" s="1390"/>
      <c r="BY276" s="1390">
        <v>4.6823552737558147</v>
      </c>
      <c r="BZ276" s="1391">
        <v>3.6763665239724435</v>
      </c>
    </row>
    <row r="277" spans="1:78">
      <c r="A277" s="957"/>
      <c r="B277" s="951">
        <v>43739</v>
      </c>
      <c r="C277" s="952">
        <v>57.147099452977898</v>
      </c>
      <c r="D277" s="952"/>
      <c r="E277" s="952"/>
      <c r="F277" s="1292"/>
      <c r="G277" s="952"/>
      <c r="H277" s="952"/>
      <c r="I277" s="952"/>
      <c r="J277" s="9"/>
      <c r="K277" s="944">
        <v>44621</v>
      </c>
      <c r="L277" s="953">
        <v>0</v>
      </c>
      <c r="M277" s="953">
        <v>0</v>
      </c>
      <c r="N277" s="953">
        <v>0</v>
      </c>
      <c r="O277" s="13"/>
      <c r="P277" s="953">
        <v>0</v>
      </c>
      <c r="Q277" s="953">
        <v>0</v>
      </c>
      <c r="R277" s="953">
        <v>0</v>
      </c>
      <c r="S277" s="13"/>
      <c r="T277" s="953">
        <v>0</v>
      </c>
      <c r="U277" s="953">
        <v>0</v>
      </c>
      <c r="V277" s="953">
        <v>0</v>
      </c>
      <c r="W277" s="13"/>
      <c r="X277" s="953">
        <v>0</v>
      </c>
      <c r="Y277" s="953">
        <v>0</v>
      </c>
      <c r="Z277" s="953">
        <v>0</v>
      </c>
      <c r="AA277" s="13">
        <v>0</v>
      </c>
      <c r="AB277" s="953">
        <v>0</v>
      </c>
      <c r="AC277" s="953">
        <v>0</v>
      </c>
      <c r="AD277" s="953">
        <v>0</v>
      </c>
      <c r="AE277" s="13"/>
      <c r="AF277" s="953">
        <v>0</v>
      </c>
      <c r="AG277" s="953">
        <v>0</v>
      </c>
      <c r="AH277" s="953">
        <v>0</v>
      </c>
      <c r="AI277" s="13"/>
      <c r="AJ277" s="953">
        <v>0</v>
      </c>
      <c r="AK277" s="953">
        <v>0</v>
      </c>
      <c r="AL277" s="953">
        <v>0</v>
      </c>
      <c r="AM277" s="1455"/>
      <c r="AN277" s="9">
        <v>90</v>
      </c>
      <c r="AO277" s="955">
        <v>0.35</v>
      </c>
      <c r="AP277" s="13"/>
      <c r="AQ277"/>
      <c r="AR277"/>
      <c r="AS277"/>
      <c r="AT277"/>
      <c r="AU277" t="str">
        <f t="shared" si="54"/>
        <v>2022Q3</v>
      </c>
      <c r="AV277">
        <f t="shared" si="55"/>
        <v>2022</v>
      </c>
      <c r="AW277" s="111">
        <f t="shared" si="51"/>
        <v>44774</v>
      </c>
      <c r="AX277" s="136">
        <f t="shared" si="58"/>
        <v>4.6509999999999998</v>
      </c>
      <c r="AY277" s="136">
        <v>4.6509999999999998</v>
      </c>
      <c r="AZ277" s="136">
        <f t="shared" si="59"/>
        <v>4.6509999999999998</v>
      </c>
      <c r="BA277" s="137"/>
      <c r="BB277" s="137"/>
      <c r="BC277" s="137"/>
      <c r="BD277" s="137">
        <v>0</v>
      </c>
      <c r="BE277" s="137"/>
      <c r="BF277" s="137">
        <v>0</v>
      </c>
      <c r="BG277" s="145">
        <v>0</v>
      </c>
      <c r="BH277" s="153"/>
      <c r="BI277" s="886"/>
      <c r="BJ277" s="924"/>
      <c r="BK277" s="1443">
        <v>0</v>
      </c>
      <c r="BL277" s="905">
        <f t="shared" si="60"/>
        <v>4.6509999999999998</v>
      </c>
      <c r="BM277" s="1287">
        <f t="shared" si="52"/>
        <v>4.6509999999999998</v>
      </c>
      <c r="BN277" s="1393">
        <f t="shared" si="61"/>
        <v>0.144400335644008</v>
      </c>
      <c r="BO277" s="1377">
        <f t="shared" si="50"/>
        <v>4.6509999999999998</v>
      </c>
      <c r="BP277" s="208">
        <f t="shared" si="49"/>
        <v>0.144400335644008</v>
      </c>
      <c r="BQ277" s="1378">
        <f t="shared" si="56"/>
        <v>5.0617242040814094</v>
      </c>
      <c r="BR277" s="1378">
        <f t="shared" si="53"/>
        <v>3.9728288588520053</v>
      </c>
      <c r="BS277" s="153">
        <v>0</v>
      </c>
      <c r="BU277" s="1389">
        <f t="shared" si="57"/>
        <v>44348</v>
      </c>
      <c r="BV277" s="1390">
        <v>2.9745056975403594</v>
      </c>
      <c r="BW277" s="1390">
        <v>2.3390631389866994</v>
      </c>
      <c r="BX277" s="1390"/>
      <c r="BY277" s="1390">
        <v>4.6904958457845112</v>
      </c>
      <c r="BZ277" s="1391">
        <v>3.6884669427653458</v>
      </c>
    </row>
    <row r="278" spans="1:78">
      <c r="A278" s="957"/>
      <c r="B278" s="951">
        <v>43770</v>
      </c>
      <c r="C278" s="952">
        <v>62.644175781587641</v>
      </c>
      <c r="D278" s="952"/>
      <c r="E278" s="952"/>
      <c r="F278" s="1292"/>
      <c r="G278" s="952"/>
      <c r="H278" s="952"/>
      <c r="I278" s="952"/>
      <c r="J278" s="9"/>
      <c r="K278" s="944">
        <v>44652</v>
      </c>
      <c r="L278" s="953">
        <v>0</v>
      </c>
      <c r="M278" s="953">
        <v>0</v>
      </c>
      <c r="N278" s="953">
        <v>0</v>
      </c>
      <c r="O278" s="13"/>
      <c r="P278" s="953">
        <v>0</v>
      </c>
      <c r="Q278" s="953">
        <v>0</v>
      </c>
      <c r="R278" s="953">
        <v>0</v>
      </c>
      <c r="S278" s="13"/>
      <c r="T278" s="953">
        <v>0</v>
      </c>
      <c r="U278" s="953">
        <v>0</v>
      </c>
      <c r="V278" s="953">
        <v>0</v>
      </c>
      <c r="W278" s="13"/>
      <c r="X278" s="953">
        <v>0</v>
      </c>
      <c r="Y278" s="953">
        <v>0</v>
      </c>
      <c r="Z278" s="953">
        <v>0</v>
      </c>
      <c r="AA278" s="13">
        <v>0</v>
      </c>
      <c r="AB278" s="953">
        <v>0</v>
      </c>
      <c r="AC278" s="953">
        <v>0</v>
      </c>
      <c r="AD278" s="953">
        <v>0</v>
      </c>
      <c r="AE278" s="13"/>
      <c r="AF278" s="953">
        <v>0</v>
      </c>
      <c r="AG278" s="953">
        <v>0</v>
      </c>
      <c r="AH278" s="953">
        <v>0</v>
      </c>
      <c r="AI278" s="13"/>
      <c r="AJ278" s="953">
        <v>0</v>
      </c>
      <c r="AK278" s="953">
        <v>0</v>
      </c>
      <c r="AL278" s="953">
        <v>0</v>
      </c>
      <c r="AM278" s="1455"/>
      <c r="AN278" s="9">
        <v>90</v>
      </c>
      <c r="AO278" s="955">
        <v>0.35</v>
      </c>
      <c r="AP278" s="13"/>
      <c r="AQ278"/>
      <c r="AR278"/>
      <c r="AS278"/>
      <c r="AT278"/>
      <c r="AU278" t="str">
        <f t="shared" si="54"/>
        <v>2022Q3</v>
      </c>
      <c r="AV278">
        <f t="shared" si="55"/>
        <v>2022</v>
      </c>
      <c r="AW278" s="111">
        <f t="shared" si="51"/>
        <v>44805</v>
      </c>
      <c r="AX278" s="136">
        <f t="shared" si="58"/>
        <v>4.6219999999999999</v>
      </c>
      <c r="AY278" s="136">
        <v>4.6219999999999999</v>
      </c>
      <c r="AZ278" s="136">
        <f t="shared" si="59"/>
        <v>4.6219999999999999</v>
      </c>
      <c r="BA278" s="137"/>
      <c r="BB278" s="137"/>
      <c r="BC278" s="137"/>
      <c r="BD278" s="137">
        <v>0</v>
      </c>
      <c r="BE278" s="137"/>
      <c r="BF278" s="137">
        <v>0</v>
      </c>
      <c r="BG278" s="145">
        <v>0</v>
      </c>
      <c r="BH278" s="153"/>
      <c r="BI278" s="886"/>
      <c r="BJ278" s="924"/>
      <c r="BK278" s="1443">
        <v>0</v>
      </c>
      <c r="BL278" s="905">
        <f t="shared" si="60"/>
        <v>4.6219999999999999</v>
      </c>
      <c r="BM278" s="1287">
        <f t="shared" si="52"/>
        <v>4.6219999999999999</v>
      </c>
      <c r="BN278" s="1393">
        <f t="shared" si="61"/>
        <v>9.0070454034904657E-2</v>
      </c>
      <c r="BO278" s="1377">
        <f t="shared" si="50"/>
        <v>4.6219999999999999</v>
      </c>
      <c r="BP278" s="208">
        <f t="shared" si="49"/>
        <v>9.0070454034904657E-2</v>
      </c>
      <c r="BQ278" s="1378" t="e">
        <f t="shared" si="56"/>
        <v>#N/A</v>
      </c>
      <c r="BR278" s="1378" t="e">
        <f t="shared" si="53"/>
        <v>#N/A</v>
      </c>
      <c r="BS278" s="153">
        <v>0</v>
      </c>
      <c r="BU278" s="1389">
        <f t="shared" si="57"/>
        <v>44378</v>
      </c>
      <c r="BV278" s="1390">
        <v>3.0125783379904911</v>
      </c>
      <c r="BW278" s="1390">
        <v>2.3752384564262128</v>
      </c>
      <c r="BX278" s="1390"/>
      <c r="BY278" s="1390">
        <v>4.7505325644961474</v>
      </c>
      <c r="BZ278" s="1391">
        <v>3.7455117742176047</v>
      </c>
    </row>
    <row r="279" spans="1:78">
      <c r="A279" s="957"/>
      <c r="B279" s="951">
        <v>43800</v>
      </c>
      <c r="C279" s="952">
        <v>62.131008370312536</v>
      </c>
      <c r="D279" s="952"/>
      <c r="E279" s="952"/>
      <c r="F279" s="1292"/>
      <c r="G279" s="952"/>
      <c r="H279" s="952"/>
      <c r="I279" s="952"/>
      <c r="J279" s="9"/>
      <c r="K279" s="944">
        <v>44682</v>
      </c>
      <c r="L279" s="953">
        <v>0</v>
      </c>
      <c r="M279" s="953">
        <v>0</v>
      </c>
      <c r="N279" s="953">
        <v>0</v>
      </c>
      <c r="O279" s="13"/>
      <c r="P279" s="953">
        <v>0</v>
      </c>
      <c r="Q279" s="953">
        <v>0</v>
      </c>
      <c r="R279" s="953">
        <v>0</v>
      </c>
      <c r="S279" s="13"/>
      <c r="T279" s="953">
        <v>0</v>
      </c>
      <c r="U279" s="953">
        <v>0</v>
      </c>
      <c r="V279" s="953">
        <v>0</v>
      </c>
      <c r="W279" s="13"/>
      <c r="X279" s="953">
        <v>0</v>
      </c>
      <c r="Y279" s="953">
        <v>0</v>
      </c>
      <c r="Z279" s="953">
        <v>0</v>
      </c>
      <c r="AA279" s="13">
        <v>0</v>
      </c>
      <c r="AB279" s="953">
        <v>0</v>
      </c>
      <c r="AC279" s="953">
        <v>0</v>
      </c>
      <c r="AD279" s="953">
        <v>0</v>
      </c>
      <c r="AE279" s="13"/>
      <c r="AF279" s="953">
        <v>0</v>
      </c>
      <c r="AG279" s="953">
        <v>0</v>
      </c>
      <c r="AH279" s="953">
        <v>0</v>
      </c>
      <c r="AI279" s="13"/>
      <c r="AJ279" s="953">
        <v>0</v>
      </c>
      <c r="AK279" s="953">
        <v>0</v>
      </c>
      <c r="AL279" s="953">
        <v>0</v>
      </c>
      <c r="AM279" s="1455"/>
      <c r="AN279" s="9">
        <v>90</v>
      </c>
      <c r="AO279" s="955">
        <v>0.35</v>
      </c>
      <c r="AP279" s="13"/>
      <c r="AQ279"/>
      <c r="AR279"/>
      <c r="AS279"/>
      <c r="AT279"/>
      <c r="AU279" t="str">
        <f t="shared" si="54"/>
        <v>2022Q4</v>
      </c>
      <c r="AV279">
        <f t="shared" si="55"/>
        <v>2022</v>
      </c>
      <c r="AW279" s="111">
        <f t="shared" si="51"/>
        <v>44835</v>
      </c>
      <c r="AX279" s="136">
        <f t="shared" si="58"/>
        <v>4.6210000000000004</v>
      </c>
      <c r="AY279" s="136">
        <v>4.6210000000000004</v>
      </c>
      <c r="AZ279" s="136">
        <f t="shared" si="59"/>
        <v>4.6210000000000004</v>
      </c>
      <c r="BA279" s="137"/>
      <c r="BB279" s="137"/>
      <c r="BC279" s="137"/>
      <c r="BD279" s="137">
        <v>0</v>
      </c>
      <c r="BE279" s="137"/>
      <c r="BF279" s="137">
        <v>0</v>
      </c>
      <c r="BG279" s="145">
        <v>0</v>
      </c>
      <c r="BH279" s="153"/>
      <c r="BI279" s="886"/>
      <c r="BJ279" s="924"/>
      <c r="BK279" s="1443">
        <v>0</v>
      </c>
      <c r="BL279" s="905">
        <f t="shared" si="60"/>
        <v>4.6210000000000004</v>
      </c>
      <c r="BM279" s="1287">
        <f t="shared" si="52"/>
        <v>4.6210000000000004</v>
      </c>
      <c r="BN279" s="1393">
        <f t="shared" si="61"/>
        <v>4.3463692209737781E-2</v>
      </c>
      <c r="BO279" s="1377">
        <f t="shared" si="50"/>
        <v>4.6210000000000004</v>
      </c>
      <c r="BP279" s="208">
        <f t="shared" si="49"/>
        <v>4.3463692209737781E-2</v>
      </c>
      <c r="BQ279" s="1378" t="e">
        <f t="shared" si="56"/>
        <v>#N/A</v>
      </c>
      <c r="BR279" s="1378" t="e">
        <f t="shared" si="53"/>
        <v>#N/A</v>
      </c>
      <c r="BS279" s="153">
        <v>0</v>
      </c>
      <c r="BU279" s="1389">
        <f t="shared" si="57"/>
        <v>44409</v>
      </c>
      <c r="BV279" s="1390">
        <v>3.0835612269653123</v>
      </c>
      <c r="BW279" s="1390">
        <v>2.4316938760666655</v>
      </c>
      <c r="BX279" s="1390"/>
      <c r="BY279" s="1390">
        <v>4.8624654298907224</v>
      </c>
      <c r="BZ279" s="1391">
        <v>3.8345362839082511</v>
      </c>
    </row>
    <row r="280" spans="1:78">
      <c r="A280" s="957"/>
      <c r="B280" s="951">
        <v>43831</v>
      </c>
      <c r="C280" s="952">
        <v>57.851255535253493</v>
      </c>
      <c r="D280" s="952"/>
      <c r="E280" s="952"/>
      <c r="F280" s="1292"/>
      <c r="G280" s="952"/>
      <c r="H280" s="952"/>
      <c r="I280" s="952"/>
      <c r="J280" s="9"/>
      <c r="K280" s="944">
        <v>44713</v>
      </c>
      <c r="L280" s="953">
        <v>0</v>
      </c>
      <c r="M280" s="953">
        <v>0</v>
      </c>
      <c r="N280" s="953">
        <v>0</v>
      </c>
      <c r="O280" s="13"/>
      <c r="P280" s="953">
        <v>0</v>
      </c>
      <c r="Q280" s="953">
        <v>0</v>
      </c>
      <c r="R280" s="953">
        <v>0</v>
      </c>
      <c r="S280" s="13"/>
      <c r="T280" s="953">
        <v>0</v>
      </c>
      <c r="U280" s="953">
        <v>0</v>
      </c>
      <c r="V280" s="953">
        <v>0</v>
      </c>
      <c r="W280" s="13"/>
      <c r="X280" s="953">
        <v>0</v>
      </c>
      <c r="Y280" s="953">
        <v>0</v>
      </c>
      <c r="Z280" s="953">
        <v>0</v>
      </c>
      <c r="AA280" s="13">
        <v>0</v>
      </c>
      <c r="AB280" s="953">
        <v>0</v>
      </c>
      <c r="AC280" s="953">
        <v>0</v>
      </c>
      <c r="AD280" s="953">
        <v>0</v>
      </c>
      <c r="AE280" s="13"/>
      <c r="AF280" s="953">
        <v>0</v>
      </c>
      <c r="AG280" s="953">
        <v>0</v>
      </c>
      <c r="AH280" s="953">
        <v>0</v>
      </c>
      <c r="AI280" s="13"/>
      <c r="AJ280" s="953">
        <v>0</v>
      </c>
      <c r="AK280" s="953">
        <v>0</v>
      </c>
      <c r="AL280" s="953">
        <v>0</v>
      </c>
      <c r="AM280" s="1455"/>
      <c r="AN280" s="9">
        <v>91</v>
      </c>
      <c r="AO280" s="955">
        <v>0.35</v>
      </c>
      <c r="AP280" s="13"/>
      <c r="AQ280"/>
      <c r="AR280"/>
      <c r="AS280"/>
      <c r="AT280"/>
      <c r="AU280" t="str">
        <f t="shared" si="54"/>
        <v>2022Q4</v>
      </c>
      <c r="AV280">
        <f t="shared" si="55"/>
        <v>2022</v>
      </c>
      <c r="AW280" s="111">
        <f t="shared" si="51"/>
        <v>44866</v>
      </c>
      <c r="AX280" s="136">
        <f t="shared" si="58"/>
        <v>4.6379999999999999</v>
      </c>
      <c r="AY280" s="136">
        <v>4.6379999999999999</v>
      </c>
      <c r="AZ280" s="136">
        <f t="shared" si="59"/>
        <v>4.6379999999999999</v>
      </c>
      <c r="BA280" s="137"/>
      <c r="BB280" s="137"/>
      <c r="BC280" s="137"/>
      <c r="BD280" s="137">
        <v>0</v>
      </c>
      <c r="BE280" s="137"/>
      <c r="BF280" s="137">
        <v>0</v>
      </c>
      <c r="BG280" s="145">
        <v>0</v>
      </c>
      <c r="BH280" s="153"/>
      <c r="BI280" s="886"/>
      <c r="BJ280" s="924"/>
      <c r="BK280" s="1443">
        <v>0</v>
      </c>
      <c r="BL280" s="905">
        <f t="shared" si="60"/>
        <v>4.6379999999999999</v>
      </c>
      <c r="BM280" s="1287">
        <f t="shared" si="52"/>
        <v>4.6379999999999999</v>
      </c>
      <c r="BN280" s="1393">
        <f t="shared" si="61"/>
        <v>5.1300453627747267E-3</v>
      </c>
      <c r="BO280" s="1377">
        <f t="shared" si="50"/>
        <v>4.6379999999999999</v>
      </c>
      <c r="BP280" s="208">
        <f t="shared" si="49"/>
        <v>5.1300453627747267E-3</v>
      </c>
      <c r="BQ280" s="1378" t="e">
        <f t="shared" si="56"/>
        <v>#N/A</v>
      </c>
      <c r="BR280" s="1378" t="e">
        <f t="shared" si="53"/>
        <v>#N/A</v>
      </c>
      <c r="BS280" s="153">
        <v>0</v>
      </c>
      <c r="BU280" s="1389">
        <f t="shared" si="57"/>
        <v>44440</v>
      </c>
      <c r="BV280" s="1390">
        <v>3.1874543644648243</v>
      </c>
      <c r="BW280" s="1390">
        <v>2.500207734853622</v>
      </c>
      <c r="BX280" s="1390"/>
      <c r="BY280" s="1390">
        <v>5.0262944419682389</v>
      </c>
      <c r="BZ280" s="1391">
        <v>3.9425757374163162</v>
      </c>
    </row>
    <row r="281" spans="1:78">
      <c r="A281" s="957"/>
      <c r="B281" s="951">
        <v>43862</v>
      </c>
      <c r="C281" s="952">
        <v>45.032727063725012</v>
      </c>
      <c r="D281" s="952"/>
      <c r="E281" s="952"/>
      <c r="F281" s="1292"/>
      <c r="G281" s="952"/>
      <c r="H281" s="952"/>
      <c r="I281" s="952"/>
      <c r="J281" s="9"/>
      <c r="K281" s="944">
        <v>44743</v>
      </c>
      <c r="L281" s="953">
        <v>0</v>
      </c>
      <c r="M281" s="953">
        <v>0</v>
      </c>
      <c r="N281" s="953">
        <v>0</v>
      </c>
      <c r="O281" s="13"/>
      <c r="P281" s="953">
        <v>0</v>
      </c>
      <c r="Q281" s="953">
        <v>0</v>
      </c>
      <c r="R281" s="953">
        <v>0</v>
      </c>
      <c r="S281" s="13"/>
      <c r="T281" s="953">
        <v>0</v>
      </c>
      <c r="U281" s="953">
        <v>0</v>
      </c>
      <c r="V281" s="953">
        <v>0</v>
      </c>
      <c r="W281" s="13"/>
      <c r="X281" s="953">
        <v>0</v>
      </c>
      <c r="Y281" s="953">
        <v>0</v>
      </c>
      <c r="Z281" s="953">
        <v>0</v>
      </c>
      <c r="AA281" s="13">
        <v>0</v>
      </c>
      <c r="AB281" s="953">
        <v>0</v>
      </c>
      <c r="AC281" s="953">
        <v>0</v>
      </c>
      <c r="AD281" s="953">
        <v>0</v>
      </c>
      <c r="AE281" s="13"/>
      <c r="AF281" s="953">
        <v>0</v>
      </c>
      <c r="AG281" s="953">
        <v>0</v>
      </c>
      <c r="AH281" s="953">
        <v>0</v>
      </c>
      <c r="AI281" s="13"/>
      <c r="AJ281" s="953">
        <v>0</v>
      </c>
      <c r="AK281" s="953">
        <v>0</v>
      </c>
      <c r="AL281" s="953">
        <v>0</v>
      </c>
      <c r="AM281" s="1455"/>
      <c r="AN281" s="9">
        <v>91</v>
      </c>
      <c r="AO281" s="955">
        <v>0.35</v>
      </c>
      <c r="AP281" s="13"/>
      <c r="AQ281"/>
      <c r="AR281"/>
      <c r="AS281"/>
      <c r="AT281"/>
      <c r="AU281" t="str">
        <f t="shared" si="54"/>
        <v>2022Q4</v>
      </c>
      <c r="AV281">
        <f t="shared" si="55"/>
        <v>2022</v>
      </c>
      <c r="AW281" s="111">
        <f t="shared" si="51"/>
        <v>44896</v>
      </c>
      <c r="AX281" s="136">
        <f t="shared" si="58"/>
        <v>4.6900000000000004</v>
      </c>
      <c r="AY281" s="136">
        <v>4.6900000000000004</v>
      </c>
      <c r="AZ281" s="136">
        <f t="shared" si="59"/>
        <v>4.6900000000000004</v>
      </c>
      <c r="BA281" s="137"/>
      <c r="BB281" s="137"/>
      <c r="BC281" s="137"/>
      <c r="BD281" s="137">
        <v>0</v>
      </c>
      <c r="BE281" s="137"/>
      <c r="BF281" s="137">
        <v>0</v>
      </c>
      <c r="BG281" s="145">
        <v>0</v>
      </c>
      <c r="BH281" s="153"/>
      <c r="BI281" s="886"/>
      <c r="BJ281" s="924"/>
      <c r="BK281" s="1443">
        <v>0</v>
      </c>
      <c r="BL281" s="905">
        <f t="shared" si="60"/>
        <v>4.6900000000000004</v>
      </c>
      <c r="BM281" s="1287">
        <f t="shared" si="52"/>
        <v>4.6900000000000004</v>
      </c>
      <c r="BN281" s="1393">
        <f t="shared" si="61"/>
        <v>-2.506947729435427E-2</v>
      </c>
      <c r="BO281" s="1377">
        <f t="shared" si="50"/>
        <v>4.6900000000000004</v>
      </c>
      <c r="BP281" s="208">
        <f t="shared" si="49"/>
        <v>-2.506947729435427E-2</v>
      </c>
      <c r="BQ281" s="1378" t="e">
        <f t="shared" si="56"/>
        <v>#N/A</v>
      </c>
      <c r="BR281" s="1378" t="e">
        <f t="shared" si="53"/>
        <v>#N/A</v>
      </c>
      <c r="BS281" s="153">
        <v>0</v>
      </c>
      <c r="BU281" s="1389">
        <f t="shared" si="57"/>
        <v>44470</v>
      </c>
      <c r="BV281" s="1390">
        <v>3.3242577504890254</v>
      </c>
      <c r="BW281" s="1390">
        <v>2.5725583697326484</v>
      </c>
      <c r="BX281" s="1390"/>
      <c r="BY281" s="1390">
        <v>5.2420196007286926</v>
      </c>
      <c r="BZ281" s="1391">
        <v>4.0566654003208331</v>
      </c>
    </row>
    <row r="282" spans="1:78">
      <c r="A282" s="957"/>
      <c r="B282" s="951">
        <v>43891</v>
      </c>
      <c r="C282" s="952">
        <v>44.709995837320925</v>
      </c>
      <c r="D282" s="952"/>
      <c r="E282" s="952"/>
      <c r="F282" s="1292"/>
      <c r="G282" s="952"/>
      <c r="H282" s="952"/>
      <c r="I282" s="952"/>
      <c r="J282" s="9"/>
      <c r="K282" s="944">
        <v>44774</v>
      </c>
      <c r="L282" s="953">
        <v>0</v>
      </c>
      <c r="M282" s="953">
        <v>0</v>
      </c>
      <c r="N282" s="953">
        <v>0</v>
      </c>
      <c r="O282" s="13"/>
      <c r="P282" s="953">
        <v>0</v>
      </c>
      <c r="Q282" s="953">
        <v>0</v>
      </c>
      <c r="R282" s="953">
        <v>0</v>
      </c>
      <c r="S282" s="13"/>
      <c r="T282" s="953">
        <v>0</v>
      </c>
      <c r="U282" s="953">
        <v>0</v>
      </c>
      <c r="V282" s="953">
        <v>0</v>
      </c>
      <c r="W282" s="13"/>
      <c r="X282" s="953">
        <v>0</v>
      </c>
      <c r="Y282" s="953">
        <v>0</v>
      </c>
      <c r="Z282" s="953">
        <v>0</v>
      </c>
      <c r="AA282" s="13">
        <v>0</v>
      </c>
      <c r="AB282" s="953">
        <v>0</v>
      </c>
      <c r="AC282" s="953">
        <v>0</v>
      </c>
      <c r="AD282" s="953">
        <v>0</v>
      </c>
      <c r="AE282" s="13"/>
      <c r="AF282" s="953">
        <v>0</v>
      </c>
      <c r="AG282" s="953">
        <v>0</v>
      </c>
      <c r="AH282" s="953">
        <v>0</v>
      </c>
      <c r="AI282" s="13"/>
      <c r="AJ282" s="953">
        <v>0</v>
      </c>
      <c r="AK282" s="953">
        <v>0</v>
      </c>
      <c r="AL282" s="953">
        <v>0</v>
      </c>
      <c r="AM282" s="1455"/>
      <c r="AN282" s="9">
        <v>91</v>
      </c>
      <c r="AO282" s="955">
        <v>0.35</v>
      </c>
      <c r="AP282" s="13"/>
      <c r="AQ282"/>
      <c r="AR282"/>
      <c r="AS282"/>
      <c r="AT282"/>
      <c r="AU282" t="str">
        <f t="shared" si="54"/>
        <v>2023Q1</v>
      </c>
      <c r="AV282">
        <f t="shared" si="55"/>
        <v>2023</v>
      </c>
      <c r="AW282" s="111">
        <f t="shared" si="51"/>
        <v>44927</v>
      </c>
      <c r="AX282" s="136">
        <f t="shared" si="58"/>
        <v>4.9480000000000004</v>
      </c>
      <c r="AY282" s="136">
        <v>4.9480000000000004</v>
      </c>
      <c r="AZ282" s="136">
        <f t="shared" si="59"/>
        <v>4.9480000000000004</v>
      </c>
      <c r="BA282" s="137"/>
      <c r="BB282" s="137"/>
      <c r="BC282" s="137"/>
      <c r="BD282" s="137">
        <v>0</v>
      </c>
      <c r="BE282" s="137"/>
      <c r="BF282" s="137">
        <v>0</v>
      </c>
      <c r="BG282" s="145">
        <v>0</v>
      </c>
      <c r="BH282" s="153"/>
      <c r="BI282" s="886"/>
      <c r="BJ282" s="924"/>
      <c r="BK282" s="1443">
        <v>0</v>
      </c>
      <c r="BL282" s="905">
        <f t="shared" si="60"/>
        <v>4.9480000000000004</v>
      </c>
      <c r="BM282" s="1287">
        <f t="shared" si="52"/>
        <v>4.9480000000000004</v>
      </c>
      <c r="BN282" s="1393">
        <f t="shared" si="61"/>
        <v>1.9995877138734297E-2</v>
      </c>
      <c r="BO282" s="1377">
        <f t="shared" si="50"/>
        <v>4.9480000000000004</v>
      </c>
      <c r="BP282" s="208">
        <f t="shared" si="49"/>
        <v>1.9995877138734297E-2</v>
      </c>
      <c r="BQ282" s="1378" t="e">
        <f t="shared" si="56"/>
        <v>#N/A</v>
      </c>
      <c r="BR282" s="1378" t="e">
        <f t="shared" si="53"/>
        <v>#N/A</v>
      </c>
      <c r="BS282" s="153">
        <v>0</v>
      </c>
      <c r="BU282" s="1389">
        <f t="shared" si="57"/>
        <v>44501</v>
      </c>
      <c r="BV282" s="1390">
        <v>3.4939713850379173</v>
      </c>
      <c r="BW282" s="1390">
        <v>2.6405241176493099</v>
      </c>
      <c r="BX282" s="1390"/>
      <c r="BY282" s="1390">
        <v>5.5096409061720877</v>
      </c>
      <c r="BZ282" s="1391">
        <v>4.1638405382008346</v>
      </c>
    </row>
    <row r="283" spans="1:78">
      <c r="A283" s="957"/>
      <c r="B283" s="951">
        <v>43922</v>
      </c>
      <c r="C283" s="952">
        <v>43.792758132372718</v>
      </c>
      <c r="D283" s="952"/>
      <c r="E283" s="952"/>
      <c r="F283" s="1292"/>
      <c r="G283" s="952"/>
      <c r="H283" s="952"/>
      <c r="I283" s="952"/>
      <c r="J283" s="9"/>
      <c r="K283" s="944">
        <v>44805</v>
      </c>
      <c r="L283" s="953">
        <v>0</v>
      </c>
      <c r="M283" s="953">
        <v>0</v>
      </c>
      <c r="N283" s="953">
        <v>0</v>
      </c>
      <c r="O283" s="13"/>
      <c r="P283" s="953">
        <v>0</v>
      </c>
      <c r="Q283" s="953">
        <v>0</v>
      </c>
      <c r="R283" s="953">
        <v>0</v>
      </c>
      <c r="S283" s="13"/>
      <c r="T283" s="953">
        <v>0</v>
      </c>
      <c r="U283" s="953">
        <v>0</v>
      </c>
      <c r="V283" s="953">
        <v>0</v>
      </c>
      <c r="W283" s="13"/>
      <c r="X283" s="953">
        <v>0</v>
      </c>
      <c r="Y283" s="953">
        <v>0</v>
      </c>
      <c r="Z283" s="953">
        <v>0</v>
      </c>
      <c r="AA283" s="13">
        <v>0</v>
      </c>
      <c r="AB283" s="953">
        <v>0</v>
      </c>
      <c r="AC283" s="953">
        <v>0</v>
      </c>
      <c r="AD283" s="953">
        <v>0</v>
      </c>
      <c r="AE283" s="13"/>
      <c r="AF283" s="953">
        <v>0</v>
      </c>
      <c r="AG283" s="953">
        <v>0</v>
      </c>
      <c r="AH283" s="953">
        <v>0</v>
      </c>
      <c r="AI283" s="13"/>
      <c r="AJ283" s="953">
        <v>0</v>
      </c>
      <c r="AK283" s="953">
        <v>0</v>
      </c>
      <c r="AL283" s="953">
        <v>0</v>
      </c>
      <c r="AM283" s="1455"/>
      <c r="AN283" s="9">
        <v>92</v>
      </c>
      <c r="AO283" s="955">
        <v>0.35</v>
      </c>
      <c r="AP283" s="13"/>
      <c r="AQ283"/>
      <c r="AR283"/>
      <c r="AS283"/>
      <c r="AT283"/>
      <c r="AU283" t="str">
        <f t="shared" si="54"/>
        <v>2023Q1</v>
      </c>
      <c r="AV283">
        <f t="shared" si="55"/>
        <v>2023</v>
      </c>
      <c r="AW283" s="111">
        <f t="shared" si="51"/>
        <v>44958</v>
      </c>
      <c r="AX283" s="136">
        <f t="shared" si="58"/>
        <v>4.9009999999999998</v>
      </c>
      <c r="AY283" s="136">
        <v>4.9009999999999998</v>
      </c>
      <c r="AZ283" s="136">
        <f t="shared" si="59"/>
        <v>4.9009999999999998</v>
      </c>
      <c r="BA283" s="137"/>
      <c r="BB283" s="137"/>
      <c r="BC283" s="137"/>
      <c r="BD283" s="137">
        <v>0</v>
      </c>
      <c r="BE283" s="137"/>
      <c r="BF283" s="137">
        <v>0</v>
      </c>
      <c r="BG283" s="145">
        <v>0</v>
      </c>
      <c r="BH283" s="153"/>
      <c r="BI283" s="886"/>
      <c r="BJ283" s="924"/>
      <c r="BK283" s="1443">
        <v>0</v>
      </c>
      <c r="BL283" s="905">
        <f t="shared" si="60"/>
        <v>4.9009999999999998</v>
      </c>
      <c r="BM283" s="1287">
        <f t="shared" si="52"/>
        <v>4.9009999999999998</v>
      </c>
      <c r="BN283" s="1393">
        <f t="shared" si="61"/>
        <v>2.1041666666666625E-2</v>
      </c>
      <c r="BO283" s="1377">
        <f t="shared" si="50"/>
        <v>4.9009999999999998</v>
      </c>
      <c r="BP283" s="208">
        <f t="shared" si="49"/>
        <v>2.1041666666666625E-2</v>
      </c>
      <c r="BQ283" s="1378" t="e">
        <f t="shared" si="56"/>
        <v>#N/A</v>
      </c>
      <c r="BR283" s="1378" t="e">
        <f t="shared" si="53"/>
        <v>#N/A</v>
      </c>
      <c r="BS283" s="153">
        <v>0</v>
      </c>
      <c r="BU283" s="1389">
        <f t="shared" si="57"/>
        <v>44531</v>
      </c>
      <c r="BV283" s="1390">
        <v>3.5677806835919177</v>
      </c>
      <c r="BW283" s="1390">
        <v>2.6958833155491697</v>
      </c>
      <c r="BX283" s="1390"/>
      <c r="BY283" s="1390">
        <v>5.6260307347523746</v>
      </c>
      <c r="BZ283" s="1391">
        <v>4.2511364166353491</v>
      </c>
    </row>
    <row r="284" spans="1:78">
      <c r="A284" s="957"/>
      <c r="B284" s="951">
        <v>43952</v>
      </c>
      <c r="C284" s="952">
        <v>46.859876366382288</v>
      </c>
      <c r="D284" s="952"/>
      <c r="E284" s="952"/>
      <c r="F284" s="1292"/>
      <c r="G284" s="952"/>
      <c r="H284" s="952"/>
      <c r="I284" s="952"/>
      <c r="J284" s="9"/>
      <c r="K284" s="944">
        <v>44835</v>
      </c>
      <c r="L284" s="953">
        <v>0</v>
      </c>
      <c r="M284" s="953">
        <v>0</v>
      </c>
      <c r="N284" s="953">
        <v>0</v>
      </c>
      <c r="O284" s="13"/>
      <c r="P284" s="953">
        <v>0</v>
      </c>
      <c r="Q284" s="953">
        <v>0</v>
      </c>
      <c r="R284" s="953">
        <v>0</v>
      </c>
      <c r="S284" s="13"/>
      <c r="T284" s="953">
        <v>0</v>
      </c>
      <c r="U284" s="953">
        <v>0</v>
      </c>
      <c r="V284" s="953">
        <v>0</v>
      </c>
      <c r="W284" s="13"/>
      <c r="X284" s="953">
        <v>0</v>
      </c>
      <c r="Y284" s="953">
        <v>0</v>
      </c>
      <c r="Z284" s="953">
        <v>0</v>
      </c>
      <c r="AA284" s="13">
        <v>0</v>
      </c>
      <c r="AB284" s="953">
        <v>0</v>
      </c>
      <c r="AC284" s="953">
        <v>0</v>
      </c>
      <c r="AD284" s="953">
        <v>0</v>
      </c>
      <c r="AE284" s="13"/>
      <c r="AF284" s="953">
        <v>0</v>
      </c>
      <c r="AG284" s="953">
        <v>0</v>
      </c>
      <c r="AH284" s="953">
        <v>0</v>
      </c>
      <c r="AI284" s="13"/>
      <c r="AJ284" s="953">
        <v>0</v>
      </c>
      <c r="AK284" s="953">
        <v>0</v>
      </c>
      <c r="AL284" s="953">
        <v>0</v>
      </c>
      <c r="AM284" s="1455"/>
      <c r="AN284" s="9">
        <v>92</v>
      </c>
      <c r="AO284" s="955">
        <v>0.35</v>
      </c>
      <c r="AP284" s="13"/>
      <c r="AQ284"/>
      <c r="AR284"/>
      <c r="AS284"/>
      <c r="AT284"/>
      <c r="AU284"/>
      <c r="AV284"/>
      <c r="AW284" s="111"/>
      <c r="AX284" s="136">
        <f t="shared" si="58"/>
        <v>4.8029999999999999</v>
      </c>
      <c r="AY284" s="136">
        <v>4.8029999999999999</v>
      </c>
      <c r="AZ284" s="136">
        <f t="shared" si="59"/>
        <v>4.8029999999999999</v>
      </c>
      <c r="BA284" s="137"/>
      <c r="BB284" s="137"/>
      <c r="BC284" s="137"/>
      <c r="BE284" s="137"/>
      <c r="BG284" s="144"/>
      <c r="BH284" s="136"/>
      <c r="BI284" s="939"/>
      <c r="BJ284" s="154"/>
      <c r="BK284" s="1443">
        <v>0</v>
      </c>
      <c r="BL284" s="905">
        <f t="shared" si="60"/>
        <v>4.8029999999999999</v>
      </c>
      <c r="BM284" s="1287">
        <f t="shared" si="52"/>
        <v>4.8029999999999999</v>
      </c>
      <c r="BN284" s="158"/>
      <c r="BS284" s="153">
        <v>0</v>
      </c>
      <c r="BU284" s="1389">
        <f t="shared" si="57"/>
        <v>44562</v>
      </c>
      <c r="BV284" s="1390">
        <v>3.4786095479709558</v>
      </c>
      <c r="BW284" s="1390">
        <v>2.7934611125830409</v>
      </c>
      <c r="BX284" s="1390"/>
      <c r="BY284" s="1390">
        <v>5.59512517333666</v>
      </c>
      <c r="BZ284" s="1391">
        <v>4.493106908439068</v>
      </c>
    </row>
    <row r="285" spans="1:78">
      <c r="A285" s="957"/>
      <c r="B285" s="951">
        <v>43983</v>
      </c>
      <c r="C285" s="952">
        <v>48.925115202066507</v>
      </c>
      <c r="D285" s="952"/>
      <c r="E285" s="952"/>
      <c r="F285" s="1292"/>
      <c r="G285" s="952"/>
      <c r="H285" s="952"/>
      <c r="I285" s="952"/>
      <c r="J285" s="9"/>
      <c r="K285" s="944">
        <v>44866</v>
      </c>
      <c r="L285" s="953">
        <v>0</v>
      </c>
      <c r="M285" s="953">
        <v>0</v>
      </c>
      <c r="N285" s="953">
        <v>0</v>
      </c>
      <c r="O285" s="13"/>
      <c r="P285" s="953">
        <v>0</v>
      </c>
      <c r="Q285" s="953">
        <v>0</v>
      </c>
      <c r="R285" s="953">
        <v>0</v>
      </c>
      <c r="S285" s="13"/>
      <c r="T285" s="953">
        <v>0</v>
      </c>
      <c r="U285" s="953">
        <v>0</v>
      </c>
      <c r="V285" s="953">
        <v>0</v>
      </c>
      <c r="W285" s="13"/>
      <c r="X285" s="953">
        <v>0</v>
      </c>
      <c r="Y285" s="953">
        <v>0</v>
      </c>
      <c r="Z285" s="953">
        <v>0</v>
      </c>
      <c r="AA285" s="13">
        <v>0</v>
      </c>
      <c r="AB285" s="953">
        <v>0</v>
      </c>
      <c r="AC285" s="953">
        <v>0</v>
      </c>
      <c r="AD285" s="953">
        <v>0</v>
      </c>
      <c r="AE285" s="13"/>
      <c r="AF285" s="953">
        <v>0</v>
      </c>
      <c r="AG285" s="953">
        <v>0</v>
      </c>
      <c r="AH285" s="953">
        <v>0</v>
      </c>
      <c r="AI285" s="13"/>
      <c r="AJ285" s="953">
        <v>0</v>
      </c>
      <c r="AK285" s="953">
        <v>0</v>
      </c>
      <c r="AL285" s="953">
        <v>0</v>
      </c>
      <c r="AM285" s="1455"/>
      <c r="AN285" s="9">
        <v>92</v>
      </c>
      <c r="AO285" s="955">
        <v>0.35</v>
      </c>
      <c r="AP285" s="13"/>
      <c r="AQ285"/>
      <c r="AR285"/>
      <c r="AS285"/>
      <c r="AT285"/>
      <c r="AU285"/>
      <c r="AV285"/>
      <c r="AW285" s="111"/>
      <c r="AX285" s="136">
        <f t="shared" si="58"/>
        <v>4.7080000000000002</v>
      </c>
      <c r="AY285" s="136">
        <v>4.7080000000000002</v>
      </c>
      <c r="AZ285" s="136">
        <f t="shared" si="59"/>
        <v>4.7080000000000002</v>
      </c>
      <c r="BA285" s="137"/>
      <c r="BB285" s="137"/>
      <c r="BC285" s="137"/>
      <c r="BE285" s="137"/>
      <c r="BG285" s="144"/>
      <c r="BH285" s="136"/>
      <c r="BI285" s="939"/>
      <c r="BJ285" s="154"/>
      <c r="BK285" s="1443">
        <v>0</v>
      </c>
      <c r="BL285" s="905">
        <f t="shared" si="60"/>
        <v>4.7080000000000002</v>
      </c>
      <c r="BM285" s="1287">
        <f t="shared" si="52"/>
        <v>4.7080000000000002</v>
      </c>
      <c r="BN285" s="158"/>
      <c r="BS285" s="153">
        <v>0</v>
      </c>
      <c r="BU285" s="1389">
        <f t="shared" si="57"/>
        <v>44593</v>
      </c>
      <c r="BV285" s="1390">
        <v>3.2161326846305389</v>
      </c>
      <c r="BW285" s="1390">
        <v>2.6019413073556241</v>
      </c>
      <c r="BX285" s="1390"/>
      <c r="BY285" s="1390">
        <v>5.172947609214515</v>
      </c>
      <c r="BZ285" s="1391">
        <v>4.1850593196990511</v>
      </c>
    </row>
    <row r="286" spans="1:78">
      <c r="A286" s="957"/>
      <c r="B286" s="951">
        <v>44013</v>
      </c>
      <c r="C286" s="952">
        <v>65.373957518367206</v>
      </c>
      <c r="D286" s="952"/>
      <c r="E286" s="952"/>
      <c r="F286" s="1292"/>
      <c r="G286" s="952"/>
      <c r="H286" s="952"/>
      <c r="I286" s="952"/>
      <c r="J286" s="9"/>
      <c r="K286" s="944">
        <v>44896</v>
      </c>
      <c r="L286" s="953">
        <v>0</v>
      </c>
      <c r="M286" s="953">
        <v>0</v>
      </c>
      <c r="N286" s="953">
        <v>0</v>
      </c>
      <c r="O286" s="13"/>
      <c r="P286" s="953">
        <v>0</v>
      </c>
      <c r="Q286" s="953">
        <v>0</v>
      </c>
      <c r="R286" s="953">
        <v>0</v>
      </c>
      <c r="S286" s="13"/>
      <c r="T286" s="953">
        <v>0</v>
      </c>
      <c r="U286" s="953">
        <v>0</v>
      </c>
      <c r="V286" s="953">
        <v>0</v>
      </c>
      <c r="W286" s="13"/>
      <c r="X286" s="953">
        <v>0</v>
      </c>
      <c r="Y286" s="953">
        <v>0</v>
      </c>
      <c r="Z286" s="953">
        <v>0</v>
      </c>
      <c r="AA286" s="13">
        <v>0</v>
      </c>
      <c r="AB286" s="953">
        <v>0</v>
      </c>
      <c r="AC286" s="953">
        <v>0</v>
      </c>
      <c r="AD286" s="953">
        <v>0</v>
      </c>
      <c r="AE286" s="13"/>
      <c r="AF286" s="953">
        <v>0</v>
      </c>
      <c r="AG286" s="953">
        <v>0</v>
      </c>
      <c r="AH286" s="953">
        <v>0</v>
      </c>
      <c r="AI286" s="13"/>
      <c r="AJ286" s="953">
        <v>0</v>
      </c>
      <c r="AK286" s="953">
        <v>0</v>
      </c>
      <c r="AL286" s="953">
        <v>0</v>
      </c>
      <c r="AM286" s="1455"/>
      <c r="AN286" s="9">
        <v>93</v>
      </c>
      <c r="AO286" s="955">
        <v>0.35</v>
      </c>
      <c r="AP286" s="13"/>
      <c r="AQ286"/>
      <c r="AR286"/>
      <c r="AS286"/>
      <c r="AT286"/>
      <c r="AU286"/>
      <c r="AV286"/>
      <c r="AW286" s="111"/>
      <c r="AX286" s="136">
        <f t="shared" si="58"/>
        <v>4.7</v>
      </c>
      <c r="AY286" s="136">
        <v>4.7</v>
      </c>
      <c r="AZ286" s="136">
        <f t="shared" si="59"/>
        <v>4.7</v>
      </c>
      <c r="BA286" s="137"/>
      <c r="BB286" s="137"/>
      <c r="BC286" s="137"/>
      <c r="BE286" s="137"/>
      <c r="BG286" s="144"/>
      <c r="BH286" s="136"/>
      <c r="BI286" s="939"/>
      <c r="BJ286" s="154"/>
      <c r="BK286" s="1443">
        <v>0</v>
      </c>
      <c r="BL286" s="905">
        <f t="shared" si="60"/>
        <v>4.7</v>
      </c>
      <c r="BM286" s="1287">
        <f t="shared" si="52"/>
        <v>4.7</v>
      </c>
      <c r="BN286" s="158"/>
      <c r="BS286" s="153">
        <v>0</v>
      </c>
      <c r="BU286" s="1389">
        <f t="shared" si="57"/>
        <v>44621</v>
      </c>
      <c r="BV286" s="1390">
        <v>3.1206398538183291</v>
      </c>
      <c r="BW286" s="1390">
        <v>2.4727767875510867</v>
      </c>
      <c r="BX286" s="1390"/>
      <c r="BY286" s="1390">
        <v>5.0193533830783217</v>
      </c>
      <c r="BZ286" s="1391">
        <v>3.9773062947348525</v>
      </c>
    </row>
    <row r="287" spans="1:78">
      <c r="A287" s="957"/>
      <c r="B287" s="951">
        <v>44044</v>
      </c>
      <c r="C287" s="952">
        <v>78.753710478132888</v>
      </c>
      <c r="D287" s="952"/>
      <c r="E287" s="952"/>
      <c r="F287" s="1292"/>
      <c r="G287" s="952"/>
      <c r="H287" s="952"/>
      <c r="I287" s="952"/>
      <c r="J287" s="9"/>
      <c r="K287" s="944">
        <v>44927</v>
      </c>
      <c r="L287" s="953">
        <v>0</v>
      </c>
      <c r="M287" s="953">
        <v>0</v>
      </c>
      <c r="N287" s="953">
        <v>0</v>
      </c>
      <c r="O287" s="13"/>
      <c r="P287" s="953">
        <v>0</v>
      </c>
      <c r="Q287" s="953">
        <v>0</v>
      </c>
      <c r="R287" s="953">
        <v>0</v>
      </c>
      <c r="S287" s="13"/>
      <c r="T287" s="953">
        <v>0</v>
      </c>
      <c r="U287" s="953">
        <v>0</v>
      </c>
      <c r="V287" s="953">
        <v>0</v>
      </c>
      <c r="W287" s="13"/>
      <c r="X287" s="953">
        <v>0</v>
      </c>
      <c r="Y287" s="953">
        <v>0</v>
      </c>
      <c r="Z287" s="953">
        <v>0</v>
      </c>
      <c r="AA287" s="13">
        <v>0</v>
      </c>
      <c r="AB287" s="953">
        <v>0</v>
      </c>
      <c r="AC287" s="953">
        <v>0</v>
      </c>
      <c r="AD287" s="953">
        <v>0</v>
      </c>
      <c r="AE287" s="13"/>
      <c r="AF287" s="953">
        <v>0</v>
      </c>
      <c r="AG287" s="953">
        <v>0</v>
      </c>
      <c r="AH287" s="953">
        <v>0</v>
      </c>
      <c r="AI287" s="13"/>
      <c r="AJ287" s="953">
        <v>0</v>
      </c>
      <c r="AK287" s="953">
        <v>0</v>
      </c>
      <c r="AL287" s="953">
        <v>0</v>
      </c>
      <c r="AM287" s="1455"/>
      <c r="AN287" s="9">
        <v>93</v>
      </c>
      <c r="AO287" s="955">
        <v>0.35</v>
      </c>
      <c r="AP287" s="13"/>
      <c r="AQ287"/>
      <c r="AR287"/>
      <c r="AS287"/>
      <c r="AT287"/>
      <c r="AU287"/>
      <c r="AV287"/>
      <c r="AW287" s="111"/>
      <c r="AX287" s="136">
        <f t="shared" si="58"/>
        <v>4.7</v>
      </c>
      <c r="AY287" s="136">
        <v>4.7</v>
      </c>
      <c r="AZ287" s="136">
        <f t="shared" si="59"/>
        <v>4.7</v>
      </c>
      <c r="BA287" s="137"/>
      <c r="BB287" s="137"/>
      <c r="BC287" s="137"/>
      <c r="BE287" s="137"/>
      <c r="BG287" s="144"/>
      <c r="BH287" s="136"/>
      <c r="BI287" s="939"/>
      <c r="BJ287" s="154"/>
      <c r="BK287" s="1443">
        <v>0</v>
      </c>
      <c r="BL287" s="905">
        <f t="shared" si="60"/>
        <v>4.7</v>
      </c>
      <c r="BM287" s="1287">
        <f t="shared" si="52"/>
        <v>4.7</v>
      </c>
      <c r="BN287" s="158"/>
      <c r="BS287" s="153">
        <v>0</v>
      </c>
      <c r="BU287" s="1389">
        <f t="shared" si="57"/>
        <v>44652</v>
      </c>
      <c r="BV287" s="1390">
        <v>3.0587341566021378</v>
      </c>
      <c r="BW287" s="1390">
        <v>2.3976163988717225</v>
      </c>
      <c r="BX287" s="1390"/>
      <c r="BY287" s="1390">
        <v>4.9197819537210643</v>
      </c>
      <c r="BZ287" s="1391">
        <v>3.8564155258979276</v>
      </c>
    </row>
    <row r="288" spans="1:78">
      <c r="A288" s="957"/>
      <c r="B288" s="951">
        <v>44075</v>
      </c>
      <c r="C288" s="952">
        <v>67.920162484423685</v>
      </c>
      <c r="D288" s="952"/>
      <c r="E288" s="952"/>
      <c r="F288" s="1292"/>
      <c r="G288" s="952"/>
      <c r="H288" s="952"/>
      <c r="I288" s="952"/>
      <c r="J288" s="9"/>
      <c r="K288" s="944"/>
      <c r="L288" s="953">
        <v>0</v>
      </c>
      <c r="M288" s="953">
        <v>0</v>
      </c>
      <c r="N288" s="953">
        <v>0</v>
      </c>
      <c r="O288" s="13"/>
      <c r="P288" s="953">
        <v>0</v>
      </c>
      <c r="Q288" s="953">
        <v>0</v>
      </c>
      <c r="R288" s="953">
        <v>0</v>
      </c>
      <c r="S288" s="13"/>
      <c r="T288" s="13"/>
      <c r="U288" s="13"/>
      <c r="V288" s="13"/>
      <c r="W288" s="13"/>
      <c r="X288" s="953">
        <v>0</v>
      </c>
      <c r="Y288" s="953">
        <v>0</v>
      </c>
      <c r="Z288" s="953">
        <v>0</v>
      </c>
      <c r="AA288" s="13">
        <v>0</v>
      </c>
      <c r="AB288" s="953">
        <v>0</v>
      </c>
      <c r="AC288" s="953">
        <v>0</v>
      </c>
      <c r="AD288" s="953">
        <v>0</v>
      </c>
      <c r="AE288" s="13"/>
      <c r="AF288" s="953">
        <v>0</v>
      </c>
      <c r="AG288" s="953">
        <v>0</v>
      </c>
      <c r="AH288" s="953">
        <v>0</v>
      </c>
      <c r="AI288" s="13"/>
      <c r="AJ288" s="953">
        <v>0</v>
      </c>
      <c r="AK288" s="953">
        <v>0</v>
      </c>
      <c r="AL288" s="953">
        <v>0</v>
      </c>
      <c r="AM288" s="1455"/>
      <c r="AN288" s="13"/>
      <c r="AO288" s="13"/>
      <c r="AP288" s="13"/>
      <c r="AQ288"/>
      <c r="AR288"/>
      <c r="AS288"/>
      <c r="AT288"/>
      <c r="AU288"/>
      <c r="AV288"/>
      <c r="AW288" s="111"/>
      <c r="AX288" s="136">
        <f t="shared" si="58"/>
        <v>4.7649999999999997</v>
      </c>
      <c r="AY288" s="136">
        <v>4.7649999999999997</v>
      </c>
      <c r="AZ288" s="136">
        <f t="shared" si="59"/>
        <v>4.7649999999999997</v>
      </c>
      <c r="BA288" s="137"/>
      <c r="BB288" s="137"/>
      <c r="BC288" s="137"/>
      <c r="BE288" s="137"/>
      <c r="BG288" s="144"/>
      <c r="BH288" s="136"/>
      <c r="BI288" s="939"/>
      <c r="BJ288" s="154"/>
      <c r="BK288" s="1443">
        <v>0</v>
      </c>
      <c r="BL288" s="905">
        <f t="shared" si="60"/>
        <v>4.7649999999999997</v>
      </c>
      <c r="BM288" s="1287">
        <f t="shared" si="52"/>
        <v>4.7649999999999997</v>
      </c>
      <c r="BN288" s="158"/>
      <c r="BS288" s="153">
        <v>0</v>
      </c>
      <c r="BU288" s="1389">
        <f t="shared" si="57"/>
        <v>44682</v>
      </c>
      <c r="BV288" s="1390">
        <v>3.0304155929819649</v>
      </c>
      <c r="BW288" s="1390">
        <v>2.368108987019824</v>
      </c>
      <c r="BX288" s="1390"/>
      <c r="BY288" s="1390">
        <v>4.8742333211427447</v>
      </c>
      <c r="BZ288" s="1391">
        <v>3.808954705539727</v>
      </c>
    </row>
    <row r="289" spans="1:78">
      <c r="A289" s="957"/>
      <c r="B289" s="951">
        <v>44105</v>
      </c>
      <c r="C289" s="952">
        <v>57.720414473060117</v>
      </c>
      <c r="D289" s="952"/>
      <c r="E289" s="952"/>
      <c r="F289" s="1292"/>
      <c r="G289" s="952"/>
      <c r="H289" s="952"/>
      <c r="I289" s="952"/>
      <c r="J289" s="9"/>
      <c r="K289" s="944"/>
      <c r="L289" s="953">
        <v>0</v>
      </c>
      <c r="M289" s="953">
        <v>0</v>
      </c>
      <c r="N289" s="953">
        <v>0</v>
      </c>
      <c r="O289" s="13"/>
      <c r="P289" s="953">
        <v>0</v>
      </c>
      <c r="Q289" s="953">
        <v>0</v>
      </c>
      <c r="R289" s="953">
        <v>0</v>
      </c>
      <c r="S289" s="13"/>
      <c r="T289" s="13"/>
      <c r="U289" s="13"/>
      <c r="V289" s="13"/>
      <c r="W289" s="13"/>
      <c r="X289" s="953">
        <v>0</v>
      </c>
      <c r="Y289" s="953">
        <v>0</v>
      </c>
      <c r="Z289" s="953">
        <v>0</v>
      </c>
      <c r="AA289" s="13">
        <v>0</v>
      </c>
      <c r="AB289" s="953">
        <v>0</v>
      </c>
      <c r="AC289" s="953">
        <v>0</v>
      </c>
      <c r="AD289" s="953">
        <v>0</v>
      </c>
      <c r="AE289" s="13"/>
      <c r="AF289" s="953">
        <v>0</v>
      </c>
      <c r="AG289" s="953">
        <v>0</v>
      </c>
      <c r="AH289" s="953">
        <v>0</v>
      </c>
      <c r="AI289" s="13"/>
      <c r="AJ289" s="953">
        <v>0</v>
      </c>
      <c r="AK289" s="953">
        <v>0</v>
      </c>
      <c r="AL289" s="953">
        <v>0</v>
      </c>
      <c r="AM289" s="1455"/>
      <c r="AN289" s="13"/>
      <c r="AO289" s="13"/>
      <c r="AP289" s="13"/>
      <c r="AQ289"/>
      <c r="AR289"/>
      <c r="AS289"/>
      <c r="AT289"/>
      <c r="AU289"/>
      <c r="AV289"/>
      <c r="AW289" s="111"/>
      <c r="AX289" s="136">
        <f t="shared" si="58"/>
        <v>4.76</v>
      </c>
      <c r="AY289" s="136">
        <v>4.76</v>
      </c>
      <c r="AZ289" s="136">
        <f t="shared" si="59"/>
        <v>4.76</v>
      </c>
      <c r="BA289" s="137"/>
      <c r="BB289" s="137"/>
      <c r="BC289" s="137"/>
      <c r="BE289" s="137"/>
      <c r="BG289" s="144"/>
      <c r="BH289" s="136"/>
      <c r="BI289" s="939"/>
      <c r="BJ289" s="154"/>
      <c r="BK289" s="1443">
        <v>0</v>
      </c>
      <c r="BL289" s="905">
        <f t="shared" si="60"/>
        <v>4.76</v>
      </c>
      <c r="BM289" s="1287">
        <f t="shared" si="52"/>
        <v>4.76</v>
      </c>
      <c r="BN289" s="158"/>
      <c r="BS289" s="153">
        <v>0</v>
      </c>
      <c r="BU289" s="1389">
        <f t="shared" si="57"/>
        <v>44713</v>
      </c>
      <c r="BV289" s="1390">
        <v>3.0356841629578106</v>
      </c>
      <c r="BW289" s="1390">
        <v>2.3759033976976838</v>
      </c>
      <c r="BX289" s="1390"/>
      <c r="BY289" s="1390">
        <v>4.8827074853433619</v>
      </c>
      <c r="BZ289" s="1391">
        <v>3.8214915260117044</v>
      </c>
    </row>
    <row r="290" spans="1:78">
      <c r="A290" s="957"/>
      <c r="B290" s="951">
        <v>44136</v>
      </c>
      <c r="C290" s="952">
        <v>59.283918148795834</v>
      </c>
      <c r="D290" s="952"/>
      <c r="E290" s="952"/>
      <c r="F290" s="1292"/>
      <c r="G290" s="952"/>
      <c r="H290" s="952"/>
      <c r="I290" s="952"/>
      <c r="J290" s="9"/>
      <c r="K290" s="944"/>
      <c r="L290" s="953">
        <v>0</v>
      </c>
      <c r="M290" s="953">
        <v>0</v>
      </c>
      <c r="N290" s="953">
        <v>0</v>
      </c>
      <c r="O290" s="13"/>
      <c r="P290" s="953">
        <v>0</v>
      </c>
      <c r="Q290" s="953">
        <v>0</v>
      </c>
      <c r="R290" s="953">
        <v>0</v>
      </c>
      <c r="S290" s="13"/>
      <c r="T290" s="13"/>
      <c r="U290" s="13"/>
      <c r="V290" s="13"/>
      <c r="W290" s="13"/>
      <c r="X290" s="953">
        <v>0</v>
      </c>
      <c r="Y290" s="953">
        <v>0</v>
      </c>
      <c r="Z290" s="953">
        <v>0</v>
      </c>
      <c r="AA290" s="13">
        <v>0</v>
      </c>
      <c r="AB290" s="953">
        <v>0</v>
      </c>
      <c r="AC290" s="953">
        <v>0</v>
      </c>
      <c r="AD290" s="953">
        <v>0</v>
      </c>
      <c r="AE290" s="13"/>
      <c r="AF290" s="953">
        <v>0</v>
      </c>
      <c r="AG290" s="953">
        <v>0</v>
      </c>
      <c r="AH290" s="953">
        <v>0</v>
      </c>
      <c r="AI290" s="13"/>
      <c r="AJ290" s="953">
        <v>0</v>
      </c>
      <c r="AK290" s="953">
        <v>0</v>
      </c>
      <c r="AL290" s="953">
        <v>0</v>
      </c>
      <c r="AM290" s="1455"/>
      <c r="AN290" s="13"/>
      <c r="AO290" s="13"/>
      <c r="AP290" s="13"/>
      <c r="AQ290"/>
      <c r="AR290"/>
      <c r="AS290"/>
      <c r="AT290"/>
      <c r="AU290"/>
      <c r="AV290"/>
      <c r="AW290" s="111"/>
      <c r="AX290" s="136">
        <f t="shared" si="58"/>
        <v>4.7300000000000004</v>
      </c>
      <c r="AY290" s="136">
        <v>4.7300000000000004</v>
      </c>
      <c r="AZ290" s="136">
        <f t="shared" si="59"/>
        <v>4.7300000000000004</v>
      </c>
      <c r="BA290" s="137"/>
      <c r="BB290" s="137"/>
      <c r="BC290" s="137"/>
      <c r="BE290" s="137"/>
      <c r="BG290" s="144"/>
      <c r="BH290" s="136"/>
      <c r="BI290" s="939"/>
      <c r="BJ290" s="154"/>
      <c r="BK290" s="1443">
        <v>0</v>
      </c>
      <c r="BL290" s="905">
        <f t="shared" si="60"/>
        <v>4.7300000000000004</v>
      </c>
      <c r="BM290" s="1287">
        <f t="shared" si="52"/>
        <v>4.7300000000000004</v>
      </c>
      <c r="BN290" s="158"/>
      <c r="BS290" s="153">
        <v>0</v>
      </c>
      <c r="BU290" s="1389">
        <f t="shared" si="57"/>
        <v>44743</v>
      </c>
      <c r="BV290" s="1390">
        <v>3.0745398665296757</v>
      </c>
      <c r="BW290" s="1390">
        <v>2.4126484766075951</v>
      </c>
      <c r="BX290" s="1390"/>
      <c r="BY290" s="1390">
        <v>4.9452044463229168</v>
      </c>
      <c r="BZ290" s="1391">
        <v>3.8805936796653122</v>
      </c>
    </row>
    <row r="291" spans="1:78" ht="13.8" thickBot="1">
      <c r="A291" s="957"/>
      <c r="B291" s="951">
        <v>44166</v>
      </c>
      <c r="C291" s="952">
        <v>62.303759694281673</v>
      </c>
      <c r="D291" s="952"/>
      <c r="E291" s="952"/>
      <c r="F291" s="1292"/>
      <c r="G291" s="952"/>
      <c r="H291" s="952"/>
      <c r="I291" s="952"/>
      <c r="J291" s="9"/>
      <c r="K291" s="944"/>
      <c r="L291" s="953">
        <v>0</v>
      </c>
      <c r="M291" s="953">
        <v>0</v>
      </c>
      <c r="N291" s="953">
        <v>0</v>
      </c>
      <c r="O291" s="13"/>
      <c r="P291" s="953">
        <v>0</v>
      </c>
      <c r="Q291" s="953">
        <v>0</v>
      </c>
      <c r="R291" s="953">
        <v>0</v>
      </c>
      <c r="S291" s="13"/>
      <c r="T291" s="13"/>
      <c r="U291" s="13"/>
      <c r="V291" s="13"/>
      <c r="W291" s="13"/>
      <c r="X291" s="953">
        <v>0</v>
      </c>
      <c r="Y291" s="953">
        <v>0</v>
      </c>
      <c r="Z291" s="953">
        <v>0</v>
      </c>
      <c r="AA291" s="13">
        <v>0</v>
      </c>
      <c r="AB291" s="953">
        <v>0</v>
      </c>
      <c r="AC291" s="953">
        <v>0</v>
      </c>
      <c r="AD291" s="953">
        <v>0</v>
      </c>
      <c r="AE291" s="13"/>
      <c r="AF291" s="953">
        <v>0</v>
      </c>
      <c r="AG291" s="953">
        <v>0</v>
      </c>
      <c r="AH291" s="953">
        <v>0</v>
      </c>
      <c r="AI291" s="13"/>
      <c r="AJ291" s="953">
        <v>0</v>
      </c>
      <c r="AK291" s="953">
        <v>0</v>
      </c>
      <c r="AL291" s="953">
        <v>0</v>
      </c>
      <c r="AM291" s="1455"/>
      <c r="AN291" s="13"/>
      <c r="AO291" s="13"/>
      <c r="AP291" s="13"/>
      <c r="AQ291"/>
      <c r="AR291"/>
      <c r="AS291"/>
      <c r="AT291"/>
      <c r="AU291"/>
      <c r="AV291"/>
      <c r="AW291" s="111"/>
      <c r="AX291" s="136">
        <f t="shared" si="58"/>
        <v>4.7279999999999998</v>
      </c>
      <c r="AY291" s="136">
        <v>4.7279999999999998</v>
      </c>
      <c r="AZ291" s="136">
        <f t="shared" si="59"/>
        <v>4.7279999999999998</v>
      </c>
      <c r="BA291" s="137"/>
      <c r="BB291" s="137"/>
      <c r="BC291" s="137"/>
      <c r="BE291" s="137"/>
      <c r="BG291" s="144"/>
      <c r="BH291" s="136"/>
      <c r="BI291" s="939"/>
      <c r="BJ291" s="154"/>
      <c r="BK291" s="1443">
        <v>0</v>
      </c>
      <c r="BL291" s="905">
        <f t="shared" si="60"/>
        <v>4.7279999999999998</v>
      </c>
      <c r="BM291" s="1287">
        <f t="shared" si="52"/>
        <v>4.7279999999999998</v>
      </c>
      <c r="BN291" s="158"/>
      <c r="BS291" s="153">
        <v>0</v>
      </c>
      <c r="BU291" s="1395">
        <f t="shared" si="57"/>
        <v>44774</v>
      </c>
      <c r="BV291" s="1396">
        <v>3.1469827036975593</v>
      </c>
      <c r="BW291" s="1396">
        <v>2.4699930694518519</v>
      </c>
      <c r="BX291" s="1396"/>
      <c r="BY291" s="1396">
        <v>5.0617242040814094</v>
      </c>
      <c r="BZ291" s="1397">
        <v>3.9728288588520053</v>
      </c>
    </row>
    <row r="292" spans="1:78">
      <c r="A292" s="957"/>
      <c r="B292" s="951">
        <v>44197</v>
      </c>
      <c r="C292" s="952">
        <v>60.735252451801344</v>
      </c>
      <c r="D292" s="952"/>
      <c r="E292" s="952"/>
      <c r="F292" s="1292"/>
      <c r="G292" s="952"/>
      <c r="H292" s="952"/>
      <c r="I292" s="952"/>
      <c r="J292" s="9"/>
      <c r="K292" s="944"/>
      <c r="L292" s="953">
        <v>0</v>
      </c>
      <c r="M292" s="953">
        <v>0</v>
      </c>
      <c r="N292" s="953">
        <v>0</v>
      </c>
      <c r="O292" s="13"/>
      <c r="P292" s="953">
        <v>0</v>
      </c>
      <c r="Q292" s="953">
        <v>0</v>
      </c>
      <c r="R292" s="953">
        <v>0</v>
      </c>
      <c r="S292" s="13"/>
      <c r="T292" s="13"/>
      <c r="U292" s="13"/>
      <c r="V292" s="13"/>
      <c r="W292" s="13"/>
      <c r="X292" s="953">
        <v>0</v>
      </c>
      <c r="Y292" s="953">
        <v>0</v>
      </c>
      <c r="Z292" s="953">
        <v>0</v>
      </c>
      <c r="AA292" s="13">
        <v>0</v>
      </c>
      <c r="AB292" s="953">
        <v>0</v>
      </c>
      <c r="AC292" s="953">
        <v>0</v>
      </c>
      <c r="AD292" s="953">
        <v>0</v>
      </c>
      <c r="AE292" s="13"/>
      <c r="AF292" s="953">
        <v>0</v>
      </c>
      <c r="AG292" s="953">
        <v>0</v>
      </c>
      <c r="AH292" s="953">
        <v>0</v>
      </c>
      <c r="AI292" s="13"/>
      <c r="AJ292" s="953">
        <v>0</v>
      </c>
      <c r="AK292" s="953">
        <v>0</v>
      </c>
      <c r="AL292" s="953">
        <v>0</v>
      </c>
      <c r="AM292" s="1455"/>
      <c r="AN292" s="13"/>
      <c r="AO292" s="13"/>
      <c r="AP292" s="13"/>
      <c r="AQ292"/>
      <c r="AR292"/>
      <c r="AS292"/>
      <c r="AT292"/>
      <c r="AU292"/>
      <c r="AV292"/>
      <c r="AW292" s="111"/>
      <c r="AX292" s="136">
        <f t="shared" si="58"/>
        <v>4.74</v>
      </c>
      <c r="AY292" s="136">
        <v>4.74</v>
      </c>
      <c r="AZ292" s="136">
        <f t="shared" si="59"/>
        <v>4.74</v>
      </c>
      <c r="BA292" s="137"/>
      <c r="BB292" s="137"/>
      <c r="BC292" s="137"/>
      <c r="BE292" s="137"/>
      <c r="BG292" s="144"/>
      <c r="BH292" s="136"/>
      <c r="BI292" s="939"/>
      <c r="BJ292" s="154"/>
      <c r="BK292" s="1443">
        <v>0</v>
      </c>
      <c r="BL292" s="905">
        <f t="shared" si="60"/>
        <v>4.74</v>
      </c>
      <c r="BM292" s="1287">
        <f t="shared" si="52"/>
        <v>4.74</v>
      </c>
      <c r="BN292" s="158"/>
      <c r="BS292" s="153">
        <v>0</v>
      </c>
    </row>
    <row r="293" spans="1:78">
      <c r="A293" s="957"/>
      <c r="B293" s="951">
        <v>44228</v>
      </c>
      <c r="C293" s="952">
        <v>46.531854112109798</v>
      </c>
      <c r="D293" s="952"/>
      <c r="E293" s="952"/>
      <c r="F293" s="1292"/>
      <c r="G293" s="952"/>
      <c r="H293" s="952"/>
      <c r="I293" s="952"/>
      <c r="J293" s="9"/>
      <c r="K293" s="944"/>
      <c r="L293" s="953">
        <v>0</v>
      </c>
      <c r="M293" s="953">
        <v>0</v>
      </c>
      <c r="N293" s="953">
        <v>0</v>
      </c>
      <c r="O293" s="13"/>
      <c r="P293" s="953">
        <v>0</v>
      </c>
      <c r="Q293" s="953">
        <v>0</v>
      </c>
      <c r="R293" s="953">
        <v>0</v>
      </c>
      <c r="S293" s="13"/>
      <c r="T293" s="13"/>
      <c r="U293" s="13"/>
      <c r="V293" s="13"/>
      <c r="W293" s="13"/>
      <c r="X293" s="953">
        <v>0</v>
      </c>
      <c r="Y293" s="953">
        <v>0</v>
      </c>
      <c r="Z293" s="953">
        <v>0</v>
      </c>
      <c r="AA293" s="13">
        <v>0</v>
      </c>
      <c r="AB293" s="953">
        <v>0</v>
      </c>
      <c r="AC293" s="953">
        <v>0</v>
      </c>
      <c r="AD293" s="953">
        <v>0</v>
      </c>
      <c r="AE293" s="13"/>
      <c r="AF293" s="953">
        <v>0</v>
      </c>
      <c r="AG293" s="953">
        <v>0</v>
      </c>
      <c r="AH293" s="953">
        <v>0</v>
      </c>
      <c r="AI293" s="13"/>
      <c r="AJ293" s="953">
        <v>0</v>
      </c>
      <c r="AK293" s="953">
        <v>0</v>
      </c>
      <c r="AL293" s="953">
        <v>0</v>
      </c>
      <c r="AM293" s="13"/>
      <c r="AN293" s="13"/>
      <c r="AO293" s="13"/>
      <c r="AP293" s="13"/>
      <c r="AQ293"/>
      <c r="AR293"/>
      <c r="AS293"/>
      <c r="AT293"/>
      <c r="AU293"/>
      <c r="AV293"/>
      <c r="AW293" s="111"/>
      <c r="AX293" s="136">
        <f t="shared" si="58"/>
        <v>4.7889999999999997</v>
      </c>
      <c r="AY293" s="136">
        <v>4.7889999999999997</v>
      </c>
      <c r="AZ293" s="136">
        <f t="shared" si="59"/>
        <v>4.7889999999999997</v>
      </c>
      <c r="BA293" s="137"/>
      <c r="BB293" s="137"/>
      <c r="BC293" s="137"/>
      <c r="BE293" s="137"/>
      <c r="BG293" s="144"/>
      <c r="BH293" s="136"/>
      <c r="BI293" s="939"/>
      <c r="BJ293" s="154"/>
      <c r="BK293" s="1443">
        <v>0</v>
      </c>
      <c r="BL293" s="905">
        <f t="shared" si="60"/>
        <v>4.7889999999999997</v>
      </c>
      <c r="BM293" s="1287">
        <f t="shared" si="52"/>
        <v>4.7889999999999997</v>
      </c>
      <c r="BN293" s="158"/>
      <c r="BS293" s="153">
        <v>0</v>
      </c>
    </row>
    <row r="294" spans="1:78">
      <c r="A294" s="957"/>
      <c r="B294" s="951">
        <v>44256</v>
      </c>
      <c r="C294" s="952">
        <v>44.24070342601788</v>
      </c>
      <c r="D294" s="952"/>
      <c r="E294" s="952"/>
      <c r="F294" s="1292"/>
      <c r="G294" s="952"/>
      <c r="H294" s="952"/>
      <c r="I294" s="952"/>
      <c r="J294" s="9"/>
      <c r="K294" s="94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/>
      <c r="AR294"/>
      <c r="AS294"/>
      <c r="AT294"/>
      <c r="AU294"/>
      <c r="AV294"/>
      <c r="AW294" s="111"/>
      <c r="AX294" s="136">
        <f t="shared" si="58"/>
        <v>5.0449999999999999</v>
      </c>
      <c r="AY294" s="136">
        <v>5.0449999999999999</v>
      </c>
      <c r="AZ294" s="136">
        <f t="shared" si="59"/>
        <v>5.0449999999999999</v>
      </c>
      <c r="BA294" s="137"/>
      <c r="BB294" s="137"/>
      <c r="BC294" s="137"/>
      <c r="BE294" s="137"/>
      <c r="BG294" s="144"/>
      <c r="BH294" s="136"/>
      <c r="BI294" s="939"/>
      <c r="BJ294" s="154"/>
      <c r="BK294" s="1443">
        <v>0</v>
      </c>
      <c r="BL294" s="905">
        <f t="shared" si="60"/>
        <v>5.0449999999999999</v>
      </c>
      <c r="BM294" s="1287">
        <f t="shared" si="52"/>
        <v>5.0449999999999999</v>
      </c>
      <c r="BN294" s="158"/>
      <c r="BS294" s="153">
        <v>0</v>
      </c>
    </row>
    <row r="295" spans="1:78">
      <c r="A295" s="957"/>
      <c r="B295" s="951">
        <v>44287</v>
      </c>
      <c r="C295" s="952">
        <v>43.561614008992791</v>
      </c>
      <c r="D295" s="952"/>
      <c r="E295" s="952"/>
      <c r="F295" s="1292"/>
      <c r="G295" s="952"/>
      <c r="H295" s="952"/>
      <c r="I295" s="952"/>
      <c r="J295" s="9"/>
      <c r="K295" s="944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/>
      <c r="AR295"/>
      <c r="AS295"/>
      <c r="AT295"/>
      <c r="AU295"/>
      <c r="AV295"/>
      <c r="AW295" s="111"/>
      <c r="AX295" s="136">
        <f t="shared" si="58"/>
        <v>5.0019999999999998</v>
      </c>
      <c r="AY295" s="136">
        <v>5.0019999999999998</v>
      </c>
      <c r="AZ295" s="136">
        <f t="shared" si="59"/>
        <v>5.0019999999999998</v>
      </c>
      <c r="BA295" s="137"/>
      <c r="BB295" s="137"/>
      <c r="BC295" s="137"/>
      <c r="BE295" s="137"/>
      <c r="BG295" s="144"/>
      <c r="BH295" s="136"/>
      <c r="BI295" s="939"/>
      <c r="BJ295" s="154"/>
      <c r="BK295" s="1443">
        <v>0</v>
      </c>
      <c r="BL295" s="905">
        <f t="shared" si="60"/>
        <v>5.0019999999999998</v>
      </c>
      <c r="BM295" s="1287">
        <f t="shared" si="52"/>
        <v>5.0019999999999998</v>
      </c>
      <c r="BN295" s="158"/>
      <c r="BS295" s="153">
        <v>0</v>
      </c>
    </row>
    <row r="296" spans="1:78">
      <c r="A296" s="957"/>
      <c r="B296" s="951">
        <v>44317</v>
      </c>
      <c r="C296" s="952">
        <v>48.879200816900749</v>
      </c>
      <c r="D296" s="952"/>
      <c r="E296" s="952"/>
      <c r="F296" s="1292"/>
      <c r="G296" s="952"/>
      <c r="H296" s="952"/>
      <c r="I296" s="952"/>
      <c r="J296" s="9"/>
      <c r="K296" s="944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/>
      <c r="AR296"/>
      <c r="AS296"/>
      <c r="AT296"/>
      <c r="AU296"/>
      <c r="AV296"/>
      <c r="AW296" s="111"/>
      <c r="AX296" s="136">
        <f t="shared" si="58"/>
        <v>4.907</v>
      </c>
      <c r="AY296" s="136">
        <v>4.907</v>
      </c>
      <c r="AZ296" s="136">
        <f t="shared" si="59"/>
        <v>4.907</v>
      </c>
      <c r="BA296" s="137"/>
      <c r="BB296" s="137"/>
      <c r="BC296" s="137"/>
      <c r="BE296" s="137"/>
      <c r="BG296" s="144"/>
      <c r="BH296" s="136"/>
      <c r="BI296" s="939"/>
      <c r="BJ296" s="154"/>
      <c r="BK296" s="1443">
        <v>0</v>
      </c>
      <c r="BL296" s="905">
        <f t="shared" si="60"/>
        <v>4.907</v>
      </c>
      <c r="BM296" s="1287">
        <f t="shared" si="52"/>
        <v>4.907</v>
      </c>
      <c r="BN296" s="158"/>
      <c r="BS296" s="153">
        <v>0</v>
      </c>
    </row>
    <row r="297" spans="1:78">
      <c r="A297" s="957"/>
      <c r="B297" s="951">
        <v>44348</v>
      </c>
      <c r="C297" s="952">
        <v>50.737910380561289</v>
      </c>
      <c r="D297" s="952"/>
      <c r="E297" s="952"/>
      <c r="F297" s="1292"/>
      <c r="G297" s="952"/>
      <c r="H297" s="952"/>
      <c r="I297" s="952"/>
      <c r="J297" s="9"/>
      <c r="K297" s="944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/>
      <c r="AR297"/>
      <c r="AS297"/>
      <c r="AT297"/>
      <c r="AU297"/>
      <c r="AV297"/>
      <c r="AW297" s="111"/>
      <c r="AX297" s="136">
        <f t="shared" si="58"/>
        <v>4.8150000000000004</v>
      </c>
      <c r="AY297" s="136">
        <v>4.8150000000000004</v>
      </c>
      <c r="AZ297" s="136">
        <f t="shared" si="59"/>
        <v>4.8150000000000004</v>
      </c>
      <c r="BA297" s="137"/>
      <c r="BB297" s="137"/>
      <c r="BC297" s="137"/>
      <c r="BE297" s="137"/>
      <c r="BG297" s="144"/>
      <c r="BH297" s="136"/>
      <c r="BI297" s="939"/>
      <c r="BJ297" s="154"/>
      <c r="BK297" s="1443">
        <v>0</v>
      </c>
      <c r="BL297" s="905">
        <f t="shared" si="60"/>
        <v>4.8150000000000004</v>
      </c>
      <c r="BM297" s="1287">
        <f t="shared" si="52"/>
        <v>4.8150000000000004</v>
      </c>
      <c r="BN297" s="158"/>
      <c r="BS297" s="153">
        <v>0</v>
      </c>
    </row>
    <row r="298" spans="1:78">
      <c r="A298" s="957"/>
      <c r="B298" s="951">
        <v>44378</v>
      </c>
      <c r="C298" s="952">
        <v>66.672183242502825</v>
      </c>
      <c r="D298" s="952"/>
      <c r="E298" s="952"/>
      <c r="F298" s="1292"/>
      <c r="G298" s="952"/>
      <c r="H298" s="952"/>
      <c r="I298" s="952"/>
      <c r="J298" s="9"/>
      <c r="K298" s="944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/>
      <c r="AR298"/>
      <c r="AS298"/>
      <c r="AT298"/>
      <c r="AU298"/>
      <c r="AV298"/>
      <c r="AW298" s="111"/>
      <c r="AX298" s="136">
        <f t="shared" si="58"/>
        <v>4.8079999999999998</v>
      </c>
      <c r="AY298" s="136">
        <v>4.8079999999999998</v>
      </c>
      <c r="AZ298" s="136">
        <f t="shared" si="59"/>
        <v>4.8079999999999998</v>
      </c>
      <c r="BA298" s="137"/>
      <c r="BB298" s="137"/>
      <c r="BC298" s="137"/>
      <c r="BE298" s="137"/>
      <c r="BG298" s="144"/>
      <c r="BH298" s="136"/>
      <c r="BI298" s="939"/>
      <c r="BJ298" s="154"/>
      <c r="BK298" s="1443">
        <v>0</v>
      </c>
      <c r="BL298" s="905">
        <f t="shared" si="60"/>
        <v>4.8079999999999998</v>
      </c>
      <c r="BM298" s="1287">
        <f t="shared" si="52"/>
        <v>4.8079999999999998</v>
      </c>
      <c r="BN298" s="158"/>
      <c r="BS298" s="153">
        <v>0</v>
      </c>
    </row>
    <row r="299" spans="1:78">
      <c r="A299" s="957"/>
      <c r="B299" s="951">
        <v>44409</v>
      </c>
      <c r="C299" s="952">
        <v>80.299867705932158</v>
      </c>
      <c r="D299" s="952"/>
      <c r="E299" s="952"/>
      <c r="F299" s="1292"/>
      <c r="G299" s="952"/>
      <c r="H299" s="952"/>
      <c r="I299" s="952"/>
      <c r="J299" s="9"/>
      <c r="K299" s="944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/>
      <c r="AR299"/>
      <c r="AS299"/>
      <c r="AT299"/>
      <c r="AU299"/>
      <c r="AV299"/>
      <c r="AW299" s="111"/>
      <c r="AX299" s="136"/>
      <c r="AY299" s="136">
        <v>0</v>
      </c>
      <c r="AZ299" s="136"/>
      <c r="BA299" s="137"/>
      <c r="BB299" s="137"/>
      <c r="BC299" s="137"/>
      <c r="BE299" s="137"/>
      <c r="BG299" s="144"/>
      <c r="BH299" s="136"/>
      <c r="BI299" s="939"/>
      <c r="BJ299" s="154"/>
      <c r="BK299" s="1443">
        <v>0</v>
      </c>
      <c r="BL299" s="905">
        <f t="shared" si="60"/>
        <v>0</v>
      </c>
      <c r="BM299" s="158"/>
      <c r="BN299" s="158"/>
      <c r="BS299" s="153">
        <v>0</v>
      </c>
    </row>
    <row r="300" spans="1:78">
      <c r="A300" s="957"/>
      <c r="B300" s="951">
        <v>44440</v>
      </c>
      <c r="C300" s="952">
        <v>70.689808275136372</v>
      </c>
      <c r="D300" s="952"/>
      <c r="E300" s="952"/>
      <c r="F300" s="1292"/>
      <c r="G300" s="952"/>
      <c r="H300" s="952"/>
      <c r="I300" s="952"/>
      <c r="J300" s="9"/>
      <c r="K300" s="944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/>
      <c r="AR300"/>
      <c r="AS300"/>
      <c r="AT300"/>
      <c r="AU300"/>
      <c r="AV300"/>
      <c r="AW300" s="111"/>
      <c r="AX300" s="136"/>
      <c r="AY300" s="136"/>
      <c r="AZ300" s="136"/>
      <c r="BA300" s="137"/>
      <c r="BB300" s="137"/>
      <c r="BC300" s="137"/>
      <c r="BE300" s="137"/>
      <c r="BG300" s="144"/>
      <c r="BH300" s="136"/>
      <c r="BI300" s="939"/>
      <c r="BJ300" s="154"/>
      <c r="BK300" s="1443">
        <v>0</v>
      </c>
      <c r="BL300" s="158"/>
      <c r="BM300" s="158"/>
      <c r="BN300" s="158"/>
      <c r="BS300" s="153">
        <v>0</v>
      </c>
    </row>
    <row r="301" spans="1:78">
      <c r="A301" s="957"/>
      <c r="B301" s="951">
        <v>44470</v>
      </c>
      <c r="C301" s="952">
        <v>59.539689495010208</v>
      </c>
      <c r="D301" s="952"/>
      <c r="E301" s="952"/>
      <c r="F301" s="1292"/>
      <c r="G301" s="952"/>
      <c r="H301" s="952"/>
      <c r="I301" s="952"/>
      <c r="J301" s="9"/>
      <c r="K301" s="944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/>
      <c r="AR301"/>
      <c r="AS301"/>
      <c r="AT301"/>
      <c r="AU301"/>
      <c r="AV301"/>
      <c r="AW301" s="111"/>
      <c r="AX301" s="136"/>
      <c r="AY301" s="136"/>
      <c r="AZ301" s="136"/>
      <c r="BA301" s="137"/>
      <c r="BB301" s="137"/>
      <c r="BC301" s="137"/>
      <c r="BE301" s="137"/>
      <c r="BG301" s="144"/>
      <c r="BH301" s="136"/>
      <c r="BI301" s="939"/>
      <c r="BJ301" s="154"/>
      <c r="BK301" s="1443">
        <v>0</v>
      </c>
      <c r="BL301" s="158"/>
      <c r="BM301" s="158"/>
      <c r="BN301" s="158"/>
      <c r="BS301" s="153">
        <v>0</v>
      </c>
    </row>
    <row r="302" spans="1:78">
      <c r="A302" s="957"/>
      <c r="B302" s="951">
        <v>44501</v>
      </c>
      <c r="C302" s="952">
        <v>62.131382480984229</v>
      </c>
      <c r="D302" s="952"/>
      <c r="E302" s="952"/>
      <c r="F302" s="1292"/>
      <c r="G302" s="952"/>
      <c r="H302" s="952"/>
      <c r="I302" s="952"/>
      <c r="J302" s="9"/>
      <c r="K302" s="944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/>
      <c r="AR302"/>
      <c r="AS302"/>
      <c r="AT302"/>
      <c r="AU302"/>
      <c r="AV302"/>
      <c r="AW302" s="111"/>
      <c r="AX302" s="136"/>
      <c r="AY302" s="136"/>
      <c r="AZ302" s="136"/>
      <c r="BA302" s="137"/>
      <c r="BB302" s="137"/>
      <c r="BC302" s="137"/>
      <c r="BE302" s="137"/>
      <c r="BG302" s="144"/>
      <c r="BH302" s="136"/>
      <c r="BI302" s="939"/>
      <c r="BJ302" s="154"/>
      <c r="BK302" s="1443">
        <v>0</v>
      </c>
      <c r="BL302" s="158"/>
      <c r="BM302" s="158"/>
      <c r="BN302" s="158"/>
      <c r="BS302" s="153">
        <v>0</v>
      </c>
    </row>
    <row r="303" spans="1:78">
      <c r="A303" s="957"/>
      <c r="B303" s="951">
        <v>44531</v>
      </c>
      <c r="C303" s="952">
        <v>64.956505829044929</v>
      </c>
      <c r="D303" s="952"/>
      <c r="E303" s="952"/>
      <c r="F303" s="1292"/>
      <c r="G303" s="952"/>
      <c r="H303" s="952"/>
      <c r="I303" s="952"/>
      <c r="J303" s="9"/>
      <c r="K303" s="94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/>
      <c r="AR303"/>
      <c r="AS303"/>
      <c r="AT303"/>
      <c r="AU303"/>
      <c r="AV303"/>
      <c r="AW303" s="111"/>
      <c r="AX303" s="136"/>
      <c r="AY303" s="136"/>
      <c r="AZ303" s="136"/>
      <c r="BA303" s="137"/>
      <c r="BB303" s="137"/>
      <c r="BC303" s="137"/>
      <c r="BE303" s="137"/>
      <c r="BG303" s="144"/>
      <c r="BH303" s="136"/>
      <c r="BI303" s="939"/>
      <c r="BJ303" s="154"/>
      <c r="BK303" s="1443">
        <v>0</v>
      </c>
      <c r="BL303" s="158"/>
      <c r="BM303" s="158"/>
      <c r="BN303" s="158"/>
      <c r="BS303" s="153">
        <v>0</v>
      </c>
    </row>
    <row r="304" spans="1:78">
      <c r="A304" s="957"/>
      <c r="B304" s="951">
        <v>44562</v>
      </c>
      <c r="C304" s="952">
        <v>22.18</v>
      </c>
      <c r="D304" s="952"/>
      <c r="E304" s="952"/>
      <c r="F304" s="1292"/>
      <c r="G304" s="952"/>
      <c r="H304" s="952"/>
      <c r="I304" s="952"/>
      <c r="J304" s="9"/>
      <c r="K304" s="94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/>
      <c r="AR304"/>
      <c r="AS304"/>
      <c r="AT304"/>
      <c r="AU304"/>
      <c r="AV304" s="10"/>
      <c r="AW304" s="111"/>
      <c r="AX304" s="136"/>
      <c r="AY304" s="136"/>
      <c r="AZ304" s="136"/>
      <c r="BA304" s="137"/>
      <c r="BB304" s="137"/>
      <c r="BC304" s="137"/>
      <c r="BE304" s="137"/>
      <c r="BG304" s="144"/>
      <c r="BH304" s="136"/>
      <c r="BI304" s="939"/>
      <c r="BJ304" s="154"/>
      <c r="BK304" s="1443">
        <v>0</v>
      </c>
      <c r="BL304" s="158"/>
      <c r="BM304" s="158"/>
      <c r="BN304" s="158"/>
      <c r="BS304" s="153">
        <v>0</v>
      </c>
    </row>
    <row r="305" spans="1:71">
      <c r="A305" s="957"/>
      <c r="B305" s="951">
        <v>44593</v>
      </c>
      <c r="C305" s="952">
        <v>24.04</v>
      </c>
      <c r="D305" s="952"/>
      <c r="E305" s="952"/>
      <c r="F305" s="1292"/>
      <c r="G305" s="952"/>
      <c r="H305" s="952"/>
      <c r="I305" s="952"/>
      <c r="J305" s="9"/>
      <c r="K305" s="94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/>
      <c r="AR305"/>
      <c r="AS305"/>
      <c r="AT305"/>
      <c r="AU305"/>
      <c r="AV305" s="10"/>
      <c r="AW305" s="111"/>
      <c r="AX305" s="136"/>
      <c r="AY305" s="136"/>
      <c r="AZ305" s="136"/>
      <c r="BA305" s="137"/>
      <c r="BB305" s="137"/>
      <c r="BC305" s="137"/>
      <c r="BE305" s="137"/>
      <c r="BG305" s="144"/>
      <c r="BH305" s="136"/>
      <c r="BI305" s="939"/>
      <c r="BJ305" s="154"/>
      <c r="BK305" s="1443">
        <v>0</v>
      </c>
      <c r="BL305" s="158"/>
      <c r="BM305" s="158"/>
      <c r="BN305" s="158"/>
      <c r="BS305" s="153">
        <v>0</v>
      </c>
    </row>
    <row r="306" spans="1:71">
      <c r="A306" s="957"/>
      <c r="B306" s="951">
        <v>44621</v>
      </c>
      <c r="C306" s="952">
        <v>24.41</v>
      </c>
      <c r="D306" s="952"/>
      <c r="E306" s="952"/>
      <c r="F306" s="1292"/>
      <c r="G306" s="952"/>
      <c r="H306" s="952"/>
      <c r="I306" s="952"/>
      <c r="J306" s="9"/>
      <c r="K306" s="94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/>
      <c r="AR306"/>
      <c r="AS306"/>
      <c r="AT306"/>
      <c r="AU306"/>
      <c r="AV306" s="10"/>
      <c r="AW306" s="111"/>
      <c r="AX306" s="136"/>
      <c r="AY306" s="136"/>
      <c r="AZ306" s="136"/>
      <c r="BA306" s="137"/>
      <c r="BB306" s="137"/>
      <c r="BC306" s="137"/>
      <c r="BE306" s="137"/>
      <c r="BG306" s="144"/>
      <c r="BH306" s="136"/>
      <c r="BI306" s="939"/>
      <c r="BJ306" s="154"/>
      <c r="BK306" s="1443">
        <v>0</v>
      </c>
      <c r="BL306" s="158"/>
      <c r="BM306" s="158"/>
      <c r="BN306" s="158"/>
      <c r="BS306" s="153">
        <v>0</v>
      </c>
    </row>
    <row r="307" spans="1:71">
      <c r="A307" s="957"/>
      <c r="B307" s="951">
        <v>44652</v>
      </c>
      <c r="C307" s="952">
        <v>21.91</v>
      </c>
      <c r="D307" s="952"/>
      <c r="E307" s="952"/>
      <c r="F307" s="1292"/>
      <c r="G307" s="952"/>
      <c r="H307" s="952"/>
      <c r="I307" s="952"/>
      <c r="J307" s="9"/>
      <c r="K307" s="94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/>
      <c r="AR307"/>
      <c r="AS307"/>
      <c r="AT307"/>
      <c r="AU307"/>
      <c r="AV307" s="10"/>
      <c r="AW307" s="111"/>
      <c r="AX307" s="136"/>
      <c r="AY307" s="136"/>
      <c r="AZ307" s="136"/>
      <c r="BA307" s="137"/>
      <c r="BB307" s="137"/>
      <c r="BC307" s="137"/>
      <c r="BE307" s="137"/>
      <c r="BG307" s="144"/>
      <c r="BH307" s="136"/>
      <c r="BI307" s="939"/>
      <c r="BJ307" s="154"/>
      <c r="BK307" s="1443">
        <v>0</v>
      </c>
      <c r="BL307" s="158"/>
      <c r="BM307" s="158"/>
      <c r="BN307" s="158"/>
      <c r="BS307" s="153">
        <v>0</v>
      </c>
    </row>
    <row r="308" spans="1:71">
      <c r="A308" s="957"/>
      <c r="B308" s="951">
        <v>44682</v>
      </c>
      <c r="C308" s="952">
        <v>24.22</v>
      </c>
      <c r="D308" s="952"/>
      <c r="E308" s="952"/>
      <c r="F308" s="1292"/>
      <c r="G308" s="952"/>
      <c r="H308" s="952"/>
      <c r="I308" s="952"/>
      <c r="J308" s="9"/>
      <c r="K308" s="94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/>
      <c r="AR308"/>
      <c r="AS308"/>
      <c r="AT308"/>
      <c r="AU308"/>
      <c r="AV308" s="10"/>
      <c r="AW308" s="111"/>
      <c r="AX308" s="136"/>
      <c r="AY308" s="136"/>
      <c r="AZ308" s="136"/>
      <c r="BA308" s="137"/>
      <c r="BB308" s="137"/>
      <c r="BC308" s="137"/>
      <c r="BE308" s="137"/>
      <c r="BG308" s="144"/>
      <c r="BH308" s="136"/>
      <c r="BI308" s="939"/>
      <c r="BJ308" s="154"/>
      <c r="BK308" s="1443">
        <v>0</v>
      </c>
      <c r="BL308" s="158"/>
      <c r="BM308" s="158"/>
      <c r="BN308" s="158"/>
      <c r="BS308" s="153">
        <v>0</v>
      </c>
    </row>
    <row r="309" spans="1:71">
      <c r="A309" s="957"/>
      <c r="B309" s="951">
        <v>44713</v>
      </c>
      <c r="C309" s="952">
        <v>26.47</v>
      </c>
      <c r="D309" s="952"/>
      <c r="E309" s="952"/>
      <c r="F309" s="1292"/>
      <c r="G309" s="952"/>
      <c r="H309" s="952"/>
      <c r="I309" s="952"/>
      <c r="J309" s="9"/>
      <c r="K309" s="94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/>
      <c r="AR309"/>
      <c r="AS309"/>
      <c r="AT309"/>
      <c r="AU309"/>
      <c r="AV309" s="10"/>
      <c r="AW309" s="111"/>
      <c r="AX309" s="136"/>
      <c r="AY309" s="136"/>
      <c r="AZ309" s="136"/>
      <c r="BA309" s="137"/>
      <c r="BB309" s="137"/>
      <c r="BC309" s="137"/>
      <c r="BE309" s="137"/>
      <c r="BG309" s="144"/>
      <c r="BH309" s="136"/>
      <c r="BI309" s="939"/>
      <c r="BJ309" s="154"/>
      <c r="BK309" s="1443">
        <v>0</v>
      </c>
      <c r="BL309" s="158"/>
      <c r="BM309" s="158"/>
      <c r="BN309" s="158"/>
      <c r="BS309" s="153">
        <v>0</v>
      </c>
    </row>
    <row r="310" spans="1:71">
      <c r="A310" s="957"/>
      <c r="B310" s="951">
        <v>44743</v>
      </c>
      <c r="C310" s="952">
        <v>33.22</v>
      </c>
      <c r="D310" s="952"/>
      <c r="E310" s="952"/>
      <c r="F310" s="1292"/>
      <c r="G310" s="952"/>
      <c r="H310" s="952"/>
      <c r="I310" s="952"/>
      <c r="J310" s="9"/>
      <c r="K310" s="94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/>
      <c r="AR310"/>
      <c r="AS310"/>
      <c r="AT310"/>
      <c r="AU310"/>
      <c r="AV310" s="10"/>
      <c r="AW310" s="111"/>
      <c r="AX310" s="136"/>
      <c r="AY310" s="136"/>
      <c r="AZ310" s="136"/>
      <c r="BA310" s="137"/>
      <c r="BB310" s="137"/>
      <c r="BC310" s="137"/>
      <c r="BE310" s="137"/>
      <c r="BG310" s="144"/>
      <c r="BH310" s="136"/>
      <c r="BI310" s="939"/>
      <c r="BJ310" s="154"/>
      <c r="BK310" s="1443">
        <v>0</v>
      </c>
      <c r="BL310" s="158"/>
      <c r="BM310" s="158"/>
      <c r="BN310" s="158"/>
      <c r="BS310" s="153">
        <v>0</v>
      </c>
    </row>
    <row r="311" spans="1:71">
      <c r="A311" s="957"/>
      <c r="B311" s="951">
        <v>44774</v>
      </c>
      <c r="C311" s="952">
        <v>52.95</v>
      </c>
      <c r="D311" s="952"/>
      <c r="E311" s="952"/>
      <c r="F311" s="1292"/>
      <c r="G311" s="952"/>
      <c r="H311" s="952"/>
      <c r="I311" s="952"/>
      <c r="J311" s="9"/>
      <c r="K311" s="94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/>
      <c r="AR311"/>
      <c r="AS311"/>
      <c r="AT311"/>
      <c r="AU311"/>
      <c r="AV311" s="10"/>
      <c r="AW311" s="111"/>
      <c r="AX311" s="136"/>
      <c r="AY311" s="136"/>
      <c r="AZ311" s="136"/>
      <c r="BA311" s="137"/>
      <c r="BB311" s="137"/>
      <c r="BC311" s="137"/>
      <c r="BE311" s="137"/>
      <c r="BG311" s="144"/>
      <c r="BH311" s="136"/>
      <c r="BI311" s="939"/>
      <c r="BJ311" s="154"/>
      <c r="BK311" s="1443">
        <v>0</v>
      </c>
      <c r="BL311" s="158"/>
      <c r="BM311" s="158"/>
      <c r="BN311" s="158"/>
      <c r="BS311" s="153">
        <v>0</v>
      </c>
    </row>
    <row r="312" spans="1:71">
      <c r="A312" s="957"/>
      <c r="B312" s="951">
        <v>44805</v>
      </c>
      <c r="C312" s="952">
        <v>69.95</v>
      </c>
      <c r="D312" s="952"/>
      <c r="E312" s="952"/>
      <c r="F312" s="1292"/>
      <c r="G312" s="952"/>
      <c r="H312" s="952"/>
      <c r="I312" s="952"/>
      <c r="J312" s="9"/>
      <c r="K312" s="94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/>
      <c r="AR312"/>
      <c r="AS312"/>
      <c r="AT312"/>
      <c r="AU312"/>
      <c r="AV312" s="10"/>
      <c r="AW312" s="111"/>
      <c r="AX312" s="136"/>
      <c r="AY312" s="136"/>
      <c r="AZ312" s="136"/>
      <c r="BA312" s="137"/>
      <c r="BB312" s="137"/>
      <c r="BC312" s="137"/>
      <c r="BE312" s="137"/>
      <c r="BG312" s="144"/>
      <c r="BH312" s="136"/>
      <c r="BI312" s="939"/>
      <c r="BJ312" s="154"/>
      <c r="BK312" s="1443">
        <v>0</v>
      </c>
      <c r="BL312" s="158"/>
      <c r="BM312" s="158"/>
      <c r="BN312" s="158"/>
      <c r="BS312" s="153">
        <v>0</v>
      </c>
    </row>
    <row r="313" spans="1:71">
      <c r="A313" s="957"/>
      <c r="B313" s="951">
        <v>44835</v>
      </c>
      <c r="C313" s="952">
        <v>49.95</v>
      </c>
      <c r="D313" s="952"/>
      <c r="E313" s="952"/>
      <c r="F313" s="1292"/>
      <c r="G313" s="952"/>
      <c r="H313" s="952"/>
      <c r="I313" s="952"/>
      <c r="J313" s="9"/>
      <c r="K313" s="94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/>
      <c r="AR313"/>
      <c r="AS313"/>
      <c r="AT313"/>
      <c r="AU313"/>
      <c r="AV313" s="10"/>
      <c r="AW313" s="111"/>
      <c r="AX313" s="136"/>
      <c r="AY313" s="136"/>
      <c r="AZ313" s="136"/>
      <c r="BA313" s="137"/>
      <c r="BB313" s="137"/>
      <c r="BC313" s="137"/>
      <c r="BE313" s="137"/>
      <c r="BG313" s="144"/>
      <c r="BH313" s="136"/>
      <c r="BI313" s="939"/>
      <c r="BJ313" s="154"/>
      <c r="BK313" s="1443">
        <v>0</v>
      </c>
      <c r="BL313" s="158"/>
      <c r="BM313" s="158"/>
      <c r="BN313" s="158"/>
      <c r="BS313" s="153">
        <v>0</v>
      </c>
    </row>
    <row r="314" spans="1:71">
      <c r="A314" s="957"/>
      <c r="B314" s="951">
        <v>44866</v>
      </c>
      <c r="C314" s="952">
        <v>35.729999999999997</v>
      </c>
      <c r="D314" s="952"/>
      <c r="E314" s="952"/>
      <c r="F314" s="1292"/>
      <c r="G314" s="952"/>
      <c r="H314" s="952"/>
      <c r="I314" s="952"/>
      <c r="J314" s="9"/>
      <c r="K314" s="94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/>
      <c r="AR314"/>
      <c r="AS314"/>
      <c r="AT314"/>
      <c r="AU314"/>
      <c r="AV314" s="10"/>
      <c r="AW314" s="111"/>
      <c r="AX314" s="136"/>
      <c r="AY314" s="136"/>
      <c r="AZ314" s="136"/>
      <c r="BA314" s="137"/>
      <c r="BB314" s="137"/>
      <c r="BC314" s="137"/>
      <c r="BE314" s="137"/>
      <c r="BG314" s="144"/>
      <c r="BH314" s="136"/>
      <c r="BI314" s="939"/>
      <c r="BJ314" s="154"/>
      <c r="BK314" s="1443">
        <v>0</v>
      </c>
      <c r="BL314" s="158"/>
      <c r="BM314" s="158"/>
      <c r="BN314" s="158"/>
      <c r="BS314" s="153">
        <v>0</v>
      </c>
    </row>
    <row r="315" spans="1:71">
      <c r="A315" s="957"/>
      <c r="B315" s="951">
        <v>44896</v>
      </c>
      <c r="C315" s="952">
        <v>22.23</v>
      </c>
      <c r="D315" s="952"/>
      <c r="E315" s="952"/>
      <c r="F315" s="1292"/>
      <c r="G315" s="952"/>
      <c r="H315" s="952"/>
      <c r="I315" s="952"/>
      <c r="J315" s="9"/>
      <c r="K315" s="94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/>
      <c r="AR315"/>
      <c r="AS315"/>
      <c r="AT315"/>
      <c r="AU315"/>
      <c r="AV315" s="10"/>
      <c r="AW315" s="111"/>
      <c r="AX315" s="136"/>
      <c r="AY315" s="136"/>
      <c r="AZ315" s="136"/>
      <c r="BA315" s="137"/>
      <c r="BB315" s="137"/>
      <c r="BC315" s="137"/>
      <c r="BE315" s="137"/>
      <c r="BG315" s="144"/>
      <c r="BH315" s="136"/>
      <c r="BI315" s="939"/>
      <c r="BJ315" s="154"/>
      <c r="BK315" s="1443">
        <v>0</v>
      </c>
      <c r="BL315" s="158"/>
      <c r="BM315" s="158"/>
      <c r="BN315" s="158"/>
      <c r="BS315" s="153">
        <v>0</v>
      </c>
    </row>
    <row r="316" spans="1:71">
      <c r="A316" s="957"/>
      <c r="B316" s="951">
        <v>44927</v>
      </c>
      <c r="C316" s="952">
        <v>22.23</v>
      </c>
      <c r="D316" s="952"/>
      <c r="E316" s="952"/>
      <c r="F316" s="1292"/>
      <c r="G316" s="952"/>
      <c r="H316" s="952"/>
      <c r="I316" s="952"/>
      <c r="J316" s="9"/>
      <c r="K316" s="94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/>
      <c r="AR316"/>
      <c r="AS316"/>
      <c r="AT316"/>
      <c r="AU316"/>
      <c r="AV316" s="10"/>
      <c r="AW316" s="111"/>
      <c r="AX316" s="136"/>
      <c r="AY316" s="136"/>
      <c r="AZ316" s="136"/>
      <c r="BA316" s="137"/>
      <c r="BB316" s="137"/>
      <c r="BC316" s="137"/>
      <c r="BE316" s="137"/>
      <c r="BG316" s="144"/>
      <c r="BH316" s="136"/>
      <c r="BI316" s="939"/>
      <c r="BJ316" s="154"/>
      <c r="BK316" s="1443">
        <v>0</v>
      </c>
      <c r="BL316" s="158"/>
      <c r="BM316" s="158"/>
      <c r="BN316" s="158"/>
      <c r="BS316" s="153">
        <v>0</v>
      </c>
    </row>
    <row r="317" spans="1:71">
      <c r="A317" s="957"/>
      <c r="B317" s="13"/>
      <c r="C317" s="13">
        <v>24.06</v>
      </c>
      <c r="D317" s="952"/>
      <c r="E317" s="952"/>
      <c r="F317" s="13"/>
      <c r="G317" s="952"/>
      <c r="H317" s="952"/>
      <c r="I317" s="952"/>
      <c r="J317" s="13"/>
      <c r="K317" s="94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/>
      <c r="AR317"/>
      <c r="AS317"/>
      <c r="AT317"/>
      <c r="AU317"/>
      <c r="AV317" s="10"/>
      <c r="AW317" s="111"/>
      <c r="AX317" s="136"/>
      <c r="AY317" s="136"/>
      <c r="AZ317" s="136"/>
      <c r="BA317" s="137"/>
      <c r="BB317" s="137"/>
      <c r="BC317" s="137"/>
      <c r="BE317" s="137"/>
      <c r="BG317" s="144"/>
      <c r="BH317" s="136"/>
      <c r="BI317" s="939"/>
      <c r="BJ317" s="154"/>
      <c r="BK317" s="1443">
        <v>0</v>
      </c>
      <c r="BL317" s="158"/>
      <c r="BM317" s="158"/>
      <c r="BN317" s="158"/>
      <c r="BS317" s="153">
        <v>0</v>
      </c>
    </row>
    <row r="318" spans="1:71">
      <c r="A318" s="957"/>
      <c r="B318" s="13"/>
      <c r="C318" s="13">
        <v>24.44</v>
      </c>
      <c r="D318" s="952"/>
      <c r="E318" s="952"/>
      <c r="F318" s="13"/>
      <c r="G318" s="952"/>
      <c r="H318" s="952"/>
      <c r="I318" s="952"/>
      <c r="J318" s="13"/>
      <c r="K318" s="94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/>
      <c r="AR318"/>
      <c r="AS318"/>
      <c r="AT318"/>
      <c r="AU318"/>
      <c r="AV318" s="10"/>
      <c r="AW318" s="111"/>
      <c r="AX318" s="136"/>
      <c r="AY318" s="136"/>
      <c r="AZ318" s="136"/>
      <c r="BA318" s="137"/>
      <c r="BB318" s="137"/>
      <c r="BC318" s="137"/>
      <c r="BE318" s="137"/>
      <c r="BG318" s="144"/>
      <c r="BH318" s="136"/>
      <c r="BI318" s="939"/>
      <c r="BJ318" s="154"/>
      <c r="BK318" s="1443">
        <v>0</v>
      </c>
      <c r="BL318" s="158"/>
      <c r="BM318" s="158"/>
      <c r="BN318" s="158"/>
      <c r="BS318" s="153">
        <v>0</v>
      </c>
    </row>
    <row r="319" spans="1:71">
      <c r="A319" s="957"/>
      <c r="B319" s="13"/>
      <c r="C319" s="13">
        <v>21.94</v>
      </c>
      <c r="D319" s="952"/>
      <c r="E319" s="952"/>
      <c r="F319" s="13"/>
      <c r="G319" s="952"/>
      <c r="H319" s="952"/>
      <c r="I319" s="952"/>
      <c r="J319" s="13"/>
      <c r="K319" s="94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/>
      <c r="AR319"/>
      <c r="AS319"/>
      <c r="AT319"/>
      <c r="AU319"/>
      <c r="AV319" s="10"/>
      <c r="AW319" s="111"/>
      <c r="AX319" s="136"/>
      <c r="AY319" s="136"/>
      <c r="AZ319" s="136"/>
      <c r="BA319" s="137"/>
      <c r="BB319" s="137"/>
      <c r="BC319" s="137"/>
      <c r="BE319" s="137"/>
      <c r="BG319" s="144"/>
      <c r="BH319" s="136"/>
      <c r="BI319" s="939"/>
      <c r="BJ319" s="154"/>
      <c r="BK319" s="1443">
        <v>0</v>
      </c>
      <c r="BL319" s="158"/>
      <c r="BM319" s="158"/>
      <c r="BN319" s="158"/>
      <c r="BS319" s="153">
        <v>0</v>
      </c>
    </row>
    <row r="320" spans="1:71">
      <c r="A320" s="957"/>
      <c r="B320" s="13"/>
      <c r="C320" s="13">
        <v>24.26</v>
      </c>
      <c r="D320" s="952"/>
      <c r="E320" s="952"/>
      <c r="F320" s="13"/>
      <c r="G320" s="952"/>
      <c r="H320" s="952"/>
      <c r="I320" s="952"/>
      <c r="J320" s="13"/>
      <c r="K320" s="94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/>
      <c r="AR320"/>
      <c r="AS320"/>
      <c r="AT320"/>
      <c r="AU320"/>
      <c r="AV320" s="10"/>
      <c r="AW320" s="111"/>
      <c r="AX320" s="136"/>
      <c r="AY320" s="136"/>
      <c r="AZ320" s="136"/>
      <c r="BA320" s="137"/>
      <c r="BB320" s="137"/>
      <c r="BC320" s="137"/>
      <c r="BE320" s="137"/>
      <c r="BG320" s="144"/>
      <c r="BH320" s="136"/>
      <c r="BI320" s="939"/>
      <c r="BJ320" s="154"/>
      <c r="BK320" s="1443">
        <v>0</v>
      </c>
      <c r="BL320" s="158"/>
      <c r="BM320" s="158"/>
      <c r="BN320" s="158"/>
      <c r="BS320" s="153">
        <v>0</v>
      </c>
    </row>
    <row r="321" spans="1:71">
      <c r="A321" s="957"/>
      <c r="B321" s="13"/>
      <c r="C321" s="13">
        <v>26.51</v>
      </c>
      <c r="D321" s="952"/>
      <c r="E321" s="952"/>
      <c r="F321" s="13"/>
      <c r="G321" s="952"/>
      <c r="H321" s="952"/>
      <c r="I321" s="952"/>
      <c r="J321" s="13"/>
      <c r="K321" s="94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/>
      <c r="AR321"/>
      <c r="AS321"/>
      <c r="AT321"/>
      <c r="AU321"/>
      <c r="AV321" s="10"/>
      <c r="AW321" s="111"/>
      <c r="AX321" s="136"/>
      <c r="AY321" s="136"/>
      <c r="AZ321" s="136"/>
      <c r="BA321" s="137"/>
      <c r="BB321" s="137"/>
      <c r="BC321" s="137"/>
      <c r="BE321" s="137"/>
      <c r="BG321" s="144"/>
      <c r="BH321" s="136"/>
      <c r="BI321" s="939"/>
      <c r="BJ321" s="154"/>
      <c r="BK321" s="1443">
        <v>0</v>
      </c>
      <c r="BL321" s="158"/>
      <c r="BM321" s="158"/>
      <c r="BN321" s="158"/>
      <c r="BS321" s="153">
        <v>0</v>
      </c>
    </row>
    <row r="322" spans="1:71">
      <c r="A322" s="957"/>
      <c r="B322" s="13"/>
      <c r="C322" s="13">
        <v>33.26</v>
      </c>
      <c r="D322" s="952"/>
      <c r="E322" s="952"/>
      <c r="F322" s="13"/>
      <c r="G322" s="952"/>
      <c r="H322" s="952"/>
      <c r="I322" s="952"/>
      <c r="J322" s="13"/>
      <c r="K322" s="94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/>
      <c r="AR322"/>
      <c r="AS322"/>
      <c r="AT322"/>
      <c r="AU322"/>
      <c r="AV322" s="10"/>
      <c r="AW322" s="111"/>
      <c r="AX322" s="136"/>
      <c r="AY322" s="136"/>
      <c r="AZ322" s="136"/>
      <c r="BA322" s="137"/>
      <c r="BB322" s="137"/>
      <c r="BC322" s="137"/>
      <c r="BE322" s="137"/>
      <c r="BG322" s="144"/>
      <c r="BH322" s="136"/>
      <c r="BI322" s="939"/>
      <c r="BJ322" s="154"/>
      <c r="BK322" s="1443">
        <v>0</v>
      </c>
      <c r="BL322" s="158"/>
      <c r="BM322" s="158"/>
      <c r="BN322" s="158"/>
      <c r="BS322" s="153">
        <v>0</v>
      </c>
    </row>
    <row r="323" spans="1:71">
      <c r="A323" s="957"/>
      <c r="B323" s="13"/>
      <c r="C323" s="13">
        <v>53.05</v>
      </c>
      <c r="D323" s="952"/>
      <c r="E323" s="952"/>
      <c r="F323" s="13"/>
      <c r="G323" s="952"/>
      <c r="H323" s="952"/>
      <c r="I323" s="952"/>
      <c r="J323" s="13"/>
      <c r="K323" s="94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/>
      <c r="AR323"/>
      <c r="AS323"/>
      <c r="AT323"/>
      <c r="AU323"/>
      <c r="AV323" s="10"/>
      <c r="AW323" s="111"/>
      <c r="AX323" s="136"/>
      <c r="AY323" s="136"/>
      <c r="AZ323" s="136"/>
      <c r="BA323" s="137"/>
      <c r="BB323" s="137"/>
      <c r="BC323" s="137"/>
      <c r="BE323" s="137"/>
      <c r="BG323" s="144"/>
      <c r="BH323" s="136"/>
      <c r="BI323" s="939"/>
      <c r="BJ323" s="154"/>
      <c r="BK323" s="1443">
        <v>0</v>
      </c>
      <c r="BL323" s="158"/>
      <c r="BM323" s="158"/>
      <c r="BN323" s="158"/>
      <c r="BS323" s="153">
        <v>0</v>
      </c>
    </row>
    <row r="324" spans="1:71">
      <c r="A324" s="957"/>
      <c r="B324" s="13"/>
      <c r="C324" s="13"/>
      <c r="D324" s="13"/>
      <c r="E324" s="13"/>
      <c r="F324" s="13"/>
      <c r="G324" s="13"/>
      <c r="H324" s="13"/>
      <c r="I324" s="13"/>
      <c r="J324" s="13"/>
      <c r="K324" s="94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/>
      <c r="AR324"/>
      <c r="AS324"/>
      <c r="AT324"/>
      <c r="AU324"/>
      <c r="AV324" s="10"/>
      <c r="AW324" s="111"/>
      <c r="AX324" s="136"/>
      <c r="AY324" s="136"/>
      <c r="AZ324" s="136"/>
      <c r="BA324" s="137"/>
      <c r="BB324" s="137"/>
      <c r="BC324" s="137"/>
      <c r="BE324" s="137"/>
      <c r="BG324" s="144"/>
      <c r="BH324" s="136"/>
      <c r="BI324" s="939"/>
      <c r="BJ324" s="154"/>
      <c r="BK324" s="1443">
        <v>0</v>
      </c>
      <c r="BL324" s="158"/>
      <c r="BM324" s="158"/>
      <c r="BN324" s="158"/>
      <c r="BS324" s="153">
        <v>0</v>
      </c>
    </row>
    <row r="325" spans="1:71">
      <c r="A325" s="957"/>
      <c r="B325" s="13"/>
      <c r="C325" s="13"/>
      <c r="D325" s="13"/>
      <c r="E325" s="13"/>
      <c r="F325" s="13"/>
      <c r="G325" s="13"/>
      <c r="H325" s="13"/>
      <c r="I325" s="13"/>
      <c r="J325" s="13"/>
      <c r="K325" s="94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/>
      <c r="AR325"/>
      <c r="AS325"/>
      <c r="AT325"/>
      <c r="AU325"/>
      <c r="AV325" s="10"/>
      <c r="AW325" s="111"/>
      <c r="AX325" s="136"/>
      <c r="AY325" s="136"/>
      <c r="AZ325" s="136"/>
      <c r="BA325" s="137"/>
      <c r="BB325" s="137"/>
      <c r="BC325" s="137"/>
      <c r="BE325" s="137"/>
      <c r="BG325" s="144"/>
      <c r="BH325" s="136"/>
      <c r="BI325" s="939"/>
      <c r="BJ325" s="154"/>
      <c r="BK325" s="1443">
        <v>0</v>
      </c>
      <c r="BL325" s="158"/>
      <c r="BM325" s="158"/>
      <c r="BN325" s="158"/>
      <c r="BS325" s="153">
        <v>0</v>
      </c>
    </row>
    <row r="326" spans="1:71">
      <c r="A326" s="957"/>
      <c r="B326" s="13"/>
      <c r="C326" s="13"/>
      <c r="D326" s="13"/>
      <c r="E326" s="13"/>
      <c r="F326" s="13"/>
      <c r="G326" s="13"/>
      <c r="H326" s="13"/>
      <c r="I326" s="13"/>
      <c r="J326" s="13"/>
      <c r="K326" s="94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/>
      <c r="AR326"/>
      <c r="AS326"/>
      <c r="AT326"/>
      <c r="AU326"/>
      <c r="AV326" s="10"/>
      <c r="AW326" s="111"/>
      <c r="AX326" s="136"/>
      <c r="AY326" s="136"/>
      <c r="AZ326" s="136"/>
      <c r="BA326" s="137"/>
      <c r="BB326" s="137"/>
      <c r="BC326" s="137"/>
      <c r="BE326" s="137"/>
      <c r="BG326" s="144"/>
      <c r="BH326" s="136"/>
      <c r="BI326" s="939"/>
      <c r="BJ326" s="154"/>
      <c r="BK326" s="1443">
        <v>0</v>
      </c>
      <c r="BL326" s="158"/>
      <c r="BM326" s="158"/>
      <c r="BN326" s="158"/>
      <c r="BS326" s="153">
        <v>0</v>
      </c>
    </row>
    <row r="327" spans="1:71">
      <c r="A327" s="957"/>
      <c r="B327" s="13"/>
      <c r="C327" s="13"/>
      <c r="D327" s="13"/>
      <c r="E327" s="13"/>
      <c r="F327" s="13"/>
      <c r="G327" s="13"/>
      <c r="H327" s="13"/>
      <c r="I327" s="13"/>
      <c r="J327" s="13"/>
      <c r="K327" s="94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/>
      <c r="AR327"/>
      <c r="AS327"/>
      <c r="AT327"/>
      <c r="AU327"/>
      <c r="AV327" s="10"/>
      <c r="AW327" s="111"/>
      <c r="AX327" s="136"/>
      <c r="AY327" s="136"/>
      <c r="AZ327" s="136"/>
      <c r="BA327" s="137"/>
      <c r="BB327" s="137"/>
      <c r="BC327" s="137"/>
      <c r="BE327" s="137"/>
      <c r="BG327" s="144"/>
      <c r="BH327" s="136"/>
      <c r="BI327" s="939"/>
      <c r="BJ327" s="154"/>
      <c r="BK327" s="1443">
        <v>0</v>
      </c>
      <c r="BL327" s="158"/>
      <c r="BM327" s="158"/>
      <c r="BN327" s="158"/>
      <c r="BS327" s="153">
        <v>0</v>
      </c>
    </row>
    <row r="328" spans="1:71">
      <c r="A328" s="957"/>
      <c r="B328" s="13"/>
      <c r="C328" s="13"/>
      <c r="D328" s="13"/>
      <c r="E328" s="13"/>
      <c r="F328" s="13"/>
      <c r="G328" s="13"/>
      <c r="H328" s="13"/>
      <c r="I328" s="13"/>
      <c r="J328" s="13"/>
      <c r="K328" s="94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/>
      <c r="AR328"/>
      <c r="AS328"/>
      <c r="AT328"/>
      <c r="AU328"/>
      <c r="AV328" s="10"/>
      <c r="AW328" s="111"/>
      <c r="AX328" s="136"/>
      <c r="AY328" s="136"/>
      <c r="AZ328" s="136"/>
      <c r="BA328" s="137"/>
      <c r="BB328" s="137"/>
      <c r="BC328" s="137"/>
      <c r="BE328" s="137"/>
      <c r="BG328" s="144"/>
      <c r="BH328" s="136"/>
      <c r="BI328" s="939"/>
      <c r="BJ328" s="154"/>
      <c r="BK328" s="1443">
        <v>0</v>
      </c>
      <c r="BL328" s="158"/>
      <c r="BM328" s="158"/>
      <c r="BN328" s="158"/>
      <c r="BS328" s="153">
        <v>0</v>
      </c>
    </row>
    <row r="329" spans="1:71">
      <c r="A329" s="957"/>
      <c r="B329" s="13"/>
      <c r="C329" s="13"/>
      <c r="D329" s="13"/>
      <c r="E329" s="13"/>
      <c r="F329" s="13"/>
      <c r="G329" s="13"/>
      <c r="H329" s="13"/>
      <c r="I329" s="13"/>
      <c r="J329" s="13"/>
      <c r="K329" s="94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/>
      <c r="AR329"/>
      <c r="AS329"/>
      <c r="AT329"/>
      <c r="AU329"/>
      <c r="AV329" s="10"/>
      <c r="AW329" s="111"/>
      <c r="AX329" s="136"/>
      <c r="AY329" s="136"/>
      <c r="AZ329" s="136"/>
      <c r="BA329" s="137"/>
      <c r="BB329" s="137"/>
      <c r="BC329" s="137"/>
      <c r="BE329" s="137"/>
      <c r="BG329" s="144"/>
      <c r="BH329" s="136"/>
      <c r="BI329" s="939"/>
      <c r="BJ329" s="154"/>
      <c r="BK329" s="1443">
        <v>0</v>
      </c>
      <c r="BL329" s="158"/>
      <c r="BM329" s="158"/>
      <c r="BN329" s="158"/>
      <c r="BS329" s="153">
        <v>0</v>
      </c>
    </row>
    <row r="330" spans="1:71">
      <c r="A330" s="957"/>
      <c r="B330" s="13"/>
      <c r="C330" s="13"/>
      <c r="D330" s="13"/>
      <c r="E330" s="13"/>
      <c r="F330" s="13"/>
      <c r="G330" s="13"/>
      <c r="H330" s="13"/>
      <c r="I330" s="13"/>
      <c r="J330" s="13"/>
      <c r="K330" s="94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/>
      <c r="AR330"/>
      <c r="AS330"/>
      <c r="AT330"/>
      <c r="AU330"/>
      <c r="AV330" s="10"/>
      <c r="AW330" s="111"/>
      <c r="AX330" s="136"/>
      <c r="AY330" s="136"/>
      <c r="AZ330" s="136"/>
      <c r="BA330" s="137"/>
      <c r="BB330" s="137"/>
      <c r="BC330" s="137"/>
      <c r="BE330" s="137"/>
      <c r="BG330" s="144"/>
      <c r="BH330" s="136"/>
      <c r="BI330" s="939"/>
      <c r="BJ330" s="154"/>
      <c r="BK330" s="1443">
        <v>0</v>
      </c>
      <c r="BL330" s="158"/>
      <c r="BM330" s="158"/>
      <c r="BN330" s="158"/>
      <c r="BS330" s="153">
        <v>0</v>
      </c>
    </row>
    <row r="331" spans="1:71">
      <c r="A331" s="957"/>
      <c r="B331" s="13"/>
      <c r="C331" s="13"/>
      <c r="D331" s="13"/>
      <c r="E331" s="13"/>
      <c r="F331" s="13"/>
      <c r="G331" s="13"/>
      <c r="H331" s="13"/>
      <c r="I331" s="13"/>
      <c r="J331" s="13"/>
      <c r="K331" s="94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/>
      <c r="AR331"/>
      <c r="AS331"/>
      <c r="AT331"/>
      <c r="AU331"/>
      <c r="AV331" s="10"/>
      <c r="AW331" s="111"/>
      <c r="AX331" s="136"/>
      <c r="AY331" s="136"/>
      <c r="AZ331" s="136"/>
      <c r="BA331" s="137"/>
      <c r="BB331" s="137"/>
      <c r="BC331" s="137"/>
      <c r="BE331" s="137"/>
      <c r="BG331" s="144"/>
      <c r="BH331" s="136"/>
      <c r="BI331" s="939"/>
      <c r="BJ331" s="154"/>
      <c r="BK331" s="1443">
        <v>0</v>
      </c>
      <c r="BL331" s="158"/>
      <c r="BM331" s="158"/>
      <c r="BN331" s="158"/>
      <c r="BS331" s="153">
        <v>0</v>
      </c>
    </row>
    <row r="332" spans="1:71">
      <c r="A332" s="957"/>
      <c r="B332" s="13"/>
      <c r="C332" s="13"/>
      <c r="D332" s="13"/>
      <c r="E332" s="13"/>
      <c r="F332" s="13"/>
      <c r="G332" s="13"/>
      <c r="H332" s="13"/>
      <c r="I332" s="13"/>
      <c r="J332" s="13"/>
      <c r="K332" s="94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/>
      <c r="AR332"/>
      <c r="AS332"/>
      <c r="AT332"/>
      <c r="AU332"/>
      <c r="AV332" s="10"/>
      <c r="AW332" s="111"/>
      <c r="AX332" s="136"/>
      <c r="AY332" s="136"/>
      <c r="AZ332" s="136"/>
      <c r="BA332" s="137"/>
      <c r="BB332" s="137"/>
      <c r="BC332" s="137"/>
      <c r="BE332" s="137"/>
      <c r="BG332" s="144"/>
      <c r="BH332" s="136"/>
      <c r="BI332" s="939"/>
      <c r="BJ332" s="154"/>
      <c r="BK332" s="1443">
        <v>0</v>
      </c>
      <c r="BL332" s="158"/>
      <c r="BM332" s="158"/>
      <c r="BN332" s="158"/>
      <c r="BS332" s="153">
        <v>0</v>
      </c>
    </row>
    <row r="333" spans="1:71">
      <c r="A333" s="957"/>
      <c r="B333" s="13"/>
      <c r="C333" s="13"/>
      <c r="D333" s="13"/>
      <c r="E333" s="13"/>
      <c r="F333" s="13"/>
      <c r="G333" s="13"/>
      <c r="H333" s="13"/>
      <c r="I333" s="13"/>
      <c r="J333" s="13"/>
      <c r="K333" s="94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/>
      <c r="AR333"/>
      <c r="AS333"/>
      <c r="AT333"/>
      <c r="AU333"/>
      <c r="AV333" s="10"/>
      <c r="AW333" s="111"/>
      <c r="AX333" s="136"/>
      <c r="AY333" s="136"/>
      <c r="AZ333" s="136"/>
      <c r="BA333" s="137"/>
      <c r="BB333" s="137"/>
      <c r="BC333" s="137"/>
      <c r="BE333" s="137"/>
      <c r="BG333" s="144"/>
      <c r="BH333" s="136"/>
      <c r="BI333" s="939"/>
      <c r="BJ333" s="154"/>
      <c r="BK333" s="1443">
        <v>0</v>
      </c>
      <c r="BL333" s="158"/>
      <c r="BM333" s="158"/>
      <c r="BN333" s="158"/>
      <c r="BS333" s="153">
        <v>0</v>
      </c>
    </row>
    <row r="334" spans="1:71">
      <c r="A334" s="957"/>
      <c r="B334" s="13"/>
      <c r="C334" s="13"/>
      <c r="D334" s="13"/>
      <c r="E334" s="13"/>
      <c r="F334" s="13"/>
      <c r="G334" s="13"/>
      <c r="H334" s="13"/>
      <c r="I334" s="13"/>
      <c r="J334" s="13"/>
      <c r="K334" s="94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/>
      <c r="AR334"/>
      <c r="AS334"/>
      <c r="AT334"/>
      <c r="AU334"/>
      <c r="AV334" s="10"/>
      <c r="AW334" s="111"/>
      <c r="AX334" s="136"/>
      <c r="AY334" s="136"/>
      <c r="AZ334" s="136"/>
      <c r="BA334" s="137"/>
      <c r="BB334" s="137"/>
      <c r="BC334" s="137"/>
      <c r="BE334" s="137"/>
      <c r="BG334" s="144"/>
      <c r="BH334" s="136"/>
      <c r="BI334" s="939"/>
      <c r="BJ334" s="154"/>
      <c r="BK334" s="1443">
        <v>0</v>
      </c>
      <c r="BL334" s="158"/>
      <c r="BM334" s="158"/>
      <c r="BN334" s="158"/>
      <c r="BS334" s="153">
        <v>0</v>
      </c>
    </row>
    <row r="335" spans="1:71">
      <c r="A335" s="957"/>
      <c r="B335" s="13"/>
      <c r="C335" s="13"/>
      <c r="D335" s="13"/>
      <c r="E335" s="13"/>
      <c r="F335" s="13"/>
      <c r="G335" s="13"/>
      <c r="H335" s="13"/>
      <c r="I335" s="13"/>
      <c r="J335" s="13"/>
      <c r="K335" s="94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/>
      <c r="AR335"/>
      <c r="AS335"/>
      <c r="AT335"/>
      <c r="AU335"/>
      <c r="AV335" s="10"/>
      <c r="AW335" s="111"/>
      <c r="AX335" s="136"/>
      <c r="AY335" s="136"/>
      <c r="AZ335" s="136"/>
      <c r="BA335" s="137"/>
      <c r="BB335" s="137"/>
      <c r="BC335" s="137"/>
      <c r="BE335" s="137"/>
      <c r="BG335" s="144"/>
      <c r="BH335" s="136"/>
      <c r="BI335" s="939"/>
      <c r="BJ335" s="154"/>
      <c r="BK335" s="1443">
        <v>0</v>
      </c>
      <c r="BL335" s="158"/>
      <c r="BM335" s="158"/>
      <c r="BN335" s="158"/>
      <c r="BS335" s="153">
        <v>0</v>
      </c>
    </row>
    <row r="336" spans="1:71">
      <c r="A336" s="957"/>
      <c r="B336" s="13"/>
      <c r="C336" s="13"/>
      <c r="D336" s="13"/>
      <c r="E336" s="13"/>
      <c r="F336" s="13"/>
      <c r="G336" s="13"/>
      <c r="H336" s="13"/>
      <c r="I336" s="13"/>
      <c r="J336" s="13"/>
      <c r="K336" s="94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/>
      <c r="AR336"/>
      <c r="AS336"/>
      <c r="AT336"/>
      <c r="AU336"/>
      <c r="AV336" s="10"/>
      <c r="AW336" s="111"/>
      <c r="AX336" s="136"/>
      <c r="AY336" s="136"/>
      <c r="AZ336" s="136"/>
      <c r="BA336" s="137"/>
      <c r="BB336" s="137"/>
      <c r="BC336" s="137"/>
      <c r="BE336" s="137"/>
      <c r="BG336" s="144"/>
      <c r="BH336" s="136"/>
      <c r="BI336" s="939"/>
      <c r="BJ336" s="154"/>
      <c r="BK336" s="1443">
        <v>0</v>
      </c>
      <c r="BL336" s="158"/>
      <c r="BM336" s="158"/>
      <c r="BN336" s="158"/>
      <c r="BS336" s="153">
        <v>0</v>
      </c>
    </row>
    <row r="337" spans="1:71">
      <c r="A337" s="957"/>
      <c r="B337" s="13"/>
      <c r="C337" s="13"/>
      <c r="D337" s="13"/>
      <c r="E337" s="13"/>
      <c r="F337" s="13"/>
      <c r="G337" s="13"/>
      <c r="H337" s="13"/>
      <c r="I337" s="13"/>
      <c r="J337" s="13"/>
      <c r="K337" s="94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/>
      <c r="AR337"/>
      <c r="AS337"/>
      <c r="AT337"/>
      <c r="AU337"/>
      <c r="AV337" s="10"/>
      <c r="AW337" s="111"/>
      <c r="AX337" s="136"/>
      <c r="AY337" s="136"/>
      <c r="AZ337" s="136"/>
      <c r="BA337" s="137"/>
      <c r="BB337" s="137"/>
      <c r="BC337" s="137"/>
      <c r="BE337" s="137"/>
      <c r="BG337" s="144"/>
      <c r="BH337" s="136"/>
      <c r="BI337" s="939"/>
      <c r="BJ337" s="154"/>
      <c r="BK337" s="1443">
        <v>0</v>
      </c>
      <c r="BL337" s="158"/>
      <c r="BM337" s="158"/>
      <c r="BN337" s="158"/>
      <c r="BS337" s="153">
        <v>0</v>
      </c>
    </row>
    <row r="338" spans="1:71">
      <c r="A338" s="957"/>
      <c r="B338" s="13"/>
      <c r="C338" s="13"/>
      <c r="D338" s="13"/>
      <c r="E338" s="13"/>
      <c r="F338" s="13"/>
      <c r="G338" s="13"/>
      <c r="H338" s="13"/>
      <c r="I338" s="13"/>
      <c r="J338" s="13"/>
      <c r="K338" s="94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/>
      <c r="AR338"/>
      <c r="AS338"/>
      <c r="AT338"/>
      <c r="AU338"/>
      <c r="AV338" s="10"/>
      <c r="AW338" s="111"/>
      <c r="AX338" s="136"/>
      <c r="AY338" s="136"/>
      <c r="AZ338" s="136"/>
      <c r="BA338" s="137"/>
      <c r="BB338" s="137"/>
      <c r="BC338" s="137"/>
      <c r="BE338" s="137"/>
      <c r="BG338" s="144"/>
      <c r="BH338" s="136"/>
      <c r="BI338" s="939"/>
      <c r="BJ338" s="154"/>
      <c r="BK338" s="1443">
        <v>0</v>
      </c>
      <c r="BL338" s="158"/>
      <c r="BM338" s="158"/>
      <c r="BN338" s="158"/>
      <c r="BS338" s="153">
        <v>0</v>
      </c>
    </row>
    <row r="339" spans="1:71">
      <c r="A339" s="957"/>
      <c r="B339" s="13"/>
      <c r="C339" s="13"/>
      <c r="D339" s="13"/>
      <c r="E339" s="13"/>
      <c r="F339" s="13"/>
      <c r="G339" s="13"/>
      <c r="H339" s="13"/>
      <c r="I339" s="13"/>
      <c r="J339" s="13"/>
      <c r="K339" s="94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/>
      <c r="AR339"/>
      <c r="AS339"/>
      <c r="AT339"/>
      <c r="AU339"/>
      <c r="AV339" s="10"/>
      <c r="AW339" s="111"/>
      <c r="AX339" s="136"/>
      <c r="AY339" s="136"/>
      <c r="AZ339" s="136"/>
      <c r="BA339" s="137"/>
      <c r="BB339" s="137"/>
      <c r="BC339" s="137"/>
      <c r="BE339" s="137"/>
      <c r="BG339" s="144"/>
      <c r="BH339" s="136"/>
      <c r="BI339" s="939"/>
      <c r="BJ339" s="154"/>
      <c r="BK339" s="1443">
        <v>0</v>
      </c>
      <c r="BL339" s="158"/>
      <c r="BM339" s="158"/>
      <c r="BN339" s="158"/>
      <c r="BS339" s="153">
        <v>0</v>
      </c>
    </row>
    <row r="340" spans="1:71">
      <c r="A340" s="957"/>
      <c r="B340" s="13"/>
      <c r="C340" s="13"/>
      <c r="D340" s="13"/>
      <c r="E340" s="13"/>
      <c r="F340" s="13"/>
      <c r="G340" s="13"/>
      <c r="H340" s="13"/>
      <c r="I340" s="13"/>
      <c r="J340" s="13"/>
      <c r="K340" s="94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/>
      <c r="AR340"/>
      <c r="AS340"/>
      <c r="AT340"/>
      <c r="AU340"/>
      <c r="AV340" s="10"/>
      <c r="AW340" s="111"/>
      <c r="AX340" s="136"/>
      <c r="AY340" s="136"/>
      <c r="AZ340" s="136"/>
      <c r="BA340" s="137"/>
      <c r="BB340" s="137"/>
      <c r="BC340" s="137"/>
      <c r="BE340" s="137"/>
      <c r="BG340" s="144"/>
      <c r="BH340" s="136"/>
      <c r="BI340" s="939"/>
      <c r="BJ340" s="154"/>
      <c r="BK340" s="1443">
        <v>0</v>
      </c>
      <c r="BL340" s="158"/>
      <c r="BM340" s="158"/>
      <c r="BN340" s="158"/>
      <c r="BS340" s="153">
        <v>0</v>
      </c>
    </row>
    <row r="341" spans="1:71">
      <c r="A341" s="957"/>
      <c r="B341" s="13"/>
      <c r="C341" s="13"/>
      <c r="D341" s="13"/>
      <c r="E341" s="13"/>
      <c r="F341" s="13"/>
      <c r="G341" s="13"/>
      <c r="H341" s="13"/>
      <c r="I341" s="13"/>
      <c r="J341" s="13"/>
      <c r="K341" s="94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/>
      <c r="AR341"/>
      <c r="AS341"/>
      <c r="AT341"/>
      <c r="AU341"/>
      <c r="AV341" s="10"/>
      <c r="AW341" s="111"/>
      <c r="AX341" s="136"/>
      <c r="AY341" s="136"/>
      <c r="AZ341" s="136"/>
      <c r="BA341" s="137"/>
      <c r="BB341" s="137"/>
      <c r="BC341" s="137"/>
      <c r="BE341" s="137"/>
      <c r="BG341" s="144"/>
      <c r="BH341" s="136"/>
      <c r="BI341" s="939"/>
      <c r="BJ341" s="154"/>
      <c r="BK341" s="1443">
        <v>0</v>
      </c>
      <c r="BL341" s="158"/>
      <c r="BM341" s="158"/>
      <c r="BN341" s="158"/>
      <c r="BS341" s="153">
        <v>0</v>
      </c>
    </row>
    <row r="342" spans="1:71">
      <c r="A342" s="957"/>
      <c r="B342" s="13"/>
      <c r="C342" s="13"/>
      <c r="D342" s="13"/>
      <c r="E342" s="13"/>
      <c r="F342" s="13"/>
      <c r="G342" s="13"/>
      <c r="H342" s="13"/>
      <c r="I342" s="13"/>
      <c r="J342" s="13"/>
      <c r="K342" s="94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/>
      <c r="AR342"/>
      <c r="AS342"/>
      <c r="AT342"/>
      <c r="AU342"/>
      <c r="AV342" s="10"/>
      <c r="AW342" s="111"/>
      <c r="AX342" s="136"/>
      <c r="AY342" s="136"/>
      <c r="AZ342" s="136"/>
      <c r="BA342" s="137"/>
      <c r="BB342" s="137"/>
      <c r="BC342" s="137"/>
      <c r="BE342" s="137"/>
      <c r="BG342" s="144"/>
      <c r="BH342" s="136"/>
      <c r="BI342" s="939"/>
      <c r="BJ342" s="154"/>
      <c r="BK342" s="1443">
        <v>0</v>
      </c>
      <c r="BL342" s="158"/>
      <c r="BM342" s="158"/>
      <c r="BN342" s="158"/>
      <c r="BS342" s="153">
        <v>0</v>
      </c>
    </row>
    <row r="343" spans="1:71">
      <c r="A343" s="957"/>
      <c r="B343" s="13"/>
      <c r="C343" s="13"/>
      <c r="D343" s="13"/>
      <c r="E343" s="13"/>
      <c r="F343" s="13"/>
      <c r="G343" s="13"/>
      <c r="H343" s="13"/>
      <c r="I343" s="13"/>
      <c r="J343" s="13"/>
      <c r="K343" s="94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/>
      <c r="AR343"/>
      <c r="AS343"/>
      <c r="AT343"/>
      <c r="AU343"/>
      <c r="AV343" s="10"/>
      <c r="AW343" s="111"/>
      <c r="AX343" s="136"/>
      <c r="AY343" s="136"/>
      <c r="AZ343" s="136"/>
      <c r="BA343" s="137"/>
      <c r="BB343" s="137"/>
      <c r="BC343" s="137"/>
      <c r="BE343" s="137"/>
      <c r="BG343" s="144"/>
      <c r="BH343" s="136"/>
      <c r="BI343" s="939"/>
      <c r="BJ343" s="154"/>
      <c r="BK343" s="1443">
        <v>0</v>
      </c>
      <c r="BL343" s="158"/>
      <c r="BM343" s="158"/>
      <c r="BN343" s="158"/>
      <c r="BS343" s="153">
        <v>0</v>
      </c>
    </row>
    <row r="344" spans="1:71">
      <c r="A344" s="957"/>
      <c r="B344" s="13"/>
      <c r="C344" s="13"/>
      <c r="D344" s="13"/>
      <c r="E344" s="13"/>
      <c r="F344" s="13"/>
      <c r="G344" s="13"/>
      <c r="H344" s="13"/>
      <c r="I344" s="13"/>
      <c r="J344" s="13"/>
      <c r="K344" s="94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/>
      <c r="AR344"/>
      <c r="AS344"/>
      <c r="AT344"/>
      <c r="AU344"/>
      <c r="AV344" s="10"/>
      <c r="AW344" s="111"/>
      <c r="AX344" s="136"/>
      <c r="AY344" s="136"/>
      <c r="AZ344" s="136"/>
      <c r="BA344" s="137"/>
      <c r="BB344" s="137"/>
      <c r="BC344" s="137"/>
      <c r="BE344" s="137"/>
      <c r="BG344" s="144"/>
      <c r="BH344" s="136"/>
      <c r="BI344" s="939"/>
      <c r="BJ344" s="154"/>
      <c r="BK344" s="1443">
        <v>0</v>
      </c>
      <c r="BL344" s="158"/>
      <c r="BM344" s="158"/>
      <c r="BN344" s="158"/>
      <c r="BS344" s="153">
        <v>0</v>
      </c>
    </row>
    <row r="345" spans="1:71">
      <c r="A345" s="957"/>
      <c r="B345" s="13"/>
      <c r="C345" s="13"/>
      <c r="D345" s="13"/>
      <c r="E345" s="13"/>
      <c r="F345" s="13"/>
      <c r="G345" s="13"/>
      <c r="H345" s="13"/>
      <c r="I345" s="13"/>
      <c r="J345" s="13"/>
      <c r="K345" s="94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/>
      <c r="AR345"/>
      <c r="AS345"/>
      <c r="AT345"/>
      <c r="AU345"/>
      <c r="AV345" s="10"/>
      <c r="AW345" s="111"/>
      <c r="AX345" s="136"/>
      <c r="AY345" s="136"/>
      <c r="AZ345" s="136"/>
      <c r="BA345" s="137"/>
      <c r="BB345" s="137"/>
      <c r="BC345" s="137"/>
      <c r="BE345" s="137"/>
      <c r="BG345" s="144"/>
      <c r="BH345" s="136"/>
      <c r="BI345" s="939"/>
      <c r="BJ345" s="154"/>
      <c r="BK345" s="1443">
        <v>0</v>
      </c>
      <c r="BL345" s="158"/>
      <c r="BM345" s="158"/>
      <c r="BN345" s="158"/>
      <c r="BS345" s="153">
        <v>0</v>
      </c>
    </row>
    <row r="346" spans="1:71">
      <c r="A346" s="957"/>
      <c r="B346" s="13"/>
      <c r="C346" s="13"/>
      <c r="D346" s="13"/>
      <c r="E346" s="13"/>
      <c r="F346" s="13"/>
      <c r="G346" s="13"/>
      <c r="H346" s="13"/>
      <c r="I346" s="13"/>
      <c r="J346" s="13"/>
      <c r="K346" s="94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/>
      <c r="AR346"/>
      <c r="AS346"/>
      <c r="AT346"/>
      <c r="AU346"/>
      <c r="AV346" s="10"/>
      <c r="AW346" s="111"/>
      <c r="AX346" s="136"/>
      <c r="AY346" s="136"/>
      <c r="AZ346" s="136"/>
      <c r="BA346" s="137"/>
      <c r="BB346" s="137"/>
      <c r="BC346" s="137"/>
      <c r="BE346" s="137"/>
      <c r="BG346" s="144"/>
      <c r="BH346" s="136"/>
      <c r="BI346" s="939"/>
      <c r="BJ346" s="154"/>
      <c r="BK346" s="1443">
        <v>0</v>
      </c>
      <c r="BL346" s="158"/>
      <c r="BM346" s="158"/>
      <c r="BN346" s="158"/>
      <c r="BS346" s="153">
        <v>0</v>
      </c>
    </row>
    <row r="347" spans="1:71">
      <c r="A347" s="957"/>
      <c r="B347" s="13"/>
      <c r="C347" s="13"/>
      <c r="D347" s="13"/>
      <c r="E347" s="13"/>
      <c r="F347" s="13"/>
      <c r="G347" s="13"/>
      <c r="H347" s="13"/>
      <c r="I347" s="13"/>
      <c r="J347" s="13"/>
      <c r="K347" s="94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/>
      <c r="AR347"/>
      <c r="AS347"/>
      <c r="AT347"/>
      <c r="AU347"/>
      <c r="AV347" s="10"/>
      <c r="AW347" s="111"/>
      <c r="AX347" s="136"/>
      <c r="AY347" s="136"/>
      <c r="AZ347" s="136"/>
      <c r="BA347" s="137"/>
      <c r="BB347" s="137"/>
      <c r="BC347" s="137"/>
      <c r="BE347" s="137"/>
      <c r="BG347" s="144"/>
      <c r="BH347" s="136"/>
      <c r="BI347" s="939"/>
      <c r="BJ347" s="154"/>
      <c r="BK347" s="1443">
        <v>0</v>
      </c>
      <c r="BL347" s="158"/>
      <c r="BM347" s="158"/>
      <c r="BN347" s="158"/>
      <c r="BS347" s="153">
        <v>0</v>
      </c>
    </row>
    <row r="348" spans="1:71">
      <c r="A348" s="957"/>
      <c r="B348" s="13"/>
      <c r="C348" s="13"/>
      <c r="D348" s="13"/>
      <c r="E348" s="13"/>
      <c r="F348" s="13"/>
      <c r="G348" s="13"/>
      <c r="H348" s="13"/>
      <c r="I348" s="13"/>
      <c r="J348" s="13"/>
      <c r="K348" s="94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/>
      <c r="AR348"/>
      <c r="AS348"/>
      <c r="AT348"/>
      <c r="AU348"/>
      <c r="AV348" s="10"/>
      <c r="AW348" s="111"/>
      <c r="AX348" s="136"/>
      <c r="AY348" s="136"/>
      <c r="AZ348" s="136"/>
      <c r="BA348" s="137"/>
      <c r="BB348" s="137"/>
      <c r="BC348" s="137"/>
      <c r="BE348" s="137"/>
      <c r="BG348" s="144"/>
      <c r="BH348" s="136"/>
      <c r="BI348" s="939"/>
      <c r="BJ348" s="154"/>
      <c r="BK348" s="1443">
        <v>0</v>
      </c>
      <c r="BL348" s="158"/>
      <c r="BM348" s="158"/>
      <c r="BN348" s="158"/>
      <c r="BS348" s="153">
        <v>0</v>
      </c>
    </row>
    <row r="349" spans="1:71">
      <c r="A349" s="957"/>
      <c r="B349" s="13"/>
      <c r="C349" s="13"/>
      <c r="D349" s="13"/>
      <c r="E349" s="13"/>
      <c r="F349" s="13"/>
      <c r="G349" s="13"/>
      <c r="H349" s="13"/>
      <c r="I349" s="13"/>
      <c r="J349" s="13"/>
      <c r="K349" s="94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/>
      <c r="AR349"/>
      <c r="AS349"/>
      <c r="AT349"/>
      <c r="AU349"/>
      <c r="AV349" s="10"/>
      <c r="AW349" s="111"/>
      <c r="AX349" s="136"/>
      <c r="AY349" s="136"/>
      <c r="AZ349" s="136"/>
      <c r="BA349" s="137"/>
      <c r="BB349" s="137"/>
      <c r="BC349" s="137"/>
      <c r="BE349" s="137"/>
      <c r="BG349" s="144"/>
      <c r="BH349" s="136"/>
      <c r="BI349" s="939"/>
      <c r="BJ349" s="154"/>
      <c r="BK349" s="1443">
        <v>0</v>
      </c>
      <c r="BL349" s="158"/>
      <c r="BM349" s="158"/>
      <c r="BN349" s="158"/>
      <c r="BS349" s="153">
        <v>0</v>
      </c>
    </row>
    <row r="350" spans="1:71">
      <c r="A350" s="957"/>
      <c r="B350" s="13"/>
      <c r="C350" s="13"/>
      <c r="D350" s="13"/>
      <c r="E350" s="13"/>
      <c r="F350" s="13"/>
      <c r="G350" s="13"/>
      <c r="H350" s="13"/>
      <c r="I350" s="13"/>
      <c r="J350" s="13"/>
      <c r="K350" s="94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/>
      <c r="AR350"/>
      <c r="AS350"/>
      <c r="AT350"/>
      <c r="AU350"/>
      <c r="AV350" s="10"/>
      <c r="AW350" s="111"/>
      <c r="AX350" s="136"/>
      <c r="AY350" s="136"/>
      <c r="AZ350" s="136"/>
      <c r="BA350" s="137"/>
      <c r="BB350" s="137"/>
      <c r="BC350" s="137"/>
      <c r="BE350" s="137"/>
      <c r="BG350" s="144"/>
      <c r="BH350" s="136"/>
      <c r="BI350" s="939"/>
      <c r="BJ350" s="154"/>
      <c r="BK350" s="1443">
        <v>0</v>
      </c>
      <c r="BL350" s="158"/>
      <c r="BM350" s="158"/>
      <c r="BN350" s="158"/>
      <c r="BS350" s="153">
        <v>0</v>
      </c>
    </row>
    <row r="351" spans="1:71">
      <c r="A351" s="957"/>
      <c r="B351" s="13"/>
      <c r="C351" s="13"/>
      <c r="D351" s="13"/>
      <c r="E351" s="13"/>
      <c r="F351" s="13"/>
      <c r="G351" s="13"/>
      <c r="H351" s="13"/>
      <c r="I351" s="13"/>
      <c r="J351" s="13"/>
      <c r="K351" s="94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/>
      <c r="AR351"/>
      <c r="AS351"/>
      <c r="AT351"/>
      <c r="AU351"/>
      <c r="AV351" s="10"/>
      <c r="AW351" s="111"/>
      <c r="AX351" s="136"/>
      <c r="AY351" s="136"/>
      <c r="AZ351" s="136"/>
      <c r="BA351" s="137"/>
      <c r="BB351" s="137"/>
      <c r="BC351" s="137"/>
      <c r="BE351" s="137"/>
      <c r="BG351" s="144"/>
      <c r="BH351" s="136"/>
      <c r="BI351" s="939"/>
      <c r="BJ351" s="154"/>
      <c r="BK351" s="1443">
        <v>0</v>
      </c>
      <c r="BL351" s="158"/>
      <c r="BM351" s="158"/>
      <c r="BN351" s="158"/>
      <c r="BS351" s="153">
        <v>0</v>
      </c>
    </row>
    <row r="352" spans="1:71">
      <c r="A352" s="957"/>
      <c r="B352" s="13"/>
      <c r="C352" s="13"/>
      <c r="D352" s="13"/>
      <c r="E352" s="13"/>
      <c r="F352" s="13"/>
      <c r="G352" s="13"/>
      <c r="H352" s="13"/>
      <c r="I352" s="13"/>
      <c r="J352" s="13"/>
      <c r="K352" s="94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/>
      <c r="AR352"/>
      <c r="AS352"/>
      <c r="AT352"/>
      <c r="AU352"/>
      <c r="AV352" s="10"/>
      <c r="AW352" s="111"/>
      <c r="AX352" s="136"/>
      <c r="AY352" s="136"/>
      <c r="AZ352" s="136"/>
      <c r="BA352" s="137"/>
      <c r="BB352" s="137"/>
      <c r="BC352" s="137"/>
      <c r="BE352" s="137"/>
      <c r="BG352" s="144"/>
      <c r="BH352" s="136"/>
      <c r="BI352" s="939"/>
      <c r="BJ352" s="154"/>
      <c r="BK352" s="1443">
        <v>0</v>
      </c>
      <c r="BL352" s="158"/>
      <c r="BM352" s="158"/>
      <c r="BN352" s="158"/>
      <c r="BS352" s="153">
        <v>0</v>
      </c>
    </row>
    <row r="353" spans="1:71">
      <c r="A353" s="957"/>
      <c r="B353" s="13"/>
      <c r="C353" s="13"/>
      <c r="D353" s="13"/>
      <c r="E353" s="13"/>
      <c r="F353" s="13"/>
      <c r="G353" s="13"/>
      <c r="H353" s="13"/>
      <c r="I353" s="13"/>
      <c r="J353" s="13"/>
      <c r="K353" s="94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/>
      <c r="AR353"/>
      <c r="AS353"/>
      <c r="AT353"/>
      <c r="AU353"/>
      <c r="AV353" s="10"/>
      <c r="AW353" s="111"/>
      <c r="AX353" s="136"/>
      <c r="AY353" s="136"/>
      <c r="AZ353" s="136"/>
      <c r="BA353" s="137"/>
      <c r="BB353" s="137"/>
      <c r="BC353" s="137"/>
      <c r="BE353" s="137"/>
      <c r="BG353" s="144"/>
      <c r="BH353" s="136"/>
      <c r="BI353" s="939"/>
      <c r="BJ353" s="154"/>
      <c r="BK353" s="1443">
        <v>0</v>
      </c>
      <c r="BL353" s="158"/>
      <c r="BM353" s="158"/>
      <c r="BN353" s="158"/>
      <c r="BS353" s="153">
        <v>0</v>
      </c>
    </row>
    <row r="354" spans="1:71">
      <c r="A354" s="957"/>
      <c r="B354" s="13"/>
      <c r="C354" s="13"/>
      <c r="D354" s="13"/>
      <c r="E354" s="13"/>
      <c r="F354" s="13"/>
      <c r="G354" s="13"/>
      <c r="H354" s="13"/>
      <c r="I354" s="13"/>
      <c r="J354" s="13"/>
      <c r="K354" s="94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/>
      <c r="AR354"/>
      <c r="AS354"/>
      <c r="AT354"/>
      <c r="AU354"/>
      <c r="AV354" s="10"/>
      <c r="AW354" s="111"/>
      <c r="AX354" s="136"/>
      <c r="AY354" s="136"/>
      <c r="AZ354" s="136"/>
      <c r="BA354" s="137"/>
      <c r="BB354" s="137"/>
      <c r="BC354" s="137"/>
      <c r="BE354" s="137"/>
      <c r="BG354" s="144"/>
      <c r="BH354" s="136"/>
      <c r="BI354" s="939"/>
      <c r="BJ354" s="154"/>
      <c r="BK354" s="1443">
        <v>0</v>
      </c>
      <c r="BL354" s="158"/>
      <c r="BM354" s="158"/>
      <c r="BN354" s="158"/>
      <c r="BS354" s="153">
        <v>0</v>
      </c>
    </row>
    <row r="355" spans="1:71">
      <c r="A355" s="957"/>
      <c r="B355" s="13"/>
      <c r="C355" s="13"/>
      <c r="D355" s="13"/>
      <c r="E355" s="13"/>
      <c r="F355" s="13"/>
      <c r="G355" s="13"/>
      <c r="H355" s="13"/>
      <c r="I355" s="13"/>
      <c r="J355" s="13"/>
      <c r="K355" s="94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/>
      <c r="AR355"/>
      <c r="AS355"/>
      <c r="AT355"/>
      <c r="AU355"/>
      <c r="AV355" s="10"/>
      <c r="AW355" s="111"/>
      <c r="AX355" s="136"/>
      <c r="AY355" s="136"/>
      <c r="AZ355" s="136"/>
      <c r="BA355" s="137"/>
      <c r="BB355" s="137"/>
      <c r="BC355" s="137"/>
      <c r="BE355" s="137"/>
      <c r="BG355" s="144"/>
      <c r="BH355" s="136"/>
      <c r="BI355" s="939"/>
      <c r="BJ355" s="154"/>
      <c r="BK355" s="1443">
        <v>0</v>
      </c>
      <c r="BL355" s="158"/>
      <c r="BM355" s="158"/>
      <c r="BN355" s="158"/>
      <c r="BS355" s="153">
        <v>0</v>
      </c>
    </row>
    <row r="356" spans="1:71">
      <c r="A356" s="957"/>
      <c r="B356" s="13"/>
      <c r="C356" s="13"/>
      <c r="D356" s="13"/>
      <c r="E356" s="13"/>
      <c r="F356" s="13"/>
      <c r="G356" s="13"/>
      <c r="H356" s="13"/>
      <c r="I356" s="13"/>
      <c r="J356" s="13"/>
      <c r="K356" s="94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/>
      <c r="AR356"/>
      <c r="AS356"/>
      <c r="AT356"/>
      <c r="AU356"/>
      <c r="AV356" s="10"/>
      <c r="AW356" s="111"/>
      <c r="AX356" s="136"/>
      <c r="AY356" s="136"/>
      <c r="AZ356" s="136"/>
      <c r="BA356" s="137"/>
      <c r="BB356" s="137"/>
      <c r="BC356" s="137"/>
      <c r="BE356" s="137"/>
      <c r="BG356" s="144"/>
      <c r="BH356" s="136"/>
      <c r="BI356" s="939"/>
      <c r="BJ356" s="154"/>
      <c r="BK356" s="1443">
        <v>0</v>
      </c>
      <c r="BL356" s="158"/>
      <c r="BM356" s="158"/>
      <c r="BN356" s="158"/>
      <c r="BS356" s="153">
        <v>0</v>
      </c>
    </row>
    <row r="357" spans="1:71">
      <c r="A357" s="957"/>
      <c r="B357" s="13"/>
      <c r="C357" s="13"/>
      <c r="D357" s="13"/>
      <c r="E357" s="13"/>
      <c r="F357" s="13"/>
      <c r="G357" s="13"/>
      <c r="H357" s="13"/>
      <c r="I357" s="13"/>
      <c r="J357" s="13"/>
      <c r="K357" s="94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/>
      <c r="AR357"/>
      <c r="AS357"/>
      <c r="AT357"/>
      <c r="AU357"/>
      <c r="AV357" s="10"/>
      <c r="AW357" s="111"/>
      <c r="AX357" s="136"/>
      <c r="AY357" s="136"/>
      <c r="AZ357" s="136"/>
      <c r="BA357" s="137"/>
      <c r="BB357" s="137"/>
      <c r="BC357" s="137"/>
      <c r="BE357" s="137"/>
      <c r="BG357" s="144"/>
      <c r="BH357" s="136"/>
      <c r="BI357" s="939"/>
      <c r="BJ357" s="154"/>
      <c r="BK357" s="1443">
        <v>0</v>
      </c>
      <c r="BL357" s="158"/>
      <c r="BM357" s="158"/>
      <c r="BN357" s="158"/>
      <c r="BS357" s="153">
        <v>0</v>
      </c>
    </row>
    <row r="358" spans="1:71">
      <c r="A358" s="957"/>
      <c r="B358" s="13"/>
      <c r="C358" s="13"/>
      <c r="D358" s="13"/>
      <c r="E358" s="13"/>
      <c r="F358" s="13"/>
      <c r="G358" s="13"/>
      <c r="H358" s="13"/>
      <c r="I358" s="13"/>
      <c r="J358" s="13"/>
      <c r="K358" s="94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/>
      <c r="AR358"/>
      <c r="AS358"/>
      <c r="AT358"/>
      <c r="AU358"/>
      <c r="AV358" s="10"/>
      <c r="AW358" s="111"/>
      <c r="AX358" s="136"/>
      <c r="AY358" s="136"/>
      <c r="AZ358" s="136"/>
      <c r="BA358" s="137"/>
      <c r="BB358" s="137"/>
      <c r="BC358" s="137"/>
      <c r="BE358" s="137"/>
      <c r="BG358" s="144"/>
      <c r="BH358" s="136"/>
      <c r="BI358" s="939"/>
      <c r="BJ358" s="154"/>
      <c r="BK358" s="1443">
        <v>0</v>
      </c>
      <c r="BL358" s="158"/>
      <c r="BM358" s="158"/>
      <c r="BN358" s="158"/>
      <c r="BS358" s="153">
        <v>0</v>
      </c>
    </row>
    <row r="359" spans="1:71">
      <c r="A359" s="957"/>
      <c r="B359" s="13"/>
      <c r="C359" s="13"/>
      <c r="D359" s="13"/>
      <c r="E359" s="13"/>
      <c r="F359" s="13"/>
      <c r="G359" s="13"/>
      <c r="H359" s="13"/>
      <c r="I359" s="13"/>
      <c r="J359" s="13"/>
      <c r="K359" s="94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/>
      <c r="AR359"/>
      <c r="AS359"/>
      <c r="AT359"/>
      <c r="AU359"/>
      <c r="AV359" s="10"/>
      <c r="AW359" s="111"/>
      <c r="AX359" s="136"/>
      <c r="AY359" s="136"/>
      <c r="AZ359" s="136"/>
      <c r="BA359" s="137"/>
      <c r="BB359" s="137"/>
      <c r="BC359" s="137"/>
      <c r="BE359" s="137"/>
      <c r="BG359" s="144"/>
      <c r="BH359" s="136"/>
      <c r="BI359" s="939"/>
      <c r="BJ359" s="154"/>
      <c r="BK359" s="1443">
        <v>0</v>
      </c>
      <c r="BL359" s="158"/>
      <c r="BM359" s="158"/>
      <c r="BN359" s="158"/>
      <c r="BS359" s="153">
        <v>0</v>
      </c>
    </row>
    <row r="360" spans="1:71">
      <c r="A360" s="957"/>
      <c r="B360" s="13"/>
      <c r="C360" s="13"/>
      <c r="D360" s="13"/>
      <c r="E360" s="13"/>
      <c r="F360" s="13"/>
      <c r="G360" s="13"/>
      <c r="H360" s="13"/>
      <c r="I360" s="13"/>
      <c r="J360" s="13"/>
      <c r="K360" s="94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/>
      <c r="AR360"/>
      <c r="AS360"/>
      <c r="AT360"/>
      <c r="AU360"/>
      <c r="AV360" s="10"/>
      <c r="AW360" s="111"/>
      <c r="AX360" s="136"/>
      <c r="AY360" s="136"/>
      <c r="AZ360" s="136"/>
      <c r="BA360" s="137"/>
      <c r="BB360" s="137"/>
      <c r="BC360" s="137"/>
      <c r="BE360" s="137"/>
      <c r="BG360" s="144"/>
      <c r="BH360" s="136"/>
      <c r="BI360" s="939"/>
      <c r="BJ360" s="154"/>
      <c r="BK360" s="1443">
        <v>0</v>
      </c>
      <c r="BL360" s="158"/>
      <c r="BM360" s="158"/>
      <c r="BN360" s="158"/>
      <c r="BS360" s="153">
        <v>0</v>
      </c>
    </row>
    <row r="361" spans="1:71">
      <c r="A361" s="957"/>
      <c r="B361" s="13"/>
      <c r="C361" s="13"/>
      <c r="D361" s="13"/>
      <c r="E361" s="13"/>
      <c r="F361" s="13"/>
      <c r="G361" s="13"/>
      <c r="H361" s="13"/>
      <c r="I361" s="13"/>
      <c r="J361" s="13"/>
      <c r="K361" s="94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/>
      <c r="AR361"/>
      <c r="AS361"/>
      <c r="AT361"/>
      <c r="AU361"/>
      <c r="AV361" s="10"/>
      <c r="AW361" s="111"/>
      <c r="AX361" s="136"/>
      <c r="AY361" s="136"/>
      <c r="AZ361" s="136"/>
      <c r="BA361" s="137"/>
      <c r="BB361" s="137"/>
      <c r="BC361" s="137"/>
      <c r="BE361" s="137"/>
      <c r="BG361" s="144"/>
      <c r="BH361" s="136"/>
      <c r="BI361" s="939"/>
      <c r="BJ361" s="154"/>
      <c r="BK361" s="1443">
        <v>0</v>
      </c>
      <c r="BL361" s="158"/>
      <c r="BM361" s="158"/>
      <c r="BN361" s="158"/>
      <c r="BS361" s="153">
        <v>0</v>
      </c>
    </row>
    <row r="362" spans="1:71">
      <c r="A362" s="957"/>
      <c r="B362" s="13"/>
      <c r="C362" s="13"/>
      <c r="D362" s="13"/>
      <c r="E362" s="13"/>
      <c r="F362" s="13"/>
      <c r="G362" s="13"/>
      <c r="H362" s="13"/>
      <c r="I362" s="13"/>
      <c r="J362" s="13"/>
      <c r="K362" s="94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/>
      <c r="AR362"/>
      <c r="AS362"/>
      <c r="AT362"/>
      <c r="AU362"/>
      <c r="AV362" s="10"/>
      <c r="AW362" s="111"/>
      <c r="AX362" s="136"/>
      <c r="AY362" s="136"/>
      <c r="AZ362" s="136"/>
      <c r="BA362" s="137"/>
      <c r="BB362" s="137"/>
      <c r="BC362" s="137"/>
      <c r="BE362" s="137"/>
      <c r="BG362" s="144"/>
      <c r="BH362" s="136"/>
      <c r="BI362" s="939"/>
      <c r="BJ362" s="154"/>
      <c r="BK362" s="1443">
        <v>0</v>
      </c>
      <c r="BL362" s="158"/>
      <c r="BM362" s="158"/>
      <c r="BN362" s="158"/>
      <c r="BS362" s="153">
        <v>0</v>
      </c>
    </row>
    <row r="363" spans="1:71" ht="13.8">
      <c r="A363" s="6"/>
      <c r="B363" s="13"/>
      <c r="C363" s="13"/>
      <c r="D363" s="13"/>
      <c r="E363" s="13"/>
      <c r="F363" s="13"/>
      <c r="G363" s="13"/>
      <c r="H363" s="13"/>
      <c r="I363" s="13"/>
      <c r="J363" s="13"/>
      <c r="K363" s="94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/>
      <c r="AR363"/>
      <c r="AS363"/>
      <c r="AT363"/>
      <c r="AU363"/>
      <c r="AV363" s="10"/>
      <c r="AW363" s="111"/>
      <c r="AX363" s="136"/>
      <c r="AY363" s="136"/>
      <c r="AZ363" s="136"/>
      <c r="BA363" s="137"/>
      <c r="BB363" s="137"/>
      <c r="BC363" s="137"/>
      <c r="BE363" s="137"/>
      <c r="BG363" s="144"/>
      <c r="BH363" s="136"/>
      <c r="BI363" s="939"/>
      <c r="BJ363" s="154"/>
      <c r="BK363" s="1443">
        <v>0</v>
      </c>
      <c r="BL363" s="158"/>
      <c r="BM363" s="158"/>
      <c r="BN363" s="158"/>
      <c r="BS363" s="153">
        <v>0</v>
      </c>
    </row>
    <row r="364" spans="1:71" ht="13.8">
      <c r="A364" s="6"/>
      <c r="B364" s="13"/>
      <c r="C364" s="13"/>
      <c r="D364" s="13"/>
      <c r="E364" s="13"/>
      <c r="F364" s="13"/>
      <c r="G364" s="13"/>
      <c r="H364" s="13"/>
      <c r="I364" s="13"/>
      <c r="J364" s="13"/>
      <c r="K364" s="94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/>
      <c r="AR364"/>
      <c r="AS364"/>
      <c r="AT364"/>
      <c r="AU364"/>
      <c r="AV364" s="10"/>
      <c r="AW364" s="111"/>
      <c r="AX364" s="136"/>
      <c r="AY364" s="136"/>
      <c r="AZ364" s="136"/>
      <c r="BA364" s="137"/>
      <c r="BB364" s="137"/>
      <c r="BC364" s="137"/>
      <c r="BE364" s="137"/>
      <c r="BG364" s="144"/>
      <c r="BH364" s="136"/>
      <c r="BI364" s="939"/>
      <c r="BJ364" s="154"/>
      <c r="BK364" s="1443">
        <v>0</v>
      </c>
      <c r="BL364" s="158"/>
      <c r="BM364" s="158"/>
      <c r="BN364" s="158"/>
      <c r="BS364" s="153">
        <v>0</v>
      </c>
    </row>
    <row r="365" spans="1:71" ht="13.8">
      <c r="A365" s="6"/>
      <c r="B365" s="13"/>
      <c r="C365" s="13"/>
      <c r="D365" s="13"/>
      <c r="E365" s="13"/>
      <c r="F365" s="13"/>
      <c r="G365" s="13"/>
      <c r="H365" s="13"/>
      <c r="I365" s="13"/>
      <c r="J365" s="13"/>
      <c r="K365" s="94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/>
      <c r="AR365"/>
      <c r="AS365"/>
      <c r="AT365"/>
      <c r="AU365"/>
      <c r="AV365" s="10"/>
      <c r="AW365" s="111"/>
      <c r="AX365" s="136"/>
      <c r="AY365" s="136"/>
      <c r="AZ365" s="136"/>
      <c r="BA365" s="137"/>
      <c r="BB365" s="137"/>
      <c r="BC365" s="137"/>
      <c r="BE365" s="137"/>
      <c r="BG365" s="144"/>
      <c r="BH365" s="136"/>
      <c r="BI365" s="939"/>
      <c r="BJ365" s="154"/>
      <c r="BK365" s="1443">
        <v>0</v>
      </c>
      <c r="BL365" s="158"/>
      <c r="BM365" s="158"/>
      <c r="BN365" s="158"/>
      <c r="BS365" s="153">
        <v>0</v>
      </c>
    </row>
    <row r="366" spans="1:71" ht="13.8">
      <c r="A366" s="6"/>
      <c r="B366" s="13"/>
      <c r="C366" s="13"/>
      <c r="D366" s="13"/>
      <c r="E366" s="13"/>
      <c r="F366" s="13"/>
      <c r="G366" s="13"/>
      <c r="H366" s="13"/>
      <c r="I366" s="13"/>
      <c r="J366" s="13"/>
      <c r="K366" s="94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/>
      <c r="AR366"/>
      <c r="AS366"/>
      <c r="AT366"/>
      <c r="AU366"/>
      <c r="AV366" s="10"/>
      <c r="AW366" s="111"/>
      <c r="AX366" s="136"/>
      <c r="AY366" s="136"/>
      <c r="AZ366" s="136"/>
      <c r="BA366" s="137"/>
      <c r="BB366" s="137"/>
      <c r="BC366" s="137"/>
      <c r="BE366" s="137"/>
      <c r="BG366" s="144"/>
      <c r="BH366" s="136"/>
      <c r="BI366" s="939"/>
      <c r="BJ366" s="154"/>
      <c r="BK366" s="158"/>
      <c r="BL366" s="158"/>
      <c r="BM366" s="158"/>
      <c r="BN366" s="158"/>
    </row>
    <row r="367" spans="1:71" ht="13.8">
      <c r="A367" s="6"/>
      <c r="B367" s="13"/>
      <c r="C367" s="13"/>
      <c r="D367" s="13"/>
      <c r="E367" s="13"/>
      <c r="F367" s="13"/>
      <c r="G367" s="13"/>
      <c r="H367" s="13"/>
      <c r="I367" s="13"/>
      <c r="J367" s="13"/>
      <c r="K367" s="94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/>
      <c r="AR367"/>
      <c r="AS367"/>
      <c r="AT367"/>
      <c r="AU367"/>
      <c r="AV367" s="10"/>
      <c r="AW367" s="111"/>
      <c r="AX367" s="136"/>
      <c r="AY367" s="136"/>
      <c r="AZ367" s="136"/>
      <c r="BA367" s="137"/>
      <c r="BB367" s="137"/>
      <c r="BC367" s="137"/>
      <c r="BE367" s="137"/>
      <c r="BG367" s="144"/>
      <c r="BH367" s="136"/>
      <c r="BI367" s="939"/>
      <c r="BJ367" s="154"/>
      <c r="BK367" s="158"/>
      <c r="BL367" s="158"/>
      <c r="BM367" s="158"/>
      <c r="BN367" s="158"/>
    </row>
    <row r="368" spans="1:71" ht="13.8">
      <c r="A368" s="6"/>
      <c r="B368" s="13"/>
      <c r="C368" s="13"/>
      <c r="D368" s="13"/>
      <c r="E368" s="13"/>
      <c r="F368" s="13"/>
      <c r="G368" s="13"/>
      <c r="H368" s="13"/>
      <c r="I368" s="13"/>
      <c r="J368" s="13"/>
      <c r="K368" s="94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/>
      <c r="AR368"/>
      <c r="AS368"/>
      <c r="AT368"/>
      <c r="AU368"/>
      <c r="AV368" s="10"/>
      <c r="AW368" s="111"/>
      <c r="AX368" s="136"/>
      <c r="AY368" s="136"/>
      <c r="AZ368" s="136"/>
      <c r="BA368" s="137"/>
      <c r="BB368" s="137"/>
      <c r="BC368" s="137"/>
      <c r="BE368" s="137"/>
      <c r="BG368" s="144"/>
      <c r="BH368" s="136"/>
      <c r="BI368" s="939"/>
      <c r="BJ368" s="154"/>
      <c r="BK368" s="158"/>
      <c r="BL368" s="158"/>
      <c r="BM368" s="158"/>
      <c r="BN368" s="158"/>
    </row>
    <row r="369" spans="1:66" ht="13.8">
      <c r="A369" s="6"/>
      <c r="B369" s="13"/>
      <c r="C369" s="13"/>
      <c r="D369" s="13"/>
      <c r="E369" s="13"/>
      <c r="F369" s="13"/>
      <c r="G369" s="13"/>
      <c r="H369" s="13"/>
      <c r="I369" s="13"/>
      <c r="J369" s="13"/>
      <c r="K369" s="94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/>
      <c r="AR369"/>
      <c r="AS369"/>
      <c r="AT369"/>
      <c r="AU369"/>
      <c r="AV369" s="10"/>
      <c r="AW369" s="111"/>
      <c r="AX369" s="136"/>
      <c r="AY369" s="136"/>
      <c r="AZ369" s="136"/>
      <c r="BA369" s="137"/>
      <c r="BB369" s="137"/>
      <c r="BC369" s="137"/>
      <c r="BE369" s="137"/>
      <c r="BG369" s="144"/>
      <c r="BH369" s="136"/>
      <c r="BI369" s="939"/>
      <c r="BJ369" s="154"/>
      <c r="BK369" s="158"/>
      <c r="BL369" s="158"/>
      <c r="BM369" s="158"/>
      <c r="BN369" s="158"/>
    </row>
    <row r="370" spans="1:66" ht="13.8">
      <c r="A370" s="6"/>
      <c r="B370" s="13"/>
      <c r="C370" s="13"/>
      <c r="D370" s="13"/>
      <c r="E370" s="13"/>
      <c r="F370" s="13"/>
      <c r="G370" s="13"/>
      <c r="H370" s="13"/>
      <c r="I370" s="13"/>
      <c r="J370" s="13"/>
      <c r="K370" s="94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/>
      <c r="AR370"/>
      <c r="AS370"/>
      <c r="AT370"/>
      <c r="AU370"/>
      <c r="AV370" s="10"/>
      <c r="AW370" s="111"/>
      <c r="AX370" s="136"/>
      <c r="AY370" s="136"/>
      <c r="AZ370" s="136"/>
      <c r="BA370" s="137"/>
      <c r="BB370" s="137"/>
      <c r="BC370" s="137"/>
      <c r="BE370" s="137"/>
      <c r="BG370" s="144"/>
      <c r="BH370" s="136"/>
      <c r="BI370" s="939"/>
      <c r="BJ370" s="154"/>
      <c r="BK370" s="158"/>
      <c r="BL370" s="158"/>
      <c r="BM370" s="158"/>
      <c r="BN370" s="158"/>
    </row>
    <row r="371" spans="1:66" ht="13.8">
      <c r="A371" s="6"/>
      <c r="B371" s="13"/>
      <c r="C371" s="13"/>
      <c r="D371" s="13"/>
      <c r="E371" s="13"/>
      <c r="F371" s="13"/>
      <c r="G371" s="13"/>
      <c r="H371" s="13"/>
      <c r="I371" s="13"/>
      <c r="J371" s="13"/>
      <c r="K371" s="94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/>
      <c r="AR371"/>
      <c r="AS371"/>
      <c r="AT371"/>
      <c r="AU371"/>
      <c r="AV371" s="10"/>
      <c r="AW371" s="111"/>
      <c r="AX371" s="136"/>
      <c r="AY371" s="136"/>
      <c r="AZ371" s="136"/>
      <c r="BA371" s="137"/>
      <c r="BB371" s="137"/>
      <c r="BC371" s="137"/>
      <c r="BE371" s="137"/>
      <c r="BG371" s="144"/>
      <c r="BH371" s="136"/>
      <c r="BI371" s="939"/>
      <c r="BJ371" s="154"/>
      <c r="BK371" s="158"/>
      <c r="BL371" s="158"/>
      <c r="BM371" s="158"/>
      <c r="BN371" s="158"/>
    </row>
    <row r="372" spans="1:66" ht="13.8">
      <c r="A372" s="6"/>
      <c r="B372" s="13"/>
      <c r="C372" s="13"/>
      <c r="D372" s="13"/>
      <c r="E372" s="13"/>
      <c r="F372" s="13"/>
      <c r="G372" s="13"/>
      <c r="H372" s="13"/>
      <c r="I372" s="13"/>
      <c r="J372" s="13"/>
      <c r="K372" s="94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/>
      <c r="AR372"/>
      <c r="AS372"/>
      <c r="AT372"/>
      <c r="AU372"/>
      <c r="AV372" s="10"/>
      <c r="AW372" s="111"/>
      <c r="AX372" s="136"/>
      <c r="AY372" s="136"/>
      <c r="AZ372" s="136"/>
      <c r="BA372" s="137"/>
      <c r="BB372" s="137"/>
      <c r="BC372" s="137"/>
      <c r="BE372" s="137"/>
      <c r="BG372" s="144"/>
      <c r="BH372" s="136"/>
      <c r="BI372" s="939"/>
      <c r="BJ372" s="154"/>
      <c r="BK372" s="158"/>
      <c r="BL372" s="158"/>
      <c r="BM372" s="158"/>
      <c r="BN372" s="158"/>
    </row>
    <row r="373" spans="1:66" ht="13.8">
      <c r="A373" s="6"/>
      <c r="B373" s="13"/>
      <c r="C373" s="13"/>
      <c r="D373" s="13"/>
      <c r="E373" s="13"/>
      <c r="F373" s="13"/>
      <c r="G373" s="13"/>
      <c r="H373" s="13"/>
      <c r="I373" s="13"/>
      <c r="J373" s="13"/>
      <c r="K373" s="94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/>
      <c r="AR373"/>
      <c r="AS373"/>
      <c r="AT373"/>
      <c r="AU373"/>
      <c r="AV373" s="10"/>
      <c r="AW373" s="111"/>
      <c r="AX373" s="136"/>
      <c r="AY373" s="136"/>
      <c r="AZ373" s="136"/>
      <c r="BA373" s="137"/>
      <c r="BB373" s="137"/>
      <c r="BC373" s="137"/>
      <c r="BE373" s="137"/>
      <c r="BG373" s="144"/>
      <c r="BH373" s="136"/>
      <c r="BI373" s="939"/>
      <c r="BJ373" s="154"/>
      <c r="BK373" s="158"/>
      <c r="BL373" s="158"/>
      <c r="BM373" s="158"/>
      <c r="BN373" s="158"/>
    </row>
    <row r="374" spans="1:66" ht="13.8">
      <c r="A374" s="6"/>
      <c r="B374" s="13"/>
      <c r="C374" s="13"/>
      <c r="D374" s="13"/>
      <c r="E374" s="13"/>
      <c r="F374" s="13"/>
      <c r="G374" s="13"/>
      <c r="H374" s="13"/>
      <c r="I374" s="13"/>
      <c r="J374" s="13"/>
      <c r="K374" s="94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/>
      <c r="AR374"/>
      <c r="AS374"/>
      <c r="AT374"/>
      <c r="AU374"/>
      <c r="AV374" s="10"/>
      <c r="AW374" s="111"/>
      <c r="AX374" s="136"/>
      <c r="AY374" s="136"/>
      <c r="AZ374" s="136"/>
      <c r="BA374" s="137"/>
      <c r="BB374" s="137"/>
      <c r="BC374" s="137"/>
      <c r="BE374" s="137"/>
      <c r="BG374" s="144"/>
      <c r="BH374" s="136"/>
      <c r="BI374" s="939"/>
      <c r="BJ374" s="154"/>
      <c r="BK374" s="158"/>
      <c r="BL374" s="158"/>
      <c r="BM374" s="158"/>
      <c r="BN374" s="158"/>
    </row>
    <row r="375" spans="1:66" ht="13.8">
      <c r="A375" s="6"/>
      <c r="B375" s="13"/>
      <c r="C375" s="13"/>
      <c r="D375" s="13"/>
      <c r="E375" s="13"/>
      <c r="F375" s="13"/>
      <c r="G375" s="13"/>
      <c r="H375" s="13"/>
      <c r="I375" s="13"/>
      <c r="J375" s="13"/>
      <c r="K375" s="94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/>
      <c r="AR375"/>
      <c r="AS375"/>
      <c r="AT375"/>
      <c r="AU375"/>
      <c r="AV375" s="10"/>
      <c r="AW375" s="111"/>
      <c r="AX375" s="136"/>
      <c r="AY375" s="136"/>
      <c r="AZ375" s="136"/>
      <c r="BA375" s="137"/>
      <c r="BB375" s="137"/>
      <c r="BC375" s="137"/>
      <c r="BE375" s="137"/>
      <c r="BG375" s="144"/>
      <c r="BH375" s="136"/>
      <c r="BI375" s="939"/>
      <c r="BJ375" s="154"/>
      <c r="BK375" s="158"/>
      <c r="BL375" s="158"/>
      <c r="BM375" s="158"/>
      <c r="BN375" s="158"/>
    </row>
    <row r="376" spans="1:66" ht="13.8">
      <c r="A376" s="6"/>
      <c r="B376" s="13"/>
      <c r="C376" s="13"/>
      <c r="D376" s="13"/>
      <c r="E376" s="13"/>
      <c r="F376" s="13"/>
      <c r="G376" s="13"/>
      <c r="H376" s="13"/>
      <c r="I376" s="13"/>
      <c r="J376" s="13"/>
      <c r="K376" s="94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/>
      <c r="AR376"/>
      <c r="AS376"/>
      <c r="AT376"/>
      <c r="AU376"/>
      <c r="AV376" s="10"/>
      <c r="AW376" s="111"/>
      <c r="AX376" s="136"/>
      <c r="AY376" s="136"/>
      <c r="AZ376" s="136"/>
      <c r="BA376" s="137"/>
      <c r="BB376" s="137"/>
      <c r="BC376" s="137"/>
      <c r="BE376" s="137"/>
      <c r="BG376" s="144"/>
      <c r="BH376" s="136"/>
      <c r="BI376" s="939"/>
      <c r="BJ376" s="154"/>
      <c r="BK376" s="158"/>
      <c r="BL376" s="158"/>
      <c r="BM376" s="158"/>
      <c r="BN376" s="158"/>
    </row>
    <row r="377" spans="1:66" ht="13.8">
      <c r="A377" s="6"/>
      <c r="B377" s="13"/>
      <c r="C377" s="13"/>
      <c r="D377" s="13"/>
      <c r="E377" s="13"/>
      <c r="F377" s="13"/>
      <c r="G377" s="13"/>
      <c r="H377" s="13"/>
      <c r="I377" s="13"/>
      <c r="J377" s="13"/>
      <c r="K377" s="94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/>
      <c r="AR377"/>
      <c r="AS377"/>
      <c r="AT377"/>
      <c r="AU377"/>
      <c r="AV377" s="10"/>
      <c r="AW377" s="111"/>
      <c r="AX377" s="136"/>
      <c r="AY377" s="136"/>
      <c r="AZ377" s="136"/>
      <c r="BA377" s="137"/>
      <c r="BB377" s="137"/>
      <c r="BC377" s="137"/>
      <c r="BE377" s="137"/>
      <c r="BG377" s="144"/>
      <c r="BH377" s="136"/>
      <c r="BI377" s="939"/>
      <c r="BJ377" s="154"/>
      <c r="BK377" s="158"/>
      <c r="BL377" s="158"/>
      <c r="BM377" s="158"/>
      <c r="BN377" s="158"/>
    </row>
    <row r="378" spans="1:66" ht="13.8">
      <c r="A378" s="6"/>
      <c r="B378" s="13"/>
      <c r="C378" s="13"/>
      <c r="D378" s="13"/>
      <c r="E378" s="13"/>
      <c r="F378" s="13"/>
      <c r="G378" s="13"/>
      <c r="H378" s="13"/>
      <c r="I378" s="13"/>
      <c r="J378" s="13"/>
      <c r="K378" s="94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/>
      <c r="AR378"/>
      <c r="AS378"/>
      <c r="AT378"/>
      <c r="AU378"/>
      <c r="AV378" s="10"/>
      <c r="AW378" s="111"/>
      <c r="AX378" s="136"/>
      <c r="AY378" s="136"/>
      <c r="AZ378" s="136"/>
      <c r="BA378" s="137"/>
      <c r="BB378" s="137"/>
      <c r="BC378" s="137"/>
      <c r="BE378" s="137"/>
      <c r="BG378" s="144"/>
      <c r="BH378" s="136"/>
      <c r="BI378" s="939"/>
      <c r="BJ378" s="154"/>
      <c r="BK378" s="158"/>
      <c r="BL378" s="158"/>
      <c r="BM378" s="158"/>
      <c r="BN378" s="158"/>
    </row>
    <row r="379" spans="1:66" ht="13.8">
      <c r="A379" s="6"/>
      <c r="B379" s="13"/>
      <c r="C379" s="13"/>
      <c r="D379" s="13"/>
      <c r="E379" s="13"/>
      <c r="F379" s="13"/>
      <c r="G379" s="13"/>
      <c r="H379" s="13"/>
      <c r="I379" s="13"/>
      <c r="J379" s="13"/>
      <c r="K379" s="94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/>
      <c r="AR379"/>
      <c r="AS379"/>
      <c r="AT379"/>
      <c r="AU379"/>
      <c r="AV379" s="10"/>
      <c r="AW379" s="111"/>
      <c r="AX379" s="136"/>
      <c r="AY379" s="136"/>
      <c r="AZ379" s="136"/>
      <c r="BA379" s="137"/>
      <c r="BB379" s="137"/>
      <c r="BC379" s="137"/>
      <c r="BE379" s="137"/>
      <c r="BG379" s="144"/>
      <c r="BH379" s="136"/>
      <c r="BI379" s="939"/>
      <c r="BJ379" s="154"/>
      <c r="BK379" s="158"/>
      <c r="BL379" s="158"/>
      <c r="BM379" s="158"/>
      <c r="BN379" s="158"/>
    </row>
    <row r="380" spans="1:66" ht="13.8">
      <c r="A380" s="6"/>
      <c r="B380" s="13"/>
      <c r="C380" s="13"/>
      <c r="D380" s="13"/>
      <c r="E380" s="13"/>
      <c r="F380" s="13"/>
      <c r="G380" s="13"/>
      <c r="H380" s="13"/>
      <c r="I380" s="13"/>
      <c r="J380" s="13"/>
      <c r="K380" s="94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/>
      <c r="AR380"/>
      <c r="AS380"/>
      <c r="AT380"/>
      <c r="AU380"/>
      <c r="AV380" s="10"/>
      <c r="AW380" s="111"/>
      <c r="AX380" s="136"/>
      <c r="AY380" s="136"/>
      <c r="AZ380" s="136"/>
      <c r="BA380" s="137"/>
      <c r="BB380" s="137"/>
      <c r="BC380" s="137"/>
      <c r="BE380" s="137"/>
      <c r="BG380" s="144"/>
      <c r="BH380" s="136"/>
      <c r="BI380" s="939"/>
      <c r="BJ380" s="154"/>
      <c r="BK380" s="158"/>
      <c r="BL380" s="158"/>
      <c r="BM380" s="158"/>
      <c r="BN380" s="158"/>
    </row>
    <row r="381" spans="1:66" ht="13.8">
      <c r="A381" s="6"/>
      <c r="B381" s="13"/>
      <c r="C381" s="13"/>
      <c r="D381" s="13"/>
      <c r="E381" s="13"/>
      <c r="F381" s="13"/>
      <c r="G381" s="13"/>
      <c r="H381" s="13"/>
      <c r="I381" s="13"/>
      <c r="J381" s="13"/>
      <c r="K381" s="94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/>
      <c r="AR381"/>
      <c r="AS381"/>
      <c r="AT381"/>
      <c r="AU381"/>
      <c r="AV381" s="10"/>
      <c r="AW381" s="111"/>
      <c r="AX381" s="136"/>
      <c r="AY381" s="136"/>
      <c r="AZ381" s="136"/>
      <c r="BA381" s="137"/>
      <c r="BB381" s="137"/>
      <c r="BC381" s="137"/>
      <c r="BE381" s="137"/>
      <c r="BG381" s="144"/>
      <c r="BH381" s="136"/>
      <c r="BI381" s="939"/>
      <c r="BJ381" s="154"/>
      <c r="BK381" s="158"/>
      <c r="BL381" s="158"/>
      <c r="BM381" s="158"/>
      <c r="BN381" s="158"/>
    </row>
    <row r="382" spans="1:66" ht="13.8">
      <c r="A382" s="6"/>
      <c r="B382" s="13"/>
      <c r="C382" s="13"/>
      <c r="D382" s="13"/>
      <c r="E382" s="13"/>
      <c r="F382" s="13"/>
      <c r="G382" s="13"/>
      <c r="H382" s="13"/>
      <c r="I382" s="13"/>
      <c r="J382" s="13"/>
      <c r="K382" s="94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/>
      <c r="AR382"/>
      <c r="AS382"/>
      <c r="AT382"/>
      <c r="AU382"/>
      <c r="AV382" s="10"/>
      <c r="AW382" s="111"/>
      <c r="AX382" s="136"/>
      <c r="AY382" s="136"/>
      <c r="AZ382" s="136"/>
      <c r="BA382" s="137"/>
      <c r="BB382" s="137"/>
      <c r="BC382" s="137"/>
      <c r="BE382" s="137"/>
      <c r="BG382" s="144"/>
      <c r="BH382" s="136"/>
      <c r="BI382" s="939"/>
      <c r="BJ382" s="154"/>
      <c r="BK382" s="158"/>
      <c r="BL382" s="158"/>
      <c r="BM382" s="158"/>
      <c r="BN382" s="158"/>
    </row>
    <row r="383" spans="1:66" ht="13.8">
      <c r="A383" s="6"/>
      <c r="B383" s="13"/>
      <c r="C383" s="13"/>
      <c r="D383" s="13"/>
      <c r="E383" s="13"/>
      <c r="F383" s="13"/>
      <c r="G383" s="13"/>
      <c r="H383" s="13"/>
      <c r="I383" s="13"/>
      <c r="J383" s="13"/>
      <c r="K383" s="94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/>
      <c r="AR383"/>
      <c r="AS383"/>
      <c r="AT383"/>
      <c r="AU383"/>
      <c r="AV383" s="10"/>
      <c r="AW383" s="111"/>
      <c r="AX383" s="136"/>
      <c r="AY383" s="136"/>
      <c r="AZ383" s="136"/>
      <c r="BA383" s="137"/>
      <c r="BB383" s="137"/>
      <c r="BC383" s="137"/>
      <c r="BE383" s="137"/>
      <c r="BG383" s="144"/>
      <c r="BH383" s="136"/>
      <c r="BI383" s="939"/>
      <c r="BJ383" s="154"/>
      <c r="BK383" s="158"/>
      <c r="BL383" s="158"/>
      <c r="BM383" s="158"/>
      <c r="BN383" s="158"/>
    </row>
    <row r="384" spans="1:66" ht="13.8">
      <c r="A384" s="6"/>
      <c r="B384" s="13"/>
      <c r="C384" s="13"/>
      <c r="D384" s="13"/>
      <c r="E384" s="13"/>
      <c r="F384" s="13"/>
      <c r="G384" s="13"/>
      <c r="H384" s="13"/>
      <c r="I384" s="13"/>
      <c r="J384" s="13"/>
      <c r="K384" s="94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/>
      <c r="AR384"/>
      <c r="AS384"/>
      <c r="AT384"/>
      <c r="AU384"/>
      <c r="AV384" s="10"/>
      <c r="AW384" s="111"/>
      <c r="AX384" s="136"/>
      <c r="AY384" s="136"/>
      <c r="AZ384" s="136"/>
      <c r="BA384" s="137"/>
      <c r="BB384" s="137"/>
      <c r="BC384" s="137"/>
      <c r="BE384" s="137"/>
      <c r="BG384" s="144"/>
      <c r="BH384" s="136"/>
      <c r="BI384" s="939"/>
      <c r="BJ384" s="154"/>
      <c r="BK384" s="158"/>
      <c r="BL384" s="158"/>
      <c r="BM384" s="158"/>
      <c r="BN384" s="158"/>
    </row>
    <row r="385" spans="1:66" ht="13.8">
      <c r="A385" s="6"/>
      <c r="B385" s="13"/>
      <c r="C385" s="13"/>
      <c r="D385" s="13"/>
      <c r="E385" s="13"/>
      <c r="F385" s="13"/>
      <c r="G385" s="13"/>
      <c r="H385" s="13"/>
      <c r="I385" s="13"/>
      <c r="J385" s="13"/>
      <c r="K385" s="94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/>
      <c r="AR385"/>
      <c r="AS385"/>
      <c r="AT385"/>
      <c r="AU385"/>
      <c r="AV385" s="10"/>
      <c r="AW385" s="111"/>
      <c r="AX385" s="136"/>
      <c r="AY385" s="136"/>
      <c r="AZ385" s="136"/>
      <c r="BA385" s="137"/>
      <c r="BB385" s="137"/>
      <c r="BC385" s="137"/>
      <c r="BE385" s="137"/>
      <c r="BG385" s="144"/>
      <c r="BH385" s="136"/>
      <c r="BI385" s="939"/>
      <c r="BJ385" s="154"/>
      <c r="BK385" s="158"/>
      <c r="BL385" s="158"/>
      <c r="BM385" s="158"/>
      <c r="BN385" s="158"/>
    </row>
    <row r="386" spans="1:66" ht="13.8">
      <c r="A386" s="6"/>
      <c r="B386" s="13"/>
      <c r="C386" s="13"/>
      <c r="D386" s="13"/>
      <c r="E386" s="13"/>
      <c r="F386" s="13"/>
      <c r="G386" s="13"/>
      <c r="H386" s="13"/>
      <c r="I386" s="13"/>
      <c r="J386" s="13"/>
      <c r="K386" s="94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/>
      <c r="AR386"/>
      <c r="AS386"/>
      <c r="AT386"/>
      <c r="AU386"/>
      <c r="AV386" s="10"/>
      <c r="AW386" s="111"/>
      <c r="AX386" s="136"/>
      <c r="AY386" s="136"/>
      <c r="AZ386" s="136"/>
      <c r="BA386" s="137"/>
      <c r="BB386" s="137"/>
      <c r="BC386" s="137"/>
      <c r="BE386" s="137"/>
      <c r="BG386" s="144"/>
      <c r="BH386" s="136"/>
      <c r="BI386" s="939"/>
      <c r="BJ386" s="154"/>
      <c r="BK386" s="158"/>
      <c r="BL386" s="158"/>
      <c r="BM386" s="158"/>
      <c r="BN386" s="158"/>
    </row>
    <row r="387" spans="1:66" ht="13.8">
      <c r="A387" s="6"/>
      <c r="B387" s="13"/>
      <c r="C387" s="13"/>
      <c r="D387" s="13"/>
      <c r="E387" s="13"/>
      <c r="F387" s="13"/>
      <c r="G387" s="13"/>
      <c r="H387" s="13"/>
      <c r="I387" s="13"/>
      <c r="J387" s="13"/>
      <c r="K387" s="94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/>
      <c r="AR387"/>
      <c r="AS387"/>
      <c r="AT387"/>
      <c r="AU387"/>
      <c r="AV387" s="10"/>
      <c r="AW387" s="111"/>
      <c r="AX387" s="136"/>
      <c r="AY387" s="136"/>
      <c r="AZ387" s="136"/>
      <c r="BA387" s="137"/>
      <c r="BB387" s="137"/>
      <c r="BC387" s="137"/>
      <c r="BE387" s="137"/>
      <c r="BG387" s="144"/>
      <c r="BH387" s="136"/>
      <c r="BI387" s="939"/>
      <c r="BJ387" s="154"/>
      <c r="BK387" s="158"/>
      <c r="BL387" s="158"/>
      <c r="BM387" s="158"/>
      <c r="BN387" s="158"/>
    </row>
    <row r="388" spans="1:66" ht="13.8">
      <c r="A388" s="6"/>
      <c r="B388" s="13"/>
      <c r="C388" s="13"/>
      <c r="D388" s="13"/>
      <c r="E388" s="13"/>
      <c r="F388" s="13"/>
      <c r="G388" s="13"/>
      <c r="H388" s="13"/>
      <c r="I388" s="13"/>
      <c r="J388" s="13"/>
      <c r="K388" s="94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/>
      <c r="AR388"/>
      <c r="AS388"/>
      <c r="AT388"/>
      <c r="AU388"/>
      <c r="AV388" s="10"/>
      <c r="AW388" s="111"/>
      <c r="AX388" s="136"/>
      <c r="AY388" s="136"/>
      <c r="AZ388" s="136"/>
      <c r="BA388" s="137"/>
      <c r="BB388" s="137"/>
      <c r="BC388" s="137"/>
      <c r="BE388" s="137"/>
      <c r="BG388" s="144"/>
      <c r="BH388" s="136"/>
      <c r="BI388" s="939"/>
      <c r="BJ388" s="154"/>
      <c r="BK388" s="158"/>
      <c r="BL388" s="158"/>
      <c r="BM388" s="158"/>
      <c r="BN388" s="158"/>
    </row>
    <row r="389" spans="1:66" ht="13.8">
      <c r="A389" s="6"/>
      <c r="B389" s="13"/>
      <c r="C389" s="13"/>
      <c r="D389" s="13"/>
      <c r="E389" s="13"/>
      <c r="F389" s="13"/>
      <c r="G389" s="13"/>
      <c r="H389" s="13"/>
      <c r="I389" s="13"/>
      <c r="J389" s="13"/>
      <c r="K389" s="94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/>
      <c r="AR389"/>
      <c r="AS389"/>
      <c r="AT389"/>
      <c r="AU389"/>
      <c r="AV389" s="10"/>
      <c r="AW389" s="111"/>
      <c r="AX389" s="136"/>
      <c r="AY389" s="136"/>
      <c r="AZ389" s="136"/>
      <c r="BA389" s="137"/>
      <c r="BB389" s="137"/>
      <c r="BC389" s="137"/>
      <c r="BE389" s="137"/>
      <c r="BG389" s="144"/>
      <c r="BH389" s="136"/>
      <c r="BI389" s="939"/>
      <c r="BJ389" s="154"/>
      <c r="BK389" s="158"/>
      <c r="BL389" s="158"/>
      <c r="BM389" s="158"/>
      <c r="BN389" s="158"/>
    </row>
    <row r="390" spans="1:66" ht="13.8">
      <c r="A390" s="6"/>
      <c r="B390" s="13"/>
      <c r="C390" s="13"/>
      <c r="D390" s="13"/>
      <c r="E390" s="13"/>
      <c r="F390" s="13"/>
      <c r="G390" s="13"/>
      <c r="H390" s="13"/>
      <c r="I390" s="13"/>
      <c r="J390" s="13"/>
      <c r="K390" s="94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/>
      <c r="AR390"/>
      <c r="AS390"/>
      <c r="AT390"/>
      <c r="AU390"/>
      <c r="AV390" s="10"/>
      <c r="AW390" s="111"/>
      <c r="AX390" s="136"/>
      <c r="AY390" s="136"/>
      <c r="AZ390" s="136"/>
      <c r="BA390" s="137"/>
      <c r="BB390" s="137"/>
      <c r="BC390" s="137"/>
      <c r="BE390" s="137"/>
      <c r="BG390" s="144"/>
      <c r="BH390" s="136"/>
      <c r="BI390" s="939"/>
      <c r="BJ390" s="154"/>
      <c r="BK390" s="158"/>
      <c r="BL390" s="158"/>
      <c r="BM390" s="158"/>
      <c r="BN390" s="158"/>
    </row>
    <row r="391" spans="1:66" ht="13.8">
      <c r="A391" s="6"/>
      <c r="B391" s="13"/>
      <c r="C391" s="13"/>
      <c r="D391" s="13"/>
      <c r="E391" s="13"/>
      <c r="F391" s="13"/>
      <c r="G391" s="13"/>
      <c r="H391" s="13"/>
      <c r="I391" s="13"/>
      <c r="J391" s="13"/>
      <c r="K391" s="94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/>
      <c r="AR391"/>
      <c r="AS391"/>
      <c r="AT391"/>
      <c r="AU391"/>
      <c r="AV391" s="10"/>
      <c r="AW391" s="111"/>
      <c r="AX391" s="136"/>
      <c r="AY391" s="136"/>
      <c r="AZ391" s="136"/>
      <c r="BA391" s="137"/>
      <c r="BB391" s="137"/>
      <c r="BC391" s="137"/>
      <c r="BE391" s="137"/>
      <c r="BG391" s="144"/>
      <c r="BH391" s="136"/>
      <c r="BI391" s="939"/>
      <c r="BJ391" s="154"/>
      <c r="BK391" s="158"/>
      <c r="BL391" s="158"/>
      <c r="BM391" s="158"/>
      <c r="BN391" s="158"/>
    </row>
    <row r="392" spans="1:66" ht="13.8">
      <c r="A392" s="6"/>
      <c r="B392" s="13"/>
      <c r="C392" s="13"/>
      <c r="D392" s="13"/>
      <c r="E392" s="13"/>
      <c r="F392" s="13"/>
      <c r="G392" s="13"/>
      <c r="H392" s="13"/>
      <c r="I392" s="13"/>
      <c r="J392" s="13"/>
      <c r="K392" s="94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/>
      <c r="AR392"/>
      <c r="AS392"/>
      <c r="AT392"/>
      <c r="AU392"/>
      <c r="AV392" s="10"/>
      <c r="AW392" s="111"/>
      <c r="AX392" s="136"/>
      <c r="AY392" s="136"/>
      <c r="AZ392" s="136"/>
      <c r="BA392" s="137"/>
      <c r="BB392" s="137"/>
      <c r="BC392" s="137"/>
      <c r="BE392" s="137"/>
      <c r="BG392" s="144"/>
      <c r="BH392" s="136"/>
      <c r="BI392" s="939"/>
      <c r="BJ392" s="154"/>
      <c r="BK392" s="158"/>
      <c r="BL392" s="158"/>
      <c r="BM392" s="158"/>
      <c r="BN392" s="158"/>
    </row>
    <row r="393" spans="1:66" ht="13.8">
      <c r="A393" s="6"/>
      <c r="B393" s="13"/>
      <c r="C393" s="13"/>
      <c r="D393" s="13"/>
      <c r="E393" s="13"/>
      <c r="F393" s="13"/>
      <c r="G393" s="13"/>
      <c r="H393" s="13"/>
      <c r="I393" s="13"/>
      <c r="J393" s="13"/>
      <c r="K393" s="94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/>
      <c r="AR393"/>
      <c r="AS393"/>
      <c r="AT393"/>
      <c r="AU393"/>
      <c r="AV393" s="10"/>
      <c r="AW393" s="111"/>
      <c r="AX393" s="136"/>
      <c r="AY393" s="136"/>
      <c r="AZ393" s="136"/>
      <c r="BA393" s="137"/>
      <c r="BB393" s="137"/>
      <c r="BC393" s="137"/>
      <c r="BE393" s="137"/>
      <c r="BG393" s="144"/>
      <c r="BH393" s="136"/>
      <c r="BI393" s="939"/>
      <c r="BJ393" s="154"/>
      <c r="BK393" s="158"/>
      <c r="BL393" s="158"/>
      <c r="BM393" s="158"/>
      <c r="BN393" s="158"/>
    </row>
    <row r="394" spans="1:66" ht="13.8">
      <c r="A394" s="6"/>
      <c r="B394" s="13"/>
      <c r="C394" s="13"/>
      <c r="D394" s="13"/>
      <c r="E394" s="13"/>
      <c r="F394" s="13"/>
      <c r="G394" s="13"/>
      <c r="H394" s="13"/>
      <c r="I394" s="13"/>
      <c r="J394" s="13"/>
      <c r="K394" s="94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/>
      <c r="AR394"/>
      <c r="AS394"/>
      <c r="AT394"/>
      <c r="AU394"/>
      <c r="AV394" s="10"/>
      <c r="AW394" s="111"/>
      <c r="AX394" s="136"/>
      <c r="AY394" s="136"/>
      <c r="AZ394" s="136"/>
      <c r="BA394" s="137"/>
      <c r="BB394" s="137"/>
      <c r="BC394" s="137"/>
      <c r="BE394" s="137"/>
      <c r="BG394" s="144"/>
      <c r="BH394" s="136"/>
      <c r="BI394" s="939"/>
      <c r="BJ394" s="154"/>
      <c r="BK394" s="158"/>
      <c r="BL394" s="158"/>
      <c r="BM394" s="158"/>
      <c r="BN394" s="158"/>
    </row>
    <row r="395" spans="1:66" ht="13.8">
      <c r="A395" s="6"/>
      <c r="B395" s="13"/>
      <c r="C395" s="13"/>
      <c r="D395" s="13"/>
      <c r="E395" s="13"/>
      <c r="F395" s="13"/>
      <c r="G395" s="13"/>
      <c r="H395" s="13"/>
      <c r="I395" s="13"/>
      <c r="J395" s="13"/>
      <c r="K395" s="94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/>
      <c r="AR395"/>
      <c r="AS395"/>
      <c r="AT395"/>
      <c r="AU395"/>
      <c r="AV395" s="10"/>
      <c r="AW395" s="111"/>
      <c r="AX395" s="136"/>
      <c r="AY395" s="136"/>
      <c r="AZ395" s="136"/>
      <c r="BA395" s="137"/>
      <c r="BB395" s="137"/>
      <c r="BC395" s="137"/>
      <c r="BE395" s="137"/>
      <c r="BG395" s="144"/>
      <c r="BH395" s="136"/>
      <c r="BI395" s="939"/>
      <c r="BJ395" s="154"/>
      <c r="BK395" s="158"/>
      <c r="BL395" s="158"/>
      <c r="BM395" s="158"/>
      <c r="BN395" s="158"/>
    </row>
    <row r="396" spans="1:66" ht="13.8">
      <c r="A396" s="6"/>
      <c r="B396" s="13"/>
      <c r="C396" s="13"/>
      <c r="D396" s="13"/>
      <c r="E396" s="13"/>
      <c r="F396" s="13"/>
      <c r="G396" s="13"/>
      <c r="H396" s="13"/>
      <c r="I396" s="13"/>
      <c r="J396" s="13"/>
      <c r="K396" s="94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/>
      <c r="AR396"/>
      <c r="AS396"/>
      <c r="AT396"/>
      <c r="AU396"/>
      <c r="AV396" s="10"/>
      <c r="AW396" s="111"/>
      <c r="AX396" s="136"/>
      <c r="AY396" s="136"/>
      <c r="AZ396" s="136"/>
      <c r="BA396" s="137"/>
      <c r="BB396" s="137"/>
      <c r="BC396" s="137"/>
      <c r="BE396" s="137"/>
      <c r="BG396" s="144"/>
      <c r="BH396" s="136"/>
      <c r="BI396" s="939"/>
      <c r="BJ396" s="154"/>
      <c r="BK396" s="158"/>
      <c r="BL396" s="158"/>
      <c r="BM396" s="158"/>
      <c r="BN396" s="158"/>
    </row>
    <row r="397" spans="1:66" ht="13.8">
      <c r="A397" s="6"/>
      <c r="B397" s="13"/>
      <c r="C397" s="13"/>
      <c r="D397" s="13"/>
      <c r="E397" s="13"/>
      <c r="F397" s="13"/>
      <c r="G397" s="13"/>
      <c r="H397" s="13"/>
      <c r="I397" s="13"/>
      <c r="J397" s="13"/>
      <c r="K397" s="94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/>
      <c r="AR397"/>
      <c r="AS397"/>
      <c r="AT397"/>
      <c r="AU397"/>
      <c r="AV397" s="10"/>
      <c r="AW397" s="111"/>
      <c r="AX397" s="136"/>
      <c r="AY397" s="136"/>
      <c r="AZ397" s="136"/>
      <c r="BA397" s="137"/>
      <c r="BB397" s="137"/>
      <c r="BC397" s="137"/>
      <c r="BE397" s="137"/>
      <c r="BG397" s="144"/>
      <c r="BH397" s="136"/>
      <c r="BI397" s="939"/>
      <c r="BJ397" s="154"/>
      <c r="BK397" s="158"/>
      <c r="BL397" s="158"/>
      <c r="BM397" s="158"/>
      <c r="BN397" s="158"/>
    </row>
    <row r="398" spans="1:66" ht="13.8">
      <c r="A398" s="6"/>
      <c r="B398" s="13"/>
      <c r="C398" s="13"/>
      <c r="D398" s="13"/>
      <c r="E398" s="13"/>
      <c r="F398" s="13"/>
      <c r="G398" s="13"/>
      <c r="H398" s="13"/>
      <c r="I398" s="13"/>
      <c r="J398" s="13"/>
      <c r="K398" s="94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/>
      <c r="AR398"/>
      <c r="AS398"/>
      <c r="AT398"/>
      <c r="AU398"/>
      <c r="AV398" s="10"/>
      <c r="AW398" s="111"/>
      <c r="AX398" s="136"/>
      <c r="AY398" s="136"/>
      <c r="AZ398" s="136"/>
      <c r="BA398" s="137"/>
      <c r="BB398" s="137"/>
      <c r="BC398" s="137"/>
      <c r="BE398" s="137"/>
      <c r="BG398" s="144"/>
      <c r="BH398" s="136"/>
      <c r="BI398" s="939"/>
      <c r="BJ398" s="154"/>
      <c r="BK398" s="158"/>
      <c r="BL398" s="158"/>
      <c r="BM398" s="158"/>
      <c r="BN398" s="158"/>
    </row>
    <row r="399" spans="1:66" ht="13.8">
      <c r="A399" s="6"/>
      <c r="B399" s="13"/>
      <c r="C399" s="13"/>
      <c r="D399" s="13"/>
      <c r="E399" s="13"/>
      <c r="F399" s="13"/>
      <c r="G399" s="13"/>
      <c r="H399" s="13"/>
      <c r="I399" s="13"/>
      <c r="J399" s="13"/>
      <c r="K399" s="94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/>
      <c r="AR399"/>
      <c r="AS399"/>
      <c r="AT399"/>
      <c r="AU399"/>
      <c r="AV399" s="10"/>
      <c r="AW399" s="111"/>
      <c r="AX399" s="136"/>
      <c r="AY399" s="136"/>
      <c r="AZ399" s="136"/>
      <c r="BA399" s="137"/>
      <c r="BB399" s="137"/>
      <c r="BC399" s="137"/>
      <c r="BE399" s="137"/>
      <c r="BG399" s="144"/>
      <c r="BH399" s="136"/>
      <c r="BI399" s="939"/>
      <c r="BJ399" s="154"/>
      <c r="BK399" s="158"/>
      <c r="BL399" s="158"/>
      <c r="BM399" s="158"/>
      <c r="BN399" s="158"/>
    </row>
    <row r="400" spans="1:66" ht="13.8">
      <c r="A400" s="6"/>
      <c r="B400" s="13"/>
      <c r="C400" s="13"/>
      <c r="D400" s="13"/>
      <c r="E400" s="13"/>
      <c r="F400" s="13"/>
      <c r="G400" s="13"/>
      <c r="H400" s="13"/>
      <c r="I400" s="13"/>
      <c r="J400" s="13"/>
      <c r="K400" s="94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/>
      <c r="AR400"/>
      <c r="AS400"/>
      <c r="AT400"/>
      <c r="AU400"/>
      <c r="AV400" s="10"/>
      <c r="AW400" s="111"/>
      <c r="AX400" s="136"/>
      <c r="AY400" s="136"/>
      <c r="AZ400" s="136"/>
      <c r="BA400" s="137"/>
      <c r="BB400" s="137"/>
      <c r="BC400" s="137"/>
      <c r="BE400" s="137"/>
      <c r="BG400" s="144"/>
      <c r="BH400" s="136"/>
      <c r="BI400" s="939"/>
      <c r="BJ400" s="154"/>
      <c r="BK400" s="158"/>
      <c r="BL400" s="158"/>
      <c r="BM400" s="158"/>
      <c r="BN400" s="158"/>
    </row>
    <row r="401" spans="2:66">
      <c r="B401" s="13"/>
      <c r="C401" s="13"/>
      <c r="D401" s="13"/>
      <c r="E401" s="13"/>
      <c r="F401" s="13"/>
      <c r="G401" s="13"/>
      <c r="H401" s="13"/>
      <c r="I401" s="13"/>
      <c r="J401" s="13"/>
      <c r="K401" s="94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/>
      <c r="AR401"/>
      <c r="AS401"/>
      <c r="AT401"/>
      <c r="AU401"/>
      <c r="AV401" s="10"/>
      <c r="AW401" s="111"/>
      <c r="AX401" s="136"/>
      <c r="AY401" s="136"/>
      <c r="AZ401" s="136"/>
      <c r="BA401" s="137"/>
      <c r="BB401" s="137"/>
      <c r="BC401" s="137"/>
      <c r="BE401" s="137"/>
      <c r="BG401" s="144"/>
      <c r="BH401" s="136"/>
      <c r="BI401" s="939"/>
      <c r="BJ401" s="154"/>
      <c r="BK401" s="158"/>
      <c r="BL401" s="158"/>
      <c r="BM401" s="158"/>
      <c r="BN401" s="158"/>
    </row>
    <row r="402" spans="2:66">
      <c r="B402" s="13"/>
      <c r="C402" s="13"/>
      <c r="D402" s="13"/>
      <c r="E402" s="13"/>
      <c r="F402" s="13"/>
      <c r="G402" s="13"/>
      <c r="H402" s="13"/>
      <c r="I402" s="13"/>
      <c r="J402" s="13"/>
      <c r="K402" s="94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/>
      <c r="AR402"/>
      <c r="AS402"/>
      <c r="AT402"/>
      <c r="AU402"/>
      <c r="AV402" s="10"/>
      <c r="AW402" s="111"/>
      <c r="AX402" s="136"/>
      <c r="AY402" s="136"/>
      <c r="AZ402" s="136"/>
      <c r="BA402" s="137"/>
      <c r="BB402" s="137"/>
      <c r="BC402" s="137"/>
      <c r="BE402" s="137"/>
      <c r="BG402" s="144"/>
      <c r="BH402" s="136"/>
      <c r="BI402" s="939"/>
      <c r="BJ402" s="154"/>
      <c r="BK402" s="158"/>
      <c r="BL402" s="158"/>
      <c r="BM402" s="158"/>
      <c r="BN402" s="158"/>
    </row>
    <row r="403" spans="2:66">
      <c r="B403" s="13"/>
      <c r="C403" s="13"/>
      <c r="D403" s="13"/>
      <c r="E403" s="13"/>
      <c r="F403" s="13"/>
      <c r="G403" s="13"/>
      <c r="H403" s="13"/>
      <c r="I403" s="13"/>
      <c r="J403" s="13"/>
      <c r="K403" s="94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/>
      <c r="AR403"/>
      <c r="AS403"/>
      <c r="AT403"/>
      <c r="AU403"/>
      <c r="AV403" s="10"/>
      <c r="AW403" s="111"/>
      <c r="AX403" s="136"/>
      <c r="AY403" s="136"/>
      <c r="AZ403" s="136"/>
      <c r="BA403" s="137"/>
      <c r="BB403" s="137"/>
      <c r="BC403" s="137"/>
      <c r="BE403" s="137"/>
      <c r="BG403" s="144"/>
      <c r="BH403" s="136"/>
      <c r="BI403" s="939"/>
      <c r="BJ403" s="154"/>
      <c r="BK403" s="158"/>
      <c r="BL403" s="158"/>
      <c r="BM403" s="158"/>
      <c r="BN403" s="158"/>
    </row>
    <row r="404" spans="2:66">
      <c r="B404" s="13"/>
      <c r="C404" s="13"/>
      <c r="D404" s="13"/>
      <c r="E404" s="13"/>
      <c r="F404" s="13"/>
      <c r="G404" s="13"/>
      <c r="H404" s="13"/>
      <c r="I404" s="13"/>
      <c r="J404" s="13"/>
      <c r="K404" s="94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0"/>
      <c r="AR404" s="10"/>
      <c r="AS404" s="10"/>
      <c r="AT404" s="10"/>
      <c r="AU404" s="10"/>
      <c r="AV404" s="10"/>
      <c r="AW404" s="111"/>
      <c r="AX404" s="136"/>
      <c r="AY404" s="136"/>
      <c r="AZ404" s="136"/>
      <c r="BA404" s="137"/>
      <c r="BB404" s="137"/>
      <c r="BC404" s="137"/>
      <c r="BE404" s="137"/>
      <c r="BG404" s="144"/>
      <c r="BH404" s="136"/>
      <c r="BI404" s="939"/>
      <c r="BJ404" s="154"/>
      <c r="BK404" s="158"/>
      <c r="BL404" s="158"/>
      <c r="BM404" s="158"/>
      <c r="BN404" s="158"/>
    </row>
    <row r="405" spans="2:66">
      <c r="B405" s="13"/>
      <c r="C405" s="13"/>
      <c r="D405" s="13"/>
      <c r="E405" s="13"/>
      <c r="F405" s="13"/>
      <c r="G405" s="13"/>
      <c r="H405" s="13"/>
      <c r="I405" s="13"/>
      <c r="J405" s="13"/>
      <c r="K405" s="94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0"/>
      <c r="AR405" s="10"/>
      <c r="AS405" s="10"/>
      <c r="AT405" s="10"/>
      <c r="AU405" s="10"/>
      <c r="AV405" s="10"/>
      <c r="AW405" s="111"/>
      <c r="AX405" s="136"/>
      <c r="AY405" s="136"/>
      <c r="AZ405" s="136"/>
      <c r="BA405" s="137"/>
      <c r="BB405" s="137"/>
      <c r="BC405" s="137"/>
      <c r="BE405" s="137"/>
      <c r="BG405" s="144"/>
      <c r="BH405" s="136"/>
      <c r="BI405" s="939"/>
      <c r="BJ405" s="154"/>
      <c r="BK405" s="158"/>
      <c r="BL405" s="158"/>
      <c r="BM405" s="158"/>
      <c r="BN405" s="158"/>
    </row>
    <row r="406" spans="2:66">
      <c r="B406" s="13"/>
      <c r="C406" s="13"/>
      <c r="D406" s="13"/>
      <c r="E406" s="13"/>
      <c r="F406" s="13"/>
      <c r="G406" s="13"/>
      <c r="H406" s="13"/>
      <c r="I406" s="13"/>
      <c r="J406" s="13"/>
      <c r="K406" s="94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0"/>
      <c r="AR406" s="10"/>
      <c r="AS406" s="10"/>
      <c r="AT406" s="10"/>
      <c r="AU406" s="10"/>
      <c r="AV406" s="10"/>
      <c r="AW406" s="111"/>
      <c r="AX406" s="136"/>
      <c r="AY406" s="136"/>
      <c r="AZ406" s="136"/>
      <c r="BA406" s="137"/>
      <c r="BB406" s="137"/>
      <c r="BC406" s="137"/>
      <c r="BE406" s="137"/>
      <c r="BG406" s="144"/>
      <c r="BH406" s="136"/>
      <c r="BI406" s="939"/>
      <c r="BJ406" s="154"/>
      <c r="BK406" s="158"/>
      <c r="BL406" s="158"/>
      <c r="BM406" s="158"/>
      <c r="BN406" s="158"/>
    </row>
    <row r="407" spans="2:66">
      <c r="B407" s="13"/>
      <c r="C407" s="13"/>
      <c r="D407" s="13"/>
      <c r="E407" s="13"/>
      <c r="F407" s="13"/>
      <c r="G407" s="13"/>
      <c r="H407" s="13"/>
      <c r="I407" s="13"/>
      <c r="J407" s="13"/>
      <c r="K407" s="94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0"/>
      <c r="AR407" s="10"/>
      <c r="AS407" s="10"/>
      <c r="AT407" s="10"/>
      <c r="AU407" s="10"/>
      <c r="AV407" s="10"/>
      <c r="AW407" s="111"/>
      <c r="AX407" s="136"/>
      <c r="AY407" s="136"/>
      <c r="AZ407" s="136"/>
      <c r="BA407" s="137"/>
      <c r="BB407" s="137"/>
      <c r="BC407" s="137"/>
      <c r="BE407" s="137"/>
      <c r="BG407" s="144"/>
      <c r="BH407" s="136"/>
      <c r="BI407" s="939"/>
      <c r="BJ407" s="154"/>
      <c r="BK407" s="158"/>
      <c r="BL407" s="158"/>
      <c r="BM407" s="158"/>
      <c r="BN407" s="158"/>
    </row>
    <row r="408" spans="2:66">
      <c r="B408" s="13"/>
      <c r="C408" s="13"/>
      <c r="D408" s="13"/>
      <c r="E408" s="13"/>
      <c r="F408" s="13"/>
      <c r="G408" s="13"/>
      <c r="H408" s="13"/>
      <c r="I408" s="13"/>
      <c r="J408" s="13"/>
      <c r="K408" s="94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0"/>
      <c r="AR408" s="10"/>
      <c r="AS408" s="10"/>
      <c r="AT408" s="10"/>
      <c r="AU408" s="10"/>
      <c r="AV408" s="10"/>
      <c r="AW408" s="111"/>
      <c r="AX408" s="136"/>
      <c r="AY408" s="136"/>
      <c r="AZ408" s="136"/>
      <c r="BA408" s="137"/>
      <c r="BB408" s="137"/>
      <c r="BC408" s="137"/>
      <c r="BE408" s="137"/>
      <c r="BG408" s="144"/>
      <c r="BH408" s="136"/>
      <c r="BI408" s="939"/>
      <c r="BJ408" s="154"/>
      <c r="BK408" s="158"/>
      <c r="BL408" s="158"/>
      <c r="BM408" s="158"/>
      <c r="BN408" s="158"/>
    </row>
    <row r="409" spans="2:66">
      <c r="B409" s="13"/>
      <c r="C409" s="13"/>
      <c r="D409" s="13"/>
      <c r="E409" s="13"/>
      <c r="F409" s="13"/>
      <c r="G409" s="13"/>
      <c r="H409" s="13"/>
      <c r="I409" s="13"/>
      <c r="J409" s="13"/>
      <c r="K409" s="94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0"/>
      <c r="AR409" s="10"/>
      <c r="AS409" s="10"/>
      <c r="AT409" s="10"/>
      <c r="AU409" s="10"/>
      <c r="AV409" s="10"/>
      <c r="AW409" s="111"/>
      <c r="AX409" s="136"/>
      <c r="AY409" s="136"/>
      <c r="AZ409" s="136"/>
      <c r="BA409" s="137"/>
      <c r="BB409" s="137"/>
      <c r="BC409" s="137"/>
      <c r="BE409" s="137"/>
      <c r="BG409" s="144"/>
      <c r="BH409" s="136"/>
      <c r="BI409" s="939"/>
      <c r="BJ409" s="154"/>
      <c r="BK409" s="158"/>
      <c r="BL409" s="158"/>
      <c r="BM409" s="158"/>
      <c r="BN409" s="158"/>
    </row>
    <row r="410" spans="2:66">
      <c r="B410" s="13"/>
      <c r="C410" s="13"/>
      <c r="D410" s="13"/>
      <c r="E410" s="13"/>
      <c r="F410" s="13"/>
      <c r="G410" s="13"/>
      <c r="H410" s="13"/>
      <c r="I410" s="13"/>
      <c r="J410" s="13"/>
      <c r="K410" s="94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0"/>
      <c r="AR410" s="10"/>
      <c r="AS410" s="10"/>
      <c r="AT410" s="10"/>
      <c r="AU410" s="10"/>
      <c r="AV410" s="10"/>
      <c r="AW410" s="111"/>
      <c r="AX410" s="136"/>
      <c r="AY410" s="136"/>
      <c r="AZ410" s="136"/>
      <c r="BA410" s="137"/>
      <c r="BB410" s="137"/>
      <c r="BC410" s="137"/>
      <c r="BE410" s="137"/>
      <c r="BG410" s="144"/>
      <c r="BH410" s="136"/>
      <c r="BI410" s="939"/>
      <c r="BJ410" s="154"/>
      <c r="BK410" s="158"/>
      <c r="BL410" s="158"/>
      <c r="BM410" s="158"/>
      <c r="BN410" s="158"/>
    </row>
    <row r="411" spans="2:66">
      <c r="B411" s="13"/>
      <c r="C411" s="13"/>
      <c r="D411" s="13"/>
      <c r="E411" s="13"/>
      <c r="F411" s="13"/>
      <c r="G411" s="13"/>
      <c r="H411" s="13"/>
      <c r="I411" s="13"/>
      <c r="J411" s="13"/>
      <c r="K411" s="94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0"/>
      <c r="AR411" s="10"/>
      <c r="AS411" s="10"/>
      <c r="AT411" s="10"/>
      <c r="AU411" s="10"/>
      <c r="AV411" s="10"/>
      <c r="AW411" s="111"/>
      <c r="AX411" s="136"/>
      <c r="AY411" s="136"/>
      <c r="AZ411" s="136"/>
      <c r="BA411" s="137"/>
      <c r="BB411" s="137"/>
      <c r="BC411" s="137"/>
      <c r="BE411" s="137"/>
      <c r="BG411" s="144"/>
      <c r="BH411" s="136"/>
      <c r="BI411" s="939"/>
      <c r="BJ411" s="154"/>
      <c r="BK411" s="158"/>
      <c r="BL411" s="158"/>
      <c r="BM411" s="158"/>
      <c r="BN411" s="158"/>
    </row>
    <row r="412" spans="2:66">
      <c r="B412" s="13"/>
      <c r="C412" s="13"/>
      <c r="D412" s="13"/>
      <c r="E412" s="13"/>
      <c r="F412" s="13"/>
      <c r="G412" s="13"/>
      <c r="H412" s="13"/>
      <c r="I412" s="13"/>
      <c r="J412" s="13"/>
      <c r="K412" s="94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0"/>
      <c r="AR412" s="10"/>
      <c r="AS412" s="10"/>
      <c r="AT412" s="10"/>
      <c r="AU412" s="10"/>
      <c r="AV412" s="10"/>
      <c r="AW412" s="111"/>
      <c r="AX412" s="136"/>
      <c r="AY412" s="136"/>
      <c r="AZ412" s="136"/>
      <c r="BA412" s="137"/>
      <c r="BB412" s="137"/>
      <c r="BC412" s="137"/>
      <c r="BE412" s="137"/>
      <c r="BG412" s="144"/>
      <c r="BH412" s="136"/>
      <c r="BI412" s="939"/>
      <c r="BJ412" s="154"/>
      <c r="BK412" s="158"/>
      <c r="BL412" s="158"/>
      <c r="BM412" s="158"/>
      <c r="BN412" s="158"/>
    </row>
    <row r="413" spans="2:66">
      <c r="B413" s="13"/>
      <c r="C413" s="13"/>
      <c r="D413" s="13"/>
      <c r="E413" s="13"/>
      <c r="F413" s="13"/>
      <c r="G413" s="13"/>
      <c r="H413" s="13"/>
      <c r="I413" s="13"/>
      <c r="J413" s="13"/>
      <c r="K413" s="94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0"/>
      <c r="AR413" s="10"/>
      <c r="AS413" s="10"/>
      <c r="AT413" s="10"/>
      <c r="AU413" s="10"/>
      <c r="AV413" s="10"/>
      <c r="AW413" s="111"/>
      <c r="AX413" s="136"/>
      <c r="AY413" s="136"/>
      <c r="AZ413" s="136"/>
      <c r="BA413" s="137"/>
      <c r="BB413" s="137"/>
      <c r="BC413" s="137"/>
      <c r="BE413" s="137"/>
      <c r="BG413" s="144"/>
      <c r="BH413" s="136"/>
      <c r="BI413" s="939"/>
      <c r="BJ413" s="154"/>
      <c r="BK413" s="158"/>
      <c r="BL413" s="158"/>
      <c r="BM413" s="158"/>
      <c r="BN413" s="158"/>
    </row>
    <row r="414" spans="2:66">
      <c r="B414" s="13"/>
      <c r="C414" s="13"/>
      <c r="D414" s="13"/>
      <c r="E414" s="13"/>
      <c r="F414" s="13"/>
      <c r="G414" s="13"/>
      <c r="H414" s="13"/>
      <c r="I414" s="13"/>
      <c r="J414" s="13"/>
      <c r="K414" s="94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0"/>
      <c r="AR414" s="10"/>
      <c r="AS414" s="10"/>
      <c r="AT414" s="10"/>
      <c r="AU414" s="10"/>
      <c r="AV414" s="10"/>
      <c r="AW414" s="111"/>
      <c r="AX414" s="136"/>
      <c r="AY414" s="136"/>
      <c r="AZ414" s="136"/>
      <c r="BA414" s="137"/>
      <c r="BB414" s="137"/>
      <c r="BC414" s="137"/>
      <c r="BE414" s="137"/>
      <c r="BG414" s="144"/>
      <c r="BH414" s="136"/>
      <c r="BI414" s="939"/>
      <c r="BJ414" s="154"/>
      <c r="BK414" s="158"/>
      <c r="BL414" s="158"/>
      <c r="BM414" s="158"/>
      <c r="BN414" s="158"/>
    </row>
    <row r="415" spans="2:66">
      <c r="B415" s="13"/>
      <c r="C415" s="13"/>
      <c r="D415" s="13"/>
      <c r="E415" s="13"/>
      <c r="F415" s="13"/>
      <c r="G415" s="13"/>
      <c r="H415" s="13"/>
      <c r="I415" s="13"/>
      <c r="J415" s="13"/>
      <c r="K415" s="94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0"/>
      <c r="AR415" s="10"/>
      <c r="AS415" s="10"/>
      <c r="AT415" s="10"/>
      <c r="AU415" s="10"/>
      <c r="AV415" s="10"/>
      <c r="AW415" s="111"/>
      <c r="AX415" s="136"/>
      <c r="AY415" s="136"/>
      <c r="AZ415" s="136"/>
      <c r="BA415" s="137"/>
      <c r="BB415" s="137"/>
      <c r="BC415" s="137"/>
      <c r="BE415" s="137"/>
      <c r="BG415" s="144"/>
      <c r="BH415" s="136"/>
      <c r="BI415" s="939"/>
      <c r="BJ415" s="154"/>
      <c r="BK415" s="158"/>
      <c r="BL415" s="158"/>
      <c r="BM415" s="158"/>
      <c r="BN415" s="158"/>
    </row>
    <row r="416" spans="2:66">
      <c r="B416" s="13"/>
      <c r="C416" s="13"/>
      <c r="D416" s="13"/>
      <c r="E416" s="13"/>
      <c r="F416" s="13"/>
      <c r="G416" s="13"/>
      <c r="H416" s="13"/>
      <c r="I416" s="13"/>
      <c r="J416" s="13"/>
      <c r="K416" s="94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0"/>
      <c r="AR416" s="10"/>
      <c r="AS416" s="10"/>
      <c r="AT416" s="10"/>
      <c r="AU416" s="10"/>
      <c r="AV416" s="10"/>
      <c r="AW416" s="111"/>
      <c r="AX416" s="136"/>
      <c r="AY416" s="136"/>
      <c r="AZ416" s="136"/>
      <c r="BA416" s="137"/>
      <c r="BB416" s="137"/>
      <c r="BC416" s="137"/>
      <c r="BE416" s="137"/>
      <c r="BG416" s="144"/>
      <c r="BH416" s="136"/>
      <c r="BI416" s="939"/>
      <c r="BJ416" s="154"/>
      <c r="BK416" s="158"/>
      <c r="BL416" s="158"/>
      <c r="BM416" s="158"/>
      <c r="BN416" s="158"/>
    </row>
    <row r="417" spans="2:66">
      <c r="B417" s="13"/>
      <c r="C417" s="13"/>
      <c r="D417" s="13"/>
      <c r="E417" s="13"/>
      <c r="F417" s="13"/>
      <c r="G417" s="13"/>
      <c r="H417" s="13"/>
      <c r="I417" s="13"/>
      <c r="J417" s="13"/>
      <c r="K417" s="94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0"/>
      <c r="AR417" s="10"/>
      <c r="AS417" s="10"/>
      <c r="AT417" s="10"/>
      <c r="AU417" s="10"/>
      <c r="AV417" s="10"/>
      <c r="AW417" s="111"/>
      <c r="AX417" s="136"/>
      <c r="AY417" s="136"/>
      <c r="AZ417" s="136"/>
      <c r="BA417" s="137"/>
      <c r="BB417" s="137"/>
      <c r="BC417" s="137"/>
      <c r="BE417" s="137"/>
      <c r="BG417" s="144"/>
      <c r="BH417" s="136"/>
      <c r="BI417" s="939"/>
      <c r="BJ417" s="154"/>
      <c r="BK417" s="158"/>
      <c r="BL417" s="158"/>
      <c r="BM417" s="158"/>
      <c r="BN417" s="158"/>
    </row>
    <row r="418" spans="2:66">
      <c r="B418" s="13"/>
      <c r="C418" s="13"/>
      <c r="D418" s="13"/>
      <c r="E418" s="13"/>
      <c r="F418" s="13"/>
      <c r="G418" s="13"/>
      <c r="H418" s="13"/>
      <c r="I418" s="13"/>
      <c r="J418" s="13"/>
      <c r="K418" s="94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0"/>
      <c r="AR418" s="10"/>
      <c r="AS418" s="10"/>
      <c r="AT418" s="10"/>
      <c r="AU418" s="10"/>
      <c r="AV418" s="10"/>
      <c r="AW418" s="111"/>
      <c r="AX418" s="136"/>
      <c r="AY418" s="136"/>
      <c r="AZ418" s="136"/>
      <c r="BA418" s="137"/>
      <c r="BB418" s="137"/>
      <c r="BC418" s="137"/>
      <c r="BE418" s="137"/>
      <c r="BG418" s="144"/>
      <c r="BH418" s="136"/>
      <c r="BI418" s="939"/>
      <c r="BJ418" s="154"/>
      <c r="BK418" s="158"/>
      <c r="BL418" s="158"/>
      <c r="BM418" s="158"/>
      <c r="BN418" s="158"/>
    </row>
    <row r="419" spans="2:66">
      <c r="B419" s="13"/>
      <c r="C419" s="13"/>
      <c r="D419" s="13"/>
      <c r="E419" s="13"/>
      <c r="F419" s="13"/>
      <c r="G419" s="13"/>
      <c r="H419" s="13"/>
      <c r="I419" s="13"/>
      <c r="J419" s="13"/>
      <c r="K419" s="94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0"/>
      <c r="AR419" s="10"/>
      <c r="AS419" s="10"/>
      <c r="AT419" s="10"/>
      <c r="AU419" s="10"/>
      <c r="AV419" s="10"/>
      <c r="AW419" s="111"/>
      <c r="AX419" s="136"/>
      <c r="AY419" s="136"/>
      <c r="AZ419" s="136"/>
      <c r="BA419" s="137"/>
      <c r="BB419" s="137"/>
      <c r="BC419" s="137"/>
      <c r="BE419" s="137"/>
      <c r="BG419" s="144"/>
      <c r="BH419" s="136"/>
      <c r="BI419" s="939"/>
      <c r="BJ419" s="154"/>
      <c r="BK419" s="158"/>
      <c r="BL419" s="158"/>
      <c r="BM419" s="158"/>
      <c r="BN419" s="158"/>
    </row>
    <row r="420" spans="2:66">
      <c r="B420" s="13"/>
      <c r="C420" s="13"/>
      <c r="D420" s="13"/>
      <c r="E420" s="13"/>
      <c r="F420" s="13"/>
      <c r="G420" s="13"/>
      <c r="H420" s="13"/>
      <c r="I420" s="13"/>
      <c r="J420" s="13"/>
      <c r="K420" s="94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0"/>
      <c r="AR420" s="10"/>
      <c r="AS420" s="10"/>
      <c r="AT420" s="10"/>
      <c r="AU420" s="10"/>
      <c r="AV420" s="10"/>
      <c r="AW420" s="111"/>
      <c r="AX420" s="136"/>
      <c r="AY420" s="136"/>
      <c r="AZ420" s="136"/>
      <c r="BA420" s="137"/>
      <c r="BB420" s="137"/>
      <c r="BC420" s="137"/>
      <c r="BE420" s="137"/>
      <c r="BG420" s="144"/>
      <c r="BH420" s="136"/>
      <c r="BI420" s="939"/>
      <c r="BJ420" s="154"/>
      <c r="BK420" s="158"/>
      <c r="BL420" s="158"/>
      <c r="BM420" s="158"/>
      <c r="BN420" s="158"/>
    </row>
    <row r="421" spans="2:66">
      <c r="B421" s="13"/>
      <c r="C421" s="13"/>
      <c r="D421" s="13"/>
      <c r="E421" s="13"/>
      <c r="F421" s="13"/>
      <c r="G421" s="13"/>
      <c r="H421" s="13"/>
      <c r="I421" s="13"/>
      <c r="J421" s="13"/>
      <c r="K421" s="94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0"/>
      <c r="AR421" s="10"/>
      <c r="AS421" s="10"/>
      <c r="AT421" s="10"/>
      <c r="AU421" s="10"/>
      <c r="AV421" s="10"/>
      <c r="AW421" s="111"/>
      <c r="AX421" s="136"/>
      <c r="AY421" s="136"/>
      <c r="AZ421" s="136"/>
      <c r="BA421" s="137"/>
      <c r="BB421" s="137"/>
      <c r="BC421" s="137"/>
      <c r="BE421" s="137"/>
      <c r="BG421" s="144"/>
      <c r="BH421" s="136"/>
      <c r="BI421" s="939"/>
      <c r="BJ421" s="154"/>
      <c r="BK421" s="158"/>
      <c r="BL421" s="158"/>
      <c r="BM421" s="158"/>
      <c r="BN421" s="158"/>
    </row>
    <row r="422" spans="2:66">
      <c r="B422" s="13"/>
      <c r="C422" s="13"/>
      <c r="D422" s="13"/>
      <c r="E422" s="13"/>
      <c r="F422" s="13"/>
      <c r="G422" s="13"/>
      <c r="H422" s="13"/>
      <c r="I422" s="13"/>
      <c r="J422" s="13"/>
      <c r="K422" s="94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0"/>
      <c r="AR422" s="10"/>
      <c r="AS422" s="10"/>
      <c r="AT422" s="10"/>
      <c r="AU422" s="10"/>
      <c r="AV422" s="10"/>
      <c r="AW422" s="111"/>
      <c r="AX422" s="136"/>
      <c r="AY422" s="136"/>
      <c r="AZ422" s="136"/>
      <c r="BA422" s="137"/>
      <c r="BB422" s="137"/>
      <c r="BC422" s="137"/>
      <c r="BE422" s="137"/>
      <c r="BG422" s="144"/>
      <c r="BH422" s="136"/>
      <c r="BI422" s="939"/>
      <c r="BJ422" s="154"/>
      <c r="BK422" s="158"/>
      <c r="BL422" s="158"/>
      <c r="BM422" s="158"/>
      <c r="BN422" s="158"/>
    </row>
    <row r="423" spans="2:66">
      <c r="B423" s="13"/>
      <c r="C423" s="13"/>
      <c r="D423" s="13"/>
      <c r="E423" s="13"/>
      <c r="F423" s="13"/>
      <c r="G423" s="13"/>
      <c r="H423" s="13"/>
      <c r="I423" s="13"/>
      <c r="J423" s="13"/>
      <c r="K423" s="94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0"/>
      <c r="AR423" s="10"/>
      <c r="AS423" s="10"/>
      <c r="AT423" s="10"/>
      <c r="AU423" s="10"/>
      <c r="AV423" s="10"/>
      <c r="AW423" s="111"/>
      <c r="AX423" s="136"/>
      <c r="AY423" s="136"/>
      <c r="AZ423" s="136"/>
      <c r="BA423" s="137"/>
      <c r="BB423" s="137"/>
      <c r="BC423" s="137"/>
      <c r="BE423" s="137"/>
      <c r="BG423" s="144"/>
      <c r="BH423" s="136"/>
      <c r="BI423" s="939"/>
      <c r="BJ423" s="154"/>
      <c r="BK423" s="158"/>
      <c r="BL423" s="158"/>
      <c r="BM423" s="158"/>
      <c r="BN423" s="158"/>
    </row>
    <row r="424" spans="2:66">
      <c r="B424" s="13"/>
      <c r="C424" s="13"/>
      <c r="D424" s="13"/>
      <c r="E424" s="13"/>
      <c r="F424" s="13"/>
      <c r="G424" s="13"/>
      <c r="H424" s="13"/>
      <c r="I424" s="13"/>
      <c r="J424" s="13"/>
      <c r="K424" s="94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0"/>
      <c r="AR424" s="10"/>
      <c r="AS424" s="10"/>
      <c r="AT424" s="10"/>
      <c r="AU424" s="10"/>
      <c r="AV424" s="10"/>
      <c r="AW424" s="111"/>
      <c r="AX424" s="136"/>
      <c r="AY424" s="136"/>
      <c r="AZ424" s="136"/>
      <c r="BA424" s="137"/>
      <c r="BB424" s="137"/>
      <c r="BC424" s="137"/>
      <c r="BE424" s="137"/>
      <c r="BG424" s="144"/>
      <c r="BH424" s="136"/>
      <c r="BI424" s="939"/>
      <c r="BJ424" s="154"/>
      <c r="BK424" s="158"/>
      <c r="BL424" s="158"/>
      <c r="BM424" s="158"/>
      <c r="BN424" s="158"/>
    </row>
    <row r="425" spans="2:66">
      <c r="B425" s="13"/>
      <c r="C425" s="13"/>
      <c r="D425" s="13"/>
      <c r="E425" s="13"/>
      <c r="F425" s="13"/>
      <c r="G425" s="13"/>
      <c r="H425" s="13"/>
      <c r="I425" s="13"/>
      <c r="J425" s="13"/>
      <c r="K425" s="94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0"/>
      <c r="AR425" s="10"/>
      <c r="AS425" s="10"/>
      <c r="AT425" s="10"/>
      <c r="AU425" s="10"/>
      <c r="AV425" s="10"/>
      <c r="AW425" s="111"/>
      <c r="AX425" s="136"/>
      <c r="AY425" s="136"/>
      <c r="AZ425" s="136"/>
      <c r="BA425" s="137"/>
      <c r="BB425" s="137"/>
      <c r="BC425" s="137"/>
      <c r="BE425" s="137"/>
      <c r="BG425" s="144"/>
      <c r="BH425" s="136"/>
      <c r="BI425" s="939"/>
      <c r="BJ425" s="154"/>
      <c r="BK425" s="158"/>
      <c r="BL425" s="158"/>
      <c r="BM425" s="158"/>
      <c r="BN425" s="158"/>
    </row>
    <row r="426" spans="2:66">
      <c r="B426" s="13"/>
      <c r="C426" s="13"/>
      <c r="D426" s="13"/>
      <c r="E426" s="13"/>
      <c r="F426" s="13"/>
      <c r="G426" s="13"/>
      <c r="H426" s="13"/>
      <c r="I426" s="13"/>
      <c r="J426" s="13"/>
      <c r="K426" s="94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0"/>
      <c r="AR426" s="10"/>
      <c r="AS426" s="10"/>
      <c r="AT426" s="10"/>
      <c r="AU426" s="10"/>
      <c r="AV426" s="10"/>
      <c r="AW426" s="111"/>
      <c r="AX426" s="136"/>
      <c r="AY426" s="136"/>
      <c r="AZ426" s="136"/>
      <c r="BA426" s="137"/>
      <c r="BB426" s="137"/>
      <c r="BC426" s="137"/>
      <c r="BE426" s="137"/>
      <c r="BG426" s="144"/>
      <c r="BH426" s="136"/>
      <c r="BI426" s="939"/>
      <c r="BJ426" s="154"/>
      <c r="BK426" s="158"/>
      <c r="BL426" s="158"/>
      <c r="BM426" s="158"/>
      <c r="BN426" s="158"/>
    </row>
    <row r="427" spans="2:66">
      <c r="B427" s="13"/>
      <c r="C427" s="13"/>
      <c r="D427" s="13"/>
      <c r="E427" s="13"/>
      <c r="F427" s="13"/>
      <c r="G427" s="13"/>
      <c r="H427" s="13"/>
      <c r="I427" s="13"/>
      <c r="J427" s="13"/>
      <c r="K427" s="94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0"/>
      <c r="AR427" s="10"/>
      <c r="AS427" s="10"/>
      <c r="AT427" s="10"/>
      <c r="AU427" s="10"/>
      <c r="AV427" s="10"/>
      <c r="AW427" s="111"/>
      <c r="AX427" s="136"/>
      <c r="AY427" s="136"/>
      <c r="AZ427" s="136"/>
      <c r="BA427" s="137"/>
      <c r="BB427" s="137"/>
      <c r="BC427" s="137"/>
      <c r="BE427" s="137"/>
      <c r="BG427" s="144"/>
      <c r="BH427" s="136"/>
      <c r="BI427" s="939"/>
      <c r="BJ427" s="154"/>
      <c r="BK427" s="158"/>
      <c r="BL427" s="158"/>
      <c r="BM427" s="158"/>
      <c r="BN427" s="158"/>
    </row>
    <row r="428" spans="2:66">
      <c r="B428" s="13"/>
      <c r="C428" s="13"/>
      <c r="D428" s="13"/>
      <c r="E428" s="13"/>
      <c r="F428" s="13"/>
      <c r="G428" s="13"/>
      <c r="H428" s="13"/>
      <c r="I428" s="13"/>
      <c r="J428" s="13"/>
      <c r="K428" s="94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0"/>
      <c r="AR428" s="10"/>
      <c r="AS428" s="10"/>
      <c r="AT428" s="10"/>
      <c r="AU428" s="10"/>
      <c r="AV428" s="10"/>
      <c r="AW428" s="111"/>
      <c r="AX428" s="136"/>
      <c r="AY428" s="136"/>
      <c r="AZ428" s="136"/>
      <c r="BA428" s="137"/>
      <c r="BB428" s="137"/>
      <c r="BC428" s="137"/>
      <c r="BE428" s="137"/>
      <c r="BG428" s="144"/>
      <c r="BH428" s="136"/>
      <c r="BI428" s="939"/>
      <c r="BJ428" s="154"/>
      <c r="BK428" s="158"/>
      <c r="BL428" s="158"/>
      <c r="BM428" s="158"/>
      <c r="BN428" s="158"/>
    </row>
    <row r="429" spans="2:66">
      <c r="B429" s="13"/>
      <c r="C429" s="13"/>
      <c r="D429" s="13"/>
      <c r="E429" s="13"/>
      <c r="F429" s="13"/>
      <c r="G429" s="13"/>
      <c r="H429" s="13"/>
      <c r="I429" s="13"/>
      <c r="J429" s="13"/>
      <c r="K429" s="94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0"/>
      <c r="AR429" s="10"/>
      <c r="AS429" s="10"/>
      <c r="AT429" s="10"/>
      <c r="AU429" s="10"/>
      <c r="AV429" s="10"/>
      <c r="AW429" s="111"/>
      <c r="AX429" s="136"/>
      <c r="AY429" s="136"/>
      <c r="AZ429" s="136"/>
      <c r="BA429" s="137"/>
      <c r="BB429" s="137"/>
      <c r="BC429" s="137"/>
      <c r="BE429" s="137"/>
      <c r="BG429" s="144"/>
      <c r="BH429" s="136"/>
      <c r="BI429" s="939"/>
      <c r="BJ429" s="154"/>
      <c r="BK429" s="158"/>
      <c r="BL429" s="158"/>
      <c r="BM429" s="158"/>
      <c r="BN429" s="158"/>
    </row>
    <row r="430" spans="2:66">
      <c r="B430" s="13"/>
      <c r="C430" s="13"/>
      <c r="D430" s="13"/>
      <c r="E430" s="13"/>
      <c r="F430" s="13"/>
      <c r="G430" s="13"/>
      <c r="H430" s="13"/>
      <c r="I430" s="13"/>
      <c r="J430" s="13"/>
      <c r="K430" s="94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0"/>
      <c r="AR430" s="10"/>
      <c r="AS430" s="10"/>
      <c r="AT430" s="10"/>
      <c r="AU430" s="10"/>
      <c r="AV430" s="10"/>
      <c r="AW430" s="111"/>
      <c r="AX430" s="136"/>
      <c r="AY430" s="136"/>
      <c r="AZ430" s="136"/>
      <c r="BA430" s="137"/>
      <c r="BB430" s="137"/>
      <c r="BC430" s="137"/>
      <c r="BE430" s="137"/>
      <c r="BG430" s="144"/>
      <c r="BH430" s="136"/>
      <c r="BI430" s="939"/>
      <c r="BJ430" s="154"/>
      <c r="BK430" s="158"/>
      <c r="BL430" s="158"/>
      <c r="BM430" s="158"/>
      <c r="BN430" s="158"/>
    </row>
    <row r="431" spans="2:66">
      <c r="B431" s="13"/>
      <c r="C431" s="13"/>
      <c r="D431" s="13"/>
      <c r="E431" s="13"/>
      <c r="F431" s="13"/>
      <c r="G431" s="13"/>
      <c r="H431" s="13"/>
      <c r="I431" s="13"/>
      <c r="J431" s="13"/>
      <c r="K431" s="94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0"/>
      <c r="AR431" s="10"/>
      <c r="AS431" s="10"/>
      <c r="AT431" s="10"/>
      <c r="AU431" s="10"/>
      <c r="AV431" s="10"/>
      <c r="AW431" s="111"/>
      <c r="AX431" s="136"/>
      <c r="AY431" s="136"/>
      <c r="AZ431" s="136"/>
      <c r="BA431" s="137"/>
      <c r="BB431" s="137"/>
      <c r="BC431" s="137"/>
      <c r="BE431" s="137"/>
      <c r="BG431" s="144"/>
      <c r="BH431" s="136"/>
      <c r="BI431" s="939"/>
      <c r="BJ431" s="154"/>
      <c r="BK431" s="158"/>
      <c r="BL431" s="158"/>
      <c r="BM431" s="158"/>
      <c r="BN431" s="158"/>
    </row>
    <row r="432" spans="2:66">
      <c r="B432" s="13"/>
      <c r="C432" s="13"/>
      <c r="D432" s="13"/>
      <c r="E432" s="13"/>
      <c r="F432" s="13"/>
      <c r="G432" s="13"/>
      <c r="H432" s="13"/>
      <c r="I432" s="13"/>
      <c r="J432" s="13"/>
      <c r="K432" s="94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0"/>
      <c r="AR432" s="10"/>
      <c r="AS432" s="10"/>
      <c r="AT432" s="10"/>
      <c r="AU432" s="10"/>
      <c r="AV432" s="10"/>
      <c r="AW432" s="111"/>
      <c r="AX432" s="136"/>
      <c r="AY432" s="136"/>
      <c r="AZ432" s="136"/>
      <c r="BA432" s="137"/>
      <c r="BB432" s="137"/>
      <c r="BC432" s="137"/>
      <c r="BE432" s="137"/>
      <c r="BG432" s="144"/>
      <c r="BH432" s="136"/>
      <c r="BI432" s="939"/>
      <c r="BJ432" s="154"/>
      <c r="BK432" s="158"/>
      <c r="BL432" s="158"/>
      <c r="BM432" s="158"/>
      <c r="BN432" s="158"/>
    </row>
    <row r="433" spans="2:66">
      <c r="B433" s="13"/>
      <c r="C433" s="13"/>
      <c r="D433" s="13"/>
      <c r="E433" s="13"/>
      <c r="F433" s="13"/>
      <c r="G433" s="13"/>
      <c r="H433" s="13"/>
      <c r="I433" s="13"/>
      <c r="J433" s="13"/>
      <c r="K433" s="94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0"/>
      <c r="AR433" s="10"/>
      <c r="AS433" s="10"/>
      <c r="AT433" s="10"/>
      <c r="AU433" s="10"/>
      <c r="AV433" s="10"/>
      <c r="AW433" s="111"/>
      <c r="AX433" s="136"/>
      <c r="AY433" s="136"/>
      <c r="AZ433" s="136"/>
      <c r="BA433" s="137"/>
      <c r="BB433" s="137"/>
      <c r="BC433" s="137"/>
      <c r="BE433" s="137"/>
      <c r="BG433" s="144"/>
      <c r="BH433" s="136"/>
      <c r="BI433" s="939"/>
      <c r="BJ433" s="154"/>
      <c r="BK433" s="158"/>
      <c r="BL433" s="158"/>
      <c r="BM433" s="158"/>
      <c r="BN433" s="158"/>
    </row>
    <row r="434" spans="2:66">
      <c r="B434" s="13"/>
      <c r="C434" s="13"/>
      <c r="D434" s="13"/>
      <c r="E434" s="13"/>
      <c r="F434" s="13"/>
      <c r="G434" s="13"/>
      <c r="H434" s="13"/>
      <c r="I434" s="13"/>
      <c r="J434" s="13"/>
      <c r="K434" s="94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0"/>
      <c r="AR434" s="10"/>
      <c r="AS434" s="10"/>
      <c r="AT434" s="10"/>
      <c r="AU434" s="10"/>
      <c r="AV434" s="10"/>
      <c r="AW434" s="111"/>
      <c r="AX434" s="136"/>
      <c r="AY434" s="136"/>
      <c r="AZ434" s="136"/>
      <c r="BA434" s="137"/>
      <c r="BB434" s="137"/>
      <c r="BC434" s="137"/>
      <c r="BE434" s="137"/>
      <c r="BG434" s="144"/>
      <c r="BH434" s="136"/>
      <c r="BI434" s="939"/>
      <c r="BJ434" s="154"/>
      <c r="BK434" s="158"/>
      <c r="BL434" s="158"/>
      <c r="BM434" s="158"/>
      <c r="BN434" s="158"/>
    </row>
    <row r="435" spans="2:66">
      <c r="B435" s="13"/>
      <c r="C435" s="13"/>
      <c r="D435" s="13"/>
      <c r="E435" s="13"/>
      <c r="F435" s="13"/>
      <c r="G435" s="13"/>
      <c r="H435" s="13"/>
      <c r="I435" s="13"/>
      <c r="J435" s="13"/>
      <c r="K435" s="94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0"/>
      <c r="AR435" s="10"/>
      <c r="AS435" s="10"/>
      <c r="AT435" s="10"/>
      <c r="AU435" s="10"/>
      <c r="AV435" s="10"/>
      <c r="AW435" s="111"/>
      <c r="AX435" s="136"/>
      <c r="AY435" s="136"/>
      <c r="AZ435" s="136"/>
      <c r="BA435" s="137"/>
      <c r="BB435" s="137"/>
      <c r="BC435" s="137"/>
      <c r="BE435" s="137"/>
      <c r="BG435" s="144"/>
      <c r="BH435" s="136"/>
      <c r="BI435" s="939"/>
      <c r="BJ435" s="154"/>
      <c r="BK435" s="158"/>
      <c r="BL435" s="158"/>
      <c r="BM435" s="158"/>
      <c r="BN435" s="158"/>
    </row>
    <row r="436" spans="2:66">
      <c r="B436" s="13"/>
      <c r="C436" s="13"/>
      <c r="D436" s="13"/>
      <c r="E436" s="13"/>
      <c r="F436" s="13"/>
      <c r="G436" s="13"/>
      <c r="H436" s="13"/>
      <c r="I436" s="13"/>
      <c r="J436" s="13"/>
      <c r="K436" s="94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0"/>
      <c r="AR436" s="10"/>
      <c r="AS436" s="10"/>
      <c r="AT436" s="10"/>
      <c r="AU436" s="10"/>
      <c r="AV436" s="10"/>
      <c r="AW436" s="111"/>
      <c r="AX436" s="136"/>
      <c r="AY436" s="136"/>
      <c r="AZ436" s="136"/>
      <c r="BA436" s="137"/>
      <c r="BB436" s="137"/>
      <c r="BC436" s="137"/>
      <c r="BE436" s="137"/>
      <c r="BG436" s="144"/>
      <c r="BH436" s="136"/>
      <c r="BI436" s="939"/>
      <c r="BJ436" s="154"/>
      <c r="BK436" s="158"/>
      <c r="BL436" s="158"/>
      <c r="BM436" s="158"/>
      <c r="BN436" s="158"/>
    </row>
    <row r="437" spans="2:66">
      <c r="B437" s="13"/>
      <c r="C437" s="13"/>
      <c r="D437" s="13"/>
      <c r="E437" s="13"/>
      <c r="F437" s="13"/>
      <c r="G437" s="13"/>
      <c r="H437" s="13"/>
      <c r="I437" s="13"/>
      <c r="J437" s="13"/>
      <c r="K437" s="94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0"/>
      <c r="AR437" s="10"/>
      <c r="AS437" s="10"/>
      <c r="AT437" s="10"/>
      <c r="AU437" s="10"/>
      <c r="AV437" s="10"/>
      <c r="AW437" s="111"/>
      <c r="AX437" s="136"/>
      <c r="AY437" s="136"/>
      <c r="AZ437" s="136"/>
      <c r="BA437" s="137"/>
      <c r="BB437" s="137"/>
      <c r="BC437" s="137"/>
      <c r="BE437" s="137"/>
      <c r="BG437" s="144"/>
      <c r="BH437" s="136"/>
      <c r="BI437" s="939"/>
      <c r="BJ437" s="154"/>
      <c r="BK437" s="158"/>
      <c r="BL437" s="158"/>
      <c r="BM437" s="158"/>
      <c r="BN437" s="158"/>
    </row>
    <row r="438" spans="2:66">
      <c r="B438" s="13"/>
      <c r="C438" s="13"/>
      <c r="D438" s="13"/>
      <c r="E438" s="13"/>
      <c r="F438" s="13"/>
      <c r="G438" s="13"/>
      <c r="H438" s="13"/>
      <c r="I438" s="13"/>
      <c r="J438" s="13"/>
      <c r="K438" s="94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0"/>
      <c r="AR438" s="10"/>
      <c r="AS438" s="10"/>
      <c r="AT438" s="10"/>
      <c r="AU438" s="10"/>
      <c r="AV438" s="10"/>
      <c r="AW438" s="111"/>
      <c r="AX438" s="136"/>
      <c r="AY438" s="136"/>
      <c r="AZ438" s="136"/>
      <c r="BA438" s="137"/>
      <c r="BB438" s="137"/>
      <c r="BC438" s="137"/>
      <c r="BE438" s="137"/>
      <c r="BG438" s="144"/>
      <c r="BH438" s="136"/>
      <c r="BI438" s="939"/>
      <c r="BJ438" s="154"/>
      <c r="BK438" s="158"/>
      <c r="BL438" s="158"/>
      <c r="BM438" s="158"/>
      <c r="BN438" s="158"/>
    </row>
    <row r="439" spans="2:66">
      <c r="B439" s="13"/>
      <c r="C439" s="13"/>
      <c r="D439" s="13"/>
      <c r="E439" s="13"/>
      <c r="F439" s="13"/>
      <c r="G439" s="13"/>
      <c r="H439" s="13"/>
      <c r="I439" s="13"/>
      <c r="J439" s="13"/>
      <c r="K439" s="94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0"/>
      <c r="AR439" s="10"/>
      <c r="AS439" s="10"/>
      <c r="AT439" s="10"/>
      <c r="AU439" s="10"/>
      <c r="AV439" s="10"/>
      <c r="AW439" s="111"/>
      <c r="AX439" s="136"/>
      <c r="AY439" s="136"/>
      <c r="AZ439" s="136"/>
      <c r="BA439" s="137"/>
      <c r="BB439" s="137"/>
      <c r="BC439" s="137"/>
      <c r="BE439" s="137"/>
      <c r="BG439" s="144"/>
      <c r="BH439" s="136"/>
      <c r="BI439" s="939"/>
      <c r="BJ439" s="154"/>
      <c r="BK439" s="158"/>
      <c r="BL439" s="158"/>
      <c r="BM439" s="158"/>
      <c r="BN439" s="158"/>
    </row>
    <row r="440" spans="2:66">
      <c r="B440" s="13"/>
      <c r="C440" s="13"/>
      <c r="D440" s="13"/>
      <c r="E440" s="13"/>
      <c r="F440" s="13"/>
      <c r="G440" s="13"/>
      <c r="H440" s="13"/>
      <c r="I440" s="13"/>
      <c r="J440" s="13"/>
      <c r="K440" s="94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0"/>
      <c r="AR440" s="10"/>
      <c r="AS440" s="10"/>
      <c r="AT440" s="10"/>
      <c r="AU440" s="10"/>
      <c r="AV440" s="10"/>
      <c r="AW440" s="111"/>
      <c r="AX440" s="136"/>
      <c r="AY440" s="136"/>
      <c r="AZ440" s="136"/>
      <c r="BA440" s="137"/>
      <c r="BB440" s="137"/>
      <c r="BC440" s="137"/>
      <c r="BE440" s="137"/>
      <c r="BG440" s="144"/>
      <c r="BH440" s="136"/>
      <c r="BI440" s="939"/>
      <c r="BJ440" s="154"/>
      <c r="BK440" s="158"/>
      <c r="BL440" s="158"/>
      <c r="BM440" s="158"/>
      <c r="BN440" s="158"/>
    </row>
    <row r="441" spans="2:66">
      <c r="B441" s="13"/>
      <c r="C441" s="13"/>
      <c r="D441" s="13"/>
      <c r="E441" s="13"/>
      <c r="F441" s="13"/>
      <c r="G441" s="13"/>
      <c r="H441" s="13"/>
      <c r="I441" s="13"/>
      <c r="J441" s="13"/>
      <c r="K441" s="94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0"/>
      <c r="AR441" s="10"/>
      <c r="AS441" s="10"/>
      <c r="AT441" s="10"/>
      <c r="AU441" s="10"/>
      <c r="AV441" s="10"/>
      <c r="AW441" s="111"/>
      <c r="AX441" s="136"/>
      <c r="AY441" s="136"/>
      <c r="AZ441" s="136"/>
      <c r="BA441" s="137"/>
      <c r="BB441" s="137"/>
      <c r="BC441" s="137"/>
      <c r="BE441" s="137"/>
      <c r="BG441" s="144"/>
      <c r="BH441" s="136"/>
      <c r="BI441" s="939"/>
      <c r="BJ441" s="154"/>
      <c r="BK441" s="158"/>
      <c r="BL441" s="158"/>
      <c r="BM441" s="158"/>
      <c r="BN441" s="158"/>
    </row>
    <row r="442" spans="2:66">
      <c r="B442" s="13"/>
      <c r="C442" s="13"/>
      <c r="D442" s="13"/>
      <c r="E442" s="13"/>
      <c r="F442" s="13"/>
      <c r="G442" s="13"/>
      <c r="H442" s="13"/>
      <c r="I442" s="13"/>
      <c r="J442" s="13"/>
      <c r="K442" s="94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0"/>
      <c r="AR442" s="10"/>
      <c r="AS442" s="10"/>
      <c r="AT442" s="10"/>
      <c r="AU442" s="10"/>
      <c r="AV442" s="10"/>
      <c r="AW442" s="111"/>
      <c r="AX442" s="136"/>
      <c r="AY442" s="136"/>
      <c r="AZ442" s="136"/>
      <c r="BA442" s="137"/>
      <c r="BB442" s="137"/>
      <c r="BC442" s="137"/>
      <c r="BE442" s="137"/>
      <c r="BG442" s="144"/>
      <c r="BH442" s="136"/>
      <c r="BI442" s="939"/>
      <c r="BJ442" s="154"/>
      <c r="BK442" s="158"/>
      <c r="BL442" s="158"/>
      <c r="BM442" s="158"/>
      <c r="BN442" s="158"/>
    </row>
    <row r="443" spans="2:66">
      <c r="B443" s="13"/>
      <c r="C443" s="13"/>
      <c r="D443" s="13"/>
      <c r="E443" s="13"/>
      <c r="F443" s="13"/>
      <c r="G443" s="13"/>
      <c r="H443" s="13"/>
      <c r="I443" s="13"/>
      <c r="J443" s="13"/>
      <c r="K443" s="94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0"/>
      <c r="AR443" s="10"/>
      <c r="AS443" s="10"/>
      <c r="AT443" s="10"/>
      <c r="AU443" s="10"/>
      <c r="AV443" s="10"/>
      <c r="AW443" s="111"/>
      <c r="AX443" s="136"/>
      <c r="AY443" s="136"/>
      <c r="AZ443" s="136"/>
      <c r="BA443" s="137"/>
      <c r="BB443" s="137"/>
      <c r="BC443" s="137"/>
      <c r="BE443" s="137"/>
      <c r="BG443" s="144"/>
      <c r="BH443" s="136"/>
      <c r="BI443" s="939"/>
      <c r="BJ443" s="154"/>
      <c r="BK443" s="158"/>
      <c r="BL443" s="158"/>
      <c r="BM443" s="158"/>
      <c r="BN443" s="158"/>
    </row>
    <row r="444" spans="2:66">
      <c r="B444" s="13"/>
      <c r="C444" s="13"/>
      <c r="D444" s="13"/>
      <c r="E444" s="13"/>
      <c r="F444" s="13"/>
      <c r="G444" s="13"/>
      <c r="H444" s="13"/>
      <c r="I444" s="13"/>
      <c r="J444" s="13"/>
      <c r="K444" s="94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0"/>
      <c r="AR444" s="10"/>
      <c r="AS444" s="10"/>
      <c r="AT444" s="10"/>
      <c r="AU444" s="10"/>
      <c r="AV444" s="10"/>
      <c r="AW444" s="111"/>
      <c r="AX444" s="136"/>
      <c r="AY444" s="136"/>
      <c r="AZ444" s="136"/>
      <c r="BA444" s="137"/>
      <c r="BB444" s="137"/>
      <c r="BC444" s="137"/>
      <c r="BE444" s="137"/>
      <c r="BG444" s="144"/>
      <c r="BH444" s="136"/>
      <c r="BI444" s="939"/>
      <c r="BJ444" s="154"/>
      <c r="BK444" s="158"/>
      <c r="BL444" s="158"/>
      <c r="BM444" s="158"/>
      <c r="BN444" s="158"/>
    </row>
    <row r="445" spans="2:66">
      <c r="B445" s="13"/>
      <c r="C445" s="13"/>
      <c r="D445" s="13"/>
      <c r="E445" s="13"/>
      <c r="F445" s="13"/>
      <c r="G445" s="13"/>
      <c r="H445" s="13"/>
      <c r="I445" s="13"/>
      <c r="J445" s="13"/>
      <c r="K445" s="94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0"/>
      <c r="AR445" s="10"/>
      <c r="AS445" s="10"/>
      <c r="AT445" s="10"/>
      <c r="AU445" s="10"/>
      <c r="AV445" s="10"/>
      <c r="AW445" s="111"/>
      <c r="AX445" s="136"/>
      <c r="AY445" s="136"/>
      <c r="AZ445" s="136"/>
      <c r="BA445" s="137"/>
      <c r="BB445" s="137"/>
      <c r="BC445" s="137"/>
      <c r="BE445" s="137"/>
      <c r="BG445" s="144"/>
      <c r="BH445" s="136"/>
      <c r="BI445" s="939"/>
      <c r="BJ445" s="154"/>
      <c r="BK445" s="158"/>
      <c r="BL445" s="158"/>
      <c r="BM445" s="158"/>
      <c r="BN445" s="158"/>
    </row>
    <row r="446" spans="2:66">
      <c r="B446" s="13"/>
      <c r="C446" s="13"/>
      <c r="D446" s="13"/>
      <c r="E446" s="13"/>
      <c r="F446" s="13"/>
      <c r="G446" s="13"/>
      <c r="H446" s="13"/>
      <c r="I446" s="13"/>
      <c r="J446" s="13"/>
      <c r="K446" s="94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0"/>
      <c r="AR446" s="10"/>
      <c r="AS446" s="10"/>
      <c r="AT446" s="10"/>
      <c r="AU446" s="10"/>
      <c r="AV446" s="10"/>
      <c r="AW446" s="111"/>
      <c r="AX446" s="136"/>
      <c r="AY446" s="136"/>
      <c r="AZ446" s="136"/>
      <c r="BA446" s="137"/>
      <c r="BB446" s="137"/>
      <c r="BC446" s="137"/>
      <c r="BE446" s="137"/>
      <c r="BG446" s="144"/>
      <c r="BH446" s="136"/>
      <c r="BI446" s="939"/>
      <c r="BJ446" s="154"/>
      <c r="BK446" s="158"/>
      <c r="BL446" s="158"/>
      <c r="BM446" s="158"/>
      <c r="BN446" s="158"/>
    </row>
    <row r="447" spans="2:66">
      <c r="B447" s="13"/>
      <c r="C447" s="13"/>
      <c r="D447" s="13"/>
      <c r="E447" s="13"/>
      <c r="F447" s="13"/>
      <c r="G447" s="13"/>
      <c r="H447" s="13"/>
      <c r="I447" s="13"/>
      <c r="J447" s="13"/>
      <c r="K447" s="94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0"/>
      <c r="AR447" s="10"/>
      <c r="AS447" s="10"/>
      <c r="AT447" s="10"/>
      <c r="AU447" s="10"/>
      <c r="AV447" s="10"/>
      <c r="AW447" s="111"/>
      <c r="AX447" s="136"/>
      <c r="AY447" s="136"/>
      <c r="AZ447" s="136"/>
      <c r="BA447" s="137"/>
      <c r="BB447" s="137"/>
      <c r="BC447" s="137"/>
      <c r="BE447" s="137"/>
      <c r="BG447" s="144"/>
      <c r="BH447" s="136"/>
      <c r="BI447" s="939"/>
      <c r="BJ447" s="154"/>
      <c r="BK447" s="158"/>
      <c r="BL447" s="158"/>
      <c r="BM447" s="158"/>
      <c r="BN447" s="158"/>
    </row>
    <row r="448" spans="2:66">
      <c r="B448" s="13"/>
      <c r="C448" s="13"/>
      <c r="D448" s="13"/>
      <c r="E448" s="13"/>
      <c r="F448" s="13"/>
      <c r="G448" s="13"/>
      <c r="H448" s="13"/>
      <c r="I448" s="13"/>
      <c r="J448" s="13"/>
      <c r="K448" s="94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0"/>
      <c r="AR448" s="10"/>
      <c r="AS448" s="10"/>
      <c r="AT448" s="10"/>
      <c r="AU448" s="10"/>
      <c r="AV448" s="10"/>
      <c r="AW448" s="111"/>
      <c r="AX448" s="136"/>
      <c r="AY448" s="136"/>
      <c r="AZ448" s="136"/>
      <c r="BA448" s="137"/>
      <c r="BB448" s="137"/>
      <c r="BC448" s="137"/>
      <c r="BE448" s="137"/>
      <c r="BG448" s="144"/>
      <c r="BH448" s="136"/>
      <c r="BI448" s="939"/>
      <c r="BJ448" s="154"/>
      <c r="BK448" s="158"/>
      <c r="BL448" s="158"/>
      <c r="BM448" s="158"/>
      <c r="BN448" s="158"/>
    </row>
    <row r="449" spans="2:66">
      <c r="B449" s="13"/>
      <c r="C449" s="13"/>
      <c r="D449" s="13"/>
      <c r="E449" s="13"/>
      <c r="F449" s="13"/>
      <c r="G449" s="13"/>
      <c r="H449" s="13"/>
      <c r="I449" s="13"/>
      <c r="J449" s="13"/>
      <c r="K449" s="94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0"/>
      <c r="AR449" s="10"/>
      <c r="AS449" s="10"/>
      <c r="AT449" s="10"/>
      <c r="AU449" s="10"/>
      <c r="AV449" s="10"/>
      <c r="AW449" s="111"/>
      <c r="AX449" s="136"/>
      <c r="AY449" s="136"/>
      <c r="AZ449" s="136"/>
      <c r="BA449" s="137"/>
      <c r="BB449" s="137"/>
      <c r="BC449" s="137"/>
      <c r="BE449" s="137"/>
      <c r="BG449" s="144"/>
      <c r="BH449" s="136"/>
      <c r="BI449" s="939"/>
      <c r="BJ449" s="154"/>
      <c r="BK449" s="158"/>
      <c r="BL449" s="158"/>
      <c r="BM449" s="158"/>
      <c r="BN449" s="158"/>
    </row>
    <row r="450" spans="2:66">
      <c r="B450" s="13"/>
      <c r="C450" s="13"/>
      <c r="D450" s="13"/>
      <c r="E450" s="13"/>
      <c r="F450" s="13"/>
      <c r="G450" s="13"/>
      <c r="H450" s="13"/>
      <c r="I450" s="13"/>
      <c r="J450" s="13"/>
      <c r="K450" s="94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0"/>
      <c r="AR450" s="10"/>
      <c r="AS450" s="10"/>
      <c r="AT450" s="10"/>
      <c r="AU450" s="10"/>
      <c r="AV450" s="10"/>
      <c r="AW450" s="111"/>
      <c r="AX450" s="136"/>
      <c r="AY450" s="136"/>
      <c r="AZ450" s="136"/>
      <c r="BA450" s="137"/>
      <c r="BB450" s="137"/>
      <c r="BC450" s="137"/>
      <c r="BE450" s="137"/>
      <c r="BG450" s="144"/>
      <c r="BH450" s="136"/>
      <c r="BI450" s="939"/>
      <c r="BJ450" s="154"/>
      <c r="BK450" s="158"/>
      <c r="BL450" s="158"/>
      <c r="BM450" s="158"/>
      <c r="BN450" s="158"/>
    </row>
    <row r="451" spans="2:66">
      <c r="B451" s="13"/>
      <c r="C451" s="13"/>
      <c r="D451" s="13"/>
      <c r="E451" s="13"/>
      <c r="F451" s="13"/>
      <c r="G451" s="13"/>
      <c r="H451" s="13"/>
      <c r="I451" s="13"/>
      <c r="J451" s="13"/>
      <c r="K451" s="94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0"/>
      <c r="AR451" s="10"/>
      <c r="AS451" s="10"/>
      <c r="AT451" s="10"/>
      <c r="AU451" s="10"/>
      <c r="AV451" s="10"/>
      <c r="AW451" s="111"/>
      <c r="AX451" s="136"/>
      <c r="AY451" s="136"/>
      <c r="AZ451" s="136"/>
      <c r="BA451" s="137"/>
      <c r="BB451" s="137"/>
      <c r="BC451" s="137"/>
      <c r="BE451" s="137"/>
      <c r="BG451" s="144"/>
      <c r="BH451" s="136"/>
      <c r="BI451" s="939"/>
      <c r="BJ451" s="154"/>
      <c r="BK451" s="158"/>
      <c r="BL451" s="158"/>
      <c r="BM451" s="158"/>
      <c r="BN451" s="158"/>
    </row>
    <row r="452" spans="2:66">
      <c r="B452" s="13"/>
      <c r="C452" s="13"/>
      <c r="D452" s="13"/>
      <c r="E452" s="13"/>
      <c r="F452" s="13"/>
      <c r="G452" s="13"/>
      <c r="H452" s="13"/>
      <c r="I452" s="13"/>
      <c r="J452" s="13"/>
      <c r="K452" s="94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0"/>
      <c r="AR452" s="10"/>
      <c r="AS452" s="10"/>
      <c r="AT452" s="10"/>
      <c r="AU452" s="10"/>
      <c r="AV452" s="10"/>
      <c r="AW452" s="111"/>
      <c r="AX452" s="136"/>
      <c r="AY452" s="136"/>
      <c r="AZ452" s="136"/>
      <c r="BA452" s="137"/>
      <c r="BB452" s="137"/>
      <c r="BC452" s="137"/>
      <c r="BE452" s="137"/>
      <c r="BG452" s="144"/>
      <c r="BH452" s="136"/>
      <c r="BI452" s="939"/>
      <c r="BJ452" s="154"/>
      <c r="BK452" s="158"/>
      <c r="BL452" s="158"/>
      <c r="BM452" s="158"/>
      <c r="BN452" s="158"/>
    </row>
    <row r="453" spans="2:66">
      <c r="B453" s="13"/>
      <c r="C453" s="13"/>
      <c r="D453" s="13"/>
      <c r="E453" s="13"/>
      <c r="F453" s="13"/>
      <c r="G453" s="13"/>
      <c r="H453" s="13"/>
      <c r="I453" s="13"/>
      <c r="J453" s="13"/>
      <c r="K453" s="94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0"/>
      <c r="AR453" s="10"/>
      <c r="AS453" s="10"/>
      <c r="AT453" s="10"/>
      <c r="AU453" s="10"/>
      <c r="AV453" s="10"/>
      <c r="AW453" s="111"/>
      <c r="AX453" s="136"/>
      <c r="AY453" s="136"/>
      <c r="AZ453" s="136"/>
      <c r="BA453" s="137"/>
      <c r="BB453" s="137"/>
      <c r="BC453" s="137"/>
      <c r="BE453" s="137"/>
      <c r="BG453" s="144"/>
      <c r="BH453" s="136"/>
      <c r="BI453" s="939"/>
      <c r="BJ453" s="154"/>
      <c r="BK453" s="158"/>
      <c r="BL453" s="158"/>
      <c r="BM453" s="158"/>
      <c r="BN453" s="158"/>
    </row>
    <row r="454" spans="2:66">
      <c r="B454" s="13"/>
      <c r="C454" s="13"/>
      <c r="D454" s="13"/>
      <c r="E454" s="13"/>
      <c r="F454" s="13"/>
      <c r="G454" s="13"/>
      <c r="H454" s="13"/>
      <c r="I454" s="13"/>
      <c r="J454" s="13"/>
      <c r="K454" s="94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0"/>
      <c r="AR454" s="10"/>
      <c r="AS454" s="10"/>
      <c r="AT454" s="10"/>
      <c r="AU454" s="10"/>
      <c r="AV454" s="10"/>
      <c r="AW454" s="111"/>
      <c r="AX454" s="136"/>
      <c r="AY454" s="136"/>
      <c r="AZ454" s="136"/>
      <c r="BA454" s="137"/>
      <c r="BB454" s="137"/>
      <c r="BC454" s="137"/>
      <c r="BE454" s="137"/>
      <c r="BG454" s="144"/>
      <c r="BH454" s="136"/>
      <c r="BI454" s="939"/>
      <c r="BJ454" s="154"/>
      <c r="BK454" s="158"/>
      <c r="BL454" s="158"/>
      <c r="BM454" s="158"/>
      <c r="BN454" s="158"/>
    </row>
    <row r="455" spans="2:66">
      <c r="B455" s="13"/>
      <c r="C455" s="13"/>
      <c r="D455" s="13"/>
      <c r="E455" s="13"/>
      <c r="F455" s="13"/>
      <c r="G455" s="13"/>
      <c r="H455" s="13"/>
      <c r="I455" s="13"/>
      <c r="J455" s="13"/>
      <c r="K455" s="94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0"/>
      <c r="AR455" s="10"/>
      <c r="AS455" s="10"/>
      <c r="AT455" s="10"/>
      <c r="AU455" s="10"/>
      <c r="AV455" s="10"/>
      <c r="AW455" s="111"/>
      <c r="AX455" s="136"/>
      <c r="AY455" s="136"/>
      <c r="AZ455" s="136"/>
      <c r="BA455" s="137"/>
      <c r="BB455" s="137"/>
      <c r="BC455" s="137"/>
      <c r="BE455" s="137"/>
      <c r="BG455" s="144"/>
      <c r="BH455" s="136"/>
      <c r="BI455" s="939"/>
      <c r="BJ455" s="154"/>
      <c r="BK455" s="158"/>
      <c r="BL455" s="158"/>
      <c r="BM455" s="158"/>
      <c r="BN455" s="158"/>
    </row>
    <row r="456" spans="2:66">
      <c r="B456" s="13"/>
      <c r="C456" s="13"/>
      <c r="D456" s="13"/>
      <c r="E456" s="13"/>
      <c r="F456" s="13"/>
      <c r="G456" s="13"/>
      <c r="H456" s="13"/>
      <c r="I456" s="13"/>
      <c r="J456" s="13"/>
      <c r="K456" s="94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0"/>
      <c r="AR456" s="10"/>
      <c r="AS456" s="10"/>
      <c r="AT456" s="10"/>
      <c r="AU456" s="10"/>
      <c r="AV456" s="10"/>
      <c r="AW456" s="111"/>
      <c r="AX456" s="136"/>
      <c r="AY456" s="136"/>
      <c r="AZ456" s="136"/>
      <c r="BA456" s="137"/>
      <c r="BB456" s="137"/>
      <c r="BC456" s="137"/>
      <c r="BE456" s="137"/>
      <c r="BG456" s="144"/>
      <c r="BH456" s="136"/>
      <c r="BI456" s="939"/>
      <c r="BJ456" s="154"/>
      <c r="BK456" s="158"/>
      <c r="BL456" s="158"/>
      <c r="BM456" s="158"/>
      <c r="BN456" s="158"/>
    </row>
    <row r="457" spans="2:66">
      <c r="B457" s="13"/>
      <c r="C457" s="13"/>
      <c r="D457" s="13"/>
      <c r="E457" s="13"/>
      <c r="F457" s="13"/>
      <c r="G457" s="13"/>
      <c r="H457" s="13"/>
      <c r="I457" s="13"/>
      <c r="J457" s="13"/>
      <c r="K457" s="94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0"/>
      <c r="AR457" s="10"/>
      <c r="AS457" s="10"/>
      <c r="AT457" s="10"/>
      <c r="AU457" s="10"/>
      <c r="AV457" s="10"/>
      <c r="AW457" s="111"/>
      <c r="AX457" s="136"/>
      <c r="AY457" s="136"/>
      <c r="AZ457" s="136"/>
      <c r="BA457" s="137"/>
      <c r="BB457" s="137"/>
      <c r="BC457" s="137"/>
      <c r="BE457" s="137"/>
      <c r="BG457" s="144"/>
      <c r="BH457" s="136"/>
      <c r="BI457" s="939"/>
      <c r="BJ457" s="154"/>
      <c r="BK457" s="158"/>
      <c r="BL457" s="158"/>
      <c r="BM457" s="158"/>
      <c r="BN457" s="158"/>
    </row>
    <row r="458" spans="2:66">
      <c r="B458" s="13"/>
      <c r="C458" s="13"/>
      <c r="D458" s="13"/>
      <c r="E458" s="13"/>
      <c r="F458" s="13"/>
      <c r="G458" s="13"/>
      <c r="H458" s="13"/>
      <c r="I458" s="13"/>
      <c r="J458" s="13"/>
      <c r="K458" s="94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0"/>
      <c r="AR458" s="10"/>
      <c r="AS458" s="10"/>
      <c r="AT458" s="10"/>
      <c r="AU458" s="10"/>
      <c r="AV458" s="10"/>
      <c r="AW458" s="111"/>
      <c r="AX458" s="136"/>
      <c r="AY458" s="136"/>
      <c r="AZ458" s="136"/>
      <c r="BA458" s="137"/>
      <c r="BB458" s="137"/>
      <c r="BC458" s="137"/>
      <c r="BE458" s="137"/>
      <c r="BG458" s="144"/>
      <c r="BH458" s="136"/>
      <c r="BI458" s="939"/>
      <c r="BJ458" s="154"/>
      <c r="BK458" s="158"/>
      <c r="BL458" s="158"/>
      <c r="BM458" s="158"/>
      <c r="BN458" s="158"/>
    </row>
    <row r="459" spans="2:66">
      <c r="B459" s="13"/>
      <c r="C459" s="13"/>
      <c r="D459" s="13"/>
      <c r="E459" s="13"/>
      <c r="F459" s="13"/>
      <c r="G459" s="13"/>
      <c r="H459" s="13"/>
      <c r="I459" s="13"/>
      <c r="J459" s="13"/>
      <c r="K459" s="94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0"/>
      <c r="AR459" s="10"/>
      <c r="AS459" s="10"/>
      <c r="AT459" s="10"/>
      <c r="AU459" s="10"/>
      <c r="AV459" s="10"/>
      <c r="AW459" s="111"/>
      <c r="AX459" s="136"/>
      <c r="AY459" s="136"/>
      <c r="AZ459" s="136"/>
      <c r="BA459" s="137"/>
      <c r="BB459" s="137"/>
      <c r="BC459" s="137"/>
      <c r="BE459" s="137"/>
      <c r="BG459" s="144"/>
      <c r="BH459" s="136"/>
      <c r="BI459" s="939"/>
      <c r="BJ459" s="154"/>
      <c r="BK459" s="158"/>
      <c r="BL459" s="158"/>
      <c r="BM459" s="158"/>
      <c r="BN459" s="158"/>
    </row>
    <row r="460" spans="2:66">
      <c r="B460" s="13"/>
      <c r="C460" s="13"/>
      <c r="D460" s="13"/>
      <c r="E460" s="13"/>
      <c r="F460" s="13"/>
      <c r="G460" s="13"/>
      <c r="H460" s="13"/>
      <c r="I460" s="13"/>
      <c r="J460" s="13"/>
      <c r="K460" s="94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0"/>
      <c r="AR460" s="10"/>
      <c r="AS460" s="10"/>
      <c r="AT460" s="10"/>
      <c r="AU460" s="10"/>
      <c r="AV460" s="10"/>
      <c r="AW460" s="111"/>
      <c r="AX460" s="136"/>
      <c r="AY460" s="136"/>
      <c r="AZ460" s="136"/>
      <c r="BA460" s="137"/>
      <c r="BB460" s="137"/>
      <c r="BC460" s="137"/>
      <c r="BE460" s="137"/>
      <c r="BG460" s="144"/>
      <c r="BH460" s="136"/>
      <c r="BI460" s="939"/>
      <c r="BJ460" s="154"/>
      <c r="BK460" s="158"/>
      <c r="BL460" s="158"/>
      <c r="BM460" s="158"/>
      <c r="BN460" s="158"/>
    </row>
    <row r="461" spans="2:66">
      <c r="B461" s="13"/>
      <c r="C461" s="13"/>
      <c r="D461" s="13"/>
      <c r="E461" s="13"/>
      <c r="F461" s="13"/>
      <c r="G461" s="13"/>
      <c r="H461" s="13"/>
      <c r="I461" s="13"/>
      <c r="J461" s="13"/>
      <c r="K461" s="94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0"/>
      <c r="AR461" s="10"/>
      <c r="AS461" s="10"/>
      <c r="AT461" s="10"/>
      <c r="AU461" s="10"/>
      <c r="AV461" s="10"/>
      <c r="AW461" s="111"/>
      <c r="AX461" s="136"/>
      <c r="AY461" s="136"/>
      <c r="AZ461" s="136"/>
      <c r="BA461" s="137"/>
      <c r="BB461" s="137"/>
      <c r="BC461" s="137"/>
      <c r="BE461" s="137"/>
      <c r="BG461" s="144"/>
      <c r="BH461" s="136"/>
      <c r="BI461" s="939"/>
      <c r="BJ461" s="154"/>
      <c r="BK461" s="158"/>
      <c r="BL461" s="158"/>
      <c r="BM461" s="158"/>
      <c r="BN461" s="158"/>
    </row>
    <row r="462" spans="2:66">
      <c r="B462" s="13"/>
      <c r="C462" s="13"/>
      <c r="D462" s="13"/>
      <c r="E462" s="13"/>
      <c r="F462" s="13"/>
      <c r="G462" s="13"/>
      <c r="H462" s="13"/>
      <c r="I462" s="13"/>
      <c r="J462" s="13"/>
      <c r="K462" s="94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0"/>
      <c r="AR462" s="10"/>
      <c r="AS462" s="10"/>
      <c r="AT462" s="10"/>
      <c r="AU462" s="10"/>
      <c r="AV462" s="10"/>
      <c r="AW462" s="111"/>
      <c r="AX462" s="136"/>
      <c r="AY462" s="136"/>
      <c r="AZ462" s="136"/>
      <c r="BA462" s="137"/>
      <c r="BB462" s="137"/>
      <c r="BC462" s="137"/>
      <c r="BE462" s="137"/>
      <c r="BG462" s="144"/>
      <c r="BH462" s="136"/>
      <c r="BI462" s="939"/>
      <c r="BJ462" s="154"/>
      <c r="BK462" s="158"/>
      <c r="BL462" s="158"/>
      <c r="BM462" s="158"/>
      <c r="BN462" s="158"/>
    </row>
    <row r="463" spans="2:66">
      <c r="B463" s="13"/>
      <c r="C463" s="13"/>
      <c r="D463" s="13"/>
      <c r="E463" s="13"/>
      <c r="F463" s="13"/>
      <c r="G463" s="13"/>
      <c r="H463" s="13"/>
      <c r="I463" s="13"/>
      <c r="J463" s="13"/>
      <c r="K463" s="94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0"/>
      <c r="AR463" s="10"/>
      <c r="AS463" s="10"/>
      <c r="AT463" s="10"/>
      <c r="AU463" s="10"/>
      <c r="AV463" s="10"/>
      <c r="AW463" s="111"/>
      <c r="AX463" s="136"/>
      <c r="AY463" s="136"/>
      <c r="AZ463" s="136"/>
      <c r="BA463" s="137"/>
      <c r="BB463" s="137"/>
      <c r="BC463" s="137"/>
      <c r="BE463" s="137"/>
      <c r="BG463" s="144"/>
      <c r="BH463" s="136"/>
      <c r="BI463" s="939"/>
      <c r="BJ463" s="154"/>
      <c r="BK463" s="158"/>
      <c r="BL463" s="158"/>
      <c r="BM463" s="158"/>
      <c r="BN463" s="158"/>
    </row>
    <row r="464" spans="2:66">
      <c r="B464" s="13"/>
      <c r="C464" s="13"/>
      <c r="D464" s="13"/>
      <c r="E464" s="13"/>
      <c r="F464" s="13"/>
      <c r="G464" s="13"/>
      <c r="H464" s="13"/>
      <c r="I464" s="13"/>
      <c r="J464" s="13"/>
      <c r="K464" s="94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0"/>
      <c r="AR464" s="10"/>
      <c r="AS464" s="10"/>
      <c r="AT464" s="10"/>
      <c r="AU464" s="10"/>
      <c r="AV464" s="10"/>
      <c r="AW464" s="111"/>
      <c r="AX464" s="136"/>
      <c r="AY464" s="136"/>
      <c r="AZ464" s="136"/>
      <c r="BA464" s="137"/>
      <c r="BB464" s="137"/>
      <c r="BC464" s="137"/>
      <c r="BE464" s="137"/>
      <c r="BG464" s="144"/>
      <c r="BH464" s="136"/>
      <c r="BI464" s="939"/>
      <c r="BJ464" s="154"/>
      <c r="BK464" s="158"/>
      <c r="BL464" s="158"/>
      <c r="BM464" s="158"/>
      <c r="BN464" s="158"/>
    </row>
    <row r="465" spans="2:66">
      <c r="B465" s="13"/>
      <c r="C465" s="13"/>
      <c r="D465" s="13"/>
      <c r="E465" s="13"/>
      <c r="F465" s="13"/>
      <c r="G465" s="13"/>
      <c r="H465" s="13"/>
      <c r="I465" s="13"/>
      <c r="J465" s="13"/>
      <c r="K465" s="94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0"/>
      <c r="AR465" s="10"/>
      <c r="AS465" s="10"/>
      <c r="AT465" s="10"/>
      <c r="AU465" s="10"/>
      <c r="AV465" s="10"/>
      <c r="AW465" s="111"/>
      <c r="AX465" s="136"/>
      <c r="AY465" s="136"/>
      <c r="AZ465" s="136"/>
      <c r="BA465" s="137"/>
      <c r="BB465" s="137"/>
      <c r="BC465" s="137"/>
      <c r="BE465" s="137"/>
      <c r="BG465" s="144"/>
      <c r="BH465" s="136"/>
      <c r="BI465" s="939"/>
      <c r="BJ465" s="154"/>
      <c r="BK465" s="158"/>
      <c r="BL465" s="158"/>
      <c r="BM465" s="158"/>
      <c r="BN465" s="158"/>
    </row>
    <row r="466" spans="2:66">
      <c r="B466" s="13"/>
      <c r="C466" s="13"/>
      <c r="D466" s="13"/>
      <c r="E466" s="13"/>
      <c r="F466" s="13"/>
      <c r="G466" s="13"/>
      <c r="H466" s="13"/>
      <c r="I466" s="13"/>
      <c r="J466" s="13"/>
      <c r="K466" s="94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0"/>
      <c r="AR466" s="10"/>
      <c r="AS466" s="10"/>
      <c r="AT466" s="10"/>
      <c r="AU466" s="10"/>
      <c r="AV466" s="10"/>
      <c r="AW466" s="111"/>
      <c r="AX466" s="136"/>
      <c r="AY466" s="136"/>
      <c r="AZ466" s="136"/>
      <c r="BA466" s="137"/>
      <c r="BB466" s="137"/>
      <c r="BC466" s="137"/>
      <c r="BE466" s="137"/>
      <c r="BG466" s="144"/>
      <c r="BH466" s="136"/>
      <c r="BI466" s="939"/>
      <c r="BJ466" s="154"/>
      <c r="BK466" s="158"/>
      <c r="BL466" s="158"/>
      <c r="BM466" s="158"/>
      <c r="BN466" s="158"/>
    </row>
    <row r="467" spans="2:66">
      <c r="B467" s="13"/>
      <c r="C467" s="13"/>
      <c r="D467" s="13"/>
      <c r="E467" s="13"/>
      <c r="F467" s="13"/>
      <c r="G467" s="13"/>
      <c r="H467" s="13"/>
      <c r="I467" s="13"/>
      <c r="J467" s="13"/>
      <c r="K467" s="94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0"/>
      <c r="AR467" s="10"/>
      <c r="AS467" s="10"/>
      <c r="AT467" s="10"/>
      <c r="AU467" s="10"/>
      <c r="AV467" s="10"/>
      <c r="AW467" s="111"/>
      <c r="AX467" s="136"/>
      <c r="AY467" s="136"/>
      <c r="AZ467" s="136"/>
      <c r="BA467" s="137"/>
      <c r="BB467" s="137"/>
      <c r="BC467" s="137"/>
      <c r="BE467" s="137"/>
      <c r="BG467" s="144"/>
      <c r="BH467" s="136"/>
      <c r="BI467" s="939"/>
      <c r="BJ467" s="154"/>
      <c r="BK467" s="158"/>
      <c r="BL467" s="158"/>
      <c r="BM467" s="158"/>
      <c r="BN467" s="158"/>
    </row>
    <row r="468" spans="2:66">
      <c r="B468" s="13"/>
      <c r="C468" s="13"/>
      <c r="D468" s="13"/>
      <c r="E468" s="13"/>
      <c r="F468" s="13"/>
      <c r="G468" s="13"/>
      <c r="H468" s="13"/>
      <c r="I468" s="13"/>
      <c r="J468" s="13"/>
      <c r="K468" s="94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0"/>
      <c r="AR468" s="10"/>
      <c r="AS468" s="10"/>
      <c r="AT468" s="10"/>
      <c r="AU468" s="10"/>
      <c r="AV468" s="10"/>
      <c r="AW468" s="111"/>
      <c r="AX468" s="136"/>
      <c r="AY468" s="136"/>
      <c r="AZ468" s="136"/>
      <c r="BA468" s="137"/>
      <c r="BB468" s="137"/>
      <c r="BC468" s="137"/>
      <c r="BE468" s="137"/>
      <c r="BG468" s="144"/>
      <c r="BH468" s="136"/>
      <c r="BI468" s="939"/>
      <c r="BJ468" s="154"/>
      <c r="BK468" s="158"/>
      <c r="BL468" s="158"/>
      <c r="BM468" s="158"/>
      <c r="BN468" s="158"/>
    </row>
    <row r="469" spans="2:66">
      <c r="B469" s="13"/>
      <c r="C469" s="13"/>
      <c r="D469" s="13"/>
      <c r="E469" s="13"/>
      <c r="F469" s="13"/>
      <c r="G469" s="13"/>
      <c r="H469" s="13"/>
      <c r="I469" s="13"/>
      <c r="J469" s="13"/>
      <c r="K469" s="94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0"/>
      <c r="AR469" s="10"/>
      <c r="AS469" s="10"/>
      <c r="AT469" s="10"/>
      <c r="AU469" s="10"/>
      <c r="AV469" s="10"/>
      <c r="AW469" s="111"/>
      <c r="AX469" s="136"/>
      <c r="AY469" s="136"/>
      <c r="AZ469" s="136"/>
      <c r="BA469" s="137"/>
      <c r="BB469" s="137"/>
      <c r="BC469" s="137"/>
      <c r="BE469" s="137"/>
      <c r="BG469" s="144"/>
      <c r="BH469" s="136"/>
      <c r="BI469" s="939"/>
      <c r="BJ469" s="154"/>
      <c r="BK469" s="158"/>
      <c r="BL469" s="158"/>
      <c r="BM469" s="158"/>
      <c r="BN469" s="158"/>
    </row>
    <row r="470" spans="2:66">
      <c r="B470" s="13"/>
      <c r="C470" s="13"/>
      <c r="D470" s="13"/>
      <c r="E470" s="13"/>
      <c r="F470" s="13"/>
      <c r="G470" s="13"/>
      <c r="H470" s="13"/>
      <c r="I470" s="13"/>
      <c r="J470" s="13"/>
      <c r="K470" s="94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0"/>
      <c r="AR470" s="10"/>
      <c r="AS470" s="10"/>
      <c r="AT470" s="10"/>
      <c r="AU470" s="10"/>
      <c r="AV470" s="10"/>
      <c r="AW470" s="111"/>
      <c r="AX470" s="136"/>
      <c r="AY470" s="136"/>
      <c r="AZ470" s="136"/>
      <c r="BA470" s="137"/>
      <c r="BB470" s="137"/>
      <c r="BC470" s="137"/>
      <c r="BE470" s="137"/>
      <c r="BG470" s="144"/>
      <c r="BH470" s="136"/>
      <c r="BI470" s="939"/>
      <c r="BJ470" s="154"/>
      <c r="BK470" s="158"/>
      <c r="BL470" s="158"/>
      <c r="BM470" s="158"/>
      <c r="BN470" s="158"/>
    </row>
    <row r="471" spans="2:66">
      <c r="B471" s="13"/>
      <c r="C471" s="13"/>
      <c r="D471" s="13"/>
      <c r="E471" s="13"/>
      <c r="F471" s="13"/>
      <c r="G471" s="13"/>
      <c r="H471" s="13"/>
      <c r="I471" s="13"/>
      <c r="J471" s="13"/>
      <c r="K471" s="94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0"/>
      <c r="AR471" s="10"/>
      <c r="AS471" s="10"/>
      <c r="AT471" s="10"/>
      <c r="AU471" s="10"/>
      <c r="AV471" s="10"/>
      <c r="AW471" s="111"/>
      <c r="AX471" s="136"/>
      <c r="AY471" s="136"/>
      <c r="AZ471" s="136"/>
      <c r="BA471" s="137"/>
      <c r="BB471" s="137"/>
      <c r="BC471" s="137"/>
      <c r="BE471" s="137"/>
      <c r="BG471" s="144"/>
      <c r="BH471" s="136"/>
      <c r="BI471" s="939"/>
      <c r="BJ471" s="154"/>
      <c r="BK471" s="158"/>
      <c r="BL471" s="158"/>
      <c r="BM471" s="158"/>
      <c r="BN471" s="158"/>
    </row>
    <row r="472" spans="2:66">
      <c r="B472" s="13"/>
      <c r="C472" s="13"/>
      <c r="D472" s="13"/>
      <c r="E472" s="13"/>
      <c r="F472" s="13"/>
      <c r="G472" s="13"/>
      <c r="H472" s="13"/>
      <c r="I472" s="13"/>
      <c r="J472" s="13"/>
      <c r="K472" s="94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0"/>
      <c r="AR472" s="10"/>
      <c r="AS472" s="10"/>
      <c r="AT472" s="10"/>
      <c r="AU472" s="10"/>
      <c r="AV472" s="10"/>
      <c r="AW472" s="111"/>
      <c r="AX472" s="136"/>
      <c r="AY472" s="136"/>
      <c r="AZ472" s="136"/>
      <c r="BA472" s="137"/>
      <c r="BB472" s="137"/>
      <c r="BC472" s="137"/>
      <c r="BE472" s="137"/>
      <c r="BG472" s="144"/>
      <c r="BH472" s="136"/>
      <c r="BI472" s="939"/>
      <c r="BJ472" s="154"/>
      <c r="BK472" s="158"/>
      <c r="BL472" s="158"/>
      <c r="BM472" s="158"/>
      <c r="BN472" s="158"/>
    </row>
    <row r="473" spans="2:66">
      <c r="B473" s="13"/>
      <c r="C473" s="13"/>
      <c r="D473" s="13"/>
      <c r="E473" s="13"/>
      <c r="F473" s="13"/>
      <c r="G473" s="13"/>
      <c r="H473" s="13"/>
      <c r="I473" s="13"/>
      <c r="J473" s="13"/>
      <c r="K473" s="94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0"/>
      <c r="AR473" s="10"/>
      <c r="AS473" s="10"/>
      <c r="AT473" s="10"/>
      <c r="AU473" s="10"/>
      <c r="AV473" s="10"/>
      <c r="AW473" s="111"/>
      <c r="AX473" s="136"/>
      <c r="AY473" s="136"/>
      <c r="AZ473" s="136"/>
      <c r="BA473" s="137"/>
      <c r="BB473" s="137"/>
      <c r="BC473" s="137"/>
      <c r="BE473" s="137"/>
      <c r="BG473" s="144"/>
      <c r="BH473" s="136"/>
      <c r="BI473" s="939"/>
      <c r="BJ473" s="154"/>
      <c r="BK473" s="158"/>
      <c r="BL473" s="158"/>
      <c r="BM473" s="158"/>
      <c r="BN473" s="158"/>
    </row>
    <row r="474" spans="2:66">
      <c r="B474" s="13"/>
      <c r="C474" s="13"/>
      <c r="D474" s="13"/>
      <c r="E474" s="13"/>
      <c r="F474" s="13"/>
      <c r="G474" s="13"/>
      <c r="H474" s="13"/>
      <c r="I474" s="13"/>
      <c r="J474" s="13"/>
      <c r="K474" s="94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0"/>
      <c r="AR474" s="10"/>
      <c r="AS474" s="10"/>
      <c r="AT474" s="10"/>
      <c r="AU474" s="10"/>
      <c r="AV474" s="10"/>
      <c r="AW474" s="111"/>
      <c r="AX474" s="136"/>
      <c r="AY474" s="136"/>
      <c r="AZ474" s="136"/>
      <c r="BA474" s="137"/>
      <c r="BB474" s="137"/>
      <c r="BC474" s="137"/>
      <c r="BE474" s="137"/>
      <c r="BG474" s="144"/>
      <c r="BH474" s="136"/>
      <c r="BI474" s="939"/>
      <c r="BJ474" s="154"/>
      <c r="BK474" s="158"/>
      <c r="BL474" s="158"/>
      <c r="BM474" s="158"/>
      <c r="BN474" s="158"/>
    </row>
    <row r="475" spans="2:66">
      <c r="B475" s="13"/>
      <c r="C475" s="13"/>
      <c r="D475" s="13"/>
      <c r="E475" s="13"/>
      <c r="F475" s="13"/>
      <c r="G475" s="13"/>
      <c r="H475" s="13"/>
      <c r="I475" s="13"/>
      <c r="J475" s="13"/>
      <c r="K475" s="94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0"/>
      <c r="AR475" s="10"/>
      <c r="AS475" s="10"/>
      <c r="AT475" s="10"/>
      <c r="AU475" s="10"/>
      <c r="AV475" s="10"/>
      <c r="AW475" s="111"/>
      <c r="AX475" s="136"/>
      <c r="AY475" s="136"/>
      <c r="AZ475" s="136"/>
      <c r="BA475" s="137"/>
      <c r="BB475" s="137"/>
      <c r="BC475" s="137"/>
      <c r="BE475" s="137"/>
      <c r="BG475" s="144"/>
      <c r="BH475" s="136"/>
      <c r="BI475" s="939"/>
      <c r="BJ475" s="154"/>
      <c r="BK475" s="158"/>
      <c r="BL475" s="158"/>
      <c r="BM475" s="158"/>
      <c r="BN475" s="158"/>
    </row>
    <row r="476" spans="2:66">
      <c r="B476" s="13"/>
      <c r="C476" s="13"/>
      <c r="D476" s="13"/>
      <c r="E476" s="13"/>
      <c r="F476" s="13"/>
      <c r="G476" s="13"/>
      <c r="H476" s="13"/>
      <c r="I476" s="13"/>
      <c r="J476" s="13"/>
      <c r="K476" s="94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0"/>
      <c r="AR476" s="10"/>
      <c r="AS476" s="10"/>
      <c r="AT476" s="10"/>
      <c r="AU476" s="10"/>
      <c r="AV476" s="10"/>
      <c r="AW476" s="111"/>
      <c r="AX476" s="136"/>
      <c r="AY476" s="136"/>
      <c r="AZ476" s="136"/>
      <c r="BA476" s="137"/>
      <c r="BB476" s="137"/>
      <c r="BC476" s="137"/>
      <c r="BE476" s="137"/>
      <c r="BG476" s="144"/>
      <c r="BH476" s="136"/>
      <c r="BI476" s="939"/>
      <c r="BJ476" s="154"/>
      <c r="BK476" s="158"/>
      <c r="BL476" s="158"/>
      <c r="BM476" s="158"/>
      <c r="BN476" s="158"/>
    </row>
    <row r="477" spans="2:66">
      <c r="B477" s="13"/>
      <c r="C477" s="13"/>
      <c r="D477" s="13"/>
      <c r="E477" s="13"/>
      <c r="F477" s="13"/>
      <c r="G477" s="13"/>
      <c r="H477" s="13"/>
      <c r="I477" s="13"/>
      <c r="J477" s="13"/>
      <c r="K477" s="94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0"/>
      <c r="AR477" s="10"/>
      <c r="AS477" s="10"/>
      <c r="AT477" s="10"/>
      <c r="AU477" s="10"/>
      <c r="AV477" s="10"/>
      <c r="AW477" s="111"/>
      <c r="AX477" s="136"/>
      <c r="AY477" s="136"/>
      <c r="AZ477" s="136"/>
      <c r="BA477" s="137"/>
      <c r="BB477" s="137"/>
      <c r="BC477" s="137"/>
      <c r="BE477" s="137"/>
      <c r="BG477" s="144"/>
      <c r="BH477" s="136"/>
      <c r="BI477" s="939"/>
      <c r="BJ477" s="154"/>
      <c r="BK477" s="158"/>
      <c r="BL477" s="158"/>
      <c r="BM477" s="158"/>
      <c r="BN477" s="158"/>
    </row>
    <row r="478" spans="2:66">
      <c r="B478" s="13"/>
      <c r="C478" s="13"/>
      <c r="D478" s="13"/>
      <c r="E478" s="13"/>
      <c r="F478" s="13"/>
      <c r="G478" s="13"/>
      <c r="H478" s="13"/>
      <c r="I478" s="13"/>
      <c r="J478" s="13"/>
      <c r="K478" s="94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0"/>
      <c r="AR478" s="10"/>
      <c r="AS478" s="10"/>
      <c r="AT478" s="10"/>
      <c r="AU478" s="10"/>
      <c r="AV478" s="10"/>
      <c r="AW478" s="111"/>
      <c r="AX478" s="136"/>
      <c r="AY478" s="136"/>
      <c r="AZ478" s="136"/>
      <c r="BA478" s="137"/>
      <c r="BB478" s="137"/>
      <c r="BC478" s="137"/>
      <c r="BE478" s="137"/>
      <c r="BG478" s="144"/>
      <c r="BH478" s="136"/>
      <c r="BI478" s="939"/>
      <c r="BJ478" s="154"/>
      <c r="BK478" s="158"/>
      <c r="BL478" s="158"/>
      <c r="BM478" s="158"/>
      <c r="BN478" s="158"/>
    </row>
    <row r="479" spans="2:66">
      <c r="B479" s="13"/>
      <c r="C479" s="13"/>
      <c r="D479" s="13"/>
      <c r="E479" s="13"/>
      <c r="F479" s="13"/>
      <c r="G479" s="13"/>
      <c r="H479" s="13"/>
      <c r="I479" s="13"/>
      <c r="J479" s="13"/>
      <c r="K479" s="94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0"/>
      <c r="AR479" s="10"/>
      <c r="AS479" s="10"/>
      <c r="AT479" s="10"/>
      <c r="AU479" s="10"/>
      <c r="AV479" s="10"/>
      <c r="AW479" s="111"/>
      <c r="AX479" s="136"/>
      <c r="AY479" s="136"/>
      <c r="AZ479" s="136"/>
      <c r="BA479" s="137"/>
      <c r="BB479" s="137"/>
      <c r="BC479" s="137"/>
      <c r="BE479" s="137"/>
      <c r="BG479" s="144"/>
      <c r="BH479" s="136"/>
      <c r="BI479" s="939"/>
      <c r="BJ479" s="154"/>
      <c r="BK479" s="158"/>
      <c r="BL479" s="158"/>
      <c r="BM479" s="158"/>
      <c r="BN479" s="158"/>
    </row>
    <row r="480" spans="2:66">
      <c r="B480" s="13"/>
      <c r="C480" s="13"/>
      <c r="D480" s="13"/>
      <c r="E480" s="13"/>
      <c r="F480" s="13"/>
      <c r="G480" s="13"/>
      <c r="H480" s="13"/>
      <c r="I480" s="13"/>
      <c r="J480" s="13"/>
      <c r="K480" s="94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0"/>
      <c r="AR480" s="10"/>
      <c r="AS480" s="10"/>
      <c r="AT480" s="10"/>
      <c r="AU480" s="10"/>
      <c r="AV480" s="10"/>
      <c r="AW480" s="111"/>
      <c r="AX480" s="136"/>
      <c r="AY480" s="136"/>
      <c r="AZ480" s="136"/>
      <c r="BA480" s="137"/>
      <c r="BB480" s="137"/>
      <c r="BC480" s="137"/>
      <c r="BE480" s="137"/>
      <c r="BG480" s="144"/>
      <c r="BH480" s="136"/>
      <c r="BI480" s="939"/>
      <c r="BJ480" s="154"/>
      <c r="BK480" s="158"/>
      <c r="BL480" s="158"/>
      <c r="BM480" s="158"/>
      <c r="BN480" s="158"/>
    </row>
    <row r="481" spans="2:66">
      <c r="B481" s="13"/>
      <c r="C481" s="13"/>
      <c r="D481" s="13"/>
      <c r="E481" s="13"/>
      <c r="F481" s="13"/>
      <c r="G481" s="13"/>
      <c r="H481" s="13"/>
      <c r="I481" s="13"/>
      <c r="J481" s="13"/>
      <c r="K481" s="94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0"/>
      <c r="AR481" s="10"/>
      <c r="AS481" s="10"/>
      <c r="AT481" s="10"/>
      <c r="AU481" s="10"/>
      <c r="AV481" s="10"/>
      <c r="AW481" s="111"/>
      <c r="AX481" s="136"/>
      <c r="AY481" s="136"/>
      <c r="AZ481" s="136"/>
      <c r="BA481" s="137"/>
      <c r="BB481" s="137"/>
      <c r="BC481" s="137"/>
      <c r="BE481" s="137"/>
      <c r="BG481" s="144"/>
      <c r="BH481" s="136"/>
      <c r="BI481" s="939"/>
      <c r="BJ481" s="154"/>
      <c r="BK481" s="158"/>
      <c r="BL481" s="158"/>
      <c r="BM481" s="158"/>
      <c r="BN481" s="158"/>
    </row>
    <row r="482" spans="2:66">
      <c r="B482" s="13"/>
      <c r="C482" s="13"/>
      <c r="D482" s="13"/>
      <c r="E482" s="13"/>
      <c r="F482" s="13"/>
      <c r="G482" s="13"/>
      <c r="H482" s="13"/>
      <c r="I482" s="13"/>
      <c r="J482" s="13"/>
      <c r="K482" s="94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0"/>
      <c r="AR482" s="10"/>
      <c r="AS482" s="10"/>
      <c r="AT482" s="10"/>
      <c r="AU482" s="10"/>
      <c r="AV482" s="10"/>
      <c r="AW482" s="111"/>
      <c r="AX482" s="136"/>
      <c r="AY482" s="136"/>
      <c r="AZ482" s="136"/>
      <c r="BA482" s="137"/>
      <c r="BB482" s="137"/>
      <c r="BC482" s="137"/>
      <c r="BE482" s="137"/>
      <c r="BG482" s="144"/>
      <c r="BH482" s="136"/>
      <c r="BI482" s="939"/>
      <c r="BJ482" s="154"/>
      <c r="BK482" s="158"/>
      <c r="BL482" s="158"/>
      <c r="BM482" s="158"/>
      <c r="BN482" s="158"/>
    </row>
    <row r="483" spans="2:66">
      <c r="B483" s="13"/>
      <c r="C483" s="13"/>
      <c r="D483" s="13"/>
      <c r="E483" s="13"/>
      <c r="F483" s="13"/>
      <c r="G483" s="13"/>
      <c r="H483" s="13"/>
      <c r="I483" s="13"/>
      <c r="J483" s="13"/>
      <c r="K483" s="94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0"/>
      <c r="AR483" s="10"/>
      <c r="AS483" s="10"/>
      <c r="AT483" s="10"/>
      <c r="AU483" s="10"/>
      <c r="AV483" s="10"/>
      <c r="AW483" s="111"/>
      <c r="AX483" s="136"/>
      <c r="AY483" s="136"/>
      <c r="AZ483" s="136"/>
      <c r="BA483" s="137"/>
      <c r="BB483" s="137"/>
      <c r="BC483" s="137"/>
      <c r="BE483" s="137"/>
      <c r="BG483" s="144"/>
      <c r="BH483" s="136"/>
      <c r="BI483" s="939"/>
      <c r="BJ483" s="154"/>
      <c r="BK483" s="158"/>
      <c r="BL483" s="158"/>
      <c r="BM483" s="158"/>
      <c r="BN483" s="158"/>
    </row>
    <row r="484" spans="2:66">
      <c r="B484" s="13"/>
      <c r="C484" s="13"/>
      <c r="D484" s="13"/>
      <c r="E484" s="13"/>
      <c r="F484" s="13"/>
      <c r="G484" s="13"/>
      <c r="H484" s="13"/>
      <c r="I484" s="13"/>
      <c r="J484" s="13"/>
      <c r="K484" s="94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0"/>
      <c r="AR484" s="10"/>
      <c r="AS484" s="10"/>
      <c r="AT484" s="10"/>
      <c r="AU484" s="10"/>
      <c r="AV484" s="10"/>
      <c r="AW484" s="111"/>
      <c r="AX484" s="136"/>
      <c r="AY484" s="136"/>
      <c r="AZ484" s="136"/>
      <c r="BA484" s="137"/>
      <c r="BB484" s="137"/>
      <c r="BC484" s="137"/>
      <c r="BE484" s="137"/>
      <c r="BG484" s="144"/>
      <c r="BH484" s="136"/>
      <c r="BI484" s="939"/>
      <c r="BJ484" s="154"/>
      <c r="BK484" s="158"/>
      <c r="BL484" s="158"/>
      <c r="BM484" s="158"/>
      <c r="BN484" s="158"/>
    </row>
    <row r="485" spans="2:66">
      <c r="B485" s="13"/>
      <c r="C485" s="13"/>
      <c r="D485" s="13"/>
      <c r="E485" s="13"/>
      <c r="F485" s="13"/>
      <c r="G485" s="13"/>
      <c r="H485" s="13"/>
      <c r="I485" s="13"/>
      <c r="J485" s="13"/>
      <c r="K485" s="94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0"/>
      <c r="AR485" s="10"/>
      <c r="AS485" s="10"/>
      <c r="AT485" s="10"/>
      <c r="AU485" s="10"/>
      <c r="AV485" s="10"/>
      <c r="AW485" s="111"/>
      <c r="AX485" s="136"/>
      <c r="AY485" s="136"/>
      <c r="AZ485" s="136"/>
      <c r="BA485" s="137"/>
      <c r="BB485" s="137"/>
      <c r="BC485" s="137"/>
      <c r="BE485" s="137"/>
      <c r="BG485" s="144"/>
      <c r="BH485" s="136"/>
      <c r="BI485" s="939"/>
      <c r="BJ485" s="154"/>
      <c r="BK485" s="158"/>
      <c r="BL485" s="158"/>
      <c r="BM485" s="158"/>
      <c r="BN485" s="158"/>
    </row>
    <row r="486" spans="2:66">
      <c r="B486" s="13"/>
      <c r="C486" s="13"/>
      <c r="D486" s="13"/>
      <c r="E486" s="13"/>
      <c r="F486" s="13"/>
      <c r="G486" s="13"/>
      <c r="H486" s="13"/>
      <c r="I486" s="13"/>
      <c r="J486" s="13"/>
      <c r="K486" s="94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0"/>
      <c r="AR486" s="10"/>
      <c r="AS486" s="10"/>
      <c r="AT486" s="10"/>
      <c r="AU486" s="10"/>
      <c r="AV486" s="10"/>
      <c r="AW486" s="111"/>
      <c r="AX486" s="136"/>
      <c r="AY486" s="136"/>
      <c r="AZ486" s="136"/>
      <c r="BA486" s="137"/>
      <c r="BB486" s="137"/>
      <c r="BC486" s="137"/>
      <c r="BE486" s="137"/>
      <c r="BG486" s="144"/>
      <c r="BH486" s="136"/>
      <c r="BI486" s="939"/>
      <c r="BJ486" s="154"/>
      <c r="BK486" s="158"/>
      <c r="BL486" s="158"/>
      <c r="BM486" s="158"/>
      <c r="BN486" s="158"/>
    </row>
    <row r="487" spans="2:66">
      <c r="B487" s="13"/>
      <c r="C487" s="13"/>
      <c r="D487" s="13"/>
      <c r="E487" s="13"/>
      <c r="F487" s="13"/>
      <c r="G487" s="13"/>
      <c r="H487" s="13"/>
      <c r="I487" s="13"/>
      <c r="J487" s="13"/>
      <c r="K487" s="94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0"/>
      <c r="AR487" s="10"/>
      <c r="AS487" s="10"/>
      <c r="AT487" s="10"/>
      <c r="AU487" s="10"/>
      <c r="AV487" s="10"/>
      <c r="AW487" s="111"/>
      <c r="AX487" s="136"/>
      <c r="AY487" s="136"/>
      <c r="AZ487" s="136"/>
      <c r="BA487" s="137"/>
      <c r="BB487" s="137"/>
      <c r="BC487" s="137"/>
      <c r="BE487" s="137"/>
      <c r="BG487" s="144"/>
      <c r="BH487" s="136"/>
      <c r="BI487" s="939"/>
      <c r="BJ487" s="154"/>
      <c r="BK487" s="158"/>
      <c r="BL487" s="158"/>
      <c r="BM487" s="158"/>
      <c r="BN487" s="158"/>
    </row>
    <row r="488" spans="2:66">
      <c r="B488" s="13"/>
      <c r="C488" s="13"/>
      <c r="D488" s="13"/>
      <c r="E488" s="13"/>
      <c r="F488" s="13"/>
      <c r="G488" s="13"/>
      <c r="H488" s="13"/>
      <c r="I488" s="13"/>
      <c r="J488" s="13"/>
      <c r="K488" s="94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0"/>
      <c r="AR488" s="10"/>
      <c r="AS488" s="10"/>
      <c r="AT488" s="10"/>
      <c r="AU488" s="10"/>
      <c r="AV488" s="10"/>
      <c r="AW488" s="111"/>
      <c r="AX488" s="136"/>
      <c r="AY488" s="136"/>
      <c r="AZ488" s="136"/>
      <c r="BA488" s="137"/>
      <c r="BB488" s="137"/>
      <c r="BC488" s="137"/>
      <c r="BE488" s="137"/>
      <c r="BG488" s="144"/>
      <c r="BH488" s="136"/>
      <c r="BI488" s="939"/>
      <c r="BJ488" s="154"/>
      <c r="BK488" s="158"/>
      <c r="BL488" s="158"/>
      <c r="BM488" s="158"/>
      <c r="BN488" s="158"/>
    </row>
    <row r="489" spans="2:66">
      <c r="B489" s="13"/>
      <c r="C489" s="13"/>
      <c r="D489" s="13"/>
      <c r="E489" s="13"/>
      <c r="F489" s="13"/>
      <c r="G489" s="13"/>
      <c r="H489" s="13"/>
      <c r="I489" s="13"/>
      <c r="J489" s="13"/>
      <c r="K489" s="94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0"/>
      <c r="AR489" s="10"/>
      <c r="AS489" s="10"/>
      <c r="AT489" s="10"/>
      <c r="AU489" s="10"/>
      <c r="AV489" s="10"/>
      <c r="AW489" s="111"/>
      <c r="AX489" s="136"/>
      <c r="AY489" s="136"/>
      <c r="AZ489" s="136"/>
      <c r="BA489" s="137"/>
      <c r="BB489" s="137"/>
      <c r="BC489" s="137"/>
      <c r="BE489" s="137"/>
      <c r="BG489" s="144"/>
      <c r="BH489" s="136"/>
      <c r="BI489" s="939"/>
      <c r="BJ489" s="154"/>
      <c r="BK489" s="158"/>
      <c r="BL489" s="158"/>
      <c r="BM489" s="158"/>
      <c r="BN489" s="158"/>
    </row>
    <row r="490" spans="2:66">
      <c r="B490" s="13"/>
      <c r="C490" s="13"/>
      <c r="D490" s="13"/>
      <c r="E490" s="13"/>
      <c r="F490" s="13"/>
      <c r="G490" s="13"/>
      <c r="H490" s="13"/>
      <c r="I490" s="13"/>
      <c r="J490" s="13"/>
      <c r="K490" s="94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0"/>
      <c r="AR490" s="10"/>
      <c r="AS490" s="10"/>
      <c r="AT490" s="10"/>
      <c r="AU490" s="10"/>
      <c r="AV490" s="10"/>
      <c r="AW490" s="111"/>
      <c r="AX490" s="136"/>
      <c r="AY490" s="136"/>
      <c r="AZ490" s="136"/>
      <c r="BA490" s="137"/>
      <c r="BB490" s="137"/>
      <c r="BC490" s="137"/>
      <c r="BE490" s="137"/>
      <c r="BG490" s="144"/>
      <c r="BH490" s="136"/>
      <c r="BI490" s="939"/>
      <c r="BJ490" s="154"/>
      <c r="BK490" s="158"/>
      <c r="BL490" s="158"/>
      <c r="BM490" s="158"/>
      <c r="BN490" s="158"/>
    </row>
    <row r="491" spans="2:66">
      <c r="B491" s="13"/>
      <c r="C491" s="13"/>
      <c r="D491" s="13"/>
      <c r="E491" s="13"/>
      <c r="F491" s="13"/>
      <c r="G491" s="13"/>
      <c r="H491" s="13"/>
      <c r="I491" s="13"/>
      <c r="J491" s="13"/>
      <c r="K491" s="94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0"/>
      <c r="AR491" s="10"/>
      <c r="AS491" s="10"/>
      <c r="AT491" s="10"/>
      <c r="AU491" s="10"/>
      <c r="AV491" s="10"/>
      <c r="AW491" s="111"/>
      <c r="AX491" s="136"/>
      <c r="AY491" s="136"/>
      <c r="AZ491" s="136"/>
      <c r="BA491" s="137"/>
      <c r="BB491" s="137"/>
      <c r="BC491" s="137"/>
      <c r="BE491" s="137"/>
      <c r="BG491" s="144"/>
      <c r="BH491" s="136"/>
      <c r="BI491" s="939"/>
      <c r="BJ491" s="154"/>
      <c r="BK491" s="158"/>
      <c r="BL491" s="158"/>
      <c r="BM491" s="158"/>
      <c r="BN491" s="158"/>
    </row>
    <row r="492" spans="2:66">
      <c r="B492" s="13"/>
      <c r="C492" s="13"/>
      <c r="D492" s="13"/>
      <c r="E492" s="13"/>
      <c r="F492" s="13"/>
      <c r="G492" s="13"/>
      <c r="H492" s="13"/>
      <c r="I492" s="13"/>
      <c r="J492" s="13"/>
      <c r="K492" s="94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0"/>
      <c r="AR492" s="10"/>
      <c r="AS492" s="10"/>
      <c r="AT492" s="10"/>
      <c r="AU492" s="10"/>
      <c r="AV492" s="10"/>
      <c r="AW492" s="111"/>
      <c r="AX492" s="136"/>
      <c r="AY492" s="136"/>
      <c r="AZ492" s="136"/>
      <c r="BA492" s="137"/>
      <c r="BB492" s="137"/>
      <c r="BC492" s="137"/>
      <c r="BE492" s="137"/>
      <c r="BG492" s="144"/>
      <c r="BH492" s="136"/>
      <c r="BI492" s="939"/>
      <c r="BJ492" s="154"/>
      <c r="BK492" s="158"/>
      <c r="BL492" s="158"/>
      <c r="BM492" s="158"/>
      <c r="BN492" s="158"/>
    </row>
    <row r="493" spans="2:66">
      <c r="B493" s="13"/>
      <c r="C493" s="13"/>
      <c r="D493" s="13"/>
      <c r="E493" s="13"/>
      <c r="F493" s="13"/>
      <c r="G493" s="13"/>
      <c r="H493" s="13"/>
      <c r="I493" s="13"/>
      <c r="J493" s="13"/>
      <c r="K493" s="94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0"/>
      <c r="AR493" s="10"/>
      <c r="AS493" s="10"/>
      <c r="AT493" s="10"/>
      <c r="AU493" s="10"/>
      <c r="AV493" s="10"/>
      <c r="AW493" s="111"/>
      <c r="AX493" s="136"/>
      <c r="AY493" s="136"/>
      <c r="AZ493" s="136"/>
      <c r="BA493" s="137"/>
      <c r="BB493" s="137"/>
      <c r="BC493" s="137"/>
      <c r="BE493" s="137"/>
      <c r="BG493" s="144"/>
      <c r="BH493" s="136"/>
      <c r="BI493" s="939"/>
      <c r="BJ493" s="154"/>
      <c r="BK493" s="158"/>
      <c r="BL493" s="158"/>
      <c r="BM493" s="158"/>
      <c r="BN493" s="158"/>
    </row>
    <row r="494" spans="2:66">
      <c r="B494" s="13"/>
      <c r="C494" s="13"/>
      <c r="D494" s="13"/>
      <c r="E494" s="13"/>
      <c r="F494" s="13"/>
      <c r="G494" s="13"/>
      <c r="H494" s="13"/>
      <c r="I494" s="13"/>
      <c r="J494" s="13"/>
      <c r="K494" s="94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0"/>
      <c r="AR494" s="10"/>
      <c r="AS494" s="10"/>
      <c r="AT494" s="10"/>
      <c r="AU494" s="10"/>
      <c r="AV494" s="10"/>
      <c r="AW494" s="111"/>
      <c r="AX494" s="136"/>
      <c r="AY494" s="136"/>
      <c r="AZ494" s="136"/>
      <c r="BA494" s="137"/>
      <c r="BB494" s="137"/>
      <c r="BC494" s="137"/>
      <c r="BE494" s="137"/>
      <c r="BG494" s="144"/>
      <c r="BH494" s="136"/>
      <c r="BI494" s="939"/>
      <c r="BJ494" s="154"/>
      <c r="BK494" s="158"/>
      <c r="BL494" s="158"/>
      <c r="BM494" s="158"/>
      <c r="BN494" s="158"/>
    </row>
    <row r="495" spans="2:66">
      <c r="B495" s="13"/>
      <c r="C495" s="13"/>
      <c r="D495" s="13"/>
      <c r="E495" s="13"/>
      <c r="F495" s="13"/>
      <c r="G495" s="13"/>
      <c r="H495" s="13"/>
      <c r="I495" s="13"/>
      <c r="J495" s="13"/>
      <c r="K495" s="94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0"/>
      <c r="AR495" s="10"/>
      <c r="AS495" s="10"/>
      <c r="AT495" s="10"/>
      <c r="AU495" s="10"/>
      <c r="AV495" s="10"/>
      <c r="AW495" s="111"/>
      <c r="AX495" s="136"/>
      <c r="AY495" s="136"/>
      <c r="AZ495" s="136"/>
      <c r="BA495" s="137"/>
      <c r="BB495" s="137"/>
      <c r="BC495" s="137"/>
      <c r="BE495" s="137"/>
      <c r="BG495" s="144"/>
      <c r="BH495" s="136"/>
      <c r="BI495" s="939"/>
      <c r="BJ495" s="154"/>
      <c r="BK495" s="158"/>
      <c r="BL495" s="158"/>
      <c r="BM495" s="158"/>
      <c r="BN495" s="158"/>
    </row>
    <row r="496" spans="2:66">
      <c r="B496" s="13"/>
      <c r="C496" s="13"/>
      <c r="D496" s="13"/>
      <c r="E496" s="13"/>
      <c r="F496" s="13"/>
      <c r="G496" s="13"/>
      <c r="H496" s="13"/>
      <c r="I496" s="13"/>
      <c r="J496" s="13"/>
      <c r="K496" s="94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0"/>
      <c r="AR496" s="10"/>
      <c r="AS496" s="10"/>
      <c r="AT496" s="10"/>
      <c r="AU496" s="10"/>
      <c r="AV496" s="10"/>
      <c r="AW496" s="111"/>
      <c r="AX496" s="136"/>
      <c r="AY496" s="136"/>
      <c r="AZ496" s="136"/>
      <c r="BA496" s="137"/>
      <c r="BB496" s="137"/>
      <c r="BC496" s="137"/>
      <c r="BE496" s="137"/>
      <c r="BG496" s="144"/>
      <c r="BH496" s="136"/>
      <c r="BI496" s="939"/>
      <c r="BJ496" s="154"/>
      <c r="BK496" s="158"/>
      <c r="BL496" s="158"/>
      <c r="BM496" s="158"/>
      <c r="BN496" s="158"/>
    </row>
    <row r="497" spans="2:66">
      <c r="B497" s="13"/>
      <c r="C497" s="13"/>
      <c r="D497" s="13"/>
      <c r="E497" s="13"/>
      <c r="F497" s="13"/>
      <c r="G497" s="13"/>
      <c r="H497" s="13"/>
      <c r="I497" s="13"/>
      <c r="J497" s="13"/>
      <c r="K497" s="94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0"/>
      <c r="AR497" s="10"/>
      <c r="AS497" s="10"/>
      <c r="AT497" s="10"/>
      <c r="AU497" s="10"/>
      <c r="AV497" s="10"/>
      <c r="AW497" s="111"/>
      <c r="AX497" s="136"/>
      <c r="AY497" s="136"/>
      <c r="AZ497" s="136"/>
      <c r="BA497" s="137"/>
      <c r="BB497" s="137"/>
      <c r="BC497" s="137"/>
      <c r="BE497" s="137"/>
      <c r="BG497" s="144"/>
      <c r="BH497" s="136"/>
      <c r="BI497" s="939"/>
      <c r="BJ497" s="154"/>
      <c r="BK497" s="158"/>
      <c r="BL497" s="158"/>
      <c r="BM497" s="158"/>
      <c r="BN497" s="158"/>
    </row>
    <row r="498" spans="2:66">
      <c r="B498" s="13"/>
      <c r="C498" s="13"/>
      <c r="D498" s="13"/>
      <c r="E498" s="13"/>
      <c r="F498" s="13"/>
      <c r="G498" s="13"/>
      <c r="H498" s="13"/>
      <c r="I498" s="13"/>
      <c r="J498" s="13"/>
      <c r="K498" s="94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0"/>
      <c r="AR498" s="10"/>
      <c r="AS498" s="10"/>
      <c r="AT498" s="10"/>
      <c r="AU498" s="10"/>
      <c r="AV498" s="10"/>
      <c r="AW498" s="111"/>
      <c r="AX498" s="136"/>
      <c r="AY498" s="136"/>
      <c r="AZ498" s="136"/>
      <c r="BA498" s="137"/>
      <c r="BB498" s="137"/>
      <c r="BC498" s="137"/>
      <c r="BE498" s="137"/>
      <c r="BG498" s="144"/>
      <c r="BH498" s="136"/>
      <c r="BI498" s="939"/>
      <c r="BJ498" s="154"/>
      <c r="BK498" s="158"/>
      <c r="BL498" s="158"/>
      <c r="BM498" s="158"/>
      <c r="BN498" s="158"/>
    </row>
    <row r="499" spans="2:66">
      <c r="B499" s="13"/>
      <c r="C499" s="13"/>
      <c r="D499" s="13"/>
      <c r="E499" s="13"/>
      <c r="F499" s="13"/>
      <c r="G499" s="13"/>
      <c r="H499" s="13"/>
      <c r="I499" s="13"/>
      <c r="J499" s="13"/>
      <c r="K499" s="94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0"/>
      <c r="AR499" s="10"/>
      <c r="AS499" s="10"/>
      <c r="AT499" s="10"/>
      <c r="AU499" s="10"/>
      <c r="AV499" s="10"/>
      <c r="AW499" s="111"/>
      <c r="AX499" s="136"/>
      <c r="AY499" s="136"/>
      <c r="AZ499" s="136"/>
      <c r="BA499" s="137"/>
      <c r="BB499" s="137"/>
      <c r="BC499" s="137"/>
      <c r="BE499" s="137"/>
      <c r="BG499" s="144"/>
      <c r="BH499" s="136"/>
      <c r="BI499" s="939"/>
      <c r="BJ499" s="154"/>
      <c r="BK499" s="158"/>
      <c r="BL499" s="158"/>
      <c r="BM499" s="158"/>
      <c r="BN499" s="158"/>
    </row>
    <row r="500" spans="2:66">
      <c r="B500" s="13"/>
      <c r="C500" s="13"/>
      <c r="D500" s="13"/>
      <c r="E500" s="13"/>
      <c r="F500" s="13"/>
      <c r="G500" s="13"/>
      <c r="H500" s="13"/>
      <c r="I500" s="13"/>
      <c r="J500" s="13"/>
      <c r="K500" s="94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0"/>
      <c r="AR500" s="10"/>
      <c r="AS500" s="10"/>
      <c r="AT500" s="10"/>
      <c r="AU500" s="10"/>
      <c r="AV500" s="10"/>
      <c r="AW500" s="111"/>
      <c r="AX500" s="136"/>
      <c r="AY500" s="136"/>
      <c r="AZ500" s="136"/>
      <c r="BA500" s="137"/>
      <c r="BB500" s="137"/>
      <c r="BC500" s="137"/>
      <c r="BE500" s="137"/>
      <c r="BG500" s="144"/>
      <c r="BH500" s="136"/>
      <c r="BI500" s="939"/>
      <c r="BJ500" s="154"/>
      <c r="BK500" s="158"/>
      <c r="BL500" s="158"/>
      <c r="BM500" s="158"/>
      <c r="BN500" s="158"/>
    </row>
    <row r="501" spans="2:66">
      <c r="B501" s="13"/>
      <c r="C501" s="13"/>
      <c r="D501" s="13"/>
      <c r="E501" s="13"/>
      <c r="F501" s="13"/>
      <c r="G501" s="13"/>
      <c r="H501" s="13"/>
      <c r="I501" s="13"/>
      <c r="J501" s="13"/>
      <c r="K501" s="94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0"/>
      <c r="AR501" s="10"/>
      <c r="AS501" s="10"/>
      <c r="AT501" s="10"/>
      <c r="AU501" s="10"/>
      <c r="AV501" s="10"/>
      <c r="AW501" s="111"/>
      <c r="AX501" s="136"/>
      <c r="AY501" s="136"/>
      <c r="AZ501" s="136"/>
      <c r="BA501" s="137"/>
      <c r="BB501" s="137"/>
      <c r="BC501" s="137"/>
      <c r="BE501" s="137"/>
      <c r="BG501" s="144"/>
      <c r="BH501" s="136"/>
      <c r="BI501" s="939"/>
      <c r="BJ501" s="154"/>
      <c r="BK501" s="158"/>
      <c r="BL501" s="158"/>
      <c r="BM501" s="158"/>
      <c r="BN501" s="158"/>
    </row>
    <row r="502" spans="2:66">
      <c r="B502" s="13"/>
      <c r="C502" s="13"/>
      <c r="D502" s="13"/>
      <c r="E502" s="13"/>
      <c r="F502" s="13"/>
      <c r="G502" s="13"/>
      <c r="H502" s="13"/>
      <c r="I502" s="13"/>
      <c r="J502" s="13"/>
      <c r="K502" s="94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0"/>
      <c r="AR502" s="10"/>
      <c r="AS502" s="10"/>
      <c r="AT502" s="10"/>
      <c r="AU502" s="10"/>
      <c r="AV502" s="10"/>
      <c r="AW502" s="111"/>
      <c r="AX502" s="136"/>
      <c r="AY502" s="136"/>
      <c r="AZ502" s="136"/>
      <c r="BA502" s="137"/>
      <c r="BB502" s="137"/>
      <c r="BC502" s="137"/>
      <c r="BE502" s="137"/>
      <c r="BG502" s="144"/>
      <c r="BH502" s="136"/>
      <c r="BI502" s="939"/>
      <c r="BJ502" s="154"/>
      <c r="BK502" s="158"/>
      <c r="BL502" s="158"/>
      <c r="BM502" s="158"/>
      <c r="BN502" s="158"/>
    </row>
    <row r="503" spans="2:66">
      <c r="AQ503" s="10"/>
      <c r="AR503" s="10"/>
      <c r="AS503" s="10"/>
      <c r="AT503" s="10"/>
      <c r="AU503" s="10"/>
      <c r="AV503" s="10"/>
      <c r="AW503" s="111"/>
      <c r="AX503" s="136"/>
      <c r="AY503" s="136"/>
      <c r="AZ503" s="136"/>
      <c r="BA503" s="137"/>
      <c r="BB503" s="137"/>
      <c r="BC503" s="137"/>
      <c r="BE503" s="137"/>
      <c r="BG503" s="144"/>
      <c r="BH503" s="136"/>
      <c r="BI503" s="939"/>
      <c r="BJ503" s="154"/>
      <c r="BK503" s="158"/>
      <c r="BL503" s="158"/>
      <c r="BM503" s="158"/>
      <c r="BN503" s="158"/>
    </row>
    <row r="504" spans="2:66">
      <c r="AQ504" s="10"/>
      <c r="AR504" s="10"/>
      <c r="AS504" s="10"/>
      <c r="AT504" s="10"/>
      <c r="AU504" s="10"/>
      <c r="AV504" s="10"/>
      <c r="AW504" s="111"/>
      <c r="AX504" s="136"/>
      <c r="AY504" s="136"/>
      <c r="AZ504" s="136"/>
      <c r="BA504" s="137"/>
      <c r="BB504" s="137"/>
      <c r="BC504" s="137"/>
      <c r="BE504" s="137"/>
      <c r="BG504" s="144"/>
      <c r="BH504" s="136"/>
      <c r="BI504" s="939"/>
      <c r="BJ504" s="154"/>
      <c r="BK504" s="158"/>
      <c r="BL504" s="158"/>
      <c r="BM504" s="158"/>
      <c r="BN504" s="158"/>
    </row>
    <row r="505" spans="2:66">
      <c r="AQ505" s="10"/>
      <c r="AR505" s="10"/>
      <c r="AS505" s="10"/>
      <c r="AT505" s="10"/>
      <c r="AU505" s="10"/>
      <c r="AV505" s="10"/>
      <c r="AW505" s="111"/>
      <c r="AX505" s="136"/>
      <c r="AY505" s="136"/>
      <c r="AZ505" s="136"/>
      <c r="BA505" s="137"/>
      <c r="BB505" s="137"/>
      <c r="BC505" s="137"/>
      <c r="BE505" s="137"/>
      <c r="BG505" s="144"/>
      <c r="BH505" s="136"/>
      <c r="BI505" s="939"/>
      <c r="BJ505" s="154"/>
      <c r="BK505" s="158"/>
      <c r="BL505" s="158"/>
      <c r="BM505" s="158"/>
      <c r="BN505" s="158"/>
    </row>
    <row r="506" spans="2:66">
      <c r="AQ506" s="10"/>
      <c r="AR506" s="10"/>
      <c r="AS506" s="10"/>
      <c r="AT506" s="10"/>
      <c r="AU506" s="10"/>
      <c r="AV506" s="10"/>
    </row>
  </sheetData>
  <pageMargins left="0.75" right="0.75" top="1" bottom="1" header="0.5" footer="0.5"/>
  <pageSetup scale="75"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SortHourlyScalars">
                <anchor moveWithCells="1" sizeWithCells="1">
                  <from>
                    <xdr:col>0</xdr:col>
                    <xdr:colOff>281940</xdr:colOff>
                    <xdr:row>0</xdr:row>
                    <xdr:rowOff>266700</xdr:rowOff>
                  </from>
                  <to>
                    <xdr:col>15</xdr:col>
                    <xdr:colOff>220980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C102"/>
  <sheetViews>
    <sheetView showGridLines="0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E95" sqref="E95"/>
    </sheetView>
  </sheetViews>
  <sheetFormatPr defaultColWidth="9.109375" defaultRowHeight="13.2"/>
  <cols>
    <col min="1" max="3" width="9.109375" style="1"/>
    <col min="4" max="4" width="9.44140625" style="1" bestFit="1" customWidth="1"/>
    <col min="5" max="5" width="9.33203125" style="1" bestFit="1" customWidth="1"/>
    <col min="6" max="16384" width="9.109375" style="1"/>
  </cols>
  <sheetData>
    <row r="1" spans="1:29" ht="14.4" thickTop="1" thickBot="1">
      <c r="A1" s="963" t="s">
        <v>432</v>
      </c>
      <c r="B1" s="13"/>
      <c r="C1" s="13"/>
      <c r="D1" s="962">
        <v>1999</v>
      </c>
      <c r="E1" s="311">
        <v>2000</v>
      </c>
      <c r="F1" s="311">
        <v>2001</v>
      </c>
      <c r="G1" s="311">
        <v>2002</v>
      </c>
      <c r="H1" s="311">
        <v>2003</v>
      </c>
      <c r="I1" s="311">
        <v>2004</v>
      </c>
      <c r="J1" s="311">
        <v>2005</v>
      </c>
      <c r="K1" s="311">
        <v>2006</v>
      </c>
      <c r="L1" s="311">
        <v>2007</v>
      </c>
      <c r="M1" s="311">
        <v>2008</v>
      </c>
      <c r="N1" s="311">
        <v>2009</v>
      </c>
      <c r="O1" s="311">
        <v>2010</v>
      </c>
      <c r="P1" s="311">
        <v>2011</v>
      </c>
      <c r="Q1" s="311">
        <v>2012</v>
      </c>
      <c r="R1" s="311">
        <v>2013</v>
      </c>
      <c r="S1" s="311">
        <v>2014</v>
      </c>
      <c r="T1" s="311">
        <v>2015</v>
      </c>
      <c r="U1" s="311">
        <v>2016</v>
      </c>
      <c r="V1" s="311">
        <v>2017</v>
      </c>
      <c r="W1" s="311">
        <v>2018</v>
      </c>
      <c r="X1" s="311">
        <v>2019</v>
      </c>
      <c r="Y1" s="311">
        <v>2020</v>
      </c>
      <c r="Z1" s="311">
        <v>2021</v>
      </c>
      <c r="AA1" s="311">
        <v>2022</v>
      </c>
    </row>
    <row r="2" spans="1:29" ht="13.8" thickTop="1">
      <c r="A2" s="13"/>
      <c r="B2" s="13"/>
      <c r="C2" s="13"/>
      <c r="D2"/>
      <c r="E2" s="1" t="s">
        <v>787</v>
      </c>
    </row>
    <row r="3" spans="1:29">
      <c r="A3" s="919" t="s">
        <v>433</v>
      </c>
      <c r="B3" s="13"/>
      <c r="C3" s="13"/>
      <c r="D3"/>
    </row>
    <row r="4" spans="1:29">
      <c r="A4" s="906" t="s">
        <v>799</v>
      </c>
      <c r="B4" s="887"/>
      <c r="C4" s="887"/>
      <c r="D4"/>
    </row>
    <row r="5" spans="1:29">
      <c r="A5" s="964" t="s">
        <v>376</v>
      </c>
      <c r="B5" s="887"/>
      <c r="C5" s="887"/>
      <c r="D5"/>
      <c r="E5" s="907">
        <v>880.00209042956953</v>
      </c>
      <c r="F5" s="907">
        <f>E5*IF(Summary!$E$70="no",(1+Summary!$E$71),1+HLOOKUP('O&amp;M'!F$1,CCFMODEL!$I$127:$AF$128,2))</f>
        <v>906.40215314245665</v>
      </c>
      <c r="G5" s="907">
        <f>F5*IF(Summary!$E$70="no",(1+Summary!$E$71),1+HLOOKUP('O&amp;M'!G$1,CCFMODEL!$I$127:$AF$128,2))</f>
        <v>933.59421773673034</v>
      </c>
      <c r="H5" s="907">
        <f>G5*IF(Summary!$E$70="no",(1+Summary!$E$71),1+HLOOKUP('O&amp;M'!H$1,CCFMODEL!$I$127:$AF$128,2))</f>
        <v>961.60204426883229</v>
      </c>
      <c r="I5" s="907">
        <f>H5*IF(Summary!$E$70="no",(1+Summary!$E$71),1+HLOOKUP('O&amp;M'!I$1,CCFMODEL!$I$127:$AF$128,2))</f>
        <v>990.45010559689729</v>
      </c>
      <c r="J5" s="907">
        <f>I5*IF(Summary!$E$70="no",(1+Summary!$E$71),1+HLOOKUP('O&amp;M'!J$1,CCFMODEL!$I$127:$AF$128,2))</f>
        <v>1020.1636087648043</v>
      </c>
      <c r="K5" s="907">
        <f>J5*IF(Summary!$E$70="no",(1+Summary!$E$71),1+HLOOKUP('O&amp;M'!K$1,CCFMODEL!$I$127:$AF$128,2))</f>
        <v>1050.7685170277484</v>
      </c>
      <c r="L5" s="907">
        <f>K5*IF(Summary!$E$70="no",(1+Summary!$E$71),1+HLOOKUP('O&amp;M'!L$1,CCFMODEL!$I$127:$AF$128,2))</f>
        <v>1082.291572538581</v>
      </c>
      <c r="M5" s="907">
        <f>L5*IF(Summary!$E$70="no",(1+Summary!$E$71),1+HLOOKUP('O&amp;M'!M$1,CCFMODEL!$I$127:$AF$128,2))</f>
        <v>1114.7603197147384</v>
      </c>
      <c r="N5" s="907">
        <f>M5*IF(Summary!$E$70="no",(1+Summary!$E$71),1+HLOOKUP('O&amp;M'!N$1,CCFMODEL!$I$127:$AF$128,2))</f>
        <v>1148.2031293061807</v>
      </c>
      <c r="O5" s="907">
        <f>N5*IF(Summary!$E$70="no",(1+Summary!$E$71),1+HLOOKUP('O&amp;M'!O$1,CCFMODEL!$I$127:$AF$128,2))</f>
        <v>1182.6492231853661</v>
      </c>
      <c r="P5" s="907">
        <f>O5*IF(Summary!$E$70="no",(1+Summary!$E$71),1+HLOOKUP('O&amp;M'!P$1,CCFMODEL!$I$127:$AF$128,2))</f>
        <v>1218.1286998809271</v>
      </c>
      <c r="Q5" s="907">
        <f>P5*IF(Summary!$E$70="no",(1+Summary!$E$71),1+HLOOKUP('O&amp;M'!Q$1,CCFMODEL!$I$127:$AF$128,2))</f>
        <v>1254.672560877355</v>
      </c>
      <c r="R5" s="907">
        <f>Q5*IF(Summary!$E$70="no",(1+Summary!$E$71),1+HLOOKUP('O&amp;M'!R$1,CCFMODEL!$I$127:$AF$128,2))</f>
        <v>1292.3127377036756</v>
      </c>
      <c r="S5" s="907">
        <f>R5*IF(Summary!$E$70="no",(1+Summary!$E$71),1+HLOOKUP('O&amp;M'!S$1,CCFMODEL!$I$127:$AF$128,2))</f>
        <v>1331.0821198347858</v>
      </c>
      <c r="T5" s="907">
        <f>S5*IF(Summary!$E$70="no",(1+Summary!$E$71),1+HLOOKUP('O&amp;M'!T$1,CCFMODEL!$I$127:$AF$128,2))</f>
        <v>1371.0145834298294</v>
      </c>
      <c r="U5" s="907">
        <f>T5*IF(Summary!$E$70="no",(1+Summary!$E$71),1+HLOOKUP('O&amp;M'!U$1,CCFMODEL!$I$127:$AF$128,2))</f>
        <v>1412.1450209327243</v>
      </c>
      <c r="V5" s="907">
        <f>U5*IF(Summary!$E$70="no",(1+Summary!$E$71),1+HLOOKUP('O&amp;M'!V$1,CCFMODEL!$I$127:$AF$128,2))</f>
        <v>1454.5093715607061</v>
      </c>
      <c r="W5" s="907">
        <f>V5*IF(Summary!$E$70="no",(1+Summary!$E$71),1+HLOOKUP('O&amp;M'!W$1,CCFMODEL!$I$127:$AF$128,2))</f>
        <v>1498.1446527075273</v>
      </c>
      <c r="X5" s="907">
        <f>W5*IF(Summary!$E$70="no",(1+Summary!$E$71),1+HLOOKUP('O&amp;M'!X$1,CCFMODEL!$I$127:$AF$128,2))</f>
        <v>1543.0889922887532</v>
      </c>
      <c r="Y5" s="907">
        <f>X5*IF(Summary!$E$70="no",(1+Summary!$E$71),1+HLOOKUP('O&amp;M'!Y$1,CCFMODEL!$I$127:$AF$128,2))</f>
        <v>1589.3816620574157</v>
      </c>
      <c r="Z5" s="907">
        <f>Y5*IF(Summary!$E$70="no",(1+Summary!$E$71),1+HLOOKUP('O&amp;M'!Z$1,CCFMODEL!$I$127:$AF$128,2))</f>
        <v>1637.0631119191382</v>
      </c>
      <c r="AA5" s="907">
        <f>Z5*IF(Summary!$E$70="no",(1+Summary!$E$71),1+HLOOKUP('O&amp;M'!AA$1,CCFMODEL!$I$127:$AF$128,2))</f>
        <v>1686.1750052767125</v>
      </c>
    </row>
    <row r="6" spans="1:29">
      <c r="A6" s="964" t="s">
        <v>800</v>
      </c>
      <c r="B6" s="887"/>
      <c r="C6" s="887"/>
      <c r="D6"/>
      <c r="E6" s="907">
        <v>23.28</v>
      </c>
      <c r="F6" s="907">
        <f>E6*IF(Summary!$E$70="no",(1+Summary!$E$71),1+HLOOKUP('O&amp;M'!F$1,CCFMODEL!$I$127:$AF$128,2))</f>
        <v>23.978400000000001</v>
      </c>
      <c r="G6" s="907">
        <f>F6*IF(Summary!$E$70="no",(1+Summary!$E$71),1+HLOOKUP('O&amp;M'!G$1,CCFMODEL!$I$127:$AF$128,2))</f>
        <v>24.697752000000001</v>
      </c>
      <c r="H6" s="907">
        <f>G6*IF(Summary!$E$70="no",(1+Summary!$E$71),1+HLOOKUP('O&amp;M'!H$1,CCFMODEL!$I$127:$AF$128,2))</f>
        <v>25.438684560000002</v>
      </c>
      <c r="I6" s="907">
        <f>H6*IF(Summary!$E$70="no",(1+Summary!$E$71),1+HLOOKUP('O&amp;M'!I$1,CCFMODEL!$I$127:$AF$128,2))</f>
        <v>26.201845096800003</v>
      </c>
      <c r="J6" s="907">
        <f>I6*IF(Summary!$E$70="no",(1+Summary!$E$71),1+HLOOKUP('O&amp;M'!J$1,CCFMODEL!$I$127:$AF$128,2))</f>
        <v>26.987900449704004</v>
      </c>
      <c r="K6" s="907">
        <f>J6*IF(Summary!$E$70="no",(1+Summary!$E$71),1+HLOOKUP('O&amp;M'!K$1,CCFMODEL!$I$127:$AF$128,2))</f>
        <v>27.797537463195123</v>
      </c>
      <c r="L6" s="907">
        <f>K6*IF(Summary!$E$70="no",(1+Summary!$E$71),1+HLOOKUP('O&amp;M'!L$1,CCFMODEL!$I$127:$AF$128,2))</f>
        <v>28.631463587090977</v>
      </c>
      <c r="M6" s="907">
        <f>L6*IF(Summary!$E$70="no",(1+Summary!$E$71),1+HLOOKUP('O&amp;M'!M$1,CCFMODEL!$I$127:$AF$128,2))</f>
        <v>29.490407494703707</v>
      </c>
      <c r="N6" s="907">
        <f>M6*IF(Summary!$E$70="no",(1+Summary!$E$71),1+HLOOKUP('O&amp;M'!N$1,CCFMODEL!$I$127:$AF$128,2))</f>
        <v>30.37511971954482</v>
      </c>
      <c r="O6" s="907">
        <f>N6*IF(Summary!$E$70="no",(1+Summary!$E$71),1+HLOOKUP('O&amp;M'!O$1,CCFMODEL!$I$127:$AF$128,2))</f>
        <v>31.286373311131165</v>
      </c>
      <c r="P6" s="907">
        <f>O6*IF(Summary!$E$70="no",(1+Summary!$E$71),1+HLOOKUP('O&amp;M'!P$1,CCFMODEL!$I$127:$AF$128,2))</f>
        <v>32.224964510465099</v>
      </c>
      <c r="Q6" s="907">
        <f>P6*IF(Summary!$E$70="no",(1+Summary!$E$71),1+HLOOKUP('O&amp;M'!Q$1,CCFMODEL!$I$127:$AF$128,2))</f>
        <v>33.191713445779051</v>
      </c>
      <c r="R6" s="907">
        <f>Q6*IF(Summary!$E$70="no",(1+Summary!$E$71),1+HLOOKUP('O&amp;M'!R$1,CCFMODEL!$I$127:$AF$128,2))</f>
        <v>34.187464849152427</v>
      </c>
      <c r="S6" s="907">
        <f>R6*IF(Summary!$E$70="no",(1+Summary!$E$71),1+HLOOKUP('O&amp;M'!S$1,CCFMODEL!$I$127:$AF$128,2))</f>
        <v>35.213088794626998</v>
      </c>
      <c r="T6" s="907">
        <f>S6*IF(Summary!$E$70="no",(1+Summary!$E$71),1+HLOOKUP('O&amp;M'!T$1,CCFMODEL!$I$127:$AF$128,2))</f>
        <v>36.269481458465812</v>
      </c>
      <c r="U6" s="907">
        <f>T6*IF(Summary!$E$70="no",(1+Summary!$E$71),1+HLOOKUP('O&amp;M'!U$1,CCFMODEL!$I$127:$AF$128,2))</f>
        <v>37.35756590221979</v>
      </c>
      <c r="V6" s="907">
        <f>U6*IF(Summary!$E$70="no",(1+Summary!$E$71),1+HLOOKUP('O&amp;M'!V$1,CCFMODEL!$I$127:$AF$128,2))</f>
        <v>38.478292879286386</v>
      </c>
      <c r="W6" s="907">
        <f>V6*IF(Summary!$E$70="no",(1+Summary!$E$71),1+HLOOKUP('O&amp;M'!W$1,CCFMODEL!$I$127:$AF$128,2))</f>
        <v>39.632641665664977</v>
      </c>
      <c r="X6" s="907">
        <f>W6*IF(Summary!$E$70="no",(1+Summary!$E$71),1+HLOOKUP('O&amp;M'!X$1,CCFMODEL!$I$127:$AF$128,2))</f>
        <v>40.821620915634931</v>
      </c>
      <c r="Y6" s="907">
        <f>X6*IF(Summary!$E$70="no",(1+Summary!$E$71),1+HLOOKUP('O&amp;M'!Y$1,CCFMODEL!$I$127:$AF$128,2))</f>
        <v>42.046269543103982</v>
      </c>
      <c r="Z6" s="907">
        <f>Y6*IF(Summary!$E$70="no",(1+Summary!$E$71),1+HLOOKUP('O&amp;M'!Z$1,CCFMODEL!$I$127:$AF$128,2))</f>
        <v>43.307657629397106</v>
      </c>
      <c r="AA6" s="907">
        <f>Z6*IF(Summary!$E$70="no",(1+Summary!$E$71),1+HLOOKUP('O&amp;M'!AA$1,CCFMODEL!$I$127:$AF$128,2))</f>
        <v>44.606887358279018</v>
      </c>
    </row>
    <row r="7" spans="1:29">
      <c r="A7" s="964" t="s">
        <v>388</v>
      </c>
      <c r="B7" s="887"/>
      <c r="C7" s="887"/>
      <c r="D7"/>
      <c r="E7" s="907">
        <v>19.7</v>
      </c>
      <c r="F7" s="907">
        <f>E7*IF(Summary!$E$70="no",(1+Summary!$E$71),1+HLOOKUP('O&amp;M'!F$1,CCFMODEL!$I$127:$AF$128,2))</f>
        <v>20.291</v>
      </c>
      <c r="G7" s="907">
        <f>F7*IF(Summary!$E$70="no",(1+Summary!$E$71),1+HLOOKUP('O&amp;M'!G$1,CCFMODEL!$I$127:$AF$128,2))</f>
        <v>20.899730000000002</v>
      </c>
      <c r="H7" s="907">
        <f>G7*IF(Summary!$E$70="no",(1+Summary!$E$71),1+HLOOKUP('O&amp;M'!H$1,CCFMODEL!$I$127:$AF$128,2))</f>
        <v>21.526721900000002</v>
      </c>
      <c r="I7" s="907">
        <f>H7*IF(Summary!$E$70="no",(1+Summary!$E$71),1+HLOOKUP('O&amp;M'!I$1,CCFMODEL!$I$127:$AF$128,2))</f>
        <v>22.172523557000002</v>
      </c>
      <c r="J7" s="907">
        <f>I7*IF(Summary!$E$70="no",(1+Summary!$E$71),1+HLOOKUP('O&amp;M'!J$1,CCFMODEL!$I$127:$AF$128,2))</f>
        <v>22.837699263710004</v>
      </c>
      <c r="K7" s="907">
        <f>J7*IF(Summary!$E$70="no",(1+Summary!$E$71),1+HLOOKUP('O&amp;M'!K$1,CCFMODEL!$I$127:$AF$128,2))</f>
        <v>23.522830241621303</v>
      </c>
      <c r="L7" s="907">
        <f>K7*IF(Summary!$E$70="no",(1+Summary!$E$71),1+HLOOKUP('O&amp;M'!L$1,CCFMODEL!$I$127:$AF$128,2))</f>
        <v>24.228515148869942</v>
      </c>
      <c r="M7" s="907">
        <f>L7*IF(Summary!$E$70="no",(1+Summary!$E$71),1+HLOOKUP('O&amp;M'!M$1,CCFMODEL!$I$127:$AF$128,2))</f>
        <v>24.955370603336039</v>
      </c>
      <c r="N7" s="907">
        <f>M7*IF(Summary!$E$70="no",(1+Summary!$E$71),1+HLOOKUP('O&amp;M'!N$1,CCFMODEL!$I$127:$AF$128,2))</f>
        <v>25.70403172143612</v>
      </c>
      <c r="O7" s="907">
        <f>N7*IF(Summary!$E$70="no",(1+Summary!$E$71),1+HLOOKUP('O&amp;M'!O$1,CCFMODEL!$I$127:$AF$128,2))</f>
        <v>26.475152673079204</v>
      </c>
      <c r="P7" s="907">
        <f>O7*IF(Summary!$E$70="no",(1+Summary!$E$71),1+HLOOKUP('O&amp;M'!P$1,CCFMODEL!$I$127:$AF$128,2))</f>
        <v>27.269407253271581</v>
      </c>
      <c r="Q7" s="907">
        <f>P7*IF(Summary!$E$70="no",(1+Summary!$E$71),1+HLOOKUP('O&amp;M'!Q$1,CCFMODEL!$I$127:$AF$128,2))</f>
        <v>28.08748947086973</v>
      </c>
      <c r="R7" s="907">
        <f>Q7*IF(Summary!$E$70="no",(1+Summary!$E$71),1+HLOOKUP('O&amp;M'!R$1,CCFMODEL!$I$127:$AF$128,2))</f>
        <v>28.930114154995824</v>
      </c>
      <c r="S7" s="907">
        <f>R7*IF(Summary!$E$70="no",(1+Summary!$E$71),1+HLOOKUP('O&amp;M'!S$1,CCFMODEL!$I$127:$AF$128,2))</f>
        <v>29.798017579645698</v>
      </c>
      <c r="T7" s="907">
        <f>S7*IF(Summary!$E$70="no",(1+Summary!$E$71),1+HLOOKUP('O&amp;M'!T$1,CCFMODEL!$I$127:$AF$128,2))</f>
        <v>30.69195810703507</v>
      </c>
      <c r="U7" s="907">
        <f>T7*IF(Summary!$E$70="no",(1+Summary!$E$71),1+HLOOKUP('O&amp;M'!U$1,CCFMODEL!$I$127:$AF$128,2))</f>
        <v>31.612716850246123</v>
      </c>
      <c r="V7" s="907">
        <f>U7*IF(Summary!$E$70="no",(1+Summary!$E$71),1+HLOOKUP('O&amp;M'!V$1,CCFMODEL!$I$127:$AF$128,2))</f>
        <v>32.561098355753508</v>
      </c>
      <c r="W7" s="907">
        <f>V7*IF(Summary!$E$70="no",(1+Summary!$E$71),1+HLOOKUP('O&amp;M'!W$1,CCFMODEL!$I$127:$AF$128,2))</f>
        <v>33.537931306426117</v>
      </c>
      <c r="X7" s="907">
        <f>W7*IF(Summary!$E$70="no",(1+Summary!$E$71),1+HLOOKUP('O&amp;M'!X$1,CCFMODEL!$I$127:$AF$128,2))</f>
        <v>34.5440692456189</v>
      </c>
      <c r="Y7" s="907">
        <f>X7*IF(Summary!$E$70="no",(1+Summary!$E$71),1+HLOOKUP('O&amp;M'!Y$1,CCFMODEL!$I$127:$AF$128,2))</f>
        <v>35.580391322987467</v>
      </c>
      <c r="Z7" s="907">
        <f>Y7*IF(Summary!$E$70="no",(1+Summary!$E$71),1+HLOOKUP('O&amp;M'!Z$1,CCFMODEL!$I$127:$AF$128,2))</f>
        <v>36.647803062677092</v>
      </c>
      <c r="AA7" s="907">
        <f>Z7*IF(Summary!$E$70="no",(1+Summary!$E$71),1+HLOOKUP('O&amp;M'!AA$1,CCFMODEL!$I$127:$AF$128,2))</f>
        <v>37.747237154557403</v>
      </c>
    </row>
    <row r="8" spans="1:29" ht="14.4">
      <c r="A8" s="964" t="s">
        <v>389</v>
      </c>
      <c r="B8" s="887"/>
      <c r="C8" s="887"/>
      <c r="D8"/>
      <c r="E8" s="908">
        <v>25.50842339115076</v>
      </c>
      <c r="F8" s="908">
        <f>E8*IF(Summary!$E$70="no",(1+Summary!$E$71),1+HLOOKUP('O&amp;M'!F$1,CCFMODEL!$I$127:$AF$128,2))</f>
        <v>26.273676092885285</v>
      </c>
      <c r="G8" s="908">
        <f>F8*IF(Summary!$E$70="no",(1+Summary!$E$71),1+HLOOKUP('O&amp;M'!G$1,CCFMODEL!$I$127:$AF$128,2))</f>
        <v>27.061886375671843</v>
      </c>
      <c r="H8" s="908">
        <f>G8*IF(Summary!$E$70="no",(1+Summary!$E$71),1+HLOOKUP('O&amp;M'!H$1,CCFMODEL!$I$127:$AF$128,2))</f>
        <v>27.873742966942</v>
      </c>
      <c r="I8" s="908">
        <f>H8*IF(Summary!$E$70="no",(1+Summary!$E$71),1+HLOOKUP('O&amp;M'!I$1,CCFMODEL!$I$127:$AF$128,2))</f>
        <v>28.709955255950263</v>
      </c>
      <c r="J8" s="908">
        <f>I8*IF(Summary!$E$70="no",(1+Summary!$E$71),1+HLOOKUP('O&amp;M'!J$1,CCFMODEL!$I$127:$AF$128,2))</f>
        <v>29.57125391362877</v>
      </c>
      <c r="K8" s="908">
        <f>J8*IF(Summary!$E$70="no",(1+Summary!$E$71),1+HLOOKUP('O&amp;M'!K$1,CCFMODEL!$I$127:$AF$128,2))</f>
        <v>30.458391531037634</v>
      </c>
      <c r="L8" s="908">
        <f>K8*IF(Summary!$E$70="no",(1+Summary!$E$71),1+HLOOKUP('O&amp;M'!L$1,CCFMODEL!$I$127:$AF$128,2))</f>
        <v>31.372143276968764</v>
      </c>
      <c r="M8" s="908">
        <f>L8*IF(Summary!$E$70="no",(1+Summary!$E$71),1+HLOOKUP('O&amp;M'!M$1,CCFMODEL!$I$127:$AF$128,2))</f>
        <v>32.313307575277825</v>
      </c>
      <c r="N8" s="908">
        <f>M8*IF(Summary!$E$70="no",(1+Summary!$E$71),1+HLOOKUP('O&amp;M'!N$1,CCFMODEL!$I$127:$AF$128,2))</f>
        <v>33.282706802536161</v>
      </c>
      <c r="O8" s="908">
        <f>N8*IF(Summary!$E$70="no",(1+Summary!$E$71),1+HLOOKUP('O&amp;M'!O$1,CCFMODEL!$I$127:$AF$128,2))</f>
        <v>34.281188006612247</v>
      </c>
      <c r="P8" s="908">
        <f>O8*IF(Summary!$E$70="no",(1+Summary!$E$71),1+HLOOKUP('O&amp;M'!P$1,CCFMODEL!$I$127:$AF$128,2))</f>
        <v>35.309623646810614</v>
      </c>
      <c r="Q8" s="908">
        <f>P8*IF(Summary!$E$70="no",(1+Summary!$E$71),1+HLOOKUP('O&amp;M'!Q$1,CCFMODEL!$I$127:$AF$128,2))</f>
        <v>36.368912356214935</v>
      </c>
      <c r="R8" s="908">
        <f>Q8*IF(Summary!$E$70="no",(1+Summary!$E$71),1+HLOOKUP('O&amp;M'!R$1,CCFMODEL!$I$127:$AF$128,2))</f>
        <v>37.459979726901381</v>
      </c>
      <c r="S8" s="908">
        <f>R8*IF(Summary!$E$70="no",(1+Summary!$E$71),1+HLOOKUP('O&amp;M'!S$1,CCFMODEL!$I$127:$AF$128,2))</f>
        <v>38.583779118708421</v>
      </c>
      <c r="T8" s="908">
        <f>S8*IF(Summary!$E$70="no",(1+Summary!$E$71),1+HLOOKUP('O&amp;M'!T$1,CCFMODEL!$I$127:$AF$128,2))</f>
        <v>39.741292492269672</v>
      </c>
      <c r="U8" s="908">
        <f>T8*IF(Summary!$E$70="no",(1+Summary!$E$71),1+HLOOKUP('O&amp;M'!U$1,CCFMODEL!$I$127:$AF$128,2))</f>
        <v>40.933531267037765</v>
      </c>
      <c r="V8" s="908">
        <f>U8*IF(Summary!$E$70="no",(1+Summary!$E$71),1+HLOOKUP('O&amp;M'!V$1,CCFMODEL!$I$127:$AF$128,2))</f>
        <v>42.161537205048901</v>
      </c>
      <c r="W8" s="908">
        <f>V8*IF(Summary!$E$70="no",(1+Summary!$E$71),1+HLOOKUP('O&amp;M'!W$1,CCFMODEL!$I$127:$AF$128,2))</f>
        <v>43.426383321200369</v>
      </c>
      <c r="X8" s="908">
        <f>W8*IF(Summary!$E$70="no",(1+Summary!$E$71),1+HLOOKUP('O&amp;M'!X$1,CCFMODEL!$I$127:$AF$128,2))</f>
        <v>44.729174820836384</v>
      </c>
      <c r="Y8" s="908">
        <f>X8*IF(Summary!$E$70="no",(1+Summary!$E$71),1+HLOOKUP('O&amp;M'!Y$1,CCFMODEL!$I$127:$AF$128,2))</f>
        <v>46.071050065461478</v>
      </c>
      <c r="Z8" s="908">
        <f>Y8*IF(Summary!$E$70="no",(1+Summary!$E$71),1+HLOOKUP('O&amp;M'!Z$1,CCFMODEL!$I$127:$AF$128,2))</f>
        <v>47.453181567425325</v>
      </c>
      <c r="AA8" s="908">
        <f>Z8*IF(Summary!$E$70="no",(1+Summary!$E$71),1+HLOOKUP('O&amp;M'!AA$1,CCFMODEL!$I$127:$AF$128,2))</f>
        <v>48.876777014448088</v>
      </c>
    </row>
    <row r="9" spans="1:29">
      <c r="A9" s="887" t="s">
        <v>398</v>
      </c>
      <c r="B9" s="887"/>
      <c r="C9" s="887"/>
      <c r="D9"/>
      <c r="E9" s="907">
        <f>SUM(E5:E8)</f>
        <v>948.49051382072037</v>
      </c>
      <c r="F9" s="907">
        <f t="shared" ref="F9:AA9" si="0">SUM(F5:F8)</f>
        <v>976.94522923534191</v>
      </c>
      <c r="G9" s="907">
        <f t="shared" si="0"/>
        <v>1006.2535861124022</v>
      </c>
      <c r="H9" s="907">
        <f t="shared" si="0"/>
        <v>1036.4411936957742</v>
      </c>
      <c r="I9" s="907">
        <f t="shared" si="0"/>
        <v>1067.5344295066475</v>
      </c>
      <c r="J9" s="907">
        <f t="shared" si="0"/>
        <v>1099.5604623918471</v>
      </c>
      <c r="K9" s="907">
        <f t="shared" si="0"/>
        <v>1132.5472762636025</v>
      </c>
      <c r="L9" s="907">
        <f t="shared" si="0"/>
        <v>1166.5236945515107</v>
      </c>
      <c r="M9" s="907">
        <f t="shared" si="0"/>
        <v>1201.5194053880559</v>
      </c>
      <c r="N9" s="907">
        <f t="shared" si="0"/>
        <v>1237.5649875496979</v>
      </c>
      <c r="O9" s="907">
        <f t="shared" si="0"/>
        <v>1274.6919371761887</v>
      </c>
      <c r="P9" s="907">
        <f t="shared" si="0"/>
        <v>1312.9326952914744</v>
      </c>
      <c r="Q9" s="907">
        <f t="shared" si="0"/>
        <v>1352.3206761502186</v>
      </c>
      <c r="R9" s="907">
        <f t="shared" si="0"/>
        <v>1392.8902964347251</v>
      </c>
      <c r="S9" s="907">
        <f t="shared" si="0"/>
        <v>1434.6770053277669</v>
      </c>
      <c r="T9" s="907">
        <f t="shared" si="0"/>
        <v>1477.7173154876</v>
      </c>
      <c r="U9" s="907">
        <f t="shared" si="0"/>
        <v>1522.0488349522279</v>
      </c>
      <c r="V9" s="907">
        <f t="shared" si="0"/>
        <v>1567.7103000007949</v>
      </c>
      <c r="W9" s="907">
        <f t="shared" si="0"/>
        <v>1614.7416090008187</v>
      </c>
      <c r="X9" s="907">
        <f t="shared" si="0"/>
        <v>1663.1838572708432</v>
      </c>
      <c r="Y9" s="907">
        <f t="shared" si="0"/>
        <v>1713.0793729889688</v>
      </c>
      <c r="Z9" s="907">
        <f t="shared" si="0"/>
        <v>1764.4717541786376</v>
      </c>
      <c r="AA9" s="907">
        <f t="shared" si="0"/>
        <v>1817.4059068039969</v>
      </c>
    </row>
    <row r="10" spans="1:29">
      <c r="A10" s="887"/>
      <c r="B10" s="887"/>
      <c r="C10" s="887"/>
      <c r="D10"/>
    </row>
    <row r="11" spans="1:29">
      <c r="A11" s="906" t="s">
        <v>399</v>
      </c>
      <c r="B11" s="887"/>
      <c r="C11" s="887"/>
      <c r="D11"/>
    </row>
    <row r="12" spans="1:29">
      <c r="A12" s="964" t="s">
        <v>400</v>
      </c>
      <c r="B12" s="887"/>
      <c r="C12" s="887"/>
      <c r="D12" s="907">
        <v>0</v>
      </c>
      <c r="E12" s="907">
        <v>142</v>
      </c>
      <c r="F12" s="907">
        <f>E12*IF(Summary!$E$70="no",(1+Summary!$E$71),1+HLOOKUP('O&amp;M'!F$1,CCFMODEL!$I$127:$AF$128,2))</f>
        <v>146.26</v>
      </c>
      <c r="G12" s="907">
        <f>F12*IF(Summary!$E$70="no",(1+Summary!$E$71),1+HLOOKUP('O&amp;M'!G$1,CCFMODEL!$I$127:$AF$128,2))</f>
        <v>150.64779999999999</v>
      </c>
      <c r="H12" s="907">
        <f>G12*IF(Summary!$E$70="no",(1+Summary!$E$71),1+HLOOKUP('O&amp;M'!H$1,CCFMODEL!$I$127:$AF$128,2))</f>
        <v>155.16723399999998</v>
      </c>
      <c r="I12" s="907">
        <f>H12*IF(Summary!$E$70="no",(1+Summary!$E$71),1+HLOOKUP('O&amp;M'!I$1,CCFMODEL!$I$127:$AF$128,2))</f>
        <v>159.82225101999998</v>
      </c>
      <c r="J12" s="907">
        <f>I12*IF(Summary!$E$70="no",(1+Summary!$E$71),1+HLOOKUP('O&amp;M'!J$1,CCFMODEL!$I$127:$AF$128,2))</f>
        <v>164.61691855059999</v>
      </c>
      <c r="K12" s="907">
        <f>J12*IF(Summary!$E$70="no",(1+Summary!$E$71),1+HLOOKUP('O&amp;M'!K$1,CCFMODEL!$I$127:$AF$128,2))</f>
        <v>169.555426107118</v>
      </c>
      <c r="L12" s="907">
        <f>K12*IF(Summary!$E$70="no",(1+Summary!$E$71),1+HLOOKUP('O&amp;M'!L$1,CCFMODEL!$I$127:$AF$128,2))</f>
        <v>174.64208889033154</v>
      </c>
      <c r="M12" s="907">
        <f>L12*IF(Summary!$E$70="no",(1+Summary!$E$71),1+HLOOKUP('O&amp;M'!M$1,CCFMODEL!$I$127:$AF$128,2))</f>
        <v>179.88135155704148</v>
      </c>
      <c r="N12" s="907">
        <f>M12*IF(Summary!$E$70="no",(1+Summary!$E$71),1+HLOOKUP('O&amp;M'!N$1,CCFMODEL!$I$127:$AF$128,2))</f>
        <v>185.27779210375274</v>
      </c>
      <c r="O12" s="907">
        <f>N12*IF(Summary!$E$70="no",(1+Summary!$E$71),1+HLOOKUP('O&amp;M'!O$1,CCFMODEL!$I$127:$AF$128,2))</f>
        <v>190.83612586686533</v>
      </c>
      <c r="P12" s="907">
        <f>O12*IF(Summary!$E$70="no",(1+Summary!$E$71),1+HLOOKUP('O&amp;M'!P$1,CCFMODEL!$I$127:$AF$128,2))</f>
        <v>196.56120964287129</v>
      </c>
      <c r="Q12" s="907">
        <f>P12*IF(Summary!$E$70="no",(1+Summary!$E$71),1+HLOOKUP('O&amp;M'!Q$1,CCFMODEL!$I$127:$AF$128,2))</f>
        <v>202.45804593215743</v>
      </c>
      <c r="R12" s="907">
        <f>Q12*IF(Summary!$E$70="no",(1+Summary!$E$71),1+HLOOKUP('O&amp;M'!R$1,CCFMODEL!$I$127:$AF$128,2))</f>
        <v>208.53178731012216</v>
      </c>
      <c r="S12" s="907">
        <f>R12*IF(Summary!$E$70="no",(1+Summary!$E$71),1+HLOOKUP('O&amp;M'!S$1,CCFMODEL!$I$127:$AF$128,2))</f>
        <v>214.78774092942584</v>
      </c>
      <c r="T12" s="907">
        <f>S12*IF(Summary!$E$70="no",(1+Summary!$E$71),1+HLOOKUP('O&amp;M'!T$1,CCFMODEL!$I$127:$AF$128,2))</f>
        <v>221.23137315730861</v>
      </c>
      <c r="U12" s="907">
        <f>T12*IF(Summary!$E$70="no",(1+Summary!$E$71),1+HLOOKUP('O&amp;M'!U$1,CCFMODEL!$I$127:$AF$128,2))</f>
        <v>227.86831435202788</v>
      </c>
      <c r="V12" s="907">
        <f>U12*IF(Summary!$E$70="no",(1+Summary!$E$71),1+HLOOKUP('O&amp;M'!V$1,CCFMODEL!$I$127:$AF$128,2))</f>
        <v>234.70436378258873</v>
      </c>
      <c r="W12" s="907">
        <f>V12*IF(Summary!$E$70="no",(1+Summary!$E$71),1+HLOOKUP('O&amp;M'!W$1,CCFMODEL!$I$127:$AF$128,2))</f>
        <v>241.7454946960664</v>
      </c>
      <c r="X12" s="907">
        <f>W12*IF(Summary!$E$70="no",(1+Summary!$E$71),1+HLOOKUP('O&amp;M'!X$1,CCFMODEL!$I$127:$AF$128,2))</f>
        <v>248.9978595369484</v>
      </c>
      <c r="Y12" s="907">
        <f>X12*IF(Summary!$E$70="no",(1+Summary!$E$71),1+HLOOKUP('O&amp;M'!Y$1,CCFMODEL!$I$127:$AF$128,2))</f>
        <v>256.46779532305686</v>
      </c>
      <c r="Z12" s="907">
        <f>Y12*IF(Summary!$E$70="no",(1+Summary!$E$71),1+HLOOKUP('O&amp;M'!Z$1,CCFMODEL!$I$127:$AF$128,2))</f>
        <v>264.16182918274859</v>
      </c>
      <c r="AA12" s="907">
        <f>Z12*IF(Summary!$E$70="no",(1+Summary!$E$71),1+HLOOKUP('O&amp;M'!AA$1,CCFMODEL!$I$127:$AF$128,2))</f>
        <v>272.08668405823107</v>
      </c>
      <c r="AC12" s="907">
        <v>142</v>
      </c>
    </row>
    <row r="13" spans="1:29">
      <c r="A13" s="964" t="s">
        <v>377</v>
      </c>
      <c r="B13" s="887"/>
      <c r="C13" s="887"/>
      <c r="D13" s="907">
        <v>0</v>
      </c>
      <c r="E13" s="907">
        <v>3.0609959999999998</v>
      </c>
      <c r="F13" s="907">
        <f>E13*IF(Summary!$E$70="no",(1+Summary!$E$71),1+HLOOKUP('O&amp;M'!F$1,CCFMODEL!$I$127:$AF$128,2))</f>
        <v>3.15282588</v>
      </c>
      <c r="G13" s="907">
        <f>F13*IF(Summary!$E$70="no",(1+Summary!$E$71),1+HLOOKUP('O&amp;M'!G$1,CCFMODEL!$I$127:$AF$128,2))</f>
        <v>3.2474106564</v>
      </c>
      <c r="H13" s="907">
        <f>G13*IF(Summary!$E$70="no",(1+Summary!$E$71),1+HLOOKUP('O&amp;M'!H$1,CCFMODEL!$I$127:$AF$128,2))</f>
        <v>3.3448329760919999</v>
      </c>
      <c r="I13" s="907">
        <f>H13*IF(Summary!$E$70="no",(1+Summary!$E$71),1+HLOOKUP('O&amp;M'!I$1,CCFMODEL!$I$127:$AF$128,2))</f>
        <v>3.4451779653747598</v>
      </c>
      <c r="J13" s="907">
        <f>I13*IF(Summary!$E$70="no",(1+Summary!$E$71),1+HLOOKUP('O&amp;M'!J$1,CCFMODEL!$I$127:$AF$128,2))</f>
        <v>3.5485333043360026</v>
      </c>
      <c r="K13" s="907">
        <f>J13*IF(Summary!$E$70="no",(1+Summary!$E$71),1+HLOOKUP('O&amp;M'!K$1,CCFMODEL!$I$127:$AF$128,2))</f>
        <v>3.6549893034660825</v>
      </c>
      <c r="L13" s="907">
        <f>K13*IF(Summary!$E$70="no",(1+Summary!$E$71),1+HLOOKUP('O&amp;M'!L$1,CCFMODEL!$I$127:$AF$128,2))</f>
        <v>3.764638982570065</v>
      </c>
      <c r="M13" s="907">
        <f>L13*IF(Summary!$E$70="no",(1+Summary!$E$71),1+HLOOKUP('O&amp;M'!M$1,CCFMODEL!$I$127:$AF$128,2))</f>
        <v>3.877578152047167</v>
      </c>
      <c r="N13" s="907">
        <f>M13*IF(Summary!$E$70="no",(1+Summary!$E$71),1+HLOOKUP('O&amp;M'!N$1,CCFMODEL!$I$127:$AF$128,2))</f>
        <v>3.9939054966085821</v>
      </c>
      <c r="O13" s="907">
        <f>N13*IF(Summary!$E$70="no",(1+Summary!$E$71),1+HLOOKUP('O&amp;M'!O$1,CCFMODEL!$I$127:$AF$128,2))</f>
        <v>4.1137226615068396</v>
      </c>
      <c r="P13" s="907">
        <f>O13*IF(Summary!$E$70="no",(1+Summary!$E$71),1+HLOOKUP('O&amp;M'!P$1,CCFMODEL!$I$127:$AF$128,2))</f>
        <v>4.2371343413520446</v>
      </c>
      <c r="Q13" s="907">
        <f>P13*IF(Summary!$E$70="no",(1+Summary!$E$71),1+HLOOKUP('O&amp;M'!Q$1,CCFMODEL!$I$127:$AF$128,2))</f>
        <v>4.3642483715926064</v>
      </c>
      <c r="R13" s="907">
        <f>Q13*IF(Summary!$E$70="no",(1+Summary!$E$71),1+HLOOKUP('O&amp;M'!R$1,CCFMODEL!$I$127:$AF$128,2))</f>
        <v>4.4951758227403849</v>
      </c>
      <c r="S13" s="907">
        <f>R13*IF(Summary!$E$70="no",(1+Summary!$E$71),1+HLOOKUP('O&amp;M'!S$1,CCFMODEL!$I$127:$AF$128,2))</f>
        <v>4.6300310974225969</v>
      </c>
      <c r="T13" s="907">
        <f>S13*IF(Summary!$E$70="no",(1+Summary!$E$71),1+HLOOKUP('O&amp;M'!T$1,CCFMODEL!$I$127:$AF$128,2))</f>
        <v>4.7689320303452751</v>
      </c>
      <c r="U13" s="907">
        <f>T13*IF(Summary!$E$70="no",(1+Summary!$E$71),1+HLOOKUP('O&amp;M'!U$1,CCFMODEL!$I$127:$AF$128,2))</f>
        <v>4.9119999912556338</v>
      </c>
      <c r="V13" s="907">
        <f>U13*IF(Summary!$E$70="no",(1+Summary!$E$71),1+HLOOKUP('O&amp;M'!V$1,CCFMODEL!$I$127:$AF$128,2))</f>
        <v>5.0593599909933031</v>
      </c>
      <c r="W13" s="907">
        <f>V13*IF(Summary!$E$70="no",(1+Summary!$E$71),1+HLOOKUP('O&amp;M'!W$1,CCFMODEL!$I$127:$AF$128,2))</f>
        <v>5.2111407907231024</v>
      </c>
      <c r="X13" s="907">
        <f>W13*IF(Summary!$E$70="no",(1+Summary!$E$71),1+HLOOKUP('O&amp;M'!X$1,CCFMODEL!$I$127:$AF$128,2))</f>
        <v>5.3674750144447954</v>
      </c>
      <c r="Y13" s="907">
        <f>X13*IF(Summary!$E$70="no",(1+Summary!$E$71),1+HLOOKUP('O&amp;M'!Y$1,CCFMODEL!$I$127:$AF$128,2))</f>
        <v>5.528499264878139</v>
      </c>
      <c r="Z13" s="907">
        <f>Y13*IF(Summary!$E$70="no",(1+Summary!$E$71),1+HLOOKUP('O&amp;M'!Z$1,CCFMODEL!$I$127:$AF$128,2))</f>
        <v>5.6943542428244838</v>
      </c>
      <c r="AA13" s="907">
        <f>Z13*IF(Summary!$E$70="no",(1+Summary!$E$71),1+HLOOKUP('O&amp;M'!AA$1,CCFMODEL!$I$127:$AF$128,2))</f>
        <v>5.8651848701092186</v>
      </c>
      <c r="AC13" s="907">
        <v>3.0609959999999998</v>
      </c>
    </row>
    <row r="14" spans="1:29">
      <c r="A14" s="964" t="s">
        <v>378</v>
      </c>
      <c r="B14" s="887"/>
      <c r="C14" s="887"/>
      <c r="D14" s="907">
        <v>0</v>
      </c>
      <c r="E14" s="907">
        <v>12.244043227752366</v>
      </c>
      <c r="F14" s="907">
        <f>E14*IF(Summary!$E$70="no",(1+Summary!$E$71),1+HLOOKUP('O&amp;M'!F$1,CCFMODEL!$I$127:$AF$128,2))</f>
        <v>12.611364524584937</v>
      </c>
      <c r="G14" s="907">
        <f>F14*IF(Summary!$E$70="no",(1+Summary!$E$71),1+HLOOKUP('O&amp;M'!G$1,CCFMODEL!$I$127:$AF$128,2))</f>
        <v>12.989705460322485</v>
      </c>
      <c r="H14" s="907">
        <f>G14*IF(Summary!$E$70="no",(1+Summary!$E$71),1+HLOOKUP('O&amp;M'!H$1,CCFMODEL!$I$127:$AF$128,2))</f>
        <v>13.379396624132159</v>
      </c>
      <c r="I14" s="907">
        <f>H14*IF(Summary!$E$70="no",(1+Summary!$E$71),1+HLOOKUP('O&amp;M'!I$1,CCFMODEL!$I$127:$AF$128,2))</f>
        <v>13.780778522856124</v>
      </c>
      <c r="J14" s="907">
        <f>I14*IF(Summary!$E$70="no",(1+Summary!$E$71),1+HLOOKUP('O&amp;M'!J$1,CCFMODEL!$I$127:$AF$128,2))</f>
        <v>14.194201878541808</v>
      </c>
      <c r="K14" s="907">
        <f>J14*IF(Summary!$E$70="no",(1+Summary!$E$71),1+HLOOKUP('O&amp;M'!K$1,CCFMODEL!$I$127:$AF$128,2))</f>
        <v>14.620027934898063</v>
      </c>
      <c r="L14" s="907">
        <f>K14*IF(Summary!$E$70="no",(1+Summary!$E$71),1+HLOOKUP('O&amp;M'!L$1,CCFMODEL!$I$127:$AF$128,2))</f>
        <v>15.058628772945006</v>
      </c>
      <c r="M14" s="907">
        <f>L14*IF(Summary!$E$70="no",(1+Summary!$E$71),1+HLOOKUP('O&amp;M'!M$1,CCFMODEL!$I$127:$AF$128,2))</f>
        <v>15.510387636133357</v>
      </c>
      <c r="N14" s="907">
        <f>M14*IF(Summary!$E$70="no",(1+Summary!$E$71),1+HLOOKUP('O&amp;M'!N$1,CCFMODEL!$I$127:$AF$128,2))</f>
        <v>15.975699265217358</v>
      </c>
      <c r="O14" s="907">
        <f>N14*IF(Summary!$E$70="no",(1+Summary!$E$71),1+HLOOKUP('O&amp;M'!O$1,CCFMODEL!$I$127:$AF$128,2))</f>
        <v>16.454970243173879</v>
      </c>
      <c r="P14" s="907">
        <f>O14*IF(Summary!$E$70="no",(1+Summary!$E$71),1+HLOOKUP('O&amp;M'!P$1,CCFMODEL!$I$127:$AF$128,2))</f>
        <v>16.948619350469095</v>
      </c>
      <c r="Q14" s="907">
        <f>P14*IF(Summary!$E$70="no",(1+Summary!$E$71),1+HLOOKUP('O&amp;M'!Q$1,CCFMODEL!$I$127:$AF$128,2))</f>
        <v>17.457077930983168</v>
      </c>
      <c r="R14" s="907">
        <f>Q14*IF(Summary!$E$70="no",(1+Summary!$E$71),1+HLOOKUP('O&amp;M'!R$1,CCFMODEL!$I$127:$AF$128,2))</f>
        <v>17.980790268912664</v>
      </c>
      <c r="S14" s="907">
        <f>R14*IF(Summary!$E$70="no",(1+Summary!$E$71),1+HLOOKUP('O&amp;M'!S$1,CCFMODEL!$I$127:$AF$128,2))</f>
        <v>18.520213976980045</v>
      </c>
      <c r="T14" s="907">
        <f>S14*IF(Summary!$E$70="no",(1+Summary!$E$71),1+HLOOKUP('O&amp;M'!T$1,CCFMODEL!$I$127:$AF$128,2))</f>
        <v>19.075820396289448</v>
      </c>
      <c r="U14" s="907">
        <f>T14*IF(Summary!$E$70="no",(1+Summary!$E$71),1+HLOOKUP('O&amp;M'!U$1,CCFMODEL!$I$127:$AF$128,2))</f>
        <v>19.648095008178132</v>
      </c>
      <c r="V14" s="907">
        <f>U14*IF(Summary!$E$70="no",(1+Summary!$E$71),1+HLOOKUP('O&amp;M'!V$1,CCFMODEL!$I$127:$AF$128,2))</f>
        <v>20.237537858423476</v>
      </c>
      <c r="W14" s="907">
        <f>V14*IF(Summary!$E$70="no",(1+Summary!$E$71),1+HLOOKUP('O&amp;M'!W$1,CCFMODEL!$I$127:$AF$128,2))</f>
        <v>20.84466399417618</v>
      </c>
      <c r="X14" s="907">
        <f>W14*IF(Summary!$E$70="no",(1+Summary!$E$71),1+HLOOKUP('O&amp;M'!X$1,CCFMODEL!$I$127:$AF$128,2))</f>
        <v>21.470003914001467</v>
      </c>
      <c r="Y14" s="907">
        <f>X14*IF(Summary!$E$70="no",(1+Summary!$E$71),1+HLOOKUP('O&amp;M'!Y$1,CCFMODEL!$I$127:$AF$128,2))</f>
        <v>22.114104031421512</v>
      </c>
      <c r="Z14" s="907">
        <f>Y14*IF(Summary!$E$70="no",(1+Summary!$E$71),1+HLOOKUP('O&amp;M'!Z$1,CCFMODEL!$I$127:$AF$128,2))</f>
        <v>22.777527152364158</v>
      </c>
      <c r="AA14" s="907">
        <f>Z14*IF(Summary!$E$70="no",(1+Summary!$E$71),1+HLOOKUP('O&amp;M'!AA$1,CCFMODEL!$I$127:$AF$128,2))</f>
        <v>23.460852966935082</v>
      </c>
      <c r="AC14" s="907">
        <v>12.244043227752366</v>
      </c>
    </row>
    <row r="15" spans="1:29">
      <c r="A15" s="964" t="s">
        <v>379</v>
      </c>
      <c r="B15" s="887"/>
      <c r="C15" s="887"/>
      <c r="D15" s="907">
        <v>0</v>
      </c>
      <c r="E15" s="907">
        <v>1.53050540346905</v>
      </c>
      <c r="F15" s="907">
        <f>E15*IF(Summary!$E$70="no",(1+Summary!$E$71),1+HLOOKUP('O&amp;M'!F$1,CCFMODEL!$I$127:$AF$128,2))</f>
        <v>1.5764205655731216</v>
      </c>
      <c r="G15" s="907">
        <f>F15*IF(Summary!$E$70="no",(1+Summary!$E$71),1+HLOOKUP('O&amp;M'!G$1,CCFMODEL!$I$127:$AF$128,2))</f>
        <v>1.6237131825403153</v>
      </c>
      <c r="H15" s="907">
        <f>G15*IF(Summary!$E$70="no",(1+Summary!$E$71),1+HLOOKUP('O&amp;M'!H$1,CCFMODEL!$I$127:$AF$128,2))</f>
        <v>1.6724245780165248</v>
      </c>
      <c r="I15" s="907">
        <f>H15*IF(Summary!$E$70="no",(1+Summary!$E$71),1+HLOOKUP('O&amp;M'!I$1,CCFMODEL!$I$127:$AF$128,2))</f>
        <v>1.7225973153570207</v>
      </c>
      <c r="J15" s="907">
        <f>I15*IF(Summary!$E$70="no",(1+Summary!$E$71),1+HLOOKUP('O&amp;M'!J$1,CCFMODEL!$I$127:$AF$128,2))</f>
        <v>1.7742752348177313</v>
      </c>
      <c r="K15" s="907">
        <f>J15*IF(Summary!$E$70="no",(1+Summary!$E$71),1+HLOOKUP('O&amp;M'!K$1,CCFMODEL!$I$127:$AF$128,2))</f>
        <v>1.8275034918622632</v>
      </c>
      <c r="L15" s="907">
        <f>K15*IF(Summary!$E$70="no",(1+Summary!$E$71),1+HLOOKUP('O&amp;M'!L$1,CCFMODEL!$I$127:$AF$128,2))</f>
        <v>1.8823285966181311</v>
      </c>
      <c r="M15" s="907">
        <f>L15*IF(Summary!$E$70="no",(1+Summary!$E$71),1+HLOOKUP('O&amp;M'!M$1,CCFMODEL!$I$127:$AF$128,2))</f>
        <v>1.9387984545166752</v>
      </c>
      <c r="N15" s="907">
        <f>M15*IF(Summary!$E$70="no",(1+Summary!$E$71),1+HLOOKUP('O&amp;M'!N$1,CCFMODEL!$I$127:$AF$128,2))</f>
        <v>1.9969624081521755</v>
      </c>
      <c r="O15" s="907">
        <f>N15*IF(Summary!$E$70="no",(1+Summary!$E$71),1+HLOOKUP('O&amp;M'!O$1,CCFMODEL!$I$127:$AF$128,2))</f>
        <v>2.0568712803967411</v>
      </c>
      <c r="P15" s="907">
        <f>O15*IF(Summary!$E$70="no",(1+Summary!$E$71),1+HLOOKUP('O&amp;M'!P$1,CCFMODEL!$I$127:$AF$128,2))</f>
        <v>2.1185774188086435</v>
      </c>
      <c r="Q15" s="907">
        <f>P15*IF(Summary!$E$70="no",(1+Summary!$E$71),1+HLOOKUP('O&amp;M'!Q$1,CCFMODEL!$I$127:$AF$128,2))</f>
        <v>2.1821347413729026</v>
      </c>
      <c r="R15" s="907">
        <f>Q15*IF(Summary!$E$70="no",(1+Summary!$E$71),1+HLOOKUP('O&amp;M'!R$1,CCFMODEL!$I$127:$AF$128,2))</f>
        <v>2.2475987836140896</v>
      </c>
      <c r="S15" s="907">
        <f>R15*IF(Summary!$E$70="no",(1+Summary!$E$71),1+HLOOKUP('O&amp;M'!S$1,CCFMODEL!$I$127:$AF$128,2))</f>
        <v>2.3150267471225123</v>
      </c>
      <c r="T15" s="907">
        <f>S15*IF(Summary!$E$70="no",(1+Summary!$E$71),1+HLOOKUP('O&amp;M'!T$1,CCFMODEL!$I$127:$AF$128,2))</f>
        <v>2.3844775495361876</v>
      </c>
      <c r="U15" s="907">
        <f>T15*IF(Summary!$E$70="no",(1+Summary!$E$71),1+HLOOKUP('O&amp;M'!U$1,CCFMODEL!$I$127:$AF$128,2))</f>
        <v>2.4560118760222731</v>
      </c>
      <c r="V15" s="907">
        <f>U15*IF(Summary!$E$70="no",(1+Summary!$E$71),1+HLOOKUP('O&amp;M'!V$1,CCFMODEL!$I$127:$AF$128,2))</f>
        <v>2.5296922323029412</v>
      </c>
      <c r="W15" s="907">
        <f>V15*IF(Summary!$E$70="no",(1+Summary!$E$71),1+HLOOKUP('O&amp;M'!W$1,CCFMODEL!$I$127:$AF$128,2))</f>
        <v>2.6055829992720296</v>
      </c>
      <c r="X15" s="907">
        <f>W15*IF(Summary!$E$70="no",(1+Summary!$E$71),1+HLOOKUP('O&amp;M'!X$1,CCFMODEL!$I$127:$AF$128,2))</f>
        <v>2.6837504892501904</v>
      </c>
      <c r="Y15" s="907">
        <f>X15*IF(Summary!$E$70="no",(1+Summary!$E$71),1+HLOOKUP('O&amp;M'!Y$1,CCFMODEL!$I$127:$AF$128,2))</f>
        <v>2.7642630039276961</v>
      </c>
      <c r="Z15" s="907">
        <f>Y15*IF(Summary!$E$70="no",(1+Summary!$E$71),1+HLOOKUP('O&amp;M'!Z$1,CCFMODEL!$I$127:$AF$128,2))</f>
        <v>2.8471908940455268</v>
      </c>
      <c r="AA15" s="907">
        <f>Z15*IF(Summary!$E$70="no",(1+Summary!$E$71),1+HLOOKUP('O&amp;M'!AA$1,CCFMODEL!$I$127:$AF$128,2))</f>
        <v>2.9326066208668928</v>
      </c>
      <c r="AC15" s="907">
        <v>1.53050540346905</v>
      </c>
    </row>
    <row r="16" spans="1:29">
      <c r="A16" s="964" t="s">
        <v>801</v>
      </c>
      <c r="B16" s="887"/>
      <c r="C16" s="887"/>
      <c r="D16" s="907">
        <v>0</v>
      </c>
      <c r="E16" s="907">
        <v>61.22021613876182</v>
      </c>
      <c r="F16" s="907">
        <f>E16*IF(Summary!$E$70="no",(1+Summary!$E$71),1+HLOOKUP('O&amp;M'!F$1,CCFMODEL!$I$127:$AF$128,2))</f>
        <v>63.056822622924678</v>
      </c>
      <c r="G16" s="907">
        <f>F16*IF(Summary!$E$70="no",(1+Summary!$E$71),1+HLOOKUP('O&amp;M'!G$1,CCFMODEL!$I$127:$AF$128,2))</f>
        <v>64.948527301612415</v>
      </c>
      <c r="H16" s="907">
        <f>G16*IF(Summary!$E$70="no",(1+Summary!$E$71),1+HLOOKUP('O&amp;M'!H$1,CCFMODEL!$I$127:$AF$128,2))</f>
        <v>66.896983120660792</v>
      </c>
      <c r="I16" s="907">
        <f>H16*IF(Summary!$E$70="no",(1+Summary!$E$71),1+HLOOKUP('O&amp;M'!I$1,CCFMODEL!$I$127:$AF$128,2))</f>
        <v>68.903892614280622</v>
      </c>
      <c r="J16" s="907">
        <f>I16*IF(Summary!$E$70="no",(1+Summary!$E$71),1+HLOOKUP('O&amp;M'!J$1,CCFMODEL!$I$127:$AF$128,2))</f>
        <v>70.971009392709036</v>
      </c>
      <c r="K16" s="907">
        <f>J16*IF(Summary!$E$70="no",(1+Summary!$E$71),1+HLOOKUP('O&amp;M'!K$1,CCFMODEL!$I$127:$AF$128,2))</f>
        <v>73.100139674490308</v>
      </c>
      <c r="L16" s="907">
        <f>K16*IF(Summary!$E$70="no",(1+Summary!$E$71),1+HLOOKUP('O&amp;M'!L$1,CCFMODEL!$I$127:$AF$128,2))</f>
        <v>75.293143864725025</v>
      </c>
      <c r="M16" s="907">
        <f>L16*IF(Summary!$E$70="no",(1+Summary!$E$71),1+HLOOKUP('O&amp;M'!M$1,CCFMODEL!$I$127:$AF$128,2))</f>
        <v>77.551938180666781</v>
      </c>
      <c r="N16" s="907">
        <f>M16*IF(Summary!$E$70="no",(1+Summary!$E$71),1+HLOOKUP('O&amp;M'!N$1,CCFMODEL!$I$127:$AF$128,2))</f>
        <v>79.87849632608679</v>
      </c>
      <c r="O16" s="907">
        <f>N16*IF(Summary!$E$70="no",(1+Summary!$E$71),1+HLOOKUP('O&amp;M'!O$1,CCFMODEL!$I$127:$AF$128,2))</f>
        <v>82.27485121586939</v>
      </c>
      <c r="P16" s="907">
        <f>O16*IF(Summary!$E$70="no",(1+Summary!$E$71),1+HLOOKUP('O&amp;M'!P$1,CCFMODEL!$I$127:$AF$128,2))</f>
        <v>84.74309675234548</v>
      </c>
      <c r="Q16" s="907">
        <f>P16*IF(Summary!$E$70="no",(1+Summary!$E$71),1+HLOOKUP('O&amp;M'!Q$1,CCFMODEL!$I$127:$AF$128,2))</f>
        <v>87.285389654915846</v>
      </c>
      <c r="R16" s="907">
        <f>Q16*IF(Summary!$E$70="no",(1+Summary!$E$71),1+HLOOKUP('O&amp;M'!R$1,CCFMODEL!$I$127:$AF$128,2))</f>
        <v>89.903951344563325</v>
      </c>
      <c r="S16" s="907">
        <f>R16*IF(Summary!$E$70="no",(1+Summary!$E$71),1+HLOOKUP('O&amp;M'!S$1,CCFMODEL!$I$127:$AF$128,2))</f>
        <v>92.601069884900227</v>
      </c>
      <c r="T16" s="907">
        <f>S16*IF(Summary!$E$70="no",(1+Summary!$E$71),1+HLOOKUP('O&amp;M'!T$1,CCFMODEL!$I$127:$AF$128,2))</f>
        <v>95.379101981447235</v>
      </c>
      <c r="U16" s="907">
        <f>T16*IF(Summary!$E$70="no",(1+Summary!$E$71),1+HLOOKUP('O&amp;M'!U$1,CCFMODEL!$I$127:$AF$128,2))</f>
        <v>98.240475040890658</v>
      </c>
      <c r="V16" s="907">
        <f>U16*IF(Summary!$E$70="no",(1+Summary!$E$71),1+HLOOKUP('O&amp;M'!V$1,CCFMODEL!$I$127:$AF$128,2))</f>
        <v>101.18768929211738</v>
      </c>
      <c r="W16" s="907">
        <f>V16*IF(Summary!$E$70="no",(1+Summary!$E$71),1+HLOOKUP('O&amp;M'!W$1,CCFMODEL!$I$127:$AF$128,2))</f>
        <v>104.22331997088091</v>
      </c>
      <c r="X16" s="907">
        <f>W16*IF(Summary!$E$70="no",(1+Summary!$E$71),1+HLOOKUP('O&amp;M'!X$1,CCFMODEL!$I$127:$AF$128,2))</f>
        <v>107.35001957000733</v>
      </c>
      <c r="Y16" s="907">
        <f>X16*IF(Summary!$E$70="no",(1+Summary!$E$71),1+HLOOKUP('O&amp;M'!Y$1,CCFMODEL!$I$127:$AF$128,2))</f>
        <v>110.57052015710755</v>
      </c>
      <c r="Z16" s="907">
        <f>Y16*IF(Summary!$E$70="no",(1+Summary!$E$71),1+HLOOKUP('O&amp;M'!Z$1,CCFMODEL!$I$127:$AF$128,2))</f>
        <v>113.88763576182077</v>
      </c>
      <c r="AA16" s="907">
        <f>Z16*IF(Summary!$E$70="no",(1+Summary!$E$71),1+HLOOKUP('O&amp;M'!AA$1,CCFMODEL!$I$127:$AF$128,2))</f>
        <v>117.30426483467541</v>
      </c>
      <c r="AC16" s="907">
        <v>61.22021613876182</v>
      </c>
    </row>
    <row r="17" spans="1:29">
      <c r="A17" s="964" t="s">
        <v>802</v>
      </c>
      <c r="B17" s="887"/>
      <c r="C17" s="887"/>
      <c r="D17" s="907">
        <v>0</v>
      </c>
      <c r="E17" s="907">
        <v>21</v>
      </c>
      <c r="F17" s="907">
        <f>E17*IF(Summary!$E$70="no",(1+Summary!$E$71),1+HLOOKUP('O&amp;M'!F$1,CCFMODEL!$I$127:$AF$128,2))</f>
        <v>21.63</v>
      </c>
      <c r="G17" s="907">
        <f>F17*IF(Summary!$E$70="no",(1+Summary!$E$71),1+HLOOKUP('O&amp;M'!G$1,CCFMODEL!$I$127:$AF$128,2))</f>
        <v>22.2789</v>
      </c>
      <c r="H17" s="907">
        <f>G17*IF(Summary!$E$70="no",(1+Summary!$E$71),1+HLOOKUP('O&amp;M'!H$1,CCFMODEL!$I$127:$AF$128,2))</f>
        <v>22.947267</v>
      </c>
      <c r="I17" s="907">
        <f>H17*IF(Summary!$E$70="no",(1+Summary!$E$71),1+HLOOKUP('O&amp;M'!I$1,CCFMODEL!$I$127:$AF$128,2))</f>
        <v>23.63568501</v>
      </c>
      <c r="J17" s="907">
        <f>I17*IF(Summary!$E$70="no",(1+Summary!$E$71),1+HLOOKUP('O&amp;M'!J$1,CCFMODEL!$I$127:$AF$128,2))</f>
        <v>24.344755560300001</v>
      </c>
      <c r="K17" s="907">
        <f>J17*IF(Summary!$E$70="no",(1+Summary!$E$71),1+HLOOKUP('O&amp;M'!K$1,CCFMODEL!$I$127:$AF$128,2))</f>
        <v>25.075098227109002</v>
      </c>
      <c r="L17" s="907">
        <f>K17*IF(Summary!$E$70="no",(1+Summary!$E$71),1+HLOOKUP('O&amp;M'!L$1,CCFMODEL!$I$127:$AF$128,2))</f>
        <v>25.827351173922274</v>
      </c>
      <c r="M17" s="907">
        <f>L17*IF(Summary!$E$70="no",(1+Summary!$E$71),1+HLOOKUP('O&amp;M'!M$1,CCFMODEL!$I$127:$AF$128,2))</f>
        <v>26.602171709139942</v>
      </c>
      <c r="N17" s="907">
        <f>M17*IF(Summary!$E$70="no",(1+Summary!$E$71),1+HLOOKUP('O&amp;M'!N$1,CCFMODEL!$I$127:$AF$128,2))</f>
        <v>27.40023686041414</v>
      </c>
      <c r="O17" s="907">
        <f>N17*IF(Summary!$E$70="no",(1+Summary!$E$71),1+HLOOKUP('O&amp;M'!O$1,CCFMODEL!$I$127:$AF$128,2))</f>
        <v>28.222243966226564</v>
      </c>
      <c r="P17" s="907">
        <f>O17*IF(Summary!$E$70="no",(1+Summary!$E$71),1+HLOOKUP('O&amp;M'!P$1,CCFMODEL!$I$127:$AF$128,2))</f>
        <v>29.06891128521336</v>
      </c>
      <c r="Q17" s="907">
        <f>P17*IF(Summary!$E$70="no",(1+Summary!$E$71),1+HLOOKUP('O&amp;M'!Q$1,CCFMODEL!$I$127:$AF$128,2))</f>
        <v>29.940978623769762</v>
      </c>
      <c r="R17" s="907">
        <f>Q17*IF(Summary!$E$70="no",(1+Summary!$E$71),1+HLOOKUP('O&amp;M'!R$1,CCFMODEL!$I$127:$AF$128,2))</f>
        <v>30.839207982482858</v>
      </c>
      <c r="S17" s="907">
        <f>R17*IF(Summary!$E$70="no",(1+Summary!$E$71),1+HLOOKUP('O&amp;M'!S$1,CCFMODEL!$I$127:$AF$128,2))</f>
        <v>31.764384221957343</v>
      </c>
      <c r="T17" s="907">
        <f>S17*IF(Summary!$E$70="no",(1+Summary!$E$71),1+HLOOKUP('O&amp;M'!T$1,CCFMODEL!$I$127:$AF$128,2))</f>
        <v>32.717315748616066</v>
      </c>
      <c r="U17" s="907">
        <f>T17*IF(Summary!$E$70="no",(1+Summary!$E$71),1+HLOOKUP('O&amp;M'!U$1,CCFMODEL!$I$127:$AF$128,2))</f>
        <v>33.698835221074546</v>
      </c>
      <c r="V17" s="907">
        <f>U17*IF(Summary!$E$70="no",(1+Summary!$E$71),1+HLOOKUP('O&amp;M'!V$1,CCFMODEL!$I$127:$AF$128,2))</f>
        <v>34.709800277706783</v>
      </c>
      <c r="W17" s="907">
        <f>V17*IF(Summary!$E$70="no",(1+Summary!$E$71),1+HLOOKUP('O&amp;M'!W$1,CCFMODEL!$I$127:$AF$128,2))</f>
        <v>35.75109428603799</v>
      </c>
      <c r="X17" s="907">
        <f>W17*IF(Summary!$E$70="no",(1+Summary!$E$71),1+HLOOKUP('O&amp;M'!X$1,CCFMODEL!$I$127:$AF$128,2))</f>
        <v>36.823627114619129</v>
      </c>
      <c r="Y17" s="907">
        <f>X17*IF(Summary!$E$70="no",(1+Summary!$E$71),1+HLOOKUP('O&amp;M'!Y$1,CCFMODEL!$I$127:$AF$128,2))</f>
        <v>37.928335928057706</v>
      </c>
      <c r="Z17" s="907">
        <f>Y17*IF(Summary!$E$70="no",(1+Summary!$E$71),1+HLOOKUP('O&amp;M'!Z$1,CCFMODEL!$I$127:$AF$128,2))</f>
        <v>39.066186005899439</v>
      </c>
      <c r="AA17" s="907">
        <f>Z17*IF(Summary!$E$70="no",(1+Summary!$E$71),1+HLOOKUP('O&amp;M'!AA$1,CCFMODEL!$I$127:$AF$128,2))</f>
        <v>40.238171586076426</v>
      </c>
      <c r="AC17" s="907">
        <v>21</v>
      </c>
    </row>
    <row r="18" spans="1:29">
      <c r="A18" s="964" t="s">
        <v>803</v>
      </c>
      <c r="B18" s="887"/>
      <c r="C18" s="887"/>
      <c r="D18" s="907">
        <v>0</v>
      </c>
      <c r="E18" s="907">
        <v>24</v>
      </c>
      <c r="F18" s="907">
        <f>E18*IF(Summary!$E$70="no",(1+Summary!$E$71),1+HLOOKUP('O&amp;M'!F$1,CCFMODEL!$I$127:$AF$128,2))</f>
        <v>24.72</v>
      </c>
      <c r="G18" s="907">
        <f>F18*IF(Summary!$E$70="no",(1+Summary!$E$71),1+HLOOKUP('O&amp;M'!G$1,CCFMODEL!$I$127:$AF$128,2))</f>
        <v>25.461600000000001</v>
      </c>
      <c r="H18" s="907">
        <f>G18*IF(Summary!$E$70="no",(1+Summary!$E$71),1+HLOOKUP('O&amp;M'!H$1,CCFMODEL!$I$127:$AF$128,2))</f>
        <v>26.225448</v>
      </c>
      <c r="I18" s="907">
        <f>H18*IF(Summary!$E$70="no",(1+Summary!$E$71),1+HLOOKUP('O&amp;M'!I$1,CCFMODEL!$I$127:$AF$128,2))</f>
        <v>27.012211440000002</v>
      </c>
      <c r="J18" s="907">
        <f>I18*IF(Summary!$E$70="no",(1+Summary!$E$71),1+HLOOKUP('O&amp;M'!J$1,CCFMODEL!$I$127:$AF$128,2))</f>
        <v>27.822577783200003</v>
      </c>
      <c r="K18" s="907">
        <f>J18*IF(Summary!$E$70="no",(1+Summary!$E$71),1+HLOOKUP('O&amp;M'!K$1,CCFMODEL!$I$127:$AF$128,2))</f>
        <v>28.657255116696003</v>
      </c>
      <c r="L18" s="907">
        <f>K18*IF(Summary!$E$70="no",(1+Summary!$E$71),1+HLOOKUP('O&amp;M'!L$1,CCFMODEL!$I$127:$AF$128,2))</f>
        <v>29.516972770196883</v>
      </c>
      <c r="M18" s="907">
        <f>L18*IF(Summary!$E$70="no",(1+Summary!$E$71),1+HLOOKUP('O&amp;M'!M$1,CCFMODEL!$I$127:$AF$128,2))</f>
        <v>30.402481953302789</v>
      </c>
      <c r="N18" s="907">
        <f>M18*IF(Summary!$E$70="no",(1+Summary!$E$71),1+HLOOKUP('O&amp;M'!N$1,CCFMODEL!$I$127:$AF$128,2))</f>
        <v>31.314556411901872</v>
      </c>
      <c r="O18" s="907">
        <f>N18*IF(Summary!$E$70="no",(1+Summary!$E$71),1+HLOOKUP('O&amp;M'!O$1,CCFMODEL!$I$127:$AF$128,2))</f>
        <v>32.253993104258932</v>
      </c>
      <c r="P18" s="907">
        <f>O18*IF(Summary!$E$70="no",(1+Summary!$E$71),1+HLOOKUP('O&amp;M'!P$1,CCFMODEL!$I$127:$AF$128,2))</f>
        <v>33.221612897386699</v>
      </c>
      <c r="Q18" s="907">
        <f>P18*IF(Summary!$E$70="no",(1+Summary!$E$71),1+HLOOKUP('O&amp;M'!Q$1,CCFMODEL!$I$127:$AF$128,2))</f>
        <v>34.218261284308298</v>
      </c>
      <c r="R18" s="907">
        <f>Q18*IF(Summary!$E$70="no",(1+Summary!$E$71),1+HLOOKUP('O&amp;M'!R$1,CCFMODEL!$I$127:$AF$128,2))</f>
        <v>35.244809122837545</v>
      </c>
      <c r="S18" s="907">
        <f>R18*IF(Summary!$E$70="no",(1+Summary!$E$71),1+HLOOKUP('O&amp;M'!S$1,CCFMODEL!$I$127:$AF$128,2))</f>
        <v>36.302153396522669</v>
      </c>
      <c r="T18" s="907">
        <f>S18*IF(Summary!$E$70="no",(1+Summary!$E$71),1+HLOOKUP('O&amp;M'!T$1,CCFMODEL!$I$127:$AF$128,2))</f>
        <v>37.391217998418348</v>
      </c>
      <c r="U18" s="907">
        <f>T18*IF(Summary!$E$70="no",(1+Summary!$E$71),1+HLOOKUP('O&amp;M'!U$1,CCFMODEL!$I$127:$AF$128,2))</f>
        <v>38.512954538370899</v>
      </c>
      <c r="V18" s="907">
        <f>U18*IF(Summary!$E$70="no",(1+Summary!$E$71),1+HLOOKUP('O&amp;M'!V$1,CCFMODEL!$I$127:$AF$128,2))</f>
        <v>39.668343174522029</v>
      </c>
      <c r="W18" s="907">
        <f>V18*IF(Summary!$E$70="no",(1+Summary!$E$71),1+HLOOKUP('O&amp;M'!W$1,CCFMODEL!$I$127:$AF$128,2))</f>
        <v>40.858393469757694</v>
      </c>
      <c r="X18" s="907">
        <f>W18*IF(Summary!$E$70="no",(1+Summary!$E$71),1+HLOOKUP('O&amp;M'!X$1,CCFMODEL!$I$127:$AF$128,2))</f>
        <v>42.084145273850424</v>
      </c>
      <c r="Y18" s="907">
        <f>X18*IF(Summary!$E$70="no",(1+Summary!$E$71),1+HLOOKUP('O&amp;M'!Y$1,CCFMODEL!$I$127:$AF$128,2))</f>
        <v>43.346669632065939</v>
      </c>
      <c r="Z18" s="907">
        <f>Y18*IF(Summary!$E$70="no",(1+Summary!$E$71),1+HLOOKUP('O&amp;M'!Z$1,CCFMODEL!$I$127:$AF$128,2))</f>
        <v>44.647069721027918</v>
      </c>
      <c r="AA18" s="907">
        <f>Z18*IF(Summary!$E$70="no",(1+Summary!$E$71),1+HLOOKUP('O&amp;M'!AA$1,CCFMODEL!$I$127:$AF$128,2))</f>
        <v>45.986481812658759</v>
      </c>
      <c r="AC18" s="907">
        <v>24</v>
      </c>
    </row>
    <row r="19" spans="1:29">
      <c r="A19" s="964" t="s">
        <v>804</v>
      </c>
      <c r="B19" s="887"/>
      <c r="C19" s="887"/>
      <c r="D19" s="907">
        <v>0</v>
      </c>
      <c r="E19" s="907">
        <v>24</v>
      </c>
      <c r="F19" s="907">
        <f>E19*IF(Summary!$E$70="no",(1+Summary!$E$71),1+HLOOKUP('O&amp;M'!F$1,CCFMODEL!$I$127:$AF$128,2))</f>
        <v>24.72</v>
      </c>
      <c r="G19" s="907">
        <f>F19*IF(Summary!$E$70="no",(1+Summary!$E$71),1+HLOOKUP('O&amp;M'!G$1,CCFMODEL!$I$127:$AF$128,2))</f>
        <v>25.461600000000001</v>
      </c>
      <c r="H19" s="907">
        <f>G19*IF(Summary!$E$70="no",(1+Summary!$E$71),1+HLOOKUP('O&amp;M'!H$1,CCFMODEL!$I$127:$AF$128,2))</f>
        <v>26.225448</v>
      </c>
      <c r="I19" s="907">
        <f>H19*IF(Summary!$E$70="no",(1+Summary!$E$71),1+HLOOKUP('O&amp;M'!I$1,CCFMODEL!$I$127:$AF$128,2))</f>
        <v>27.012211440000002</v>
      </c>
      <c r="J19" s="907">
        <f>I19*IF(Summary!$E$70="no",(1+Summary!$E$71),1+HLOOKUP('O&amp;M'!J$1,CCFMODEL!$I$127:$AF$128,2))</f>
        <v>27.822577783200003</v>
      </c>
      <c r="K19" s="907">
        <f>J19*IF(Summary!$E$70="no",(1+Summary!$E$71),1+HLOOKUP('O&amp;M'!K$1,CCFMODEL!$I$127:$AF$128,2))</f>
        <v>28.657255116696003</v>
      </c>
      <c r="L19" s="907">
        <f>K19*IF(Summary!$E$70="no",(1+Summary!$E$71),1+HLOOKUP('O&amp;M'!L$1,CCFMODEL!$I$127:$AF$128,2))</f>
        <v>29.516972770196883</v>
      </c>
      <c r="M19" s="907">
        <f>L19*IF(Summary!$E$70="no",(1+Summary!$E$71),1+HLOOKUP('O&amp;M'!M$1,CCFMODEL!$I$127:$AF$128,2))</f>
        <v>30.402481953302789</v>
      </c>
      <c r="N19" s="907">
        <f>M19*IF(Summary!$E$70="no",(1+Summary!$E$71),1+HLOOKUP('O&amp;M'!N$1,CCFMODEL!$I$127:$AF$128,2))</f>
        <v>31.314556411901872</v>
      </c>
      <c r="O19" s="907">
        <f>N19*IF(Summary!$E$70="no",(1+Summary!$E$71),1+HLOOKUP('O&amp;M'!O$1,CCFMODEL!$I$127:$AF$128,2))</f>
        <v>32.253993104258932</v>
      </c>
      <c r="P19" s="907">
        <f>O19*IF(Summary!$E$70="no",(1+Summary!$E$71),1+HLOOKUP('O&amp;M'!P$1,CCFMODEL!$I$127:$AF$128,2))</f>
        <v>33.221612897386699</v>
      </c>
      <c r="Q19" s="907">
        <f>P19*IF(Summary!$E$70="no",(1+Summary!$E$71),1+HLOOKUP('O&amp;M'!Q$1,CCFMODEL!$I$127:$AF$128,2))</f>
        <v>34.218261284308298</v>
      </c>
      <c r="R19" s="907">
        <f>Q19*IF(Summary!$E$70="no",(1+Summary!$E$71),1+HLOOKUP('O&amp;M'!R$1,CCFMODEL!$I$127:$AF$128,2))</f>
        <v>35.244809122837545</v>
      </c>
      <c r="S19" s="907">
        <f>R19*IF(Summary!$E$70="no",(1+Summary!$E$71),1+HLOOKUP('O&amp;M'!S$1,CCFMODEL!$I$127:$AF$128,2))</f>
        <v>36.302153396522669</v>
      </c>
      <c r="T19" s="907">
        <f>S19*IF(Summary!$E$70="no",(1+Summary!$E$71),1+HLOOKUP('O&amp;M'!T$1,CCFMODEL!$I$127:$AF$128,2))</f>
        <v>37.391217998418348</v>
      </c>
      <c r="U19" s="907">
        <f>T19*IF(Summary!$E$70="no",(1+Summary!$E$71),1+HLOOKUP('O&amp;M'!U$1,CCFMODEL!$I$127:$AF$128,2))</f>
        <v>38.512954538370899</v>
      </c>
      <c r="V19" s="907">
        <f>U19*IF(Summary!$E$70="no",(1+Summary!$E$71),1+HLOOKUP('O&amp;M'!V$1,CCFMODEL!$I$127:$AF$128,2))</f>
        <v>39.668343174522029</v>
      </c>
      <c r="W19" s="907">
        <f>V19*IF(Summary!$E$70="no",(1+Summary!$E$71),1+HLOOKUP('O&amp;M'!W$1,CCFMODEL!$I$127:$AF$128,2))</f>
        <v>40.858393469757694</v>
      </c>
      <c r="X19" s="907">
        <f>W19*IF(Summary!$E$70="no",(1+Summary!$E$71),1+HLOOKUP('O&amp;M'!X$1,CCFMODEL!$I$127:$AF$128,2))</f>
        <v>42.084145273850424</v>
      </c>
      <c r="Y19" s="907">
        <f>X19*IF(Summary!$E$70="no",(1+Summary!$E$71),1+HLOOKUP('O&amp;M'!Y$1,CCFMODEL!$I$127:$AF$128,2))</f>
        <v>43.346669632065939</v>
      </c>
      <c r="Z19" s="907">
        <f>Y19*IF(Summary!$E$70="no",(1+Summary!$E$71),1+HLOOKUP('O&amp;M'!Z$1,CCFMODEL!$I$127:$AF$128,2))</f>
        <v>44.647069721027918</v>
      </c>
      <c r="AA19" s="907">
        <f>Z19*IF(Summary!$E$70="no",(1+Summary!$E$71),1+HLOOKUP('O&amp;M'!AA$1,CCFMODEL!$I$127:$AF$128,2))</f>
        <v>45.986481812658759</v>
      </c>
      <c r="AC19" s="907">
        <v>24</v>
      </c>
    </row>
    <row r="20" spans="1:29">
      <c r="A20" s="964" t="s">
        <v>805</v>
      </c>
      <c r="B20" s="887"/>
      <c r="C20" s="887"/>
      <c r="D20" s="907">
        <v>0</v>
      </c>
      <c r="E20" s="907">
        <v>12</v>
      </c>
      <c r="F20" s="907">
        <f>E20*IF(Summary!$E$70="no",(1+Summary!$E$71),1+HLOOKUP('O&amp;M'!F$1,CCFMODEL!$I$127:$AF$128,2))</f>
        <v>12.36</v>
      </c>
      <c r="G20" s="907">
        <f>F20*IF(Summary!$E$70="no",(1+Summary!$E$71),1+HLOOKUP('O&amp;M'!G$1,CCFMODEL!$I$127:$AF$128,2))</f>
        <v>12.7308</v>
      </c>
      <c r="H20" s="907">
        <f>G20*IF(Summary!$E$70="no",(1+Summary!$E$71),1+HLOOKUP('O&amp;M'!H$1,CCFMODEL!$I$127:$AF$128,2))</f>
        <v>13.112724</v>
      </c>
      <c r="I20" s="907">
        <f>H20*IF(Summary!$E$70="no",(1+Summary!$E$71),1+HLOOKUP('O&amp;M'!I$1,CCFMODEL!$I$127:$AF$128,2))</f>
        <v>13.506105720000001</v>
      </c>
      <c r="J20" s="907">
        <f>I20*IF(Summary!$E$70="no",(1+Summary!$E$71),1+HLOOKUP('O&amp;M'!J$1,CCFMODEL!$I$127:$AF$128,2))</f>
        <v>13.911288891600002</v>
      </c>
      <c r="K20" s="907">
        <f>J20*IF(Summary!$E$70="no",(1+Summary!$E$71),1+HLOOKUP('O&amp;M'!K$1,CCFMODEL!$I$127:$AF$128,2))</f>
        <v>14.328627558348002</v>
      </c>
      <c r="L20" s="907">
        <f>K20*IF(Summary!$E$70="no",(1+Summary!$E$71),1+HLOOKUP('O&amp;M'!L$1,CCFMODEL!$I$127:$AF$128,2))</f>
        <v>14.758486385098442</v>
      </c>
      <c r="M20" s="907">
        <f>L20*IF(Summary!$E$70="no",(1+Summary!$E$71),1+HLOOKUP('O&amp;M'!M$1,CCFMODEL!$I$127:$AF$128,2))</f>
        <v>15.201240976651395</v>
      </c>
      <c r="N20" s="907">
        <f>M20*IF(Summary!$E$70="no",(1+Summary!$E$71),1+HLOOKUP('O&amp;M'!N$1,CCFMODEL!$I$127:$AF$128,2))</f>
        <v>15.657278205950936</v>
      </c>
      <c r="O20" s="907">
        <f>N20*IF(Summary!$E$70="no",(1+Summary!$E$71),1+HLOOKUP('O&amp;M'!O$1,CCFMODEL!$I$127:$AF$128,2))</f>
        <v>16.126996552129466</v>
      </c>
      <c r="P20" s="907">
        <f>O20*IF(Summary!$E$70="no",(1+Summary!$E$71),1+HLOOKUP('O&amp;M'!P$1,CCFMODEL!$I$127:$AF$128,2))</f>
        <v>16.610806448693349</v>
      </c>
      <c r="Q20" s="907">
        <f>P20*IF(Summary!$E$70="no",(1+Summary!$E$71),1+HLOOKUP('O&amp;M'!Q$1,CCFMODEL!$I$127:$AF$128,2))</f>
        <v>17.109130642154149</v>
      </c>
      <c r="R20" s="907">
        <f>Q20*IF(Summary!$E$70="no",(1+Summary!$E$71),1+HLOOKUP('O&amp;M'!R$1,CCFMODEL!$I$127:$AF$128,2))</f>
        <v>17.622404561418772</v>
      </c>
      <c r="S20" s="907">
        <f>R20*IF(Summary!$E$70="no",(1+Summary!$E$71),1+HLOOKUP('O&amp;M'!S$1,CCFMODEL!$I$127:$AF$128,2))</f>
        <v>18.151076698261335</v>
      </c>
      <c r="T20" s="907">
        <f>S20*IF(Summary!$E$70="no",(1+Summary!$E$71),1+HLOOKUP('O&amp;M'!T$1,CCFMODEL!$I$127:$AF$128,2))</f>
        <v>18.695608999209174</v>
      </c>
      <c r="U20" s="907">
        <f>T20*IF(Summary!$E$70="no",(1+Summary!$E$71),1+HLOOKUP('O&amp;M'!U$1,CCFMODEL!$I$127:$AF$128,2))</f>
        <v>19.256477269185449</v>
      </c>
      <c r="V20" s="907">
        <f>U20*IF(Summary!$E$70="no",(1+Summary!$E$71),1+HLOOKUP('O&amp;M'!V$1,CCFMODEL!$I$127:$AF$128,2))</f>
        <v>19.834171587261014</v>
      </c>
      <c r="W20" s="907">
        <f>V20*IF(Summary!$E$70="no",(1+Summary!$E$71),1+HLOOKUP('O&amp;M'!W$1,CCFMODEL!$I$127:$AF$128,2))</f>
        <v>20.429196734878847</v>
      </c>
      <c r="X20" s="907">
        <f>W20*IF(Summary!$E$70="no",(1+Summary!$E$71),1+HLOOKUP('O&amp;M'!X$1,CCFMODEL!$I$127:$AF$128,2))</f>
        <v>21.042072636925212</v>
      </c>
      <c r="Y20" s="907">
        <f>X20*IF(Summary!$E$70="no",(1+Summary!$E$71),1+HLOOKUP('O&amp;M'!Y$1,CCFMODEL!$I$127:$AF$128,2))</f>
        <v>21.67333481603297</v>
      </c>
      <c r="Z20" s="907">
        <f>Y20*IF(Summary!$E$70="no",(1+Summary!$E$71),1+HLOOKUP('O&amp;M'!Z$1,CCFMODEL!$I$127:$AF$128,2))</f>
        <v>22.323534860513959</v>
      </c>
      <c r="AA20" s="907">
        <f>Z20*IF(Summary!$E$70="no",(1+Summary!$E$71),1+HLOOKUP('O&amp;M'!AA$1,CCFMODEL!$I$127:$AF$128,2))</f>
        <v>22.99324090632938</v>
      </c>
      <c r="AC20" s="907">
        <v>12</v>
      </c>
    </row>
    <row r="21" spans="1:29">
      <c r="A21" s="964" t="s">
        <v>380</v>
      </c>
      <c r="B21" s="887"/>
      <c r="C21" s="887"/>
      <c r="D21" s="907">
        <v>0</v>
      </c>
      <c r="E21" s="907">
        <v>12</v>
      </c>
      <c r="F21" s="907">
        <f>E21*IF(Summary!$E$70="no",(1+Summary!$E$71),1+HLOOKUP('O&amp;M'!F$1,CCFMODEL!$I$127:$AF$128,2))</f>
        <v>12.36</v>
      </c>
      <c r="G21" s="907">
        <f>F21*IF(Summary!$E$70="no",(1+Summary!$E$71),1+HLOOKUP('O&amp;M'!G$1,CCFMODEL!$I$127:$AF$128,2))</f>
        <v>12.7308</v>
      </c>
      <c r="H21" s="907">
        <f>G21*IF(Summary!$E$70="no",(1+Summary!$E$71),1+HLOOKUP('O&amp;M'!H$1,CCFMODEL!$I$127:$AF$128,2))</f>
        <v>13.112724</v>
      </c>
      <c r="I21" s="907">
        <f>H21*IF(Summary!$E$70="no",(1+Summary!$E$71),1+HLOOKUP('O&amp;M'!I$1,CCFMODEL!$I$127:$AF$128,2))</f>
        <v>13.506105720000001</v>
      </c>
      <c r="J21" s="907">
        <f>I21*IF(Summary!$E$70="no",(1+Summary!$E$71),1+HLOOKUP('O&amp;M'!J$1,CCFMODEL!$I$127:$AF$128,2))</f>
        <v>13.911288891600002</v>
      </c>
      <c r="K21" s="907">
        <f>J21*IF(Summary!$E$70="no",(1+Summary!$E$71),1+HLOOKUP('O&amp;M'!K$1,CCFMODEL!$I$127:$AF$128,2))</f>
        <v>14.328627558348002</v>
      </c>
      <c r="L21" s="907">
        <f>K21*IF(Summary!$E$70="no",(1+Summary!$E$71),1+HLOOKUP('O&amp;M'!L$1,CCFMODEL!$I$127:$AF$128,2))</f>
        <v>14.758486385098442</v>
      </c>
      <c r="M21" s="907">
        <f>L21*IF(Summary!$E$70="no",(1+Summary!$E$71),1+HLOOKUP('O&amp;M'!M$1,CCFMODEL!$I$127:$AF$128,2))</f>
        <v>15.201240976651395</v>
      </c>
      <c r="N21" s="907">
        <f>M21*IF(Summary!$E$70="no",(1+Summary!$E$71),1+HLOOKUP('O&amp;M'!N$1,CCFMODEL!$I$127:$AF$128,2))</f>
        <v>15.657278205950936</v>
      </c>
      <c r="O21" s="907">
        <f>N21*IF(Summary!$E$70="no",(1+Summary!$E$71),1+HLOOKUP('O&amp;M'!O$1,CCFMODEL!$I$127:$AF$128,2))</f>
        <v>16.126996552129466</v>
      </c>
      <c r="P21" s="907">
        <f>O21*IF(Summary!$E$70="no",(1+Summary!$E$71),1+HLOOKUP('O&amp;M'!P$1,CCFMODEL!$I$127:$AF$128,2))</f>
        <v>16.610806448693349</v>
      </c>
      <c r="Q21" s="907">
        <f>P21*IF(Summary!$E$70="no",(1+Summary!$E$71),1+HLOOKUP('O&amp;M'!Q$1,CCFMODEL!$I$127:$AF$128,2))</f>
        <v>17.109130642154149</v>
      </c>
      <c r="R21" s="907">
        <f>Q21*IF(Summary!$E$70="no",(1+Summary!$E$71),1+HLOOKUP('O&amp;M'!R$1,CCFMODEL!$I$127:$AF$128,2))</f>
        <v>17.622404561418772</v>
      </c>
      <c r="S21" s="907">
        <f>R21*IF(Summary!$E$70="no",(1+Summary!$E$71),1+HLOOKUP('O&amp;M'!S$1,CCFMODEL!$I$127:$AF$128,2))</f>
        <v>18.151076698261335</v>
      </c>
      <c r="T21" s="907">
        <f>S21*IF(Summary!$E$70="no",(1+Summary!$E$71),1+HLOOKUP('O&amp;M'!T$1,CCFMODEL!$I$127:$AF$128,2))</f>
        <v>18.695608999209174</v>
      </c>
      <c r="U21" s="907">
        <f>T21*IF(Summary!$E$70="no",(1+Summary!$E$71),1+HLOOKUP('O&amp;M'!U$1,CCFMODEL!$I$127:$AF$128,2))</f>
        <v>19.256477269185449</v>
      </c>
      <c r="V21" s="907">
        <f>U21*IF(Summary!$E$70="no",(1+Summary!$E$71),1+HLOOKUP('O&amp;M'!V$1,CCFMODEL!$I$127:$AF$128,2))</f>
        <v>19.834171587261014</v>
      </c>
      <c r="W21" s="907">
        <f>V21*IF(Summary!$E$70="no",(1+Summary!$E$71),1+HLOOKUP('O&amp;M'!W$1,CCFMODEL!$I$127:$AF$128,2))</f>
        <v>20.429196734878847</v>
      </c>
      <c r="X21" s="907">
        <f>W21*IF(Summary!$E$70="no",(1+Summary!$E$71),1+HLOOKUP('O&amp;M'!X$1,CCFMODEL!$I$127:$AF$128,2))</f>
        <v>21.042072636925212</v>
      </c>
      <c r="Y21" s="907">
        <f>X21*IF(Summary!$E$70="no",(1+Summary!$E$71),1+HLOOKUP('O&amp;M'!Y$1,CCFMODEL!$I$127:$AF$128,2))</f>
        <v>21.67333481603297</v>
      </c>
      <c r="Z21" s="907">
        <f>Y21*IF(Summary!$E$70="no",(1+Summary!$E$71),1+HLOOKUP('O&amp;M'!Z$1,CCFMODEL!$I$127:$AF$128,2))</f>
        <v>22.323534860513959</v>
      </c>
      <c r="AA21" s="907">
        <f>Z21*IF(Summary!$E$70="no",(1+Summary!$E$71),1+HLOOKUP('O&amp;M'!AA$1,CCFMODEL!$I$127:$AF$128,2))</f>
        <v>22.99324090632938</v>
      </c>
      <c r="AC21" s="907">
        <v>12</v>
      </c>
    </row>
    <row r="22" spans="1:29">
      <c r="A22" s="964" t="s">
        <v>382</v>
      </c>
      <c r="B22" s="887"/>
      <c r="C22" s="887"/>
      <c r="D22" s="907">
        <v>0</v>
      </c>
      <c r="E22" s="907">
        <v>1.0203369356460308</v>
      </c>
      <c r="F22" s="907">
        <v>1.0509470437154118</v>
      </c>
      <c r="G22" s="907">
        <v>1.0824754550268743</v>
      </c>
      <c r="H22" s="907">
        <v>1.1149497186776804</v>
      </c>
      <c r="I22" s="907">
        <v>1.1483982102380108</v>
      </c>
      <c r="J22" s="907">
        <v>1.1828501565451512</v>
      </c>
      <c r="K22" s="907">
        <v>1.2183356612415057</v>
      </c>
      <c r="L22" s="907">
        <v>1.2548857310787509</v>
      </c>
      <c r="M22" s="907">
        <v>1.2925323030111135</v>
      </c>
      <c r="N22" s="907">
        <v>1.3313082721014471</v>
      </c>
      <c r="O22" s="907">
        <v>1.3712475202644905</v>
      </c>
      <c r="P22" s="907">
        <v>1.4123849458724251</v>
      </c>
      <c r="Q22" s="907">
        <v>1.454756494248598</v>
      </c>
      <c r="R22" s="907">
        <v>1.498399189076056</v>
      </c>
      <c r="S22" s="907">
        <v>1.5433511647483378</v>
      </c>
      <c r="T22" s="907">
        <v>1.5896516996907879</v>
      </c>
      <c r="U22" s="907">
        <v>1.6373412506815115</v>
      </c>
      <c r="V22" s="907">
        <v>1.6864614882019568</v>
      </c>
      <c r="W22" s="907">
        <v>1.7370553328480156</v>
      </c>
      <c r="X22" s="907">
        <v>1.7891669928334561</v>
      </c>
      <c r="Y22" s="907">
        <v>1.84284200261846</v>
      </c>
      <c r="Z22" s="907">
        <v>1.8981272626970138</v>
      </c>
      <c r="AA22" s="907">
        <v>1.9550710805779243</v>
      </c>
      <c r="AC22" s="907">
        <v>1.0203369356460308</v>
      </c>
    </row>
    <row r="23" spans="1:29">
      <c r="A23" s="964" t="s">
        <v>387</v>
      </c>
      <c r="B23" s="887"/>
      <c r="C23" s="887"/>
      <c r="D23" s="907">
        <v>0</v>
      </c>
      <c r="E23" s="907">
        <v>5.1016846782301526</v>
      </c>
      <c r="F23" s="907">
        <f>E23*(1+Summary!$E$71)</f>
        <v>5.2547352185770571</v>
      </c>
      <c r="G23" s="907">
        <f>F23*(1+Summary!$E$71)</f>
        <v>5.4123772751343688</v>
      </c>
      <c r="H23" s="907">
        <f>G23*(1+Summary!$E$71)</f>
        <v>5.5747485933884002</v>
      </c>
      <c r="I23" s="907">
        <f>H23*(1+Summary!$E$71)</f>
        <v>5.7419910511900527</v>
      </c>
      <c r="J23" s="907">
        <f>I23*(1+Summary!$E$71)</f>
        <v>5.9142507827257544</v>
      </c>
      <c r="K23" s="907">
        <f>J23*(1+Summary!$E$71)</f>
        <v>6.0916783062075268</v>
      </c>
      <c r="L23" s="907">
        <f>K23*(1+Summary!$E$71)</f>
        <v>6.2744286553937529</v>
      </c>
      <c r="M23" s="907">
        <f>L23*(1+Summary!$E$71)</f>
        <v>6.462661515055566</v>
      </c>
      <c r="N23" s="907">
        <f>M23*(1+Summary!$E$71)</f>
        <v>6.6565413605072328</v>
      </c>
      <c r="O23" s="907">
        <f>N23*(1+Summary!$E$71)</f>
        <v>6.8562376013224497</v>
      </c>
      <c r="P23" s="907">
        <f>O23*(1+Summary!$E$71)</f>
        <v>7.061924729362123</v>
      </c>
      <c r="Q23" s="907">
        <f>P23*(1+Summary!$E$71)</f>
        <v>7.2737824712429866</v>
      </c>
      <c r="R23" s="907">
        <f>Q23*(1+Summary!$E$71)</f>
        <v>7.4919959453802765</v>
      </c>
      <c r="S23" s="907">
        <f>R23*(1+Summary!$E$71)</f>
        <v>7.7167558237416847</v>
      </c>
      <c r="T23" s="907">
        <f>S23*(1+Summary!$E$71)</f>
        <v>7.9482584984539351</v>
      </c>
      <c r="U23" s="907">
        <f>T23*(1+Summary!$E$71)</f>
        <v>8.1867062534075536</v>
      </c>
      <c r="V23" s="907">
        <f>U23*(1+Summary!$E$71)</f>
        <v>8.4323074410097814</v>
      </c>
      <c r="W23" s="907">
        <f>V23*(1+Summary!$E$71)</f>
        <v>8.6852766642400745</v>
      </c>
      <c r="X23" s="907">
        <f>W23*(1+Summary!$E$71)</f>
        <v>8.9458349641672772</v>
      </c>
      <c r="Y23" s="907">
        <f>X23*(1+Summary!$E$71)</f>
        <v>9.2142100130922966</v>
      </c>
      <c r="Z23" s="907">
        <f>Y23*(1+Summary!$E$71)</f>
        <v>9.4906363134850658</v>
      </c>
      <c r="AA23" s="907">
        <f>Z23*(1+Summary!$E$71)</f>
        <v>9.7753554028896179</v>
      </c>
      <c r="AC23" s="907">
        <v>5.1016846782301526</v>
      </c>
    </row>
    <row r="24" spans="1:29" ht="14.4">
      <c r="A24" s="964" t="s">
        <v>396</v>
      </c>
      <c r="B24" s="887"/>
      <c r="C24" s="887"/>
      <c r="D24" s="908">
        <v>0</v>
      </c>
      <c r="E24" s="908">
        <v>0</v>
      </c>
      <c r="F24" s="908">
        <f>E24*(1+Summary!$E$71)</f>
        <v>0</v>
      </c>
      <c r="G24" s="908">
        <f>F24*(1+Summary!$E$71)</f>
        <v>0</v>
      </c>
      <c r="H24" s="908">
        <f>G24*(1+Summary!$E$71)</f>
        <v>0</v>
      </c>
      <c r="I24" s="908">
        <f>H24*(1+Summary!$E$71)</f>
        <v>0</v>
      </c>
      <c r="J24" s="908">
        <f>I24*(1+Summary!$E$71)</f>
        <v>0</v>
      </c>
      <c r="K24" s="908">
        <f>J24*(1+Summary!$E$71)</f>
        <v>0</v>
      </c>
      <c r="L24" s="908">
        <f>K24*(1+Summary!$E$71)</f>
        <v>0</v>
      </c>
      <c r="M24" s="908">
        <f>L24*(1+Summary!$E$71)</f>
        <v>0</v>
      </c>
      <c r="N24" s="908">
        <f>M24*(1+Summary!$E$71)</f>
        <v>0</v>
      </c>
      <c r="O24" s="908">
        <f>N24*(1+Summary!$E$71)</f>
        <v>0</v>
      </c>
      <c r="P24" s="908">
        <f>O24*(1+Summary!$E$71)</f>
        <v>0</v>
      </c>
      <c r="Q24" s="908">
        <f>P24*(1+Summary!$E$71)</f>
        <v>0</v>
      </c>
      <c r="R24" s="908">
        <f>Q24*(1+Summary!$E$71)</f>
        <v>0</v>
      </c>
      <c r="S24" s="908">
        <f>R24*(1+Summary!$E$71)</f>
        <v>0</v>
      </c>
      <c r="T24" s="908">
        <f>S24*(1+Summary!$E$71)</f>
        <v>0</v>
      </c>
      <c r="U24" s="908">
        <f>T24*(1+Summary!$E$71)</f>
        <v>0</v>
      </c>
      <c r="V24" s="908">
        <f>U24*(1+Summary!$E$71)</f>
        <v>0</v>
      </c>
      <c r="W24" s="908">
        <f>V24*(1+Summary!$E$71)</f>
        <v>0</v>
      </c>
      <c r="X24" s="908">
        <f>W24*(1+Summary!$E$71)</f>
        <v>0</v>
      </c>
      <c r="Y24" s="908">
        <f>X24*(1+Summary!$E$71)</f>
        <v>0</v>
      </c>
      <c r="Z24" s="908">
        <f>Y24*(1+Summary!$E$71)</f>
        <v>0</v>
      </c>
      <c r="AA24" s="908">
        <f>Z24*(1+Summary!$E$71)</f>
        <v>0</v>
      </c>
    </row>
    <row r="25" spans="1:29">
      <c r="A25" s="887" t="s">
        <v>398</v>
      </c>
      <c r="B25" s="887"/>
      <c r="C25" s="887"/>
      <c r="D25"/>
      <c r="E25" s="907">
        <f>SUM(E12:E24)</f>
        <v>319.17778238385938</v>
      </c>
      <c r="F25" s="907">
        <f t="shared" ref="F25:AA25" si="1">SUM(F12:F24)</f>
        <v>328.75311585537531</v>
      </c>
      <c r="G25" s="907">
        <f t="shared" si="1"/>
        <v>338.61570933103638</v>
      </c>
      <c r="H25" s="907">
        <f t="shared" si="1"/>
        <v>348.77418061096762</v>
      </c>
      <c r="I25" s="907">
        <f t="shared" si="1"/>
        <v>359.23740602929644</v>
      </c>
      <c r="J25" s="907">
        <f t="shared" si="1"/>
        <v>370.01452821017546</v>
      </c>
      <c r="K25" s="907">
        <f t="shared" si="1"/>
        <v>381.11496405648069</v>
      </c>
      <c r="L25" s="907">
        <f t="shared" si="1"/>
        <v>392.54841297817518</v>
      </c>
      <c r="M25" s="907">
        <f t="shared" si="1"/>
        <v>404.32486536752049</v>
      </c>
      <c r="N25" s="907">
        <f t="shared" si="1"/>
        <v>416.45461132854621</v>
      </c>
      <c r="O25" s="907">
        <f t="shared" si="1"/>
        <v>428.94824966840253</v>
      </c>
      <c r="P25" s="907">
        <f t="shared" si="1"/>
        <v>441.81669715845453</v>
      </c>
      <c r="Q25" s="907">
        <f t="shared" si="1"/>
        <v>455.07119807320817</v>
      </c>
      <c r="R25" s="907">
        <f t="shared" si="1"/>
        <v>468.7233340154043</v>
      </c>
      <c r="S25" s="907">
        <f t="shared" si="1"/>
        <v>482.78503403586666</v>
      </c>
      <c r="T25" s="907">
        <f t="shared" si="1"/>
        <v>497.26858505694264</v>
      </c>
      <c r="U25" s="907">
        <f t="shared" si="1"/>
        <v>512.1866426086508</v>
      </c>
      <c r="V25" s="907">
        <f t="shared" si="1"/>
        <v>527.55224188691045</v>
      </c>
      <c r="W25" s="907">
        <f t="shared" si="1"/>
        <v>543.37880914351774</v>
      </c>
      <c r="X25" s="907">
        <f t="shared" si="1"/>
        <v>559.68017341782331</v>
      </c>
      <c r="Y25" s="907">
        <f t="shared" si="1"/>
        <v>576.47057862035797</v>
      </c>
      <c r="Z25" s="907">
        <f t="shared" si="1"/>
        <v>593.76469597896892</v>
      </c>
      <c r="AA25" s="907">
        <f t="shared" si="1"/>
        <v>611.57763685833788</v>
      </c>
    </row>
    <row r="26" spans="1:29">
      <c r="A26" s="887"/>
      <c r="B26" s="887"/>
      <c r="C26" s="887"/>
      <c r="D26"/>
    </row>
    <row r="27" spans="1:29">
      <c r="A27" s="906" t="s">
        <v>401</v>
      </c>
      <c r="B27" s="887"/>
      <c r="C27" s="887"/>
      <c r="D27"/>
    </row>
    <row r="28" spans="1:29">
      <c r="A28" s="964" t="s">
        <v>806</v>
      </c>
      <c r="B28" s="887"/>
      <c r="C28" s="887"/>
      <c r="D28"/>
      <c r="E28" s="907">
        <v>48</v>
      </c>
      <c r="F28" s="907">
        <f>E28*(1+Summary!$E$71)</f>
        <v>49.44</v>
      </c>
      <c r="G28" s="907">
        <f>F28*(1+Summary!$E$71)</f>
        <v>50.923200000000001</v>
      </c>
      <c r="H28" s="907">
        <f>G28*(1+Summary!$E$71)</f>
        <v>52.450896</v>
      </c>
      <c r="I28" s="907">
        <f>H28*(1+Summary!$E$71)</f>
        <v>54.024422880000003</v>
      </c>
      <c r="J28" s="907">
        <f>I28*(1+Summary!$E$71)</f>
        <v>55.645155566400007</v>
      </c>
      <c r="K28" s="907">
        <f>J28*(1+Summary!$E$71)</f>
        <v>57.314510233392006</v>
      </c>
      <c r="L28" s="907">
        <f>K28*(1+Summary!$E$71)</f>
        <v>59.033945540393766</v>
      </c>
      <c r="M28" s="907">
        <f>L28*(1+Summary!$E$71)</f>
        <v>60.804963906605579</v>
      </c>
      <c r="N28" s="907">
        <f>M28*(1+Summary!$E$71)</f>
        <v>62.629112823803744</v>
      </c>
      <c r="O28" s="907">
        <f>N28*(1+Summary!$E$71)</f>
        <v>64.507986208517863</v>
      </c>
      <c r="P28" s="907">
        <f>O28*(1+Summary!$E$71)</f>
        <v>66.443225794773397</v>
      </c>
      <c r="Q28" s="907">
        <f>P28*(1+Summary!$E$71)</f>
        <v>68.436522568616596</v>
      </c>
      <c r="R28" s="907">
        <f>Q28*(1+Summary!$E$71)</f>
        <v>70.489618245675089</v>
      </c>
      <c r="S28" s="907">
        <f>R28*(1+Summary!$E$71)</f>
        <v>72.604306793045339</v>
      </c>
      <c r="T28" s="907">
        <f>S28*(1+Summary!$E$71)</f>
        <v>74.782435996836696</v>
      </c>
      <c r="U28" s="907">
        <f>T28*(1+Summary!$E$71)</f>
        <v>77.025909076741797</v>
      </c>
      <c r="V28" s="907">
        <f>U28*(1+Summary!$E$71)</f>
        <v>79.336686349044058</v>
      </c>
      <c r="W28" s="907">
        <f>V28*(1+Summary!$E$71)</f>
        <v>81.716786939515387</v>
      </c>
      <c r="X28" s="907">
        <f>W28*(1+Summary!$E$71)</f>
        <v>84.168290547700849</v>
      </c>
      <c r="Y28" s="907">
        <f>X28*(1+Summary!$E$71)</f>
        <v>86.693339264131879</v>
      </c>
      <c r="Z28" s="907">
        <f>Y28*(1+Summary!$E$71)</f>
        <v>89.294139442055837</v>
      </c>
      <c r="AA28" s="907">
        <f>Z28*(1+Summary!$E$71)</f>
        <v>91.972963625317519</v>
      </c>
    </row>
    <row r="29" spans="1:29">
      <c r="A29" s="964" t="s">
        <v>381</v>
      </c>
      <c r="B29" s="887"/>
      <c r="C29" s="887"/>
      <c r="D29"/>
      <c r="E29" s="907">
        <v>5.1016846782301526</v>
      </c>
      <c r="F29" s="907">
        <f>E29*(1+Summary!$E$71)</f>
        <v>5.2547352185770571</v>
      </c>
      <c r="G29" s="907">
        <f>F29*(1+Summary!$E$71)</f>
        <v>5.4123772751343688</v>
      </c>
      <c r="H29" s="907">
        <f>G29*(1+Summary!$E$71)</f>
        <v>5.5747485933884002</v>
      </c>
      <c r="I29" s="907">
        <f>H29*(1+Summary!$E$71)</f>
        <v>5.7419910511900527</v>
      </c>
      <c r="J29" s="907">
        <f>I29*(1+Summary!$E$71)</f>
        <v>5.9142507827257544</v>
      </c>
      <c r="K29" s="907">
        <f>J29*(1+Summary!$E$71)</f>
        <v>6.0916783062075268</v>
      </c>
      <c r="L29" s="907">
        <f>K29*(1+Summary!$E$71)</f>
        <v>6.2744286553937529</v>
      </c>
      <c r="M29" s="907">
        <f>L29*(1+Summary!$E$71)</f>
        <v>6.462661515055566</v>
      </c>
      <c r="N29" s="907">
        <f>M29*(1+Summary!$E$71)</f>
        <v>6.6565413605072328</v>
      </c>
      <c r="O29" s="907">
        <f>N29*(1+Summary!$E$71)</f>
        <v>6.8562376013224497</v>
      </c>
      <c r="P29" s="907">
        <f>O29*(1+Summary!$E$71)</f>
        <v>7.061924729362123</v>
      </c>
      <c r="Q29" s="907">
        <f>P29*(1+Summary!$E$71)</f>
        <v>7.2737824712429866</v>
      </c>
      <c r="R29" s="907">
        <f>Q29*(1+Summary!$E$71)</f>
        <v>7.4919959453802765</v>
      </c>
      <c r="S29" s="907">
        <f>R29*(1+Summary!$E$71)</f>
        <v>7.7167558237416847</v>
      </c>
      <c r="T29" s="907">
        <f>S29*(1+Summary!$E$71)</f>
        <v>7.9482584984539351</v>
      </c>
      <c r="U29" s="907">
        <f>T29*(1+Summary!$E$71)</f>
        <v>8.1867062534075536</v>
      </c>
      <c r="V29" s="907">
        <f>U29*(1+Summary!$E$71)</f>
        <v>8.4323074410097814</v>
      </c>
      <c r="W29" s="907">
        <f>V29*(1+Summary!$E$71)</f>
        <v>8.6852766642400745</v>
      </c>
      <c r="X29" s="907">
        <f>W29*(1+Summary!$E$71)</f>
        <v>8.9458349641672772</v>
      </c>
      <c r="Y29" s="907">
        <f>X29*(1+Summary!$E$71)</f>
        <v>9.2142100130922966</v>
      </c>
      <c r="Z29" s="907">
        <f>Y29*(1+Summary!$E$71)</f>
        <v>9.4906363134850658</v>
      </c>
      <c r="AA29" s="907">
        <f>Z29*(1+Summary!$E$71)</f>
        <v>9.7753554028896179</v>
      </c>
    </row>
    <row r="30" spans="1:29">
      <c r="A30" s="964" t="s">
        <v>472</v>
      </c>
      <c r="B30" s="887"/>
      <c r="C30" s="887"/>
      <c r="D30"/>
      <c r="E30" s="907">
        <v>81.999999599999995</v>
      </c>
      <c r="F30" s="907">
        <f>E30*(1+Summary!$E$71)</f>
        <v>84.459999588000002</v>
      </c>
      <c r="G30" s="907">
        <f>F30*(1+Summary!$E$71)</f>
        <v>86.993799575640011</v>
      </c>
      <c r="H30" s="907">
        <f>G30*(1+Summary!$E$71)</f>
        <v>89.603613562909217</v>
      </c>
      <c r="I30" s="907">
        <f>H30*(1+Summary!$E$71)</f>
        <v>92.291721969796498</v>
      </c>
      <c r="J30" s="907">
        <f>I30*(1+Summary!$E$71)</f>
        <v>95.060473628890392</v>
      </c>
      <c r="K30" s="907">
        <f>J30*(1+Summary!$E$71)</f>
        <v>97.912287837757106</v>
      </c>
      <c r="L30" s="907">
        <f>K30*(1+Summary!$E$71)</f>
        <v>100.84965647288982</v>
      </c>
      <c r="M30" s="907">
        <f>L30*(1+Summary!$E$71)</f>
        <v>103.87514616707652</v>
      </c>
      <c r="N30" s="907">
        <f>M30*(1+Summary!$E$71)</f>
        <v>106.99140055208882</v>
      </c>
      <c r="O30" s="907">
        <f>N30*(1+Summary!$E$71)</f>
        <v>110.20114256865149</v>
      </c>
      <c r="P30" s="907">
        <f>O30*(1+Summary!$E$71)</f>
        <v>113.50717684571104</v>
      </c>
      <c r="Q30" s="907">
        <f>P30*(1+Summary!$E$71)</f>
        <v>116.91239215108237</v>
      </c>
      <c r="R30" s="907">
        <f>Q30*(1+Summary!$E$71)</f>
        <v>120.41976391561485</v>
      </c>
      <c r="S30" s="907">
        <f>R30*(1+Summary!$E$71)</f>
        <v>124.0323568330833</v>
      </c>
      <c r="T30" s="907">
        <f>S30*(1+Summary!$E$71)</f>
        <v>127.75332753807579</v>
      </c>
      <c r="U30" s="907">
        <f>T30*(1+Summary!$E$71)</f>
        <v>131.58592736421807</v>
      </c>
      <c r="V30" s="907">
        <f>U30*(1+Summary!$E$71)</f>
        <v>135.53350518514461</v>
      </c>
      <c r="W30" s="907">
        <f>V30*(1+Summary!$E$71)</f>
        <v>139.59951034069894</v>
      </c>
      <c r="X30" s="907">
        <f>W30*(1+Summary!$E$71)</f>
        <v>143.78749565091991</v>
      </c>
      <c r="Y30" s="907">
        <f>X30*(1+Summary!$E$71)</f>
        <v>148.10112052044752</v>
      </c>
      <c r="Z30" s="907">
        <f>Y30*(1+Summary!$E$71)</f>
        <v>152.54415413606094</v>
      </c>
      <c r="AA30" s="907">
        <f>Z30*(1+Summary!$E$71)</f>
        <v>157.12047876014276</v>
      </c>
    </row>
    <row r="31" spans="1:29">
      <c r="A31" s="964" t="s">
        <v>807</v>
      </c>
      <c r="B31" s="887"/>
      <c r="C31" s="887"/>
      <c r="D31"/>
      <c r="E31" s="907">
        <v>25.999999199999994</v>
      </c>
      <c r="F31" s="907">
        <f>E31*(1+Summary!$E$71)</f>
        <v>26.779999175999993</v>
      </c>
      <c r="G31" s="907">
        <f>F31*(1+Summary!$E$71)</f>
        <v>27.583399151279995</v>
      </c>
      <c r="H31" s="907">
        <f>G31*(1+Summary!$E$71)</f>
        <v>28.410901125818395</v>
      </c>
      <c r="I31" s="907">
        <f>H31*(1+Summary!$E$71)</f>
        <v>29.263228159592948</v>
      </c>
      <c r="J31" s="907">
        <f>I31*(1+Summary!$E$71)</f>
        <v>30.141125004380736</v>
      </c>
      <c r="K31" s="907">
        <f>J31*(1+Summary!$E$71)</f>
        <v>31.045358754512158</v>
      </c>
      <c r="L31" s="907">
        <f>K31*(1+Summary!$E$71)</f>
        <v>31.976719517147522</v>
      </c>
      <c r="M31" s="907">
        <f>L31*(1+Summary!$E$71)</f>
        <v>32.936021102661947</v>
      </c>
      <c r="N31" s="907">
        <f>M31*(1+Summary!$E$71)</f>
        <v>33.924101735741807</v>
      </c>
      <c r="O31" s="907">
        <f>N31*(1+Summary!$E$71)</f>
        <v>34.941824787814063</v>
      </c>
      <c r="P31" s="907">
        <f>O31*(1+Summary!$E$71)</f>
        <v>35.990079531448487</v>
      </c>
      <c r="Q31" s="907">
        <f>P31*(1+Summary!$E$71)</f>
        <v>37.069781917391943</v>
      </c>
      <c r="R31" s="907">
        <f>Q31*(1+Summary!$E$71)</f>
        <v>38.181875374913702</v>
      </c>
      <c r="S31" s="907">
        <f>R31*(1+Summary!$E$71)</f>
        <v>39.327331636161112</v>
      </c>
      <c r="T31" s="907">
        <f>S31*(1+Summary!$E$71)</f>
        <v>40.50715158524595</v>
      </c>
      <c r="U31" s="907">
        <f>T31*(1+Summary!$E$71)</f>
        <v>41.72236613280333</v>
      </c>
      <c r="V31" s="907">
        <f>U31*(1+Summary!$E$71)</f>
        <v>42.974037116787429</v>
      </c>
      <c r="W31" s="907">
        <f>V31*(1+Summary!$E$71)</f>
        <v>44.263258230291051</v>
      </c>
      <c r="X31" s="907">
        <f>W31*(1+Summary!$E$71)</f>
        <v>45.591155977199783</v>
      </c>
      <c r="Y31" s="907">
        <f>X31*(1+Summary!$E$71)</f>
        <v>46.958890656515777</v>
      </c>
      <c r="Z31" s="907">
        <f>Y31*(1+Summary!$E$71)</f>
        <v>48.367657376211248</v>
      </c>
      <c r="AA31" s="907">
        <f>Z31*(1+Summary!$E$71)</f>
        <v>49.818687097497588</v>
      </c>
    </row>
    <row r="32" spans="1:29">
      <c r="A32" s="964" t="s">
        <v>385</v>
      </c>
      <c r="B32" s="887"/>
      <c r="C32" s="887"/>
      <c r="D32"/>
      <c r="E32" s="907">
        <v>18</v>
      </c>
      <c r="F32" s="907">
        <f>E32*(1+Summary!$E$71)</f>
        <v>18.54</v>
      </c>
      <c r="G32" s="907">
        <f>F32*(1+Summary!$E$71)</f>
        <v>19.0962</v>
      </c>
      <c r="H32" s="907">
        <f>G32*(1+Summary!$E$71)</f>
        <v>19.669086</v>
      </c>
      <c r="I32" s="907">
        <f>H32*(1+Summary!$E$71)</f>
        <v>20.259158580000001</v>
      </c>
      <c r="J32" s="907">
        <f>I32*(1+Summary!$E$71)</f>
        <v>20.866933337400003</v>
      </c>
      <c r="K32" s="907">
        <f>J32*(1+Summary!$E$71)</f>
        <v>21.492941337522002</v>
      </c>
      <c r="L32" s="907">
        <f>K32*(1+Summary!$E$71)</f>
        <v>22.137729577647661</v>
      </c>
      <c r="M32" s="907">
        <f>L32*(1+Summary!$E$71)</f>
        <v>22.80186146497709</v>
      </c>
      <c r="N32" s="907">
        <f>M32*(1+Summary!$E$71)</f>
        <v>23.485917308926403</v>
      </c>
      <c r="O32" s="907">
        <f>N32*(1+Summary!$E$71)</f>
        <v>24.190494828194197</v>
      </c>
      <c r="P32" s="907">
        <f>O32*(1+Summary!$E$71)</f>
        <v>24.916209673040022</v>
      </c>
      <c r="Q32" s="907">
        <f>P32*(1+Summary!$E$71)</f>
        <v>25.663695963231223</v>
      </c>
      <c r="R32" s="907">
        <f>Q32*(1+Summary!$E$71)</f>
        <v>26.43360684212816</v>
      </c>
      <c r="S32" s="907">
        <f>R32*(1+Summary!$E$71)</f>
        <v>27.226615047392006</v>
      </c>
      <c r="T32" s="907">
        <f>S32*(1+Summary!$E$71)</f>
        <v>28.043413498813766</v>
      </c>
      <c r="U32" s="907">
        <f>T32*(1+Summary!$E$71)</f>
        <v>28.884715903778179</v>
      </c>
      <c r="V32" s="907">
        <f>U32*(1+Summary!$E$71)</f>
        <v>29.751257380891527</v>
      </c>
      <c r="W32" s="907">
        <f>V32*(1+Summary!$E$71)</f>
        <v>30.643795102318272</v>
      </c>
      <c r="X32" s="907">
        <f>W32*(1+Summary!$E$71)</f>
        <v>31.563108955387822</v>
      </c>
      <c r="Y32" s="907">
        <f>X32*(1+Summary!$E$71)</f>
        <v>32.510002224049458</v>
      </c>
      <c r="Z32" s="907">
        <f>Y32*(1+Summary!$E$71)</f>
        <v>33.485302290770946</v>
      </c>
      <c r="AA32" s="907">
        <f>Z32*(1+Summary!$E$71)</f>
        <v>34.489861359494078</v>
      </c>
    </row>
    <row r="33" spans="1:27" ht="14.4">
      <c r="A33" s="964" t="s">
        <v>386</v>
      </c>
      <c r="B33" s="887"/>
      <c r="C33" s="887"/>
      <c r="D33"/>
      <c r="E33" s="908">
        <v>18</v>
      </c>
      <c r="F33" s="908">
        <f>E33*(1+Summary!$E$71)</f>
        <v>18.54</v>
      </c>
      <c r="G33" s="908">
        <f>F33*(1+Summary!$E$71)</f>
        <v>19.0962</v>
      </c>
      <c r="H33" s="908">
        <f>G33*(1+Summary!$E$71)</f>
        <v>19.669086</v>
      </c>
      <c r="I33" s="908">
        <f>H33*(1+Summary!$E$71)</f>
        <v>20.259158580000001</v>
      </c>
      <c r="J33" s="908">
        <f>I33*(1+Summary!$E$71)</f>
        <v>20.866933337400003</v>
      </c>
      <c r="K33" s="908">
        <f>J33*(1+Summary!$E$71)</f>
        <v>21.492941337522002</v>
      </c>
      <c r="L33" s="908">
        <f>K33*(1+Summary!$E$71)</f>
        <v>22.137729577647661</v>
      </c>
      <c r="M33" s="908">
        <f>L33*(1+Summary!$E$71)</f>
        <v>22.80186146497709</v>
      </c>
      <c r="N33" s="908">
        <f>M33*(1+Summary!$E$71)</f>
        <v>23.485917308926403</v>
      </c>
      <c r="O33" s="908">
        <f>N33*(1+Summary!$E$71)</f>
        <v>24.190494828194197</v>
      </c>
      <c r="P33" s="908">
        <f>O33*(1+Summary!$E$71)</f>
        <v>24.916209673040022</v>
      </c>
      <c r="Q33" s="908">
        <f>P33*(1+Summary!$E$71)</f>
        <v>25.663695963231223</v>
      </c>
      <c r="R33" s="908">
        <f>Q33*(1+Summary!$E$71)</f>
        <v>26.43360684212816</v>
      </c>
      <c r="S33" s="908">
        <f>R33*(1+Summary!$E$71)</f>
        <v>27.226615047392006</v>
      </c>
      <c r="T33" s="908">
        <f>S33*(1+Summary!$E$71)</f>
        <v>28.043413498813766</v>
      </c>
      <c r="U33" s="908">
        <f>T33*(1+Summary!$E$71)</f>
        <v>28.884715903778179</v>
      </c>
      <c r="V33" s="908">
        <f>U33*(1+Summary!$E$71)</f>
        <v>29.751257380891527</v>
      </c>
      <c r="W33" s="908">
        <f>V33*(1+Summary!$E$71)</f>
        <v>30.643795102318272</v>
      </c>
      <c r="X33" s="908">
        <f>W33*(1+Summary!$E$71)</f>
        <v>31.563108955387822</v>
      </c>
      <c r="Y33" s="908">
        <f>X33*(1+Summary!$E$71)</f>
        <v>32.510002224049458</v>
      </c>
      <c r="Z33" s="908">
        <f>Y33*(1+Summary!$E$71)</f>
        <v>33.485302290770946</v>
      </c>
      <c r="AA33" s="908">
        <f>Z33*(1+Summary!$E$71)</f>
        <v>34.489861359494078</v>
      </c>
    </row>
    <row r="34" spans="1:27">
      <c r="A34" s="887" t="s">
        <v>398</v>
      </c>
      <c r="B34" s="887"/>
      <c r="C34" s="887"/>
      <c r="D34"/>
      <c r="E34" s="907">
        <f t="shared" ref="E34:AA34" si="2">SUM(E28:E33)</f>
        <v>197.10168347823014</v>
      </c>
      <c r="F34" s="907">
        <f t="shared" si="2"/>
        <v>203.01473398257701</v>
      </c>
      <c r="G34" s="907">
        <f t="shared" si="2"/>
        <v>209.10517600205441</v>
      </c>
      <c r="H34" s="907">
        <f t="shared" si="2"/>
        <v>215.37833128211599</v>
      </c>
      <c r="I34" s="907">
        <f t="shared" si="2"/>
        <v>221.83968122057948</v>
      </c>
      <c r="J34" s="907">
        <f t="shared" si="2"/>
        <v>228.49487165719691</v>
      </c>
      <c r="K34" s="907">
        <f t="shared" si="2"/>
        <v>235.34971780691282</v>
      </c>
      <c r="L34" s="907">
        <f t="shared" si="2"/>
        <v>242.41020934112018</v>
      </c>
      <c r="M34" s="907">
        <f t="shared" si="2"/>
        <v>249.68251562135382</v>
      </c>
      <c r="N34" s="907">
        <f t="shared" si="2"/>
        <v>257.17299108999441</v>
      </c>
      <c r="O34" s="907">
        <f t="shared" si="2"/>
        <v>264.88818082269427</v>
      </c>
      <c r="P34" s="907">
        <f t="shared" si="2"/>
        <v>272.83482624737508</v>
      </c>
      <c r="Q34" s="907">
        <f t="shared" si="2"/>
        <v>281.01987103479632</v>
      </c>
      <c r="R34" s="907">
        <f t="shared" si="2"/>
        <v>289.45046716584022</v>
      </c>
      <c r="S34" s="907">
        <f t="shared" si="2"/>
        <v>298.13398118081545</v>
      </c>
      <c r="T34" s="907">
        <f t="shared" si="2"/>
        <v>307.07800061623993</v>
      </c>
      <c r="U34" s="907">
        <f t="shared" si="2"/>
        <v>316.29034063472704</v>
      </c>
      <c r="V34" s="907">
        <f t="shared" si="2"/>
        <v>325.77905085376887</v>
      </c>
      <c r="W34" s="907">
        <f t="shared" si="2"/>
        <v>335.55242237938199</v>
      </c>
      <c r="X34" s="907">
        <f t="shared" si="2"/>
        <v>345.61899505076343</v>
      </c>
      <c r="Y34" s="907">
        <f t="shared" si="2"/>
        <v>355.98756490228641</v>
      </c>
      <c r="Z34" s="907">
        <f t="shared" si="2"/>
        <v>366.66719184935499</v>
      </c>
      <c r="AA34" s="907">
        <f t="shared" si="2"/>
        <v>377.66720760483554</v>
      </c>
    </row>
    <row r="35" spans="1:27">
      <c r="A35" s="887"/>
      <c r="B35" s="887"/>
      <c r="C35" s="887"/>
      <c r="D35"/>
    </row>
    <row r="36" spans="1:27">
      <c r="A36" s="906" t="s">
        <v>429</v>
      </c>
      <c r="B36" s="887"/>
      <c r="C36" s="968"/>
      <c r="D36"/>
    </row>
    <row r="37" spans="1:27">
      <c r="A37" s="964" t="s">
        <v>632</v>
      </c>
      <c r="B37" s="887"/>
      <c r="C37" s="907"/>
      <c r="D37"/>
      <c r="E37" s="1225">
        <f>IF(E1&gt;2011,+Summary!$O$92+Summary!$O$93,Summary!$O$92)*Summary!$O$75*(DATE(E$1,12,31)-DATE(E$1,1,1)+1)/1000*HLOOKUP('O&amp;M'!E$1,CCFMODEL!$I$127:$AF$131,5)</f>
        <v>277.72761917664235</v>
      </c>
      <c r="F37" s="1225">
        <f>IF(F1&gt;2011,+Summary!$O$92+Summary!$O$93,Summary!$O$92)*Summary!$O$75*(DATE(F$1,12,31)-DATE(F$1,1,1)+1)/1000*HLOOKUP('O&amp;M'!F$1,CCFMODEL!$I$127:$AF$131,5)</f>
        <v>283.61605175809245</v>
      </c>
      <c r="G37" s="1225">
        <f>IF(G1&gt;2011,+Summary!$O$92+Summary!$O$93,Summary!$O$92)*Summary!$O$75*(DATE(G$1,12,31)-DATE(G$1,1,1)+1)/1000*HLOOKUP('O&amp;M'!G$1,CCFMODEL!$I$127:$AF$131,5)</f>
        <v>290.42283700028668</v>
      </c>
      <c r="H37" s="1225">
        <f>IF(H1&gt;2011,+Summary!$O$92+Summary!$O$93,Summary!$O$92)*Summary!$O$75*(DATE(H$1,12,31)-DATE(H$1,1,1)+1)/1000*HLOOKUP('O&amp;M'!H$1,CCFMODEL!$I$127:$AF$131,5)</f>
        <v>297.39298508829353</v>
      </c>
      <c r="I37" s="1225">
        <f>IF(I1&gt;2011,+Summary!$O$92+Summary!$O$93,Summary!$O$92)*Summary!$O$75*(DATE(I$1,12,31)-DATE(I$1,1,1)+1)/1000*HLOOKUP('O&amp;M'!I$1,CCFMODEL!$I$127:$AF$131,5)</f>
        <v>305.36474663926305</v>
      </c>
      <c r="J37" s="1225">
        <f>IF(J1&gt;2011,+Summary!$O$92+Summary!$O$93,Summary!$O$92)*Summary!$O$75*(DATE(J$1,12,31)-DATE(J$1,1,1)+1)/1000*HLOOKUP('O&amp;M'!J$1,CCFMODEL!$I$127:$AF$131,5)</f>
        <v>311.83914673194249</v>
      </c>
      <c r="K37" s="1225">
        <f>IF(K1&gt;2011,+Summary!$O$92+Summary!$O$93,Summary!$O$92)*Summary!$O$75*(DATE(K$1,12,31)-DATE(K$1,1,1)+1)/1000*HLOOKUP('O&amp;M'!K$1,CCFMODEL!$I$127:$AF$131,5)</f>
        <v>319.32328625350914</v>
      </c>
      <c r="L37" s="1225">
        <f>IF(L1&gt;2011,+Summary!$O$92+Summary!$O$93,Summary!$O$92)*Summary!$O$75*(DATE(L$1,12,31)-DATE(L$1,1,1)+1)/1000*HLOOKUP('O&amp;M'!L$1,CCFMODEL!$I$127:$AF$131,5)</f>
        <v>326.98704512359336</v>
      </c>
      <c r="M37" s="1225">
        <f>IF(M1&gt;2011,+Summary!$O$92+Summary!$O$93,Summary!$O$92)*Summary!$O$75*(DATE(M$1,12,31)-DATE(M$1,1,1)+1)/1000*HLOOKUP('O&amp;M'!M$1,CCFMODEL!$I$127:$AF$131,5)</f>
        <v>335.75208964274196</v>
      </c>
      <c r="N37" s="1225">
        <f>IF(N1&gt;2011,+Summary!$O$92+Summary!$O$93,Summary!$O$92)*Summary!$O$75*(DATE(N$1,12,31)-DATE(N$1,1,1)+1)/1000*HLOOKUP('O&amp;M'!N$1,CCFMODEL!$I$127:$AF$131,5)</f>
        <v>342.87076782751706</v>
      </c>
      <c r="O37" s="1225">
        <f>IF(O1&gt;2011,+Summary!$O$92+Summary!$O$93,Summary!$O$92)*Summary!$O$75*(DATE(O$1,12,31)-DATE(O$1,1,1)+1)/1000*HLOOKUP('O&amp;M'!O$1,CCFMODEL!$I$127:$AF$131,5)</f>
        <v>351.09966625537743</v>
      </c>
      <c r="P37" s="1225">
        <f>IF(P1&gt;2011,+Summary!$O$92+Summary!$O$93,Summary!$O$92)*Summary!$O$75*(DATE(P$1,12,31)-DATE(P$1,1,1)+1)/1000*HLOOKUP('O&amp;M'!P$1,CCFMODEL!$I$127:$AF$131,5)</f>
        <v>359.52605824550648</v>
      </c>
      <c r="Q37" s="1225">
        <f>IF(Q1&gt;2011,+Summary!$O$92+Summary!$O$93,Summary!$O$92)*Summary!$O$75*(DATE(Q$1,12,31)-DATE(Q$1,1,1)+1)/1000*HLOOKUP('O&amp;M'!Q$1,CCFMODEL!$I$127:$AF$131,5)</f>
        <v>132.55278646795335</v>
      </c>
      <c r="R37" s="1225">
        <f>IF(R1&gt;2011,+Summary!$O$92+Summary!$O$93,Summary!$O$92)*Summary!$O$75*(DATE(R$1,12,31)-DATE(R$1,1,1)+1)/1000*HLOOKUP('O&amp;M'!R$1,CCFMODEL!$I$127:$AF$131,5)</f>
        <v>135.36319527394056</v>
      </c>
      <c r="S37" s="1225">
        <f>IF(S1&gt;2011,+Summary!$O$92+Summary!$O$93,Summary!$O$92)*Summary!$O$75*(DATE(S$1,12,31)-DATE(S$1,1,1)+1)/1000*HLOOKUP('O&amp;M'!S$1,CCFMODEL!$I$127:$AF$131,5)</f>
        <v>138.61191196051513</v>
      </c>
      <c r="T37" s="1225">
        <f>IF(T1&gt;2011,+Summary!$O$92+Summary!$O$93,Summary!$O$92)*Summary!$O$75*(DATE(T$1,12,31)-DATE(T$1,1,1)+1)/1000*HLOOKUP('O&amp;M'!T$1,CCFMODEL!$I$127:$AF$131,5)</f>
        <v>141.93859784756751</v>
      </c>
      <c r="U37" s="1225">
        <f>IF(U1&gt;2011,+Summary!$O$92+Summary!$O$93,Summary!$O$92)*Summary!$O$75*(DATE(U$1,12,31)-DATE(U$1,1,1)+1)/1000*HLOOKUP('O&amp;M'!U$1,CCFMODEL!$I$127:$AF$131,5)</f>
        <v>145.74333001562397</v>
      </c>
      <c r="V37" s="1225">
        <f>IF(V1&gt;2011,+Summary!$O$92+Summary!$O$93,Summary!$O$92)*Summary!$O$75*(DATE(V$1,12,31)-DATE(V$1,1,1)+1)/1000*HLOOKUP('O&amp;M'!V$1,CCFMODEL!$I$127:$AF$131,5)</f>
        <v>148.83340717661093</v>
      </c>
      <c r="W37" s="1225">
        <f>IF(W1&gt;2011,+Summary!$O$92+Summary!$O$93,Summary!$O$92)*Summary!$O$75*(DATE(W$1,12,31)-DATE(W$1,1,1)+1)/1000*HLOOKUP('O&amp;M'!W$1,CCFMODEL!$I$127:$AF$131,5)</f>
        <v>152.40540894884961</v>
      </c>
      <c r="X37" s="1225">
        <f>IF(X1&gt;2011,+Summary!$O$92+Summary!$O$93,Summary!$O$92)*Summary!$O$75*(DATE(X$1,12,31)-DATE(X$1,1,1)+1)/1000*HLOOKUP('O&amp;M'!X$1,CCFMODEL!$I$127:$AF$131,5)</f>
        <v>156.06313876362199</v>
      </c>
      <c r="Y37" s="1225">
        <f>IF(Y1&gt;2011,+Summary!$O$92+Summary!$O$93,Summary!$O$92)*Summary!$O$75*(DATE(Y$1,12,31)-DATE(Y$1,1,1)+1)/1000*HLOOKUP('O&amp;M'!Y$1,CCFMODEL!$I$127:$AF$131,5)</f>
        <v>160.24648602297344</v>
      </c>
      <c r="Z37" s="1225">
        <f>IF(Z1&gt;2011,+Summary!$O$92+Summary!$O$93,Summary!$O$92)*Summary!$O$75*(DATE(Z$1,12,31)-DATE(Z$1,1,1)+1)/1000*HLOOKUP('O&amp;M'!Z$1,CCFMODEL!$I$127:$AF$131,5)</f>
        <v>163.6440617922037</v>
      </c>
      <c r="AA37" s="1225">
        <f>IF(AA1&gt;2011,+Summary!$O$92+Summary!$O$93,Summary!$O$92)*Summary!$O$75*(DATE(AA$1,12,31)-DATE(AA$1,1,1)+1)/1000*HLOOKUP('O&amp;M'!AA$1,CCFMODEL!$I$127:$AF$131,5)</f>
        <v>167.57151927521659</v>
      </c>
    </row>
    <row r="38" spans="1:27">
      <c r="A38" s="964" t="s">
        <v>633</v>
      </c>
      <c r="B38" s="887"/>
      <c r="C38" s="1296"/>
      <c r="D38"/>
      <c r="E38" s="1302">
        <f>+Summary!$O$88*Summary!$O$75*(DATE(E$1,12,31)-DATE(E$1,1,1)+1)/1000</f>
        <v>1080.0659999999998</v>
      </c>
      <c r="F38" s="1302">
        <f>(Summary!$O$88*0.75+Summary!$O$89*0.25)*Summary!$O$75*(DATE(F$1,12,31)-DATE(F$1,1,1)+1)/1000</f>
        <v>999.46124999999995</v>
      </c>
      <c r="G38" s="1225">
        <f>IF(G1=2011,252,IF(Summary!$N$84&gt;DATE(G$1,1,1),+Summary!$O$89*Summary!$O$75*(DATE(G$1,12,31)-DATE(G$1,1,1)+1)/1000,0))</f>
        <v>766.5</v>
      </c>
      <c r="H38" s="1225">
        <f>IF(H1=2011,252,IF(Summary!$N$84&gt;DATE(H$1,1,1),+Summary!$O$89*Summary!$O$75*(DATE(H$1,12,31)-DATE(H$1,1,1)+1)/1000,0))</f>
        <v>766.5</v>
      </c>
      <c r="I38" s="1225">
        <f>IF(I1=2011,252,IF(Summary!$N$84&gt;DATE(I$1,1,1),+Summary!$O$89*Summary!$O$75*(DATE(I$1,12,31)-DATE(I$1,1,1)+1)/1000,0))</f>
        <v>768.6</v>
      </c>
      <c r="J38" s="1225">
        <f>IF(J1=2011,252,IF(Summary!$N$84&gt;DATE(J$1,1,1),+Summary!$O$89*Summary!$O$75*(DATE(J$1,12,31)-DATE(J$1,1,1)+1)/1000,0))</f>
        <v>766.5</v>
      </c>
      <c r="K38" s="1225">
        <f>IF(K1=2011,252,IF(Summary!$N$84&gt;DATE(K$1,1,1),+Summary!$O$89*Summary!$O$75*(DATE(K$1,12,31)-DATE(K$1,1,1)+1)/1000,0))</f>
        <v>766.5</v>
      </c>
      <c r="L38" s="1225">
        <f>IF(L1=2011,252,IF(Summary!$N$84&gt;DATE(L$1,1,1),+Summary!$O$89*Summary!$O$75*(DATE(L$1,12,31)-DATE(L$1,1,1)+1)/1000,0))</f>
        <v>766.5</v>
      </c>
      <c r="M38" s="1225">
        <f>IF(M1=2011,252,IF(Summary!$N$84&gt;DATE(M$1,1,1),+Summary!$O$89*Summary!$O$75*(DATE(M$1,12,31)-DATE(M$1,1,1)+1)/1000,0))</f>
        <v>768.6</v>
      </c>
      <c r="N38" s="1225">
        <f>IF(N1=2011,252,IF(Summary!$N$84&gt;DATE(N$1,1,1),+Summary!$O$89*Summary!$O$75*(DATE(N$1,12,31)-DATE(N$1,1,1)+1)/1000,0))</f>
        <v>766.5</v>
      </c>
      <c r="O38" s="1225">
        <f>IF(O1=2011,252,IF(Summary!$N$84&gt;DATE(O$1,1,1),+Summary!$O$89*Summary!$O$75*(DATE(O$1,12,31)-DATE(O$1,1,1)+1)/1000,0))</f>
        <v>766.5</v>
      </c>
      <c r="P38" s="1225">
        <f>IF(P1=2011,252,IF(Summary!$N$84&gt;DATE(P$1,1,1),+Summary!$O$89*Summary!$O$75*(DATE(P$1,12,31)-DATE(P$1,1,1)+1)/1000,0))</f>
        <v>252</v>
      </c>
      <c r="Q38" s="1225">
        <f>IF(Q1=2011,252,IF(Summary!$N$84&gt;DATE(Q$1,1,1),+Summary!$O$89*Summary!$O$75*(DATE(Q$1,12,31)-DATE(Q$1,1,1)+1)/1000,0))</f>
        <v>0</v>
      </c>
      <c r="R38" s="1225">
        <f>IF(R1=2011,252,IF(Summary!$N$84&gt;DATE(R$1,1,1),+Summary!$O$89*Summary!$O$75*(DATE(R$1,12,31)-DATE(R$1,1,1)+1)/1000,0))</f>
        <v>0</v>
      </c>
      <c r="S38" s="1225">
        <f>IF(S1=2011,252,IF(Summary!$N$84&gt;DATE(S$1,1,1),+Summary!$O$89*Summary!$O$75*(DATE(S$1,12,31)-DATE(S$1,1,1)+1)/1000,0))</f>
        <v>0</v>
      </c>
      <c r="T38" s="1225">
        <f>IF(T1=2011,252,IF(Summary!$N$84&gt;DATE(T$1,1,1),+Summary!$O$89*Summary!$O$75*(DATE(T$1,12,31)-DATE(T$1,1,1)+1)/1000,0))</f>
        <v>0</v>
      </c>
      <c r="U38" s="1225">
        <f>IF(U1=2011,252,IF(Summary!$N$84&gt;DATE(U$1,1,1),+Summary!$O$89*Summary!$O$75*(DATE(U$1,12,31)-DATE(U$1,1,1)+1)/1000,0))</f>
        <v>0</v>
      </c>
      <c r="V38" s="1225">
        <f>IF(V1=2011,252,IF(Summary!$N$84&gt;DATE(V$1,1,1),+Summary!$O$89*Summary!$O$75*(DATE(V$1,12,31)-DATE(V$1,1,1)+1)/1000,0))</f>
        <v>0</v>
      </c>
      <c r="W38" s="1225">
        <f>IF(W1=2011,252,IF(Summary!$N$84&gt;DATE(W$1,1,1),+Summary!$O$89*Summary!$O$75*(DATE(W$1,12,31)-DATE(W$1,1,1)+1)/1000,0))</f>
        <v>0</v>
      </c>
      <c r="X38" s="1225">
        <f>IF(X1=2011,252,IF(Summary!$N$84&gt;DATE(X$1,1,1),+Summary!$O$89*Summary!$O$75*(DATE(X$1,12,31)-DATE(X$1,1,1)+1)/1000,0))</f>
        <v>0</v>
      </c>
      <c r="Y38" s="1225">
        <f>IF(Y1=2011,252,IF(Summary!$N$84&gt;DATE(Y$1,1,1),+Summary!$O$89*Summary!$O$75*(DATE(Y$1,12,31)-DATE(Y$1,1,1)+1)/1000,0))</f>
        <v>0</v>
      </c>
      <c r="Z38" s="1225">
        <f>IF(Z1=2011,252,IF(Summary!$N$84&gt;DATE(Z$1,1,1),+Summary!$O$89*Summary!$O$75*(DATE(Z$1,12,31)-DATE(Z$1,1,1)+1)/1000,0))</f>
        <v>0</v>
      </c>
      <c r="AA38" s="1225">
        <f>IF(AA1=2011,252,IF(Summary!$N$84&gt;DATE(AA$1,1,1),+Summary!$O$89*Summary!$O$75*(DATE(AA$1,12,31)-DATE(AA$1,1,1)+1)/1000,0))</f>
        <v>0</v>
      </c>
    </row>
    <row r="39" spans="1:27" ht="14.4">
      <c r="A39" s="964" t="s">
        <v>106</v>
      </c>
      <c r="B39" s="887"/>
      <c r="C39" s="907"/>
      <c r="D39"/>
      <c r="E39" s="1222">
        <v>0</v>
      </c>
      <c r="F39" s="1222">
        <v>0</v>
      </c>
      <c r="G39" s="1222">
        <v>0</v>
      </c>
      <c r="H39" s="1222">
        <v>0</v>
      </c>
      <c r="I39" s="1222">
        <v>0</v>
      </c>
      <c r="J39" s="1222">
        <v>0</v>
      </c>
      <c r="K39" s="1222">
        <v>0</v>
      </c>
      <c r="L39" s="1222">
        <v>0</v>
      </c>
      <c r="M39" s="1222">
        <v>0</v>
      </c>
      <c r="N39" s="1222">
        <v>0</v>
      </c>
      <c r="O39" s="1222">
        <v>0</v>
      </c>
      <c r="P39" s="1222">
        <v>0</v>
      </c>
      <c r="Q39" s="1222">
        <v>0</v>
      </c>
      <c r="R39" s="1222">
        <v>0</v>
      </c>
      <c r="S39" s="1222">
        <v>0</v>
      </c>
      <c r="T39" s="1222">
        <v>0</v>
      </c>
      <c r="U39" s="1222">
        <v>0</v>
      </c>
      <c r="V39" s="1222">
        <v>0</v>
      </c>
      <c r="W39" s="1222">
        <v>0</v>
      </c>
      <c r="X39" s="1222">
        <v>0</v>
      </c>
      <c r="Y39" s="1222">
        <v>0</v>
      </c>
      <c r="Z39" s="1222">
        <v>0</v>
      </c>
      <c r="AA39" s="1222">
        <v>0</v>
      </c>
    </row>
    <row r="40" spans="1:27">
      <c r="A40" s="887" t="s">
        <v>398</v>
      </c>
      <c r="B40" s="887"/>
      <c r="C40" s="887"/>
      <c r="D40"/>
      <c r="E40" s="907">
        <f t="shared" ref="E40:AA40" si="3">SUM(E37:E39)</f>
        <v>1357.7936191766421</v>
      </c>
      <c r="F40" s="907">
        <f t="shared" si="3"/>
        <v>1283.0773017580923</v>
      </c>
      <c r="G40" s="907">
        <f t="shared" si="3"/>
        <v>1056.9228370002866</v>
      </c>
      <c r="H40" s="907">
        <f t="shared" si="3"/>
        <v>1063.8929850882935</v>
      </c>
      <c r="I40" s="907">
        <f t="shared" si="3"/>
        <v>1073.964746639263</v>
      </c>
      <c r="J40" s="907">
        <f t="shared" si="3"/>
        <v>1078.3391467319425</v>
      </c>
      <c r="K40" s="907">
        <f t="shared" si="3"/>
        <v>1085.8232862535092</v>
      </c>
      <c r="L40" s="907">
        <f t="shared" si="3"/>
        <v>1093.4870451235934</v>
      </c>
      <c r="M40" s="907">
        <f t="shared" si="3"/>
        <v>1104.3520896427419</v>
      </c>
      <c r="N40" s="907">
        <f t="shared" si="3"/>
        <v>1109.3707678275171</v>
      </c>
      <c r="O40" s="907">
        <f t="shared" si="3"/>
        <v>1117.5996662553775</v>
      </c>
      <c r="P40" s="907">
        <f t="shared" si="3"/>
        <v>611.52605824550642</v>
      </c>
      <c r="Q40" s="907">
        <f t="shared" si="3"/>
        <v>132.55278646795335</v>
      </c>
      <c r="R40" s="907">
        <f t="shared" si="3"/>
        <v>135.36319527394056</v>
      </c>
      <c r="S40" s="907">
        <f t="shared" si="3"/>
        <v>138.61191196051513</v>
      </c>
      <c r="T40" s="907">
        <f t="shared" si="3"/>
        <v>141.93859784756751</v>
      </c>
      <c r="U40" s="907">
        <f t="shared" si="3"/>
        <v>145.74333001562397</v>
      </c>
      <c r="V40" s="907">
        <f t="shared" si="3"/>
        <v>148.83340717661093</v>
      </c>
      <c r="W40" s="907">
        <f t="shared" si="3"/>
        <v>152.40540894884961</v>
      </c>
      <c r="X40" s="907">
        <f t="shared" si="3"/>
        <v>156.06313876362199</v>
      </c>
      <c r="Y40" s="907">
        <f t="shared" si="3"/>
        <v>160.24648602297344</v>
      </c>
      <c r="Z40" s="907">
        <f t="shared" si="3"/>
        <v>163.6440617922037</v>
      </c>
      <c r="AA40" s="907">
        <f t="shared" si="3"/>
        <v>167.57151927521659</v>
      </c>
    </row>
    <row r="41" spans="1:27">
      <c r="A41" s="887"/>
      <c r="B41" s="887"/>
      <c r="C41" s="887"/>
      <c r="D41"/>
    </row>
    <row r="42" spans="1:27">
      <c r="A42" s="906" t="s">
        <v>402</v>
      </c>
      <c r="B42" s="887"/>
      <c r="C42" s="887"/>
      <c r="D42"/>
    </row>
    <row r="43" spans="1:27">
      <c r="A43" s="964" t="s">
        <v>383</v>
      </c>
      <c r="B43" s="887"/>
      <c r="C43" s="887"/>
      <c r="D43"/>
      <c r="E43" s="907">
        <v>15.305054034690455</v>
      </c>
      <c r="F43" s="907">
        <f>E43*(1+Summary!$E$71)</f>
        <v>15.764205655731169</v>
      </c>
      <c r="G43" s="907">
        <f>F43*(1+Summary!$E$71)</f>
        <v>16.237131825403104</v>
      </c>
      <c r="H43" s="907">
        <f>G43*(1+Summary!$E$71)</f>
        <v>16.724245780165198</v>
      </c>
      <c r="I43" s="907">
        <f>H43*(1+Summary!$E$71)</f>
        <v>17.225973153570155</v>
      </c>
      <c r="J43" s="907">
        <f>I43*(1+Summary!$E$71)</f>
        <v>17.742752348177259</v>
      </c>
      <c r="K43" s="907">
        <f>J43*(1+Summary!$E$71)</f>
        <v>18.275034918622577</v>
      </c>
      <c r="L43" s="907">
        <f>K43*(1+Summary!$E$71)</f>
        <v>18.823285966181256</v>
      </c>
      <c r="M43" s="907">
        <f>L43*(1+Summary!$E$71)</f>
        <v>19.387984545166695</v>
      </c>
      <c r="N43" s="907">
        <f>M43*(1+Summary!$E$71)</f>
        <v>19.969624081521697</v>
      </c>
      <c r="O43" s="907">
        <f>N43*(1+Summary!$E$71)</f>
        <v>20.568712803967347</v>
      </c>
      <c r="P43" s="907">
        <f>O43*(1+Summary!$E$71)</f>
        <v>21.18577418808637</v>
      </c>
      <c r="Q43" s="907">
        <f>P43*(1+Summary!$E$71)</f>
        <v>21.821347413728962</v>
      </c>
      <c r="R43" s="907">
        <f>Q43*(1+Summary!$E$71)</f>
        <v>22.475987836140831</v>
      </c>
      <c r="S43" s="907">
        <f>R43*(1+Summary!$E$71)</f>
        <v>23.150267471225057</v>
      </c>
      <c r="T43" s="907">
        <f>S43*(1+Summary!$E$71)</f>
        <v>23.844775495361809</v>
      </c>
      <c r="U43" s="907">
        <f>T43*(1+Summary!$E$71)</f>
        <v>24.560118760222664</v>
      </c>
      <c r="V43" s="907">
        <f>U43*(1+Summary!$E$71)</f>
        <v>25.296922323029346</v>
      </c>
      <c r="W43" s="907">
        <f>V43*(1+Summary!$E$71)</f>
        <v>26.055829992720227</v>
      </c>
      <c r="X43" s="907">
        <f>W43*(1+Summary!$E$71)</f>
        <v>26.837504892501833</v>
      </c>
      <c r="Y43" s="907">
        <f>X43*(1+Summary!$E$71)</f>
        <v>27.642630039276888</v>
      </c>
      <c r="Z43" s="907">
        <f>Y43*(1+Summary!$E$71)</f>
        <v>28.471908940455194</v>
      </c>
      <c r="AA43" s="907">
        <f>Z43*(1+Summary!$E$71)</f>
        <v>29.326066208668852</v>
      </c>
    </row>
    <row r="44" spans="1:27">
      <c r="A44" s="964" t="s">
        <v>384</v>
      </c>
      <c r="B44" s="887"/>
      <c r="C44" s="887"/>
      <c r="D44"/>
      <c r="E44" s="907">
        <v>15.305054034690455</v>
      </c>
      <c r="F44" s="907">
        <f>E44*(1+Summary!$E$71)</f>
        <v>15.764205655731169</v>
      </c>
      <c r="G44" s="907">
        <f>F44*(1+Summary!$E$71)</f>
        <v>16.237131825403104</v>
      </c>
      <c r="H44" s="907">
        <f>G44*(1+Summary!$E$71)</f>
        <v>16.724245780165198</v>
      </c>
      <c r="I44" s="907">
        <f>H44*(1+Summary!$E$71)</f>
        <v>17.225973153570155</v>
      </c>
      <c r="J44" s="907">
        <f>I44*(1+Summary!$E$71)</f>
        <v>17.742752348177259</v>
      </c>
      <c r="K44" s="907">
        <f>J44*(1+Summary!$E$71)</f>
        <v>18.275034918622577</v>
      </c>
      <c r="L44" s="907">
        <f>K44*(1+Summary!$E$71)</f>
        <v>18.823285966181256</v>
      </c>
      <c r="M44" s="907">
        <f>L44*(1+Summary!$E$71)</f>
        <v>19.387984545166695</v>
      </c>
      <c r="N44" s="907">
        <f>M44*(1+Summary!$E$71)</f>
        <v>19.969624081521697</v>
      </c>
      <c r="O44" s="907">
        <f>N44*(1+Summary!$E$71)</f>
        <v>20.568712803967347</v>
      </c>
      <c r="P44" s="907">
        <f>O44*(1+Summary!$E$71)</f>
        <v>21.18577418808637</v>
      </c>
      <c r="Q44" s="907">
        <f>P44*(1+Summary!$E$71)</f>
        <v>21.821347413728962</v>
      </c>
      <c r="R44" s="907">
        <f>Q44*(1+Summary!$E$71)</f>
        <v>22.475987836140831</v>
      </c>
      <c r="S44" s="907">
        <f>R44*(1+Summary!$E$71)</f>
        <v>23.150267471225057</v>
      </c>
      <c r="T44" s="907">
        <f>S44*(1+Summary!$E$71)</f>
        <v>23.844775495361809</v>
      </c>
      <c r="U44" s="907">
        <f>T44*(1+Summary!$E$71)</f>
        <v>24.560118760222664</v>
      </c>
      <c r="V44" s="907">
        <f>U44*(1+Summary!$E$71)</f>
        <v>25.296922323029346</v>
      </c>
      <c r="W44" s="907">
        <f>V44*(1+Summary!$E$71)</f>
        <v>26.055829992720227</v>
      </c>
      <c r="X44" s="907">
        <f>W44*(1+Summary!$E$71)</f>
        <v>26.837504892501833</v>
      </c>
      <c r="Y44" s="907">
        <f>X44*(1+Summary!$E$71)</f>
        <v>27.642630039276888</v>
      </c>
      <c r="Z44" s="907">
        <f>Y44*(1+Summary!$E$71)</f>
        <v>28.471908940455194</v>
      </c>
      <c r="AA44" s="907">
        <f>Z44*(1+Summary!$E$71)</f>
        <v>29.326066208668852</v>
      </c>
    </row>
    <row r="45" spans="1:27" ht="14.4">
      <c r="A45" s="964" t="s">
        <v>391</v>
      </c>
      <c r="B45" s="887"/>
      <c r="C45" s="887"/>
      <c r="D45"/>
      <c r="E45" s="908">
        <v>10.203369356460305</v>
      </c>
      <c r="F45" s="908">
        <f>E45*(1+Summary!$E$71)</f>
        <v>10.509470437154114</v>
      </c>
      <c r="G45" s="908">
        <f>F45*(1+Summary!$E$71)</f>
        <v>10.824754550268738</v>
      </c>
      <c r="H45" s="908">
        <f>G45*(1+Summary!$E$71)</f>
        <v>11.1494971867768</v>
      </c>
      <c r="I45" s="908">
        <f>H45*(1+Summary!$E$71)</f>
        <v>11.483982102380105</v>
      </c>
      <c r="J45" s="908">
        <f>I45*(1+Summary!$E$71)</f>
        <v>11.828501565451509</v>
      </c>
      <c r="K45" s="908">
        <f>J45*(1+Summary!$E$71)</f>
        <v>12.183356612415054</v>
      </c>
      <c r="L45" s="908">
        <f>K45*(1+Summary!$E$71)</f>
        <v>12.548857310787506</v>
      </c>
      <c r="M45" s="908">
        <f>L45*(1+Summary!$E$71)</f>
        <v>12.925323030111132</v>
      </c>
      <c r="N45" s="908">
        <f>M45*(1+Summary!$E$71)</f>
        <v>13.313082721014466</v>
      </c>
      <c r="O45" s="908">
        <f>N45*(1+Summary!$E$71)</f>
        <v>13.712475202644899</v>
      </c>
      <c r="P45" s="908">
        <f>O45*(1+Summary!$E$71)</f>
        <v>14.123849458724246</v>
      </c>
      <c r="Q45" s="908">
        <f>P45*(1+Summary!$E$71)</f>
        <v>14.547564942485973</v>
      </c>
      <c r="R45" s="908">
        <f>Q45*(1+Summary!$E$71)</f>
        <v>14.983991890760553</v>
      </c>
      <c r="S45" s="908">
        <f>R45*(1+Summary!$E$71)</f>
        <v>15.433511647483369</v>
      </c>
      <c r="T45" s="908">
        <f>S45*(1+Summary!$E$71)</f>
        <v>15.89651699690787</v>
      </c>
      <c r="U45" s="908">
        <f>T45*(1+Summary!$E$71)</f>
        <v>16.373412506815107</v>
      </c>
      <c r="V45" s="908">
        <f>U45*(1+Summary!$E$71)</f>
        <v>16.864614882019563</v>
      </c>
      <c r="W45" s="908">
        <f>V45*(1+Summary!$E$71)</f>
        <v>17.370553328480149</v>
      </c>
      <c r="X45" s="908">
        <f>W45*(1+Summary!$E$71)</f>
        <v>17.891669928334554</v>
      </c>
      <c r="Y45" s="908">
        <f>X45*(1+Summary!$E$71)</f>
        <v>18.428420026184593</v>
      </c>
      <c r="Z45" s="908">
        <f>Y45*(1+Summary!$E$71)</f>
        <v>18.981272626970132</v>
      </c>
      <c r="AA45" s="908">
        <f>Z45*(1+Summary!$E$71)</f>
        <v>19.550710805779236</v>
      </c>
    </row>
    <row r="46" spans="1:27">
      <c r="A46" s="887" t="s">
        <v>398</v>
      </c>
      <c r="B46" s="906"/>
      <c r="C46" s="906"/>
      <c r="D46"/>
      <c r="E46" s="907">
        <f t="shared" ref="E46:AA46" si="4">SUM(E43:E45)</f>
        <v>40.813477425841214</v>
      </c>
      <c r="F46" s="907">
        <f t="shared" si="4"/>
        <v>42.037881748616456</v>
      </c>
      <c r="G46" s="907">
        <f t="shared" si="4"/>
        <v>43.299018201074944</v>
      </c>
      <c r="H46" s="907">
        <f t="shared" si="4"/>
        <v>44.597988747107195</v>
      </c>
      <c r="I46" s="907">
        <f t="shared" si="4"/>
        <v>45.935928409520415</v>
      </c>
      <c r="J46" s="907">
        <f t="shared" si="4"/>
        <v>47.314006261806028</v>
      </c>
      <c r="K46" s="907">
        <f t="shared" si="4"/>
        <v>48.733426449660207</v>
      </c>
      <c r="L46" s="907">
        <f t="shared" si="4"/>
        <v>50.195429243150016</v>
      </c>
      <c r="M46" s="907">
        <f t="shared" si="4"/>
        <v>51.701292120444521</v>
      </c>
      <c r="N46" s="907">
        <f t="shared" si="4"/>
        <v>53.252330884057862</v>
      </c>
      <c r="O46" s="907">
        <f t="shared" si="4"/>
        <v>54.849900810579598</v>
      </c>
      <c r="P46" s="907">
        <f t="shared" si="4"/>
        <v>56.495397834896984</v>
      </c>
      <c r="Q46" s="907">
        <f t="shared" si="4"/>
        <v>58.190259769943893</v>
      </c>
      <c r="R46" s="907">
        <f t="shared" si="4"/>
        <v>59.935967563042212</v>
      </c>
      <c r="S46" s="907">
        <f t="shared" si="4"/>
        <v>61.734046589933484</v>
      </c>
      <c r="T46" s="907">
        <f t="shared" si="4"/>
        <v>63.586067987631488</v>
      </c>
      <c r="U46" s="907">
        <f t="shared" si="4"/>
        <v>65.493650027260429</v>
      </c>
      <c r="V46" s="907">
        <f t="shared" si="4"/>
        <v>67.458459528078251</v>
      </c>
      <c r="W46" s="907">
        <f t="shared" si="4"/>
        <v>69.482213313920596</v>
      </c>
      <c r="X46" s="907">
        <f t="shared" si="4"/>
        <v>71.566679713338218</v>
      </c>
      <c r="Y46" s="907">
        <f t="shared" si="4"/>
        <v>73.713680104738373</v>
      </c>
      <c r="Z46" s="907">
        <f t="shared" si="4"/>
        <v>75.925090507880526</v>
      </c>
      <c r="AA46" s="907">
        <f t="shared" si="4"/>
        <v>78.202843223116943</v>
      </c>
    </row>
    <row r="47" spans="1:27">
      <c r="A47" s="887"/>
      <c r="B47" s="887"/>
      <c r="C47" s="887" t="s">
        <v>787</v>
      </c>
      <c r="D47"/>
    </row>
    <row r="48" spans="1:27">
      <c r="A48" s="906" t="s">
        <v>251</v>
      </c>
      <c r="B48" s="887"/>
      <c r="C48" s="887"/>
      <c r="D48"/>
    </row>
    <row r="49" spans="1:29">
      <c r="A49" s="964" t="s">
        <v>392</v>
      </c>
      <c r="B49" s="887"/>
      <c r="C49" s="887"/>
      <c r="D49"/>
      <c r="E49" s="907">
        <v>132.64380163398397</v>
      </c>
      <c r="F49" s="907">
        <f>E49*(1+Summary!$E$71)</f>
        <v>136.6231156830035</v>
      </c>
      <c r="G49" s="907">
        <f>F49*(1+Summary!$E$71)</f>
        <v>140.72180915349361</v>
      </c>
      <c r="H49" s="907">
        <f>G49*(1+Summary!$E$71)</f>
        <v>144.94346342809843</v>
      </c>
      <c r="I49" s="907">
        <f>H49*(1+Summary!$E$71)</f>
        <v>149.29176733094138</v>
      </c>
      <c r="J49" s="907">
        <f>I49*(1+Summary!$E$71)</f>
        <v>153.77052035086962</v>
      </c>
      <c r="K49" s="907">
        <f>J49*(1+Summary!$E$71)</f>
        <v>158.3836359613957</v>
      </c>
      <c r="L49" s="907">
        <f>K49*(1+Summary!$E$71)</f>
        <v>163.13514504023757</v>
      </c>
      <c r="M49" s="907">
        <f>L49*(1+Summary!$E$71)</f>
        <v>168.02919939144471</v>
      </c>
      <c r="N49" s="907">
        <f>M49*(1+Summary!$E$71)</f>
        <v>173.07007537318805</v>
      </c>
      <c r="O49" s="907">
        <f>N49*(1+Summary!$E$71)</f>
        <v>178.2621776343837</v>
      </c>
      <c r="P49" s="907">
        <f>O49*(1+Summary!$E$71)</f>
        <v>183.61004296341522</v>
      </c>
      <c r="Q49" s="907">
        <f>P49*(1+Summary!$E$71)</f>
        <v>189.11834425231768</v>
      </c>
      <c r="R49" s="907">
        <f>Q49*(1+Summary!$E$71)</f>
        <v>194.79189457988721</v>
      </c>
      <c r="S49" s="907">
        <f>R49*(1+Summary!$E$71)</f>
        <v>200.63565141728384</v>
      </c>
      <c r="T49" s="907">
        <f>S49*(1+Summary!$E$71)</f>
        <v>206.65472095980235</v>
      </c>
      <c r="U49" s="907">
        <f>T49*(1+Summary!$E$71)</f>
        <v>212.85436258859642</v>
      </c>
      <c r="V49" s="907">
        <f>U49*(1+Summary!$E$71)</f>
        <v>219.2399934662543</v>
      </c>
      <c r="W49" s="907">
        <f>V49*(1+Summary!$E$71)</f>
        <v>225.81719327024194</v>
      </c>
      <c r="X49" s="907">
        <f>W49*(1+Summary!$E$71)</f>
        <v>232.59170906834922</v>
      </c>
      <c r="Y49" s="907">
        <f>X49*(1+Summary!$E$71)</f>
        <v>239.5694603403997</v>
      </c>
      <c r="Z49" s="907">
        <f>Y49*(1+Summary!$E$71)</f>
        <v>246.75654415061169</v>
      </c>
      <c r="AA49" s="907">
        <f>Z49*(1+Summary!$E$71)</f>
        <v>254.15924047513005</v>
      </c>
    </row>
    <row r="50" spans="1:29">
      <c r="A50" s="964" t="s">
        <v>737</v>
      </c>
      <c r="B50" s="887"/>
      <c r="C50" s="887"/>
      <c r="D50"/>
      <c r="E50" s="907">
        <v>72</v>
      </c>
      <c r="F50" s="907">
        <f>E50*(1+Summary!$E$71)</f>
        <v>74.16</v>
      </c>
      <c r="G50" s="907">
        <f>F50*(1+Summary!$E$71)</f>
        <v>76.384799999999998</v>
      </c>
      <c r="H50" s="907">
        <f>G50*(1+Summary!$E$71)</f>
        <v>78.676344</v>
      </c>
      <c r="I50" s="907">
        <f>H50*(1+Summary!$E$71)</f>
        <v>81.036634320000005</v>
      </c>
      <c r="J50" s="907">
        <f>I50*(1+Summary!$E$71)</f>
        <v>83.46773334960001</v>
      </c>
      <c r="K50" s="907">
        <f>J50*(1+Summary!$E$71)</f>
        <v>85.971765350088006</v>
      </c>
      <c r="L50" s="907">
        <f>K50*(1+Summary!$E$71)</f>
        <v>88.550918310590646</v>
      </c>
      <c r="M50" s="907">
        <f>L50*(1+Summary!$E$71)</f>
        <v>91.207445859908361</v>
      </c>
      <c r="N50" s="907">
        <f>M50*(1+Summary!$E$71)</f>
        <v>93.943669235705613</v>
      </c>
      <c r="O50" s="907">
        <f>N50*(1+Summary!$E$71)</f>
        <v>96.761979312776788</v>
      </c>
      <c r="P50" s="907">
        <f>O50*(1+Summary!$E$71)</f>
        <v>99.664838692160089</v>
      </c>
      <c r="Q50" s="907">
        <f>P50*(1+Summary!$E$71)</f>
        <v>102.65478385292489</v>
      </c>
      <c r="R50" s="907">
        <f>Q50*(1+Summary!$E$71)</f>
        <v>105.73442736851264</v>
      </c>
      <c r="S50" s="907">
        <f>R50*(1+Summary!$E$71)</f>
        <v>108.90646018956802</v>
      </c>
      <c r="T50" s="907">
        <f>S50*(1+Summary!$E$71)</f>
        <v>112.17365399525507</v>
      </c>
      <c r="U50" s="907">
        <f>T50*(1+Summary!$E$71)</f>
        <v>115.53886361511272</v>
      </c>
      <c r="V50" s="907">
        <f>U50*(1+Summary!$E$71)</f>
        <v>119.00502952356611</v>
      </c>
      <c r="W50" s="907">
        <f>V50*(1+Summary!$E$71)</f>
        <v>122.57518040927309</v>
      </c>
      <c r="X50" s="907">
        <f>W50*(1+Summary!$E$71)</f>
        <v>126.25243582155129</v>
      </c>
      <c r="Y50" s="907">
        <f>X50*(1+Summary!$E$71)</f>
        <v>130.04000889619783</v>
      </c>
      <c r="Z50" s="907">
        <f>Y50*(1+Summary!$E$71)</f>
        <v>133.94120916308378</v>
      </c>
      <c r="AA50" s="907">
        <f>Z50*(1+Summary!$E$71)</f>
        <v>137.95944543797631</v>
      </c>
    </row>
    <row r="51" spans="1:29">
      <c r="A51" s="964" t="s">
        <v>808</v>
      </c>
      <c r="B51" s="887"/>
      <c r="C51" s="887"/>
      <c r="D51"/>
      <c r="E51" s="907">
        <v>240</v>
      </c>
      <c r="F51" s="907">
        <f>E51*(1+Summary!$E$71)</f>
        <v>247.20000000000002</v>
      </c>
      <c r="G51" s="907">
        <f>F51*(1+Summary!$E$71)</f>
        <v>254.61600000000001</v>
      </c>
      <c r="H51" s="907">
        <f>G51*(1+Summary!$E$71)</f>
        <v>262.25448</v>
      </c>
      <c r="I51" s="907">
        <f>H51*(1+Summary!$E$71)</f>
        <v>270.12211439999999</v>
      </c>
      <c r="J51" s="907">
        <f>I51*(1+Summary!$E$71)</f>
        <v>278.22577783200001</v>
      </c>
      <c r="K51" s="907">
        <f>J51*(1+Summary!$E$71)</f>
        <v>286.57255116696001</v>
      </c>
      <c r="L51" s="907">
        <f>K51*(1+Summary!$E$71)</f>
        <v>295.16972770196884</v>
      </c>
      <c r="M51" s="907">
        <f>L51*(1+Summary!$E$71)</f>
        <v>304.02481953302794</v>
      </c>
      <c r="N51" s="907">
        <f>M51*(1+Summary!$E$71)</f>
        <v>313.14556411901879</v>
      </c>
      <c r="O51" s="907">
        <f>N51*(1+Summary!$E$71)</f>
        <v>322.53993104258933</v>
      </c>
      <c r="P51" s="907">
        <f>O51*(1+Summary!$E$71)</f>
        <v>332.216128973867</v>
      </c>
      <c r="Q51" s="907">
        <f>P51*(1+Summary!$E$71)</f>
        <v>342.18261284308301</v>
      </c>
      <c r="R51" s="907">
        <f>Q51*(1+Summary!$E$71)</f>
        <v>352.44809122837552</v>
      </c>
      <c r="S51" s="907">
        <f>R51*(1+Summary!$E$71)</f>
        <v>363.02153396522681</v>
      </c>
      <c r="T51" s="907">
        <f>S51*(1+Summary!$E$71)</f>
        <v>373.91217998418364</v>
      </c>
      <c r="U51" s="907">
        <f>T51*(1+Summary!$E$71)</f>
        <v>385.12954538370917</v>
      </c>
      <c r="V51" s="907">
        <f>U51*(1+Summary!$E$71)</f>
        <v>396.68343174522045</v>
      </c>
      <c r="W51" s="907">
        <f>V51*(1+Summary!$E$71)</f>
        <v>408.58393469757709</v>
      </c>
      <c r="X51" s="907">
        <f>W51*(1+Summary!$E$71)</f>
        <v>420.84145273850442</v>
      </c>
      <c r="Y51" s="907">
        <f>X51*(1+Summary!$E$71)</f>
        <v>433.46669632065954</v>
      </c>
      <c r="Z51" s="907">
        <f>Y51*(1+Summary!$E$71)</f>
        <v>446.47069721027935</v>
      </c>
      <c r="AA51" s="907">
        <f>Z51*(1+Summary!$E$71)</f>
        <v>459.86481812658775</v>
      </c>
    </row>
    <row r="52" spans="1:29">
      <c r="A52" s="964" t="s">
        <v>397</v>
      </c>
      <c r="B52" s="887"/>
      <c r="C52" s="887"/>
      <c r="D52"/>
      <c r="E52" s="907">
        <v>5.1016846782301526</v>
      </c>
      <c r="F52" s="907">
        <f>E52*(1+Summary!$E$71)</f>
        <v>5.2547352185770571</v>
      </c>
      <c r="G52" s="907">
        <f>F52*(1+Summary!$E$71)</f>
        <v>5.4123772751343688</v>
      </c>
      <c r="H52" s="907">
        <f>G52*(1+Summary!$E$71)</f>
        <v>5.5747485933884002</v>
      </c>
      <c r="I52" s="907">
        <f>H52*(1+Summary!$E$71)</f>
        <v>5.7419910511900527</v>
      </c>
      <c r="J52" s="907">
        <f>I52*(1+Summary!$E$71)</f>
        <v>5.9142507827257544</v>
      </c>
      <c r="K52" s="907">
        <f>J52*(1+Summary!$E$71)</f>
        <v>6.0916783062075268</v>
      </c>
      <c r="L52" s="907">
        <f>K52*(1+Summary!$E$71)</f>
        <v>6.2744286553937529</v>
      </c>
      <c r="M52" s="907">
        <f>L52*(1+Summary!$E$71)</f>
        <v>6.462661515055566</v>
      </c>
      <c r="N52" s="907">
        <f>M52*(1+Summary!$E$71)</f>
        <v>6.6565413605072328</v>
      </c>
      <c r="O52" s="907">
        <f>N52*(1+Summary!$E$71)</f>
        <v>6.8562376013224497</v>
      </c>
      <c r="P52" s="907">
        <f>O52*(1+Summary!$E$71)</f>
        <v>7.061924729362123</v>
      </c>
      <c r="Q52" s="907">
        <f>P52*(1+Summary!$E$71)</f>
        <v>7.2737824712429866</v>
      </c>
      <c r="R52" s="907">
        <f>Q52*(1+Summary!$E$71)</f>
        <v>7.4919959453802765</v>
      </c>
      <c r="S52" s="907">
        <f>R52*(1+Summary!$E$71)</f>
        <v>7.7167558237416847</v>
      </c>
      <c r="T52" s="907">
        <f>S52*(1+Summary!$E$71)</f>
        <v>7.9482584984539351</v>
      </c>
      <c r="U52" s="907">
        <f>T52*(1+Summary!$E$71)</f>
        <v>8.1867062534075536</v>
      </c>
      <c r="V52" s="907">
        <f>U52*(1+Summary!$E$71)</f>
        <v>8.4323074410097814</v>
      </c>
      <c r="W52" s="907">
        <f>V52*(1+Summary!$E$71)</f>
        <v>8.6852766642400745</v>
      </c>
      <c r="X52" s="907">
        <f>W52*(1+Summary!$E$71)</f>
        <v>8.9458349641672772</v>
      </c>
      <c r="Y52" s="907">
        <f>X52*(1+Summary!$E$71)</f>
        <v>9.2142100130922966</v>
      </c>
      <c r="Z52" s="907">
        <f>Y52*(1+Summary!$E$71)</f>
        <v>9.4906363134850658</v>
      </c>
      <c r="AA52" s="907">
        <f>Z52*(1+Summary!$E$71)</f>
        <v>9.7753554028896179</v>
      </c>
    </row>
    <row r="53" spans="1:29">
      <c r="A53" s="964" t="s">
        <v>394</v>
      </c>
      <c r="B53" s="887"/>
      <c r="C53" s="887"/>
      <c r="D53"/>
      <c r="E53" s="907">
        <v>3.0610108069380915</v>
      </c>
      <c r="F53" s="907">
        <f>E53*(1+Summary!$E$71)</f>
        <v>3.1528411311462343</v>
      </c>
      <c r="G53" s="907">
        <f>F53*(1+Summary!$E$71)</f>
        <v>3.2474263650806212</v>
      </c>
      <c r="H53" s="907">
        <f>G53*(1+Summary!$E$71)</f>
        <v>3.3448491560330398</v>
      </c>
      <c r="I53" s="907">
        <f>H53*(1+Summary!$E$71)</f>
        <v>3.4451946307140311</v>
      </c>
      <c r="J53" s="907">
        <f>I53*(1+Summary!$E$71)</f>
        <v>3.548550469635452</v>
      </c>
      <c r="K53" s="907">
        <f>J53*(1+Summary!$E$71)</f>
        <v>3.6550069837245158</v>
      </c>
      <c r="L53" s="907">
        <f>K53*(1+Summary!$E$71)</f>
        <v>3.7646571932362516</v>
      </c>
      <c r="M53" s="907">
        <f>L53*(1+Summary!$E$71)</f>
        <v>3.8775969090333393</v>
      </c>
      <c r="N53" s="907">
        <f>M53*(1+Summary!$E$71)</f>
        <v>3.9939248163043395</v>
      </c>
      <c r="O53" s="907">
        <f>N53*(1+Summary!$E$71)</f>
        <v>4.1137425607934697</v>
      </c>
      <c r="P53" s="907">
        <f>O53*(1+Summary!$E$71)</f>
        <v>4.2371548376172736</v>
      </c>
      <c r="Q53" s="907">
        <f>P53*(1+Summary!$E$71)</f>
        <v>4.364269482745792</v>
      </c>
      <c r="R53" s="907">
        <f>Q53*(1+Summary!$E$71)</f>
        <v>4.4951975672281659</v>
      </c>
      <c r="S53" s="907">
        <f>R53*(1+Summary!$E$71)</f>
        <v>4.6300534942450113</v>
      </c>
      <c r="T53" s="907">
        <f>S53*(1+Summary!$E$71)</f>
        <v>4.7689550990723619</v>
      </c>
      <c r="U53" s="907">
        <f>T53*(1+Summary!$E$71)</f>
        <v>4.9120237520445329</v>
      </c>
      <c r="V53" s="907">
        <f>U53*(1+Summary!$E$71)</f>
        <v>5.059384464605869</v>
      </c>
      <c r="W53" s="907">
        <f>V53*(1+Summary!$E$71)</f>
        <v>5.2111659985440451</v>
      </c>
      <c r="X53" s="907">
        <f>W53*(1+Summary!$E$71)</f>
        <v>5.3675009785003667</v>
      </c>
      <c r="Y53" s="907">
        <f>X53*(1+Summary!$E$71)</f>
        <v>5.528526007855378</v>
      </c>
      <c r="Z53" s="907">
        <f>Y53*(1+Summary!$E$71)</f>
        <v>5.6943817880910395</v>
      </c>
      <c r="AA53" s="907">
        <f>Z53*(1+Summary!$E$71)</f>
        <v>5.8652132417337706</v>
      </c>
    </row>
    <row r="54" spans="1:29">
      <c r="A54" s="964" t="s">
        <v>395</v>
      </c>
      <c r="B54" s="887"/>
      <c r="C54" s="887"/>
      <c r="D54"/>
      <c r="E54" s="907">
        <v>1.0203369356460308</v>
      </c>
      <c r="F54" s="907">
        <f>E54*(1+Summary!$E$71)</f>
        <v>1.0509470437154118</v>
      </c>
      <c r="G54" s="907">
        <f>F54*(1+Summary!$E$71)</f>
        <v>1.0824754550268743</v>
      </c>
      <c r="H54" s="907">
        <f>G54*(1+Summary!$E$71)</f>
        <v>1.1149497186776804</v>
      </c>
      <c r="I54" s="907">
        <f>H54*(1+Summary!$E$71)</f>
        <v>1.1483982102380108</v>
      </c>
      <c r="J54" s="907">
        <f>I54*(1+Summary!$E$71)</f>
        <v>1.1828501565451512</v>
      </c>
      <c r="K54" s="907">
        <f>J54*(1+Summary!$E$71)</f>
        <v>1.2183356612415057</v>
      </c>
      <c r="L54" s="907">
        <f>K54*(1+Summary!$E$71)</f>
        <v>1.2548857310787509</v>
      </c>
      <c r="M54" s="907">
        <f>L54*(1+Summary!$E$71)</f>
        <v>1.2925323030111135</v>
      </c>
      <c r="N54" s="907">
        <f>M54*(1+Summary!$E$71)</f>
        <v>1.3313082721014471</v>
      </c>
      <c r="O54" s="907">
        <f>N54*(1+Summary!$E$71)</f>
        <v>1.3712475202644905</v>
      </c>
      <c r="P54" s="907">
        <f>O54*(1+Summary!$E$71)</f>
        <v>1.4123849458724251</v>
      </c>
      <c r="Q54" s="907">
        <f>P54*(1+Summary!$E$71)</f>
        <v>1.454756494248598</v>
      </c>
      <c r="R54" s="907">
        <f>Q54*(1+Summary!$E$71)</f>
        <v>1.498399189076056</v>
      </c>
      <c r="S54" s="907">
        <f>R54*(1+Summary!$E$71)</f>
        <v>1.5433511647483378</v>
      </c>
      <c r="T54" s="907">
        <f>S54*(1+Summary!$E$71)</f>
        <v>1.5896516996907879</v>
      </c>
      <c r="U54" s="907">
        <f>T54*(1+Summary!$E$71)</f>
        <v>1.6373412506815115</v>
      </c>
      <c r="V54" s="907">
        <f>U54*(1+Summary!$E$71)</f>
        <v>1.6864614882019568</v>
      </c>
      <c r="W54" s="907">
        <f>V54*(1+Summary!$E$71)</f>
        <v>1.7370553328480156</v>
      </c>
      <c r="X54" s="907">
        <f>W54*(1+Summary!$E$71)</f>
        <v>1.7891669928334561</v>
      </c>
      <c r="Y54" s="907">
        <f>X54*(1+Summary!$E$71)</f>
        <v>1.84284200261846</v>
      </c>
      <c r="Z54" s="907">
        <f>Y54*(1+Summary!$E$71)</f>
        <v>1.8981272626970138</v>
      </c>
      <c r="AA54" s="907">
        <f>Z54*(1+Summary!$E$71)</f>
        <v>1.9550710805779243</v>
      </c>
    </row>
    <row r="55" spans="1:29" ht="14.4">
      <c r="A55" s="964" t="s">
        <v>809</v>
      </c>
      <c r="B55" s="887"/>
      <c r="C55" s="887"/>
      <c r="D55"/>
      <c r="E55" s="908">
        <v>21</v>
      </c>
      <c r="F55" s="908">
        <f>E55*(1+Summary!$E$71)</f>
        <v>21.63</v>
      </c>
      <c r="G55" s="908">
        <f>F55*(1+Summary!$E$71)</f>
        <v>22.2789</v>
      </c>
      <c r="H55" s="908">
        <f>G55*(1+Summary!$E$71)</f>
        <v>22.947267</v>
      </c>
      <c r="I55" s="908">
        <f>H55*(1+Summary!$E$71)</f>
        <v>23.63568501</v>
      </c>
      <c r="J55" s="908">
        <f>I55*(1+Summary!$E$71)</f>
        <v>24.344755560300001</v>
      </c>
      <c r="K55" s="908">
        <f>J55*(1+Summary!$E$71)</f>
        <v>25.075098227109002</v>
      </c>
      <c r="L55" s="908">
        <f>K55*(1+Summary!$E$71)</f>
        <v>25.827351173922274</v>
      </c>
      <c r="M55" s="908">
        <f>L55*(1+Summary!$E$71)</f>
        <v>26.602171709139942</v>
      </c>
      <c r="N55" s="908">
        <f>M55*(1+Summary!$E$71)</f>
        <v>27.40023686041414</v>
      </c>
      <c r="O55" s="908">
        <f>N55*(1+Summary!$E$71)</f>
        <v>28.222243966226564</v>
      </c>
      <c r="P55" s="908">
        <f>O55*(1+Summary!$E$71)</f>
        <v>29.06891128521336</v>
      </c>
      <c r="Q55" s="908">
        <f>P55*(1+Summary!$E$71)</f>
        <v>29.940978623769762</v>
      </c>
      <c r="R55" s="908">
        <f>Q55*(1+Summary!$E$71)</f>
        <v>30.839207982482858</v>
      </c>
      <c r="S55" s="908">
        <f>R55*(1+Summary!$E$71)</f>
        <v>31.764384221957343</v>
      </c>
      <c r="T55" s="908">
        <f>S55*(1+Summary!$E$71)</f>
        <v>32.717315748616066</v>
      </c>
      <c r="U55" s="908">
        <f>T55*(1+Summary!$E$71)</f>
        <v>33.698835221074546</v>
      </c>
      <c r="V55" s="908">
        <f>U55*(1+Summary!$E$71)</f>
        <v>34.709800277706783</v>
      </c>
      <c r="W55" s="908">
        <f>V55*(1+Summary!$E$71)</f>
        <v>35.75109428603799</v>
      </c>
      <c r="X55" s="908">
        <f>W55*(1+Summary!$E$71)</f>
        <v>36.823627114619129</v>
      </c>
      <c r="Y55" s="908">
        <f>X55*(1+Summary!$E$71)</f>
        <v>37.928335928057706</v>
      </c>
      <c r="Z55" s="908">
        <f>Y55*(1+Summary!$E$71)</f>
        <v>39.066186005899439</v>
      </c>
      <c r="AA55" s="908">
        <f>Z55*(1+Summary!$E$71)</f>
        <v>40.238171586076426</v>
      </c>
    </row>
    <row r="56" spans="1:29">
      <c r="A56" s="887" t="s">
        <v>398</v>
      </c>
      <c r="B56" s="887"/>
      <c r="C56" s="887"/>
      <c r="D56"/>
      <c r="E56" s="907">
        <f t="shared" ref="E56:AA56" si="5">SUM(E49:E55)</f>
        <v>474.82683405479821</v>
      </c>
      <c r="F56" s="907">
        <f t="shared" si="5"/>
        <v>489.0716390764423</v>
      </c>
      <c r="G56" s="907">
        <f t="shared" si="5"/>
        <v>503.74378824873554</v>
      </c>
      <c r="H56" s="907">
        <f t="shared" si="5"/>
        <v>518.85610189619752</v>
      </c>
      <c r="I56" s="907">
        <f t="shared" si="5"/>
        <v>534.42178495308337</v>
      </c>
      <c r="J56" s="907">
        <f t="shared" si="5"/>
        <v>550.45443850167578</v>
      </c>
      <c r="K56" s="907">
        <f t="shared" si="5"/>
        <v>566.96807165672647</v>
      </c>
      <c r="L56" s="907">
        <f t="shared" si="5"/>
        <v>583.97711380642806</v>
      </c>
      <c r="M56" s="907">
        <f t="shared" si="5"/>
        <v>601.49642722062083</v>
      </c>
      <c r="N56" s="907">
        <f t="shared" si="5"/>
        <v>619.54132003723964</v>
      </c>
      <c r="O56" s="907">
        <f t="shared" si="5"/>
        <v>638.12755963835696</v>
      </c>
      <c r="P56" s="907">
        <f t="shared" si="5"/>
        <v>657.27138642750754</v>
      </c>
      <c r="Q56" s="907">
        <f t="shared" si="5"/>
        <v>676.98952802033273</v>
      </c>
      <c r="R56" s="907">
        <f t="shared" si="5"/>
        <v>697.29921386094281</v>
      </c>
      <c r="S56" s="907">
        <f t="shared" si="5"/>
        <v>718.218190276771</v>
      </c>
      <c r="T56" s="907">
        <f t="shared" si="5"/>
        <v>739.76473598507425</v>
      </c>
      <c r="U56" s="907">
        <f t="shared" si="5"/>
        <v>761.95767806462641</v>
      </c>
      <c r="V56" s="907">
        <f t="shared" si="5"/>
        <v>784.8164084065653</v>
      </c>
      <c r="W56" s="907">
        <f t="shared" si="5"/>
        <v>808.36090065876226</v>
      </c>
      <c r="X56" s="907">
        <f t="shared" si="5"/>
        <v>832.6117276785252</v>
      </c>
      <c r="Y56" s="907">
        <f t="shared" si="5"/>
        <v>857.59007950888088</v>
      </c>
      <c r="Z56" s="907">
        <f t="shared" si="5"/>
        <v>883.3177818941474</v>
      </c>
      <c r="AA56" s="907">
        <f t="shared" si="5"/>
        <v>909.81731535097174</v>
      </c>
    </row>
    <row r="57" spans="1:29">
      <c r="A57" s="887"/>
      <c r="B57" s="887"/>
      <c r="C57" s="887"/>
      <c r="D57"/>
    </row>
    <row r="58" spans="1:29">
      <c r="A58" s="906" t="s">
        <v>476</v>
      </c>
      <c r="B58" s="887"/>
      <c r="C58" s="887"/>
      <c r="D58"/>
      <c r="E58" s="907">
        <f>D58*(1+Summary!$E$71)</f>
        <v>0</v>
      </c>
      <c r="F58" s="907">
        <f>E58*(1+Summary!$E$71)</f>
        <v>0</v>
      </c>
      <c r="G58" s="907">
        <f>F58*(1+Summary!$E$71)</f>
        <v>0</v>
      </c>
      <c r="H58" s="907">
        <f>G58*(1+Summary!$E$71)</f>
        <v>0</v>
      </c>
      <c r="I58" s="907">
        <f>H58*(1+Summary!$E$71)</f>
        <v>0</v>
      </c>
      <c r="J58" s="907">
        <f>I58*(1+Summary!$E$71)</f>
        <v>0</v>
      </c>
      <c r="K58" s="907">
        <f>J58*(1+Summary!$E$71)</f>
        <v>0</v>
      </c>
      <c r="L58" s="907">
        <f>K58*(1+Summary!$E$71)</f>
        <v>0</v>
      </c>
      <c r="M58" s="907">
        <f>L58*(1+Summary!$E$71)</f>
        <v>0</v>
      </c>
      <c r="N58" s="907">
        <f>M58*(1+Summary!$E$71)</f>
        <v>0</v>
      </c>
      <c r="O58" s="907">
        <f>N58*(1+Summary!$E$71)</f>
        <v>0</v>
      </c>
      <c r="P58" s="907">
        <f>O58*(1+Summary!$E$71)</f>
        <v>0</v>
      </c>
      <c r="Q58" s="907">
        <f>P58*(1+Summary!$E$71)</f>
        <v>0</v>
      </c>
      <c r="R58" s="907">
        <f>Q58*(1+Summary!$E$71)</f>
        <v>0</v>
      </c>
      <c r="S58" s="907">
        <f>R58*(1+Summary!$E$71)</f>
        <v>0</v>
      </c>
      <c r="T58" s="907">
        <f>S58*(1+Summary!$E$71)</f>
        <v>0</v>
      </c>
      <c r="U58" s="907">
        <f>T58*(1+Summary!$E$71)</f>
        <v>0</v>
      </c>
      <c r="V58" s="907">
        <f>U58*(1+Summary!$E$71)</f>
        <v>0</v>
      </c>
      <c r="W58" s="907">
        <f>V58*(1+Summary!$E$71)</f>
        <v>0</v>
      </c>
      <c r="X58" s="907">
        <f>W58*(1+Summary!$E$71)</f>
        <v>0</v>
      </c>
      <c r="Y58" s="907">
        <f>X58*(1+Summary!$E$71)</f>
        <v>0</v>
      </c>
      <c r="Z58" s="907">
        <f>Y58*(1+Summary!$E$71)</f>
        <v>0</v>
      </c>
      <c r="AA58" s="907">
        <f>Z58*(1+Summary!$E$71)</f>
        <v>0</v>
      </c>
    </row>
    <row r="59" spans="1:29">
      <c r="A59" s="887"/>
      <c r="B59" s="887"/>
      <c r="C59" s="887"/>
      <c r="D59"/>
    </row>
    <row r="60" spans="1:29">
      <c r="A60" s="906" t="s">
        <v>461</v>
      </c>
      <c r="B60" s="887"/>
      <c r="C60" s="887"/>
      <c r="D60"/>
      <c r="E60" s="1476">
        <f>(E9+E25+E34+E46+E56+E40)</f>
        <v>3338.2039103400912</v>
      </c>
      <c r="F60" s="1476">
        <f t="shared" ref="F60:AA60" si="6">(F9+F25+F34+F46+F56+F40)</f>
        <v>3322.8999016564458</v>
      </c>
      <c r="G60" s="1476">
        <f t="shared" si="6"/>
        <v>3157.9401148955899</v>
      </c>
      <c r="H60" s="1476">
        <f t="shared" si="6"/>
        <v>3227.9407813204562</v>
      </c>
      <c r="I60" s="1476">
        <f t="shared" si="6"/>
        <v>3302.9339767583901</v>
      </c>
      <c r="J60" s="1476">
        <f t="shared" si="6"/>
        <v>3374.1774537546439</v>
      </c>
      <c r="K60" s="1476">
        <f t="shared" si="6"/>
        <v>3450.5367424868919</v>
      </c>
      <c r="L60" s="1476">
        <f t="shared" si="6"/>
        <v>3529.1419050439777</v>
      </c>
      <c r="M60" s="1476">
        <f t="shared" si="6"/>
        <v>3613.0765953607379</v>
      </c>
      <c r="N60" s="1476">
        <f t="shared" si="6"/>
        <v>3693.3570087170528</v>
      </c>
      <c r="O60" s="1476">
        <f t="shared" si="6"/>
        <v>3779.1054943715994</v>
      </c>
      <c r="P60" s="1476">
        <f t="shared" si="6"/>
        <v>3352.8770612052149</v>
      </c>
      <c r="Q60" s="1476">
        <f t="shared" si="6"/>
        <v>2956.1443195164534</v>
      </c>
      <c r="R60" s="1476">
        <f t="shared" si="6"/>
        <v>3043.6624743138955</v>
      </c>
      <c r="S60" s="1476">
        <f t="shared" si="6"/>
        <v>3134.1601693716684</v>
      </c>
      <c r="T60" s="1476">
        <f t="shared" si="6"/>
        <v>3227.353302981056</v>
      </c>
      <c r="U60" s="1476">
        <f t="shared" si="6"/>
        <v>3323.7204763031173</v>
      </c>
      <c r="V60" s="1476">
        <f t="shared" si="6"/>
        <v>3422.1498678527278</v>
      </c>
      <c r="W60" s="1476">
        <f t="shared" si="6"/>
        <v>3523.9213634452503</v>
      </c>
      <c r="X60" s="1476">
        <f t="shared" si="6"/>
        <v>3628.7245718949152</v>
      </c>
      <c r="Y60" s="1476">
        <f t="shared" si="6"/>
        <v>3737.0877621482059</v>
      </c>
      <c r="Z60" s="1476">
        <f t="shared" si="6"/>
        <v>3847.7905762011933</v>
      </c>
      <c r="AA60" s="1476">
        <f t="shared" si="6"/>
        <v>3962.2424291164762</v>
      </c>
    </row>
    <row r="61" spans="1:29">
      <c r="A61" s="887"/>
      <c r="B61" s="887"/>
      <c r="C61" s="887"/>
      <c r="D61"/>
      <c r="E61" s="1436"/>
    </row>
    <row r="62" spans="1:29">
      <c r="A62" s="919" t="s">
        <v>431</v>
      </c>
      <c r="B62" s="887"/>
      <c r="C62" s="887"/>
      <c r="D62"/>
    </row>
    <row r="63" spans="1:29">
      <c r="A63" s="887" t="s">
        <v>434</v>
      </c>
      <c r="B63" s="887"/>
      <c r="C63" s="887"/>
      <c r="D63"/>
      <c r="E63" s="907">
        <f>CCFMODEL!J225</f>
        <v>6034.440141700703</v>
      </c>
      <c r="F63" s="907">
        <f>CCFMODEL!K225</f>
        <v>6868.2946710369661</v>
      </c>
      <c r="G63" s="907">
        <f>CCFMODEL!L225</f>
        <v>6572.7077129671552</v>
      </c>
      <c r="H63" s="907">
        <f>CCFMODEL!M225</f>
        <v>6408.0991095869349</v>
      </c>
      <c r="I63" s="907">
        <f>CCFMODEL!N225</f>
        <v>6262.3419978040356</v>
      </c>
      <c r="J63" s="907">
        <f>CCFMODEL!O225</f>
        <v>5998.3837764929312</v>
      </c>
      <c r="K63" s="907">
        <f>CCFMODEL!P225</f>
        <v>6255.4519691284277</v>
      </c>
      <c r="L63" s="907">
        <f>CCFMODEL!Q225</f>
        <v>6335.9667103624552</v>
      </c>
      <c r="M63" s="907">
        <f>CCFMODEL!R225</f>
        <v>6398.0726819716001</v>
      </c>
      <c r="N63" s="907">
        <f>CCFMODEL!S225</f>
        <v>6357.3663297962103</v>
      </c>
      <c r="O63" s="907">
        <f>CCFMODEL!T225</f>
        <v>7473.572725342271</v>
      </c>
      <c r="P63" s="907">
        <f>CCFMODEL!U225</f>
        <v>8143.1802322220674</v>
      </c>
      <c r="Q63" s="907">
        <f>CCFMODEL!V225</f>
        <v>8337.8088653636787</v>
      </c>
      <c r="R63" s="907">
        <f>CCFMODEL!W225</f>
        <v>8473.7177763625332</v>
      </c>
      <c r="S63" s="907">
        <f>CCFMODEL!X225</f>
        <v>8668.8520394139414</v>
      </c>
      <c r="T63" s="907">
        <f>CCFMODEL!Y225</f>
        <v>8823.0557289360513</v>
      </c>
      <c r="U63" s="907">
        <f>CCFMODEL!Z225</f>
        <v>8891.5302152907425</v>
      </c>
      <c r="V63" s="907">
        <f>CCFMODEL!AA225</f>
        <v>9081.1560797187249</v>
      </c>
      <c r="W63" s="907">
        <f>CCFMODEL!AB225</f>
        <v>9276.5682236121647</v>
      </c>
      <c r="X63" s="907">
        <f>CCFMODEL!AC225</f>
        <v>9528.7540111310936</v>
      </c>
      <c r="Y63" s="907">
        <f>CCFMODEL!AD225</f>
        <v>9852.7898491425949</v>
      </c>
      <c r="Z63" s="907">
        <f>CCFMODEL!AE225</f>
        <v>10053.224738547888</v>
      </c>
      <c r="AA63" s="907">
        <f>CCFMODEL!AF225</f>
        <v>8395.8435555812375</v>
      </c>
      <c r="AB63" s="907"/>
      <c r="AC63" s="907"/>
    </row>
    <row r="64" spans="1:29">
      <c r="A64" s="887" t="s">
        <v>682</v>
      </c>
      <c r="B64" s="887"/>
      <c r="C64" s="887"/>
      <c r="D64"/>
      <c r="E64" s="907">
        <f>CCFMODEL!J231</f>
        <v>170.03996893524288</v>
      </c>
      <c r="F64" s="907">
        <f>CCFMODEL!K231</f>
        <v>179.21499999999997</v>
      </c>
      <c r="G64" s="907">
        <f>CCFMODEL!L231</f>
        <v>179.21499999999997</v>
      </c>
      <c r="H64" s="907">
        <f>CCFMODEL!M231</f>
        <v>179.215</v>
      </c>
      <c r="I64" s="907">
        <f>CCFMODEL!N231</f>
        <v>177.08162949824469</v>
      </c>
      <c r="J64" s="907">
        <f>CCFMODEL!O231</f>
        <v>179.21499999999997</v>
      </c>
      <c r="K64" s="907">
        <f>CCFMODEL!P231</f>
        <v>179.215</v>
      </c>
      <c r="L64" s="907">
        <f>CCFMODEL!Q231</f>
        <v>179.215</v>
      </c>
      <c r="M64" s="907">
        <f>CCFMODEL!R231</f>
        <v>179.70599999999999</v>
      </c>
      <c r="N64" s="907">
        <f>CCFMODEL!S231</f>
        <v>179.21499999999997</v>
      </c>
      <c r="O64" s="907">
        <f>CCFMODEL!T231</f>
        <v>58.92</v>
      </c>
      <c r="P64" s="907">
        <f>CCFMODEL!U231</f>
        <v>0</v>
      </c>
      <c r="Q64" s="907">
        <f>CCFMODEL!V231</f>
        <v>0</v>
      </c>
      <c r="R64" s="907">
        <f>CCFMODEL!W231</f>
        <v>0</v>
      </c>
      <c r="S64" s="907">
        <f>CCFMODEL!X231</f>
        <v>0</v>
      </c>
      <c r="T64" s="907">
        <f>CCFMODEL!Y231</f>
        <v>0</v>
      </c>
      <c r="U64" s="907">
        <f>CCFMODEL!Z231</f>
        <v>0</v>
      </c>
      <c r="V64" s="907">
        <f>CCFMODEL!AA231</f>
        <v>0</v>
      </c>
      <c r="W64" s="907">
        <f>CCFMODEL!AB231</f>
        <v>0</v>
      </c>
      <c r="X64" s="907">
        <f>CCFMODEL!AC231</f>
        <v>0</v>
      </c>
      <c r="Y64" s="907">
        <f>CCFMODEL!AD231</f>
        <v>0</v>
      </c>
      <c r="Z64" s="907">
        <f>CCFMODEL!AE231</f>
        <v>0</v>
      </c>
      <c r="AA64" s="907">
        <f>CCFMODEL!AF231</f>
        <v>0</v>
      </c>
      <c r="AB64" s="907"/>
      <c r="AC64" s="907"/>
    </row>
    <row r="65" spans="1:29" ht="14.4">
      <c r="A65" s="887" t="s">
        <v>459</v>
      </c>
      <c r="B65" s="887"/>
      <c r="C65" s="887"/>
      <c r="D65"/>
      <c r="E65" s="908">
        <v>0</v>
      </c>
      <c r="F65" s="908">
        <v>0</v>
      </c>
      <c r="G65" s="908">
        <v>0</v>
      </c>
      <c r="H65" s="908">
        <v>0</v>
      </c>
      <c r="I65" s="908">
        <v>0</v>
      </c>
      <c r="J65" s="908">
        <v>0</v>
      </c>
      <c r="K65" s="908">
        <v>0</v>
      </c>
      <c r="L65" s="908">
        <v>0</v>
      </c>
      <c r="M65" s="908">
        <v>0</v>
      </c>
      <c r="N65" s="908">
        <v>0</v>
      </c>
      <c r="O65" s="908">
        <v>0</v>
      </c>
      <c r="P65" s="908">
        <v>0</v>
      </c>
      <c r="Q65" s="908">
        <v>0</v>
      </c>
      <c r="R65" s="908">
        <v>0</v>
      </c>
      <c r="S65" s="908">
        <v>0</v>
      </c>
      <c r="T65" s="908">
        <v>0</v>
      </c>
      <c r="U65" s="908">
        <v>0</v>
      </c>
      <c r="V65" s="908">
        <v>0</v>
      </c>
      <c r="W65" s="908">
        <v>0</v>
      </c>
      <c r="X65" s="908">
        <v>0</v>
      </c>
      <c r="Y65" s="908">
        <v>0</v>
      </c>
      <c r="Z65" s="908">
        <v>0</v>
      </c>
      <c r="AA65" s="908">
        <v>0</v>
      </c>
      <c r="AB65" s="908"/>
      <c r="AC65" s="908"/>
    </row>
    <row r="66" spans="1:29">
      <c r="A66" s="906" t="s">
        <v>428</v>
      </c>
      <c r="B66" s="887"/>
      <c r="C66" s="887"/>
      <c r="D66"/>
      <c r="E66" s="909">
        <f t="shared" ref="E66:AA66" si="7">SUM(E63:E65)</f>
        <v>6204.4801106359455</v>
      </c>
      <c r="F66" s="909">
        <f t="shared" si="7"/>
        <v>7047.5096710369662</v>
      </c>
      <c r="G66" s="909">
        <f t="shared" si="7"/>
        <v>6751.9227129671553</v>
      </c>
      <c r="H66" s="909">
        <f t="shared" si="7"/>
        <v>6587.314109586935</v>
      </c>
      <c r="I66" s="909">
        <f t="shared" si="7"/>
        <v>6439.4236273022807</v>
      </c>
      <c r="J66" s="909">
        <f t="shared" si="7"/>
        <v>6177.5987764929314</v>
      </c>
      <c r="K66" s="909">
        <f t="shared" si="7"/>
        <v>6434.6669691284278</v>
      </c>
      <c r="L66" s="909">
        <f t="shared" si="7"/>
        <v>6515.1817103624553</v>
      </c>
      <c r="M66" s="909">
        <f t="shared" si="7"/>
        <v>6577.7786819716002</v>
      </c>
      <c r="N66" s="909">
        <f t="shared" si="7"/>
        <v>6536.5813297962104</v>
      </c>
      <c r="O66" s="909">
        <f t="shared" si="7"/>
        <v>7532.4927253422711</v>
      </c>
      <c r="P66" s="909">
        <f t="shared" si="7"/>
        <v>8143.1802322220674</v>
      </c>
      <c r="Q66" s="909">
        <f t="shared" si="7"/>
        <v>8337.8088653636787</v>
      </c>
      <c r="R66" s="909">
        <f t="shared" si="7"/>
        <v>8473.7177763625332</v>
      </c>
      <c r="S66" s="909">
        <f t="shared" si="7"/>
        <v>8668.8520394139414</v>
      </c>
      <c r="T66" s="909">
        <f t="shared" si="7"/>
        <v>8823.0557289360513</v>
      </c>
      <c r="U66" s="909">
        <f t="shared" si="7"/>
        <v>8891.5302152907425</v>
      </c>
      <c r="V66" s="909">
        <f t="shared" si="7"/>
        <v>9081.1560797187249</v>
      </c>
      <c r="W66" s="909">
        <f t="shared" si="7"/>
        <v>9276.5682236121647</v>
      </c>
      <c r="X66" s="909">
        <f t="shared" si="7"/>
        <v>9528.7540111310936</v>
      </c>
      <c r="Y66" s="909">
        <f t="shared" si="7"/>
        <v>9852.7898491425949</v>
      </c>
      <c r="Z66" s="909">
        <f t="shared" si="7"/>
        <v>10053.224738547888</v>
      </c>
      <c r="AA66" s="909">
        <f t="shared" si="7"/>
        <v>8395.8435555812375</v>
      </c>
      <c r="AB66" s="907"/>
      <c r="AC66" s="907"/>
    </row>
    <row r="67" spans="1:29">
      <c r="A67" s="887"/>
      <c r="B67" s="887"/>
      <c r="C67" s="887"/>
      <c r="D67"/>
    </row>
    <row r="68" spans="1:29">
      <c r="A68" s="919" t="s">
        <v>460</v>
      </c>
      <c r="B68" s="887"/>
      <c r="C68" s="887"/>
      <c r="D68"/>
    </row>
    <row r="69" spans="1:29">
      <c r="A69" s="964" t="s">
        <v>378</v>
      </c>
      <c r="B69" s="887"/>
      <c r="C69" s="887"/>
      <c r="D69"/>
      <c r="E69" s="907">
        <v>6.1220216138761829</v>
      </c>
      <c r="F69" s="907">
        <f>E69*(1+Summary!$E$71)</f>
        <v>6.3056822622924686</v>
      </c>
      <c r="G69" s="907">
        <f>F69*IF(Summary!$E$70="no",(1+Summary!$E$71),1+HLOOKUP('O&amp;M'!G$1,CCFMODEL!$I$127:$AF$128,2))</f>
        <v>6.4948527301612424</v>
      </c>
      <c r="H69" s="907">
        <f>G69*IF(Summary!$E$70="no",(1+Summary!$E$71),1+HLOOKUP('O&amp;M'!H$1,CCFMODEL!$I$127:$AF$128,2))</f>
        <v>6.6896983120660796</v>
      </c>
      <c r="I69" s="907">
        <f>H69*IF(Summary!$E$70="no",(1+Summary!$E$71),1+HLOOKUP('O&amp;M'!I$1,CCFMODEL!$I$127:$AF$128,2))</f>
        <v>6.8903892614280622</v>
      </c>
      <c r="J69" s="907">
        <f>I69*IF(Summary!$E$70="no",(1+Summary!$E$71),1+HLOOKUP('O&amp;M'!J$1,CCFMODEL!$I$127:$AF$128,2))</f>
        <v>7.0971009392709039</v>
      </c>
      <c r="K69" s="907">
        <f>J69*IF(Summary!$E$70="no",(1+Summary!$E$71),1+HLOOKUP('O&amp;M'!K$1,CCFMODEL!$I$127:$AF$128,2))</f>
        <v>7.3100139674490316</v>
      </c>
      <c r="L69" s="907">
        <f>K69*IF(Summary!$E$70="no",(1+Summary!$E$71),1+HLOOKUP('O&amp;M'!L$1,CCFMODEL!$I$127:$AF$128,2))</f>
        <v>7.5293143864725032</v>
      </c>
      <c r="M69" s="907">
        <f>L69*IF(Summary!$E$70="no",(1+Summary!$E$71),1+HLOOKUP('O&amp;M'!M$1,CCFMODEL!$I$127:$AF$128,2))</f>
        <v>7.7551938180666786</v>
      </c>
      <c r="N69" s="907">
        <f>M69*IF(Summary!$E$70="no",(1+Summary!$E$71),1+HLOOKUP('O&amp;M'!N$1,CCFMODEL!$I$127:$AF$128,2))</f>
        <v>7.987849632608679</v>
      </c>
      <c r="O69" s="907">
        <f>N69*IF(Summary!$E$70="no",(1+Summary!$E$71),1+HLOOKUP('O&amp;M'!O$1,CCFMODEL!$I$127:$AF$128,2))</f>
        <v>8.2274851215869393</v>
      </c>
      <c r="P69" s="907">
        <f>O69*IF(Summary!$E$70="no",(1+Summary!$E$71),1+HLOOKUP('O&amp;M'!P$1,CCFMODEL!$I$127:$AF$128,2))</f>
        <v>8.4743096752345473</v>
      </c>
      <c r="Q69" s="907">
        <f>P69*IF(Summary!$E$70="no",(1+Summary!$E$71),1+HLOOKUP('O&amp;M'!Q$1,CCFMODEL!$I$127:$AF$128,2))</f>
        <v>8.7285389654915839</v>
      </c>
      <c r="R69" s="907">
        <f>Q69*IF(Summary!$E$70="no",(1+Summary!$E$71),1+HLOOKUP('O&amp;M'!R$1,CCFMODEL!$I$127:$AF$128,2))</f>
        <v>8.9903951344563318</v>
      </c>
      <c r="S69" s="907">
        <f>R69*IF(Summary!$E$70="no",(1+Summary!$E$71),1+HLOOKUP('O&amp;M'!S$1,CCFMODEL!$I$127:$AF$128,2))</f>
        <v>9.2601069884900227</v>
      </c>
      <c r="T69" s="907">
        <f>S69*IF(Summary!$E$70="no",(1+Summary!$E$71),1+HLOOKUP('O&amp;M'!T$1,CCFMODEL!$I$127:$AF$128,2))</f>
        <v>9.5379101981447239</v>
      </c>
      <c r="U69" s="907">
        <f>T69*IF(Summary!$E$70="no",(1+Summary!$E$71),1+HLOOKUP('O&amp;M'!U$1,CCFMODEL!$I$127:$AF$128,2))</f>
        <v>9.8240475040890658</v>
      </c>
      <c r="V69" s="907">
        <f>U69*IF(Summary!$E$70="no",(1+Summary!$E$71),1+HLOOKUP('O&amp;M'!V$1,CCFMODEL!$I$127:$AF$128,2))</f>
        <v>10.118768929211738</v>
      </c>
      <c r="W69" s="907">
        <f>V69*IF(Summary!$E$70="no",(1+Summary!$E$71),1+HLOOKUP('O&amp;M'!W$1,CCFMODEL!$I$127:$AF$128,2))</f>
        <v>10.42233199708809</v>
      </c>
      <c r="X69" s="907">
        <f>W69*IF(Summary!$E$70="no",(1+Summary!$E$71),1+HLOOKUP('O&amp;M'!X$1,CCFMODEL!$I$127:$AF$128,2))</f>
        <v>10.735001957000733</v>
      </c>
      <c r="Y69" s="907">
        <f>X69*IF(Summary!$E$70="no",(1+Summary!$E$71),1+HLOOKUP('O&amp;M'!Y$1,CCFMODEL!$I$127:$AF$128,2))</f>
        <v>11.057052015710756</v>
      </c>
      <c r="Z69" s="907">
        <f>Y69*IF(Summary!$E$70="no",(1+Summary!$E$71),1+HLOOKUP('O&amp;M'!Z$1,CCFMODEL!$I$127:$AF$128,2))</f>
        <v>11.388763576182079</v>
      </c>
      <c r="AA69" s="907">
        <f>Z69*IF(Summary!$E$70="no",(1+Summary!$E$71),1+HLOOKUP('O&amp;M'!AA$1,CCFMODEL!$I$127:$AF$128,2))</f>
        <v>11.730426483467541</v>
      </c>
    </row>
    <row r="70" spans="1:29">
      <c r="A70" s="964" t="s">
        <v>403</v>
      </c>
      <c r="B70" s="887"/>
      <c r="C70" s="887"/>
      <c r="D70"/>
      <c r="E70" s="907">
        <v>12</v>
      </c>
      <c r="F70" s="907">
        <f>E70*(1+Summary!$E$71)</f>
        <v>12.36</v>
      </c>
      <c r="G70" s="907">
        <f>F70*(1+Summary!$E$71)</f>
        <v>12.7308</v>
      </c>
      <c r="H70" s="907">
        <f>G70*(1+Summary!$E$71)</f>
        <v>13.112724</v>
      </c>
      <c r="I70" s="907">
        <f>H70*(1+Summary!$E$71)</f>
        <v>13.506105720000001</v>
      </c>
      <c r="J70" s="907">
        <f>I70*(1+Summary!$E$71)</f>
        <v>13.911288891600002</v>
      </c>
      <c r="K70" s="907">
        <f>J70*(1+Summary!$E$71)</f>
        <v>14.328627558348002</v>
      </c>
      <c r="L70" s="907">
        <f>K70*(1+Summary!$E$71)</f>
        <v>14.758486385098442</v>
      </c>
      <c r="M70" s="907">
        <f>L70*(1+Summary!$E$71)</f>
        <v>15.201240976651395</v>
      </c>
      <c r="N70" s="907">
        <f>M70*(1+Summary!$E$71)</f>
        <v>15.657278205950936</v>
      </c>
      <c r="O70" s="907">
        <f>N70*(1+Summary!$E$71)</f>
        <v>16.126996552129466</v>
      </c>
      <c r="P70" s="907">
        <f>O70*(1+Summary!$E$71)</f>
        <v>16.610806448693349</v>
      </c>
      <c r="Q70" s="907">
        <f>P70*(1+Summary!$E$71)</f>
        <v>17.109130642154149</v>
      </c>
      <c r="R70" s="907">
        <f>Q70*(1+Summary!$E$71)</f>
        <v>17.622404561418772</v>
      </c>
      <c r="S70" s="907">
        <f>R70*(1+Summary!$E$71)</f>
        <v>18.151076698261335</v>
      </c>
      <c r="T70" s="907">
        <f>S70*(1+Summary!$E$71)</f>
        <v>18.695608999209174</v>
      </c>
      <c r="U70" s="907">
        <f>T70*(1+Summary!$E$71)</f>
        <v>19.256477269185449</v>
      </c>
      <c r="V70" s="907">
        <f>U70*(1+Summary!$E$71)</f>
        <v>19.834171587261014</v>
      </c>
      <c r="W70" s="907">
        <f>V70*(1+Summary!$E$71)</f>
        <v>20.429196734878847</v>
      </c>
      <c r="X70" s="907">
        <f>W70*(1+Summary!$E$71)</f>
        <v>21.042072636925212</v>
      </c>
      <c r="Y70" s="907">
        <f>X70*(1+Summary!$E$71)</f>
        <v>21.67333481603297</v>
      </c>
      <c r="Z70" s="907">
        <f>Y70*(1+Summary!$E$71)</f>
        <v>22.323534860513959</v>
      </c>
      <c r="AA70" s="907">
        <f>Z70*(1+Summary!$E$71)</f>
        <v>22.99324090632938</v>
      </c>
    </row>
    <row r="71" spans="1:29">
      <c r="A71" s="964" t="s">
        <v>404</v>
      </c>
      <c r="B71" s="887"/>
      <c r="C71" s="887"/>
      <c r="D71"/>
      <c r="E71" s="907">
        <v>3</v>
      </c>
      <c r="F71" s="907">
        <f>E71*(1+Summary!$E$71)</f>
        <v>3.09</v>
      </c>
      <c r="G71" s="907">
        <f>F71*(1+Summary!$E$71)</f>
        <v>3.1827000000000001</v>
      </c>
      <c r="H71" s="907">
        <f>G71*(1+Summary!$E$71)</f>
        <v>3.278181</v>
      </c>
      <c r="I71" s="907">
        <f>H71*(1+Summary!$E$71)</f>
        <v>3.3765264300000002</v>
      </c>
      <c r="J71" s="907">
        <f>I71*(1+Summary!$E$71)</f>
        <v>3.4778222229000004</v>
      </c>
      <c r="K71" s="907">
        <f>J71*(1+Summary!$E$71)</f>
        <v>3.5821568895870004</v>
      </c>
      <c r="L71" s="907">
        <f>K71*(1+Summary!$E$71)</f>
        <v>3.6896215962746104</v>
      </c>
      <c r="M71" s="907">
        <f>L71*(1+Summary!$E$71)</f>
        <v>3.8003102441628487</v>
      </c>
      <c r="N71" s="907">
        <f>M71*(1+Summary!$E$71)</f>
        <v>3.914319551487734</v>
      </c>
      <c r="O71" s="907">
        <f>N71*(1+Summary!$E$71)</f>
        <v>4.0317491380323665</v>
      </c>
      <c r="P71" s="907">
        <f>O71*(1+Summary!$E$71)</f>
        <v>4.1527016121733373</v>
      </c>
      <c r="Q71" s="907">
        <f>P71*(1+Summary!$E$71)</f>
        <v>4.2772826605385372</v>
      </c>
      <c r="R71" s="907">
        <f>Q71*(1+Summary!$E$71)</f>
        <v>4.4056011403546931</v>
      </c>
      <c r="S71" s="907">
        <f>R71*(1+Summary!$E$71)</f>
        <v>4.5377691745653337</v>
      </c>
      <c r="T71" s="907">
        <f>S71*(1+Summary!$E$71)</f>
        <v>4.6739022498022935</v>
      </c>
      <c r="U71" s="907">
        <f>T71*(1+Summary!$E$71)</f>
        <v>4.8141193172963623</v>
      </c>
      <c r="V71" s="907">
        <f>U71*(1+Summary!$E$71)</f>
        <v>4.9585428968152536</v>
      </c>
      <c r="W71" s="907">
        <f>V71*(1+Summary!$E$71)</f>
        <v>5.1072991837197117</v>
      </c>
      <c r="X71" s="907">
        <f>W71*(1+Summary!$E$71)</f>
        <v>5.2605181592313031</v>
      </c>
      <c r="Y71" s="907">
        <f>X71*(1+Summary!$E$71)</f>
        <v>5.4183337040082424</v>
      </c>
      <c r="Z71" s="907">
        <f>Y71*(1+Summary!$E$71)</f>
        <v>5.5808837151284898</v>
      </c>
      <c r="AA71" s="907">
        <f>Z71*(1+Summary!$E$71)</f>
        <v>5.7483102265823449</v>
      </c>
    </row>
    <row r="72" spans="1:29">
      <c r="A72" s="964" t="s">
        <v>405</v>
      </c>
      <c r="B72" s="887"/>
      <c r="C72" s="887"/>
      <c r="D72"/>
      <c r="E72" s="907">
        <v>6</v>
      </c>
      <c r="F72" s="907">
        <f>E72*(1+Summary!$E$71)</f>
        <v>6.18</v>
      </c>
      <c r="G72" s="907">
        <f>F72*(1+Summary!$E$71)</f>
        <v>6.3654000000000002</v>
      </c>
      <c r="H72" s="907">
        <f>G72*(1+Summary!$E$71)</f>
        <v>6.556362</v>
      </c>
      <c r="I72" s="907">
        <f>H72*(1+Summary!$E$71)</f>
        <v>6.7530528600000004</v>
      </c>
      <c r="J72" s="907">
        <f>I72*(1+Summary!$E$71)</f>
        <v>6.9556444458000009</v>
      </c>
      <c r="K72" s="907">
        <f>J72*(1+Summary!$E$71)</f>
        <v>7.1643137791740008</v>
      </c>
      <c r="L72" s="907">
        <f>K72*(1+Summary!$E$71)</f>
        <v>7.3792431925492208</v>
      </c>
      <c r="M72" s="907">
        <f>L72*(1+Summary!$E$71)</f>
        <v>7.6006204883256974</v>
      </c>
      <c r="N72" s="907">
        <f>M72*(1+Summary!$E$71)</f>
        <v>7.8286391029754681</v>
      </c>
      <c r="O72" s="907">
        <f>N72*(1+Summary!$E$71)</f>
        <v>8.0634982760647329</v>
      </c>
      <c r="P72" s="907">
        <f>O72*(1+Summary!$E$71)</f>
        <v>8.3054032243466747</v>
      </c>
      <c r="Q72" s="907">
        <f>P72*(1+Summary!$E$71)</f>
        <v>8.5545653210770745</v>
      </c>
      <c r="R72" s="907">
        <f>Q72*(1+Summary!$E$71)</f>
        <v>8.8112022807093862</v>
      </c>
      <c r="S72" s="907">
        <f>R72*(1+Summary!$E$71)</f>
        <v>9.0755383491306674</v>
      </c>
      <c r="T72" s="907">
        <f>S72*(1+Summary!$E$71)</f>
        <v>9.347804499604587</v>
      </c>
      <c r="U72" s="907">
        <f>T72*(1+Summary!$E$71)</f>
        <v>9.6282386345927247</v>
      </c>
      <c r="V72" s="907">
        <f>U72*(1+Summary!$E$71)</f>
        <v>9.9170857936305072</v>
      </c>
      <c r="W72" s="907">
        <f>V72*(1+Summary!$E$71)</f>
        <v>10.214598367439423</v>
      </c>
      <c r="X72" s="907">
        <f>W72*(1+Summary!$E$71)</f>
        <v>10.521036318462606</v>
      </c>
      <c r="Y72" s="907">
        <f>X72*(1+Summary!$E$71)</f>
        <v>10.836667408016485</v>
      </c>
      <c r="Z72" s="907">
        <f>Y72*(1+Summary!$E$71)</f>
        <v>11.16176743025698</v>
      </c>
      <c r="AA72" s="907">
        <f>Z72*(1+Summary!$E$71)</f>
        <v>11.49662045316469</v>
      </c>
    </row>
    <row r="73" spans="1:29">
      <c r="A73" s="964" t="s">
        <v>393</v>
      </c>
      <c r="B73" s="887"/>
      <c r="C73" s="887"/>
      <c r="D73"/>
      <c r="E73" s="1431">
        <v>8.4</v>
      </c>
      <c r="F73" s="907">
        <f>E73*(1+Summary!$E$71)</f>
        <v>8.652000000000001</v>
      </c>
      <c r="G73" s="907">
        <f>F73*(1+Summary!$E$71)</f>
        <v>8.9115600000000015</v>
      </c>
      <c r="H73" s="907">
        <f>G73*(1+Summary!$E$71)</f>
        <v>9.1789068000000018</v>
      </c>
      <c r="I73" s="907">
        <f>H73*(1+Summary!$E$71)</f>
        <v>9.454274004000002</v>
      </c>
      <c r="J73" s="907">
        <f>I73*(1+Summary!$E$71)</f>
        <v>9.7379022241200026</v>
      </c>
      <c r="K73" s="907">
        <f>J73*(1+Summary!$E$71)</f>
        <v>10.030039290843604</v>
      </c>
      <c r="L73" s="907">
        <f>K73*(1+Summary!$E$71)</f>
        <v>10.330940469568912</v>
      </c>
      <c r="M73" s="907">
        <f>L73*(1+Summary!$E$71)</f>
        <v>10.640868683655979</v>
      </c>
      <c r="N73" s="907">
        <f>M73*(1+Summary!$E$71)</f>
        <v>10.960094744165659</v>
      </c>
      <c r="O73" s="907">
        <f>N73*(1+Summary!$E$71)</f>
        <v>11.288897586490629</v>
      </c>
      <c r="P73" s="907">
        <f>O73*(1+Summary!$E$71)</f>
        <v>11.627564514085348</v>
      </c>
      <c r="Q73" s="907">
        <f>P73*(1+Summary!$E$71)</f>
        <v>11.97639144950791</v>
      </c>
      <c r="R73" s="907">
        <f>Q73*(1+Summary!$E$71)</f>
        <v>12.335683192993146</v>
      </c>
      <c r="S73" s="907">
        <f>R73*(1+Summary!$E$71)</f>
        <v>12.705753688782941</v>
      </c>
      <c r="T73" s="907">
        <f>S73*(1+Summary!$E$71)</f>
        <v>13.08692629944643</v>
      </c>
      <c r="U73" s="907">
        <f>T73*(1+Summary!$E$71)</f>
        <v>13.479534088429824</v>
      </c>
      <c r="V73" s="907">
        <f>U73*(1+Summary!$E$71)</f>
        <v>13.88392011108272</v>
      </c>
      <c r="W73" s="907">
        <f>V73*(1+Summary!$E$71)</f>
        <v>14.300437714415201</v>
      </c>
      <c r="X73" s="907">
        <f>W73*(1+Summary!$E$71)</f>
        <v>14.729450845847659</v>
      </c>
      <c r="Y73" s="907">
        <f>X73*(1+Summary!$E$71)</f>
        <v>15.171334371223089</v>
      </c>
      <c r="Z73" s="907">
        <f>Y73*(1+Summary!$E$71)</f>
        <v>15.626474402359783</v>
      </c>
      <c r="AA73" s="907">
        <f>Z73*(1+Summary!$E$71)</f>
        <v>16.095268634430578</v>
      </c>
    </row>
    <row r="74" spans="1:29">
      <c r="A74" s="964" t="s">
        <v>406</v>
      </c>
      <c r="B74" s="887"/>
      <c r="C74" s="887"/>
      <c r="D74"/>
      <c r="E74" s="907">
        <v>0.51016846782301539</v>
      </c>
      <c r="F74" s="907">
        <f>E74*(1+Summary!$E$71)</f>
        <v>0.52547352185770591</v>
      </c>
      <c r="G74" s="907">
        <f>F74*(1+Summary!$E$71)</f>
        <v>0.54123772751343713</v>
      </c>
      <c r="H74" s="907">
        <f>G74*(1+Summary!$E$71)</f>
        <v>0.55747485933884022</v>
      </c>
      <c r="I74" s="907">
        <f>H74*(1+Summary!$E$71)</f>
        <v>0.5741991051190054</v>
      </c>
      <c r="J74" s="907">
        <f>I74*(1+Summary!$E$71)</f>
        <v>0.59142507827257562</v>
      </c>
      <c r="K74" s="907">
        <f>J74*(1+Summary!$E$71)</f>
        <v>0.60916783062075286</v>
      </c>
      <c r="L74" s="907">
        <f>K74*(1+Summary!$E$71)</f>
        <v>0.62744286553937545</v>
      </c>
      <c r="M74" s="907">
        <f>L74*(1+Summary!$E$71)</f>
        <v>0.64626615150555677</v>
      </c>
      <c r="N74" s="907">
        <f>M74*(1+Summary!$E$71)</f>
        <v>0.66565413605072354</v>
      </c>
      <c r="O74" s="907">
        <f>N74*(1+Summary!$E$71)</f>
        <v>0.68562376013224524</v>
      </c>
      <c r="P74" s="907">
        <f>O74*(1+Summary!$E$71)</f>
        <v>0.70619247293621257</v>
      </c>
      <c r="Q74" s="907">
        <f>P74*(1+Summary!$E$71)</f>
        <v>0.72737824712429899</v>
      </c>
      <c r="R74" s="907">
        <f>Q74*(1+Summary!$E$71)</f>
        <v>0.74919959453802798</v>
      </c>
      <c r="S74" s="907">
        <f>R74*(1+Summary!$E$71)</f>
        <v>0.77167558237416889</v>
      </c>
      <c r="T74" s="907">
        <f>S74*(1+Summary!$E$71)</f>
        <v>0.79482584984539395</v>
      </c>
      <c r="U74" s="907">
        <f>T74*(1+Summary!$E$71)</f>
        <v>0.81867062534075574</v>
      </c>
      <c r="V74" s="907">
        <f>U74*(1+Summary!$E$71)</f>
        <v>0.84323074410097842</v>
      </c>
      <c r="W74" s="907">
        <f>V74*(1+Summary!$E$71)</f>
        <v>0.8685276664240078</v>
      </c>
      <c r="X74" s="907">
        <f>W74*(1+Summary!$E$71)</f>
        <v>0.89458349641672807</v>
      </c>
      <c r="Y74" s="907">
        <f>X74*(1+Summary!$E$71)</f>
        <v>0.92142100130922999</v>
      </c>
      <c r="Z74" s="907">
        <f>Y74*(1+Summary!$E$71)</f>
        <v>0.94906363134850691</v>
      </c>
      <c r="AA74" s="907">
        <f>Z74*(1+Summary!$E$71)</f>
        <v>0.97753554028896217</v>
      </c>
    </row>
    <row r="75" spans="1:29">
      <c r="A75" s="964" t="s">
        <v>408</v>
      </c>
      <c r="B75" s="887"/>
      <c r="C75" s="887"/>
      <c r="D75"/>
      <c r="E75" s="907">
        <v>0.51016846782301539</v>
      </c>
      <c r="F75" s="907">
        <f>E75*(1+Summary!$E$71)</f>
        <v>0.52547352185770591</v>
      </c>
      <c r="G75" s="907">
        <f>F75*(1+Summary!$E$71)</f>
        <v>0.54123772751343713</v>
      </c>
      <c r="H75" s="907">
        <f>G75*(1+Summary!$E$71)</f>
        <v>0.55747485933884022</v>
      </c>
      <c r="I75" s="907">
        <f>H75*(1+Summary!$E$71)</f>
        <v>0.5741991051190054</v>
      </c>
      <c r="J75" s="907">
        <f>I75*(1+Summary!$E$71)</f>
        <v>0.59142507827257562</v>
      </c>
      <c r="K75" s="907">
        <f>J75*(1+Summary!$E$71)</f>
        <v>0.60916783062075286</v>
      </c>
      <c r="L75" s="907">
        <f>K75*(1+Summary!$E$71)</f>
        <v>0.62744286553937545</v>
      </c>
      <c r="M75" s="907">
        <f>L75*(1+Summary!$E$71)</f>
        <v>0.64626615150555677</v>
      </c>
      <c r="N75" s="907">
        <f>M75*(1+Summary!$E$71)</f>
        <v>0.66565413605072354</v>
      </c>
      <c r="O75" s="907">
        <f>N75*(1+Summary!$E$71)</f>
        <v>0.68562376013224524</v>
      </c>
      <c r="P75" s="907">
        <f>O75*(1+Summary!$E$71)</f>
        <v>0.70619247293621257</v>
      </c>
      <c r="Q75" s="907">
        <f>P75*(1+Summary!$E$71)</f>
        <v>0.72737824712429899</v>
      </c>
      <c r="R75" s="907">
        <f>Q75*(1+Summary!$E$71)</f>
        <v>0.74919959453802798</v>
      </c>
      <c r="S75" s="907">
        <f>R75*(1+Summary!$E$71)</f>
        <v>0.77167558237416889</v>
      </c>
      <c r="T75" s="907">
        <f>S75*(1+Summary!$E$71)</f>
        <v>0.79482584984539395</v>
      </c>
      <c r="U75" s="907">
        <f>T75*(1+Summary!$E$71)</f>
        <v>0.81867062534075574</v>
      </c>
      <c r="V75" s="907">
        <f>U75*(1+Summary!$E$71)</f>
        <v>0.84323074410097842</v>
      </c>
      <c r="W75" s="907">
        <f>V75*(1+Summary!$E$71)</f>
        <v>0.8685276664240078</v>
      </c>
      <c r="X75" s="907">
        <f>W75*(1+Summary!$E$71)</f>
        <v>0.89458349641672807</v>
      </c>
      <c r="Y75" s="907">
        <f>X75*(1+Summary!$E$71)</f>
        <v>0.92142100130922999</v>
      </c>
      <c r="Z75" s="907">
        <f>Y75*(1+Summary!$E$71)</f>
        <v>0.94906363134850691</v>
      </c>
      <c r="AA75" s="907">
        <f>Z75*(1+Summary!$E$71)</f>
        <v>0.97753554028896217</v>
      </c>
    </row>
    <row r="76" spans="1:29">
      <c r="A76" s="964" t="s">
        <v>407</v>
      </c>
      <c r="B76" s="887"/>
      <c r="C76" s="887"/>
      <c r="D76"/>
      <c r="E76" s="907">
        <v>1.0203369356460308</v>
      </c>
      <c r="F76" s="907">
        <f>E76*(1+Summary!$E$71)</f>
        <v>1.0509470437154118</v>
      </c>
      <c r="G76" s="907">
        <f>F76*(1+Summary!$E$71)</f>
        <v>1.0824754550268743</v>
      </c>
      <c r="H76" s="907">
        <f>G76*(1+Summary!$E$71)</f>
        <v>1.1149497186776804</v>
      </c>
      <c r="I76" s="907">
        <f>H76*(1+Summary!$E$71)</f>
        <v>1.1483982102380108</v>
      </c>
      <c r="J76" s="907">
        <f>I76*(1+Summary!$E$71)</f>
        <v>1.1828501565451512</v>
      </c>
      <c r="K76" s="907">
        <f>J76*(1+Summary!$E$71)</f>
        <v>1.2183356612415057</v>
      </c>
      <c r="L76" s="907">
        <f>K76*(1+Summary!$E$71)</f>
        <v>1.2548857310787509</v>
      </c>
      <c r="M76" s="907">
        <f>L76*(1+Summary!$E$71)</f>
        <v>1.2925323030111135</v>
      </c>
      <c r="N76" s="907">
        <f>M76*(1+Summary!$E$71)</f>
        <v>1.3313082721014471</v>
      </c>
      <c r="O76" s="907">
        <f>N76*(1+Summary!$E$71)</f>
        <v>1.3712475202644905</v>
      </c>
      <c r="P76" s="907">
        <f>O76*(1+Summary!$E$71)</f>
        <v>1.4123849458724251</v>
      </c>
      <c r="Q76" s="907">
        <f>P76*(1+Summary!$E$71)</f>
        <v>1.454756494248598</v>
      </c>
      <c r="R76" s="907">
        <f>Q76*(1+Summary!$E$71)</f>
        <v>1.498399189076056</v>
      </c>
      <c r="S76" s="907">
        <f>R76*(1+Summary!$E$71)</f>
        <v>1.5433511647483378</v>
      </c>
      <c r="T76" s="907">
        <f>S76*(1+Summary!$E$71)</f>
        <v>1.5896516996907879</v>
      </c>
      <c r="U76" s="907">
        <f>T76*(1+Summary!$E$71)</f>
        <v>1.6373412506815115</v>
      </c>
      <c r="V76" s="907">
        <f>U76*(1+Summary!$E$71)</f>
        <v>1.6864614882019568</v>
      </c>
      <c r="W76" s="907">
        <f>V76*(1+Summary!$E$71)</f>
        <v>1.7370553328480156</v>
      </c>
      <c r="X76" s="907">
        <f>W76*(1+Summary!$E$71)</f>
        <v>1.7891669928334561</v>
      </c>
      <c r="Y76" s="907">
        <f>X76*(1+Summary!$E$71)</f>
        <v>1.84284200261846</v>
      </c>
      <c r="Z76" s="907">
        <f>Y76*(1+Summary!$E$71)</f>
        <v>1.8981272626970138</v>
      </c>
      <c r="AA76" s="907">
        <f>Z76*(1+Summary!$E$71)</f>
        <v>1.9550710805779243</v>
      </c>
    </row>
    <row r="77" spans="1:29">
      <c r="A77" s="964" t="s">
        <v>811</v>
      </c>
      <c r="B77" s="887"/>
      <c r="C77" s="887"/>
      <c r="D77"/>
      <c r="E77" s="907">
        <v>10</v>
      </c>
      <c r="F77" s="907">
        <f>E77*(1+Summary!$E$71)</f>
        <v>10.3</v>
      </c>
      <c r="G77" s="907">
        <f>F77*(1+Summary!$E$71)</f>
        <v>10.609000000000002</v>
      </c>
      <c r="H77" s="907">
        <f>G77*(1+Summary!$E$71)</f>
        <v>10.927270000000002</v>
      </c>
      <c r="I77" s="907">
        <f>H77*(1+Summary!$E$71)</f>
        <v>11.255088100000002</v>
      </c>
      <c r="J77" s="907">
        <f>I77*(1+Summary!$E$71)</f>
        <v>11.592740743000002</v>
      </c>
      <c r="K77" s="907">
        <f>J77*(1+Summary!$E$71)</f>
        <v>11.940522965290002</v>
      </c>
      <c r="L77" s="907">
        <f>K77*(1+Summary!$E$71)</f>
        <v>12.298738654248703</v>
      </c>
      <c r="M77" s="907">
        <f>L77*(1+Summary!$E$71)</f>
        <v>12.667700813876165</v>
      </c>
      <c r="N77" s="907">
        <f>M77*(1+Summary!$E$71)</f>
        <v>13.047731838292449</v>
      </c>
      <c r="O77" s="907">
        <f>N77*(1+Summary!$E$71)</f>
        <v>13.439163793441223</v>
      </c>
      <c r="P77" s="907">
        <f>O77*(1+Summary!$E$71)</f>
        <v>13.84233870724446</v>
      </c>
      <c r="Q77" s="907">
        <f>P77*(1+Summary!$E$71)</f>
        <v>14.257608868461794</v>
      </c>
      <c r="R77" s="907">
        <f>Q77*(1+Summary!$E$71)</f>
        <v>14.685337134515649</v>
      </c>
      <c r="S77" s="907">
        <f>R77*(1+Summary!$E$71)</f>
        <v>15.125897248551119</v>
      </c>
      <c r="T77" s="907">
        <f>S77*(1+Summary!$E$71)</f>
        <v>15.579674166007653</v>
      </c>
      <c r="U77" s="907">
        <f>T77*(1+Summary!$E$71)</f>
        <v>16.047064390987885</v>
      </c>
      <c r="V77" s="907">
        <f>U77*(1+Summary!$E$71)</f>
        <v>16.52847632271752</v>
      </c>
      <c r="W77" s="907">
        <f>V77*(1+Summary!$E$71)</f>
        <v>17.024330612399044</v>
      </c>
      <c r="X77" s="907">
        <f>W77*(1+Summary!$E$71)</f>
        <v>17.535060530771016</v>
      </c>
      <c r="Y77" s="907">
        <f>X77*(1+Summary!$E$71)</f>
        <v>18.061112346694149</v>
      </c>
      <c r="Z77" s="907">
        <f>Y77*(1+Summary!$E$71)</f>
        <v>18.602945717094972</v>
      </c>
      <c r="AA77" s="907">
        <f>Z77*(1+Summary!$E$71)</f>
        <v>19.161034088607821</v>
      </c>
    </row>
    <row r="78" spans="1:29">
      <c r="A78" s="964" t="s">
        <v>812</v>
      </c>
      <c r="B78" s="887"/>
      <c r="C78" s="887"/>
      <c r="D78"/>
      <c r="E78" s="907">
        <v>30.61010806938091</v>
      </c>
      <c r="F78" s="907">
        <f>E78*(1+Summary!$E$71)</f>
        <v>31.528411311462339</v>
      </c>
      <c r="G78" s="907">
        <f>F78*(1+Summary!$E$71)</f>
        <v>32.474263650806208</v>
      </c>
      <c r="H78" s="907">
        <f>G78*(1+Summary!$E$71)</f>
        <v>33.448491560330396</v>
      </c>
      <c r="I78" s="907">
        <f>H78*(1+Summary!$E$71)</f>
        <v>34.451946307140311</v>
      </c>
      <c r="J78" s="907">
        <f>I78*(1+Summary!$E$71)</f>
        <v>35.485504696354518</v>
      </c>
      <c r="K78" s="907">
        <f>J78*(1+Summary!$E$71)</f>
        <v>36.550069837245154</v>
      </c>
      <c r="L78" s="907">
        <f>K78*(1+Summary!$E$71)</f>
        <v>37.646571932362512</v>
      </c>
      <c r="M78" s="907">
        <f>L78*(1+Summary!$E$71)</f>
        <v>38.77596909033339</v>
      </c>
      <c r="N78" s="907">
        <f>M78*(1+Summary!$E$71)</f>
        <v>39.939248163043395</v>
      </c>
      <c r="O78" s="907">
        <f>N78*(1+Summary!$E$71)</f>
        <v>41.137425607934695</v>
      </c>
      <c r="P78" s="907">
        <f>O78*(1+Summary!$E$71)</f>
        <v>42.37154837617274</v>
      </c>
      <c r="Q78" s="907">
        <f>P78*(1+Summary!$E$71)</f>
        <v>43.642694827457923</v>
      </c>
      <c r="R78" s="907">
        <f>Q78*(1+Summary!$E$71)</f>
        <v>44.951975672281662</v>
      </c>
      <c r="S78" s="907">
        <f>R78*(1+Summary!$E$71)</f>
        <v>46.300534942450113</v>
      </c>
      <c r="T78" s="907">
        <f>S78*(1+Summary!$E$71)</f>
        <v>47.689550990723617</v>
      </c>
      <c r="U78" s="907">
        <f>T78*(1+Summary!$E$71)</f>
        <v>49.120237520445329</v>
      </c>
      <c r="V78" s="907">
        <f>U78*(1+Summary!$E$71)</f>
        <v>50.593844646058692</v>
      </c>
      <c r="W78" s="907">
        <f>V78*(1+Summary!$E$71)</f>
        <v>52.111659985440454</v>
      </c>
      <c r="X78" s="907">
        <f>W78*(1+Summary!$E$71)</f>
        <v>53.675009785003667</v>
      </c>
      <c r="Y78" s="907">
        <f>X78*(1+Summary!$E$71)</f>
        <v>55.285260078553776</v>
      </c>
      <c r="Z78" s="907">
        <f>Y78*(1+Summary!$E$71)</f>
        <v>56.943817880910387</v>
      </c>
      <c r="AA78" s="907">
        <f>Z78*(1+Summary!$E$71)</f>
        <v>58.652132417337704</v>
      </c>
    </row>
    <row r="79" spans="1:29">
      <c r="A79" s="964" t="s">
        <v>813</v>
      </c>
      <c r="B79" s="887"/>
      <c r="C79" s="887"/>
      <c r="D79"/>
      <c r="E79" s="907">
        <v>39</v>
      </c>
      <c r="F79" s="907">
        <f>E79*(1+Summary!$E$71)</f>
        <v>40.17</v>
      </c>
      <c r="G79" s="907">
        <f>F79*(1+Summary!$E$71)</f>
        <v>41.375100000000003</v>
      </c>
      <c r="H79" s="907">
        <f>G79*(1+Summary!$E$71)</f>
        <v>42.616353000000004</v>
      </c>
      <c r="I79" s="907">
        <f>H79*(1+Summary!$E$71)</f>
        <v>43.894843590000008</v>
      </c>
      <c r="J79" s="907">
        <f>I79*(1+Summary!$E$71)</f>
        <v>45.211688897700007</v>
      </c>
      <c r="K79" s="907">
        <f>J79*(1+Summary!$E$71)</f>
        <v>46.568039564631007</v>
      </c>
      <c r="L79" s="907">
        <f>K79*(1+Summary!$E$71)</f>
        <v>47.965080751569936</v>
      </c>
      <c r="M79" s="907">
        <f>L79*(1+Summary!$E$71)</f>
        <v>49.404033174117032</v>
      </c>
      <c r="N79" s="907">
        <f>M79*(1+Summary!$E$71)</f>
        <v>50.886154169340543</v>
      </c>
      <c r="O79" s="907">
        <f>N79*(1+Summary!$E$71)</f>
        <v>52.412738794420761</v>
      </c>
      <c r="P79" s="907">
        <f>O79*(1+Summary!$E$71)</f>
        <v>53.985120958253383</v>
      </c>
      <c r="Q79" s="907">
        <f>P79*(1+Summary!$E$71)</f>
        <v>55.604674587000986</v>
      </c>
      <c r="R79" s="907">
        <f>Q79*(1+Summary!$E$71)</f>
        <v>57.272814824611018</v>
      </c>
      <c r="S79" s="907">
        <f>R79*(1+Summary!$E$71)</f>
        <v>58.990999269349352</v>
      </c>
      <c r="T79" s="907">
        <f>S79*(1+Summary!$E$71)</f>
        <v>60.760729247429836</v>
      </c>
      <c r="U79" s="907">
        <f>T79*(1+Summary!$E$71)</f>
        <v>62.583551124852733</v>
      </c>
      <c r="V79" s="907">
        <f>U79*(1+Summary!$E$71)</f>
        <v>64.461057658598321</v>
      </c>
      <c r="W79" s="907">
        <f>V79*(1+Summary!$E$71)</f>
        <v>66.394889388356276</v>
      </c>
      <c r="X79" s="907">
        <f>W79*(1+Summary!$E$71)</f>
        <v>68.386736070006961</v>
      </c>
      <c r="Y79" s="907">
        <f>X79*(1+Summary!$E$71)</f>
        <v>70.438338152107178</v>
      </c>
      <c r="Z79" s="907">
        <f>Y79*(1+Summary!$E$71)</f>
        <v>72.551488296670399</v>
      </c>
      <c r="AA79" s="907">
        <f>Z79*(1+Summary!$E$71)</f>
        <v>74.728032945570519</v>
      </c>
    </row>
    <row r="80" spans="1:29">
      <c r="A80" s="964" t="s">
        <v>814</v>
      </c>
      <c r="B80" s="887"/>
      <c r="C80" s="887"/>
      <c r="D80"/>
      <c r="E80" s="1345">
        <v>42</v>
      </c>
      <c r="F80" s="907">
        <f>E80*(1+Summary!$E$71)</f>
        <v>43.26</v>
      </c>
      <c r="G80" s="907">
        <f>F80*(1+Summary!$E$71)</f>
        <v>44.5578</v>
      </c>
      <c r="H80" s="907">
        <f>G80*(1+Summary!$E$71)</f>
        <v>45.894534</v>
      </c>
      <c r="I80" s="907">
        <f>H80*(1+Summary!$E$71)</f>
        <v>47.271370019999999</v>
      </c>
      <c r="J80" s="907">
        <f>I80*(1+Summary!$E$71)</f>
        <v>48.689511120600002</v>
      </c>
      <c r="K80" s="907">
        <f>J80*(1+Summary!$E$71)</f>
        <v>50.150196454218005</v>
      </c>
      <c r="L80" s="907">
        <f>K80*(1+Summary!$E$71)</f>
        <v>51.654702347844548</v>
      </c>
      <c r="M80" s="907">
        <f>L80*(1+Summary!$E$71)</f>
        <v>53.204343418279883</v>
      </c>
      <c r="N80" s="907">
        <f>M80*(1+Summary!$E$71)</f>
        <v>54.800473720828279</v>
      </c>
      <c r="O80" s="907">
        <f>N80*(1+Summary!$E$71)</f>
        <v>56.444487932453129</v>
      </c>
      <c r="P80" s="907">
        <f>O80*(1+Summary!$E$71)</f>
        <v>58.137822570426721</v>
      </c>
      <c r="Q80" s="907">
        <f>P80*(1+Summary!$E$71)</f>
        <v>59.881957247539525</v>
      </c>
      <c r="R80" s="907">
        <f>Q80*(1+Summary!$E$71)</f>
        <v>61.678415964965716</v>
      </c>
      <c r="S80" s="907">
        <f>R80*(1+Summary!$E$71)</f>
        <v>63.528768443914686</v>
      </c>
      <c r="T80" s="907">
        <f>S80*(1+Summary!$E$71)</f>
        <v>65.434631497232132</v>
      </c>
      <c r="U80" s="907">
        <f>T80*(1+Summary!$E$71)</f>
        <v>67.397670442149092</v>
      </c>
      <c r="V80" s="907">
        <f>U80*(1+Summary!$E$71)</f>
        <v>69.419600555413567</v>
      </c>
      <c r="W80" s="907">
        <f>V80*(1+Summary!$E$71)</f>
        <v>71.50218857207598</v>
      </c>
      <c r="X80" s="907">
        <f>W80*(1+Summary!$E$71)</f>
        <v>73.647254229238257</v>
      </c>
      <c r="Y80" s="907">
        <f>X80*(1+Summary!$E$71)</f>
        <v>75.856671856115412</v>
      </c>
      <c r="Z80" s="907">
        <f>Y80*(1+Summary!$E$71)</f>
        <v>78.132372011798878</v>
      </c>
      <c r="AA80" s="907">
        <f>Z80*(1+Summary!$E$71)</f>
        <v>80.476343172152852</v>
      </c>
    </row>
    <row r="81" spans="1:27">
      <c r="A81" s="964" t="s">
        <v>815</v>
      </c>
      <c r="B81" s="887"/>
      <c r="C81" s="887"/>
      <c r="D81"/>
      <c r="E81" s="910">
        <v>13.2</v>
      </c>
      <c r="F81" s="907">
        <f>E81*(1+Summary!$E$71)</f>
        <v>13.596</v>
      </c>
      <c r="G81" s="907">
        <f>F81*(1+Summary!$E$71)</f>
        <v>14.003880000000001</v>
      </c>
      <c r="H81" s="907">
        <f>G81*(1+Summary!$E$71)</f>
        <v>14.4239964</v>
      </c>
      <c r="I81" s="907">
        <f>H81*(1+Summary!$E$71)</f>
        <v>14.856716292</v>
      </c>
      <c r="J81" s="907">
        <f>I81*(1+Summary!$E$71)</f>
        <v>15.302417780760001</v>
      </c>
      <c r="K81" s="907">
        <f>J81*(1+Summary!$E$71)</f>
        <v>15.761490314182801</v>
      </c>
      <c r="L81" s="907">
        <f>K81*(1+Summary!$E$71)</f>
        <v>16.234335023608285</v>
      </c>
      <c r="M81" s="907">
        <f>L81*(1+Summary!$E$71)</f>
        <v>16.721365074316534</v>
      </c>
      <c r="N81" s="907">
        <f>M81*(1+Summary!$E$71)</f>
        <v>17.223006026546031</v>
      </c>
      <c r="O81" s="907">
        <f>N81*(1+Summary!$E$71)</f>
        <v>17.739696207342412</v>
      </c>
      <c r="P81" s="907">
        <f>O81*(1+Summary!$E$71)</f>
        <v>18.271887093562686</v>
      </c>
      <c r="Q81" s="907">
        <f>P81*(1+Summary!$E$71)</f>
        <v>18.820043706369567</v>
      </c>
      <c r="R81" s="907">
        <f>Q81*(1+Summary!$E$71)</f>
        <v>19.384645017560654</v>
      </c>
      <c r="S81" s="907">
        <f>R81*(1+Summary!$E$71)</f>
        <v>19.966184368087475</v>
      </c>
      <c r="T81" s="907">
        <f>S81*(1+Summary!$E$71)</f>
        <v>20.565169899130101</v>
      </c>
      <c r="U81" s="907">
        <f>T81*(1+Summary!$E$71)</f>
        <v>21.182124996104005</v>
      </c>
      <c r="V81" s="907">
        <f>U81*(1+Summary!$E$71)</f>
        <v>21.817588745987127</v>
      </c>
      <c r="W81" s="907">
        <f>V81*(1+Summary!$E$71)</f>
        <v>22.472116408366741</v>
      </c>
      <c r="X81" s="907">
        <f>W81*(1+Summary!$E$71)</f>
        <v>23.146279900617746</v>
      </c>
      <c r="Y81" s="907">
        <f>X81*(1+Summary!$E$71)</f>
        <v>23.840668297636277</v>
      </c>
      <c r="Z81" s="907">
        <f>Y81*(1+Summary!$E$71)</f>
        <v>24.555888346565368</v>
      </c>
      <c r="AA81" s="907">
        <f>Z81*(1+Summary!$E$71)</f>
        <v>25.29256499696233</v>
      </c>
    </row>
    <row r="82" spans="1:27">
      <c r="A82" s="964" t="s">
        <v>674</v>
      </c>
      <c r="B82" s="887"/>
      <c r="C82" s="887"/>
      <c r="D82"/>
      <c r="E82" s="907">
        <v>87.748976465558655</v>
      </c>
      <c r="F82" s="907">
        <f>E82*(1+Summary!$E$71)</f>
        <v>90.38144575952542</v>
      </c>
      <c r="G82" s="907">
        <f>F82*(1+Summary!$E$71)</f>
        <v>93.092889132311186</v>
      </c>
      <c r="H82" s="907">
        <f>G82*(1+Summary!$E$71)</f>
        <v>95.885675806280517</v>
      </c>
      <c r="I82" s="907">
        <f>H82*(1+Summary!$E$71)</f>
        <v>98.762246080468941</v>
      </c>
      <c r="J82" s="907">
        <f>I82*(1+Summary!$E$71)</f>
        <v>101.72511346288302</v>
      </c>
      <c r="K82" s="907">
        <f>J82*(1+Summary!$E$71)</f>
        <v>104.77686686676951</v>
      </c>
      <c r="L82" s="907">
        <f>K82*(1+Summary!$E$71)</f>
        <v>107.9201728727726</v>
      </c>
      <c r="M82" s="907">
        <f>L82*(1+Summary!$E$71)</f>
        <v>111.15777805895577</v>
      </c>
      <c r="N82" s="907">
        <f>M82*(1+Summary!$E$71)</f>
        <v>114.49251140072445</v>
      </c>
      <c r="O82" s="907">
        <f>N82*(1+Summary!$E$71)</f>
        <v>117.92728674274619</v>
      </c>
      <c r="P82" s="907">
        <f>O82*(1+Summary!$E$71)</f>
        <v>121.46510534502858</v>
      </c>
      <c r="Q82" s="907">
        <f>P82*(1+Summary!$E$71)</f>
        <v>125.10905850537944</v>
      </c>
      <c r="R82" s="907">
        <f>Q82*(1+Summary!$E$71)</f>
        <v>128.86233026054083</v>
      </c>
      <c r="S82" s="907">
        <f>R82*(1+Summary!$E$71)</f>
        <v>132.72820016835706</v>
      </c>
      <c r="T82" s="907">
        <f>S82*(1+Summary!$E$71)</f>
        <v>136.71004617340779</v>
      </c>
      <c r="U82" s="907">
        <f>T82*(1+Summary!$E$71)</f>
        <v>140.81134755861004</v>
      </c>
      <c r="V82" s="907">
        <f>U82*(1+Summary!$E$71)</f>
        <v>145.03568798536836</v>
      </c>
      <c r="W82" s="907">
        <f>V82*(1+Summary!$E$71)</f>
        <v>149.3867586249294</v>
      </c>
      <c r="X82" s="907">
        <f>W82*(1+Summary!$E$71)</f>
        <v>153.8683613836773</v>
      </c>
      <c r="Y82" s="907">
        <f>X82*(1+Summary!$E$71)</f>
        <v>158.48441222518761</v>
      </c>
      <c r="Z82" s="907">
        <f>Y82*(1+Summary!$E$71)</f>
        <v>163.23894459194324</v>
      </c>
      <c r="AA82" s="907">
        <f>Z82*(1+Summary!$E$71)</f>
        <v>168.13611292970154</v>
      </c>
    </row>
    <row r="83" spans="1:27" s="1434" customFormat="1">
      <c r="A83" s="964" t="s">
        <v>675</v>
      </c>
      <c r="B83" s="887"/>
      <c r="C83" s="887"/>
      <c r="D83"/>
      <c r="E83" s="1433">
        <v>288</v>
      </c>
      <c r="F83" s="907">
        <f>E83*(1+Summary!$E$71)</f>
        <v>296.64</v>
      </c>
      <c r="G83" s="907">
        <f>F83*(1+Summary!$E$71)</f>
        <v>305.53919999999999</v>
      </c>
      <c r="H83" s="907">
        <f>G83*(1+Summary!$E$71)</f>
        <v>314.705376</v>
      </c>
      <c r="I83" s="907">
        <f>H83*(1+Summary!$E$71)</f>
        <v>324.14653728000002</v>
      </c>
      <c r="J83" s="907">
        <f>I83*(1+Summary!$E$71)</f>
        <v>333.87093339840004</v>
      </c>
      <c r="K83" s="907">
        <f>J83*(1+Summary!$E$71)</f>
        <v>343.88706140035202</v>
      </c>
      <c r="L83" s="907">
        <f>K83*(1+Summary!$E$71)</f>
        <v>354.20367324236258</v>
      </c>
      <c r="M83" s="907">
        <f>L83*(1+Summary!$E$71)</f>
        <v>364.82978343963345</v>
      </c>
      <c r="N83" s="907">
        <f>M83*(1+Summary!$E$71)</f>
        <v>375.77467694282245</v>
      </c>
      <c r="O83" s="907">
        <f>N83*(1+Summary!$E$71)</f>
        <v>387.04791725110715</v>
      </c>
      <c r="P83" s="907">
        <f>O83*(1+Summary!$E$71)</f>
        <v>398.65935476864036</v>
      </c>
      <c r="Q83" s="907">
        <f>P83*(1+Summary!$E$71)</f>
        <v>410.61913541169957</v>
      </c>
      <c r="R83" s="907">
        <f>Q83*(1+Summary!$E$71)</f>
        <v>422.93770947405056</v>
      </c>
      <c r="S83" s="907">
        <f>R83*(1+Summary!$E$71)</f>
        <v>435.62584075827209</v>
      </c>
      <c r="T83" s="907">
        <f>S83*(1+Summary!$E$71)</f>
        <v>448.69461598102026</v>
      </c>
      <c r="U83" s="907">
        <f>T83*(1+Summary!$E$71)</f>
        <v>462.15545446045087</v>
      </c>
      <c r="V83" s="907">
        <f>U83*(1+Summary!$E$71)</f>
        <v>476.02011809426443</v>
      </c>
      <c r="W83" s="907">
        <f>V83*(1+Summary!$E$71)</f>
        <v>490.30072163709235</v>
      </c>
      <c r="X83" s="907">
        <f>W83*(1+Summary!$E$71)</f>
        <v>505.00974328620515</v>
      </c>
      <c r="Y83" s="907">
        <f>X83*(1+Summary!$E$71)</f>
        <v>520.16003558479133</v>
      </c>
      <c r="Z83" s="907">
        <f>Y83*(1+Summary!$E$71)</f>
        <v>535.76483665233513</v>
      </c>
      <c r="AA83" s="907">
        <f>Z83*(1+Summary!$E$71)</f>
        <v>551.83778175190525</v>
      </c>
    </row>
    <row r="84" spans="1:27" ht="14.4">
      <c r="A84" s="964" t="s">
        <v>816</v>
      </c>
      <c r="B84" s="887"/>
      <c r="C84" s="887"/>
      <c r="D84"/>
      <c r="E84" s="911"/>
      <c r="F84" s="907">
        <f>E84*(1+Summary!$E$71)</f>
        <v>0</v>
      </c>
      <c r="G84" s="907">
        <f>F84*(1+Summary!$E$71)</f>
        <v>0</v>
      </c>
      <c r="H84" s="907">
        <f>G84*(1+Summary!$E$71)</f>
        <v>0</v>
      </c>
      <c r="I84" s="907">
        <f>H84*(1+Summary!$E$71)</f>
        <v>0</v>
      </c>
      <c r="J84" s="907">
        <f>I84*(1+Summary!$E$71)</f>
        <v>0</v>
      </c>
      <c r="K84" s="907">
        <f>J84*(1+Summary!$E$71)</f>
        <v>0</v>
      </c>
      <c r="L84" s="907">
        <f>K84*(1+Summary!$E$71)</f>
        <v>0</v>
      </c>
      <c r="M84" s="907">
        <f>L84*(1+Summary!$E$71)</f>
        <v>0</v>
      </c>
      <c r="N84" s="907">
        <f>M84*(1+Summary!$E$71)</f>
        <v>0</v>
      </c>
      <c r="O84" s="907">
        <f>N84*(1+Summary!$E$71)</f>
        <v>0</v>
      </c>
      <c r="P84" s="907">
        <f>O84*(1+Summary!$E$71)</f>
        <v>0</v>
      </c>
      <c r="Q84" s="907">
        <f>P84*(1+Summary!$E$71)</f>
        <v>0</v>
      </c>
      <c r="R84" s="907">
        <f>Q84*(1+Summary!$E$71)</f>
        <v>0</v>
      </c>
      <c r="S84" s="907">
        <f>R84*(1+Summary!$E$71)</f>
        <v>0</v>
      </c>
      <c r="T84" s="907">
        <f>S84*(1+Summary!$E$71)</f>
        <v>0</v>
      </c>
      <c r="U84" s="907">
        <f>T84*(1+Summary!$E$71)</f>
        <v>0</v>
      </c>
      <c r="V84" s="907">
        <f>U84*(1+Summary!$E$71)</f>
        <v>0</v>
      </c>
      <c r="W84" s="907">
        <f>V84*(1+Summary!$E$71)</f>
        <v>0</v>
      </c>
      <c r="X84" s="907">
        <f>W84*(1+Summary!$E$71)</f>
        <v>0</v>
      </c>
      <c r="Y84" s="907">
        <f>X84*(1+Summary!$E$71)</f>
        <v>0</v>
      </c>
      <c r="Z84" s="907">
        <f>Y84*(1+Summary!$E$71)</f>
        <v>0</v>
      </c>
      <c r="AA84" s="907">
        <f>Z84*(1+Summary!$E$71)</f>
        <v>0</v>
      </c>
    </row>
    <row r="85" spans="1:27">
      <c r="A85" s="1432" t="s">
        <v>817</v>
      </c>
      <c r="B85" s="887"/>
      <c r="C85" s="887"/>
      <c r="D85"/>
      <c r="E85" s="910">
        <v>25.50842339115076</v>
      </c>
      <c r="F85" s="907">
        <f>E85*(1+Summary!$E$71)</f>
        <v>26.273676092885285</v>
      </c>
      <c r="G85" s="907">
        <f>F85*(1+Summary!$E$71)</f>
        <v>27.061886375671843</v>
      </c>
      <c r="H85" s="907">
        <f>G85*(1+Summary!$E$71)</f>
        <v>27.873742966942</v>
      </c>
      <c r="I85" s="907">
        <f>H85*(1+Summary!$E$71)</f>
        <v>28.709955255950263</v>
      </c>
      <c r="J85" s="907">
        <f>I85*(1+Summary!$E$71)</f>
        <v>29.57125391362877</v>
      </c>
      <c r="K85" s="907">
        <f>J85*(1+Summary!$E$71)</f>
        <v>30.458391531037634</v>
      </c>
      <c r="L85" s="907">
        <f>K85*(1+Summary!$E$71)</f>
        <v>31.372143276968764</v>
      </c>
      <c r="M85" s="907">
        <f>L85*(1+Summary!$E$71)</f>
        <v>32.313307575277825</v>
      </c>
      <c r="N85" s="907">
        <f>M85*(1+Summary!$E$71)</f>
        <v>33.282706802536161</v>
      </c>
      <c r="O85" s="907">
        <f>N85*(1+Summary!$E$71)</f>
        <v>34.281188006612247</v>
      </c>
      <c r="P85" s="907">
        <f>O85*(1+Summary!$E$71)</f>
        <v>35.309623646810614</v>
      </c>
      <c r="Q85" s="907">
        <f>P85*(1+Summary!$E$71)</f>
        <v>36.368912356214935</v>
      </c>
      <c r="R85" s="907">
        <f>Q85*(1+Summary!$E$71)</f>
        <v>37.459979726901381</v>
      </c>
      <c r="S85" s="907">
        <f>R85*(1+Summary!$E$71)</f>
        <v>38.583779118708421</v>
      </c>
      <c r="T85" s="907">
        <f>S85*(1+Summary!$E$71)</f>
        <v>39.741292492269672</v>
      </c>
      <c r="U85" s="907">
        <f>T85*(1+Summary!$E$71)</f>
        <v>40.933531267037765</v>
      </c>
      <c r="V85" s="907">
        <f>U85*(1+Summary!$E$71)</f>
        <v>42.161537205048901</v>
      </c>
      <c r="W85" s="907">
        <f>V85*(1+Summary!$E$71)</f>
        <v>43.426383321200369</v>
      </c>
      <c r="X85" s="907">
        <f>W85*(1+Summary!$E$71)</f>
        <v>44.729174820836384</v>
      </c>
      <c r="Y85" s="907">
        <f>X85*(1+Summary!$E$71)</f>
        <v>46.071050065461478</v>
      </c>
      <c r="Z85" s="907">
        <f>Y85*(1+Summary!$E$71)</f>
        <v>47.453181567425325</v>
      </c>
      <c r="AA85" s="907">
        <f>Z85*(1+Summary!$E$71)</f>
        <v>48.876777014448088</v>
      </c>
    </row>
    <row r="86" spans="1:27">
      <c r="A86" s="1432" t="s">
        <v>818</v>
      </c>
      <c r="B86" s="887"/>
      <c r="C86" s="887"/>
      <c r="D86"/>
      <c r="E86" s="910">
        <v>10.203369356460305</v>
      </c>
      <c r="F86" s="907">
        <f>E86*(1+Summary!$E$71)</f>
        <v>10.509470437154114</v>
      </c>
      <c r="G86" s="907">
        <f>F86*(1+Summary!$E$71)</f>
        <v>10.824754550268738</v>
      </c>
      <c r="H86" s="907">
        <f>G86*(1+Summary!$E$71)</f>
        <v>11.1494971867768</v>
      </c>
      <c r="I86" s="907">
        <f>H86*(1+Summary!$E$71)</f>
        <v>11.483982102380105</v>
      </c>
      <c r="J86" s="907">
        <f>I86*(1+Summary!$E$71)</f>
        <v>11.828501565451509</v>
      </c>
      <c r="K86" s="907">
        <f>J86*(1+Summary!$E$71)</f>
        <v>12.183356612415054</v>
      </c>
      <c r="L86" s="907">
        <f>K86*(1+Summary!$E$71)</f>
        <v>12.548857310787506</v>
      </c>
      <c r="M86" s="907">
        <f>L86*(1+Summary!$E$71)</f>
        <v>12.925323030111132</v>
      </c>
      <c r="N86" s="907">
        <f>M86*(1+Summary!$E$71)</f>
        <v>13.313082721014466</v>
      </c>
      <c r="O86" s="907">
        <f>N86*(1+Summary!$E$71)</f>
        <v>13.712475202644899</v>
      </c>
      <c r="P86" s="907">
        <f>O86*(1+Summary!$E$71)</f>
        <v>14.123849458724246</v>
      </c>
      <c r="Q86" s="907">
        <f>P86*(1+Summary!$E$71)</f>
        <v>14.547564942485973</v>
      </c>
      <c r="R86" s="907">
        <f>Q86*(1+Summary!$E$71)</f>
        <v>14.983991890760553</v>
      </c>
      <c r="S86" s="907">
        <f>R86*(1+Summary!$E$71)</f>
        <v>15.433511647483369</v>
      </c>
      <c r="T86" s="907">
        <f>S86*(1+Summary!$E$71)</f>
        <v>15.89651699690787</v>
      </c>
      <c r="U86" s="907">
        <f>T86*(1+Summary!$E$71)</f>
        <v>16.373412506815107</v>
      </c>
      <c r="V86" s="907">
        <f>U86*(1+Summary!$E$71)</f>
        <v>16.864614882019563</v>
      </c>
      <c r="W86" s="907">
        <f>V86*(1+Summary!$E$71)</f>
        <v>17.370553328480149</v>
      </c>
      <c r="X86" s="907">
        <f>W86*(1+Summary!$E$71)</f>
        <v>17.891669928334554</v>
      </c>
      <c r="Y86" s="907">
        <f>X86*(1+Summary!$E$71)</f>
        <v>18.428420026184593</v>
      </c>
      <c r="Z86" s="907">
        <f>Y86*(1+Summary!$E$71)</f>
        <v>18.981272626970132</v>
      </c>
      <c r="AA86" s="907">
        <f>Z86*(1+Summary!$E$71)</f>
        <v>19.550710805779236</v>
      </c>
    </row>
    <row r="87" spans="1:27">
      <c r="A87" s="1432" t="s">
        <v>819</v>
      </c>
      <c r="B87" s="887"/>
      <c r="C87" s="887"/>
      <c r="D87"/>
      <c r="E87" s="910">
        <v>10.203369356460305</v>
      </c>
      <c r="F87" s="907">
        <f>E87*(1+Summary!$E$71)</f>
        <v>10.509470437154114</v>
      </c>
      <c r="G87" s="907">
        <f>F87*(1+Summary!$E$71)</f>
        <v>10.824754550268738</v>
      </c>
      <c r="H87" s="907">
        <f>G87*(1+Summary!$E$71)</f>
        <v>11.1494971867768</v>
      </c>
      <c r="I87" s="907">
        <f>H87*(1+Summary!$E$71)</f>
        <v>11.483982102380105</v>
      </c>
      <c r="J87" s="907">
        <f>I87*(1+Summary!$E$71)</f>
        <v>11.828501565451509</v>
      </c>
      <c r="K87" s="907">
        <f>J87*(1+Summary!$E$71)</f>
        <v>12.183356612415054</v>
      </c>
      <c r="L87" s="907">
        <f>K87*(1+Summary!$E$71)</f>
        <v>12.548857310787506</v>
      </c>
      <c r="M87" s="907">
        <f>L87*(1+Summary!$E$71)</f>
        <v>12.925323030111132</v>
      </c>
      <c r="N87" s="907">
        <f>M87*(1+Summary!$E$71)</f>
        <v>13.313082721014466</v>
      </c>
      <c r="O87" s="907">
        <f>N87*(1+Summary!$E$71)</f>
        <v>13.712475202644899</v>
      </c>
      <c r="P87" s="907">
        <f>O87*(1+Summary!$E$71)</f>
        <v>14.123849458724246</v>
      </c>
      <c r="Q87" s="907">
        <f>P87*(1+Summary!$E$71)</f>
        <v>14.547564942485973</v>
      </c>
      <c r="R87" s="907">
        <f>Q87*(1+Summary!$E$71)</f>
        <v>14.983991890760553</v>
      </c>
      <c r="S87" s="907">
        <f>R87*(1+Summary!$E$71)</f>
        <v>15.433511647483369</v>
      </c>
      <c r="T87" s="907">
        <f>S87*(1+Summary!$E$71)</f>
        <v>15.89651699690787</v>
      </c>
      <c r="U87" s="907">
        <f>T87*(1+Summary!$E$71)</f>
        <v>16.373412506815107</v>
      </c>
      <c r="V87" s="907">
        <f>U87*(1+Summary!$E$71)</f>
        <v>16.864614882019563</v>
      </c>
      <c r="W87" s="907">
        <f>V87*(1+Summary!$E$71)</f>
        <v>17.370553328480149</v>
      </c>
      <c r="X87" s="907">
        <f>W87*(1+Summary!$E$71)</f>
        <v>17.891669928334554</v>
      </c>
      <c r="Y87" s="907">
        <f>X87*(1+Summary!$E$71)</f>
        <v>18.428420026184593</v>
      </c>
      <c r="Z87" s="907">
        <f>Y87*(1+Summary!$E$71)</f>
        <v>18.981272626970132</v>
      </c>
      <c r="AA87" s="907">
        <f>Z87*(1+Summary!$E$71)</f>
        <v>19.550710805779236</v>
      </c>
    </row>
    <row r="88" spans="1:27">
      <c r="A88" s="1432" t="s">
        <v>820</v>
      </c>
      <c r="B88" s="887"/>
      <c r="C88" s="887"/>
      <c r="D88"/>
      <c r="E88" s="910">
        <v>10.203369356460305</v>
      </c>
      <c r="F88" s="907">
        <f>E88*(1+Summary!$E$71)</f>
        <v>10.509470437154114</v>
      </c>
      <c r="G88" s="907">
        <f>F88*(1+Summary!$E$71)</f>
        <v>10.824754550268738</v>
      </c>
      <c r="H88" s="907">
        <f>G88*(1+Summary!$E$71)</f>
        <v>11.1494971867768</v>
      </c>
      <c r="I88" s="907">
        <f>H88*(1+Summary!$E$71)</f>
        <v>11.483982102380105</v>
      </c>
      <c r="J88" s="907">
        <f>I88*(1+Summary!$E$71)</f>
        <v>11.828501565451509</v>
      </c>
      <c r="K88" s="907">
        <f>J88*(1+Summary!$E$71)</f>
        <v>12.183356612415054</v>
      </c>
      <c r="L88" s="907">
        <f>K88*(1+Summary!$E$71)</f>
        <v>12.548857310787506</v>
      </c>
      <c r="M88" s="907">
        <f>L88*(1+Summary!$E$71)</f>
        <v>12.925323030111132</v>
      </c>
      <c r="N88" s="907">
        <f>M88*(1+Summary!$E$71)</f>
        <v>13.313082721014466</v>
      </c>
      <c r="O88" s="907">
        <f>N88*(1+Summary!$E$71)</f>
        <v>13.712475202644899</v>
      </c>
      <c r="P88" s="907">
        <f>O88*(1+Summary!$E$71)</f>
        <v>14.123849458724246</v>
      </c>
      <c r="Q88" s="907">
        <f>P88*(1+Summary!$E$71)</f>
        <v>14.547564942485973</v>
      </c>
      <c r="R88" s="907">
        <f>Q88*(1+Summary!$E$71)</f>
        <v>14.983991890760553</v>
      </c>
      <c r="S88" s="907">
        <f>R88*(1+Summary!$E$71)</f>
        <v>15.433511647483369</v>
      </c>
      <c r="T88" s="907">
        <f>S88*(1+Summary!$E$71)</f>
        <v>15.89651699690787</v>
      </c>
      <c r="U88" s="907">
        <f>T88*(1+Summary!$E$71)</f>
        <v>16.373412506815107</v>
      </c>
      <c r="V88" s="907">
        <f>U88*(1+Summary!$E$71)</f>
        <v>16.864614882019563</v>
      </c>
      <c r="W88" s="907">
        <f>V88*(1+Summary!$E$71)</f>
        <v>17.370553328480149</v>
      </c>
      <c r="X88" s="907">
        <f>W88*(1+Summary!$E$71)</f>
        <v>17.891669928334554</v>
      </c>
      <c r="Y88" s="907">
        <f>X88*(1+Summary!$E$71)</f>
        <v>18.428420026184593</v>
      </c>
      <c r="Z88" s="907">
        <f>Y88*(1+Summary!$E$71)</f>
        <v>18.981272626970132</v>
      </c>
      <c r="AA88" s="907">
        <f>Z88*(1+Summary!$E$71)</f>
        <v>19.550710805779236</v>
      </c>
    </row>
    <row r="89" spans="1:27">
      <c r="A89" s="1432" t="s">
        <v>821</v>
      </c>
      <c r="B89" s="887"/>
      <c r="C89" s="887"/>
      <c r="D89"/>
      <c r="E89" s="910">
        <v>5.1016846782301526</v>
      </c>
      <c r="F89" s="907">
        <f>E89*(1+Summary!$E$71)</f>
        <v>5.2547352185770571</v>
      </c>
      <c r="G89" s="907">
        <f>F89*(1+Summary!$E$71)</f>
        <v>5.4123772751343688</v>
      </c>
      <c r="H89" s="907">
        <f>G89*(1+Summary!$E$71)</f>
        <v>5.5747485933884002</v>
      </c>
      <c r="I89" s="907">
        <f>H89*(1+Summary!$E$71)</f>
        <v>5.7419910511900527</v>
      </c>
      <c r="J89" s="907">
        <f>I89*(1+Summary!$E$71)</f>
        <v>5.9142507827257544</v>
      </c>
      <c r="K89" s="907">
        <f>J89*(1+Summary!$E$71)</f>
        <v>6.0916783062075268</v>
      </c>
      <c r="L89" s="907">
        <f>K89*(1+Summary!$E$71)</f>
        <v>6.2744286553937529</v>
      </c>
      <c r="M89" s="907">
        <f>L89*(1+Summary!$E$71)</f>
        <v>6.462661515055566</v>
      </c>
      <c r="N89" s="907">
        <f>M89*(1+Summary!$E$71)</f>
        <v>6.6565413605072328</v>
      </c>
      <c r="O89" s="907">
        <f>N89*(1+Summary!$E$71)</f>
        <v>6.8562376013224497</v>
      </c>
      <c r="P89" s="907">
        <f>O89*(1+Summary!$E$71)</f>
        <v>7.061924729362123</v>
      </c>
      <c r="Q89" s="907">
        <f>P89*(1+Summary!$E$71)</f>
        <v>7.2737824712429866</v>
      </c>
      <c r="R89" s="907">
        <f>Q89*(1+Summary!$E$71)</f>
        <v>7.4919959453802765</v>
      </c>
      <c r="S89" s="907">
        <f>R89*(1+Summary!$E$71)</f>
        <v>7.7167558237416847</v>
      </c>
      <c r="T89" s="907">
        <f>S89*(1+Summary!$E$71)</f>
        <v>7.9482584984539351</v>
      </c>
      <c r="U89" s="907">
        <f>T89*(1+Summary!$E$71)</f>
        <v>8.1867062534075536</v>
      </c>
      <c r="V89" s="907">
        <f>U89*(1+Summary!$E$71)</f>
        <v>8.4323074410097814</v>
      </c>
      <c r="W89" s="907">
        <f>V89*(1+Summary!$E$71)</f>
        <v>8.6852766642400745</v>
      </c>
      <c r="X89" s="907">
        <f>W89*(1+Summary!$E$71)</f>
        <v>8.9458349641672772</v>
      </c>
      <c r="Y89" s="907">
        <f>X89*(1+Summary!$E$71)</f>
        <v>9.2142100130922966</v>
      </c>
      <c r="Z89" s="907">
        <f>Y89*(1+Summary!$E$71)</f>
        <v>9.4906363134850658</v>
      </c>
      <c r="AA89" s="907">
        <f>Z89*(1+Summary!$E$71)</f>
        <v>9.7753554028896179</v>
      </c>
    </row>
    <row r="90" spans="1:27">
      <c r="A90" s="1432" t="s">
        <v>822</v>
      </c>
      <c r="B90" s="887"/>
      <c r="C90" s="887"/>
      <c r="D90"/>
      <c r="E90" s="910">
        <v>5.1016846782301526</v>
      </c>
      <c r="F90" s="907">
        <f>E90*(1+Summary!$E$71)</f>
        <v>5.2547352185770571</v>
      </c>
      <c r="G90" s="907">
        <f>F90*(1+Summary!$E$71)</f>
        <v>5.4123772751343688</v>
      </c>
      <c r="H90" s="907">
        <f>G90*(1+Summary!$E$71)</f>
        <v>5.5747485933884002</v>
      </c>
      <c r="I90" s="907">
        <f>H90*(1+Summary!$E$71)</f>
        <v>5.7419910511900527</v>
      </c>
      <c r="J90" s="907">
        <f>I90*(1+Summary!$E$71)</f>
        <v>5.9142507827257544</v>
      </c>
      <c r="K90" s="907">
        <f>J90*(1+Summary!$E$71)</f>
        <v>6.0916783062075268</v>
      </c>
      <c r="L90" s="907">
        <f>K90*(1+Summary!$E$71)</f>
        <v>6.2744286553937529</v>
      </c>
      <c r="M90" s="907">
        <f>L90*(1+Summary!$E$71)</f>
        <v>6.462661515055566</v>
      </c>
      <c r="N90" s="907">
        <f>M90*(1+Summary!$E$71)</f>
        <v>6.6565413605072328</v>
      </c>
      <c r="O90" s="907">
        <f>N90*(1+Summary!$E$71)</f>
        <v>6.8562376013224497</v>
      </c>
      <c r="P90" s="907">
        <f>O90*(1+Summary!$E$71)</f>
        <v>7.061924729362123</v>
      </c>
      <c r="Q90" s="907">
        <f>P90*(1+Summary!$E$71)</f>
        <v>7.2737824712429866</v>
      </c>
      <c r="R90" s="907">
        <f>Q90*(1+Summary!$E$71)</f>
        <v>7.4919959453802765</v>
      </c>
      <c r="S90" s="907">
        <f>R90*(1+Summary!$E$71)</f>
        <v>7.7167558237416847</v>
      </c>
      <c r="T90" s="907">
        <f>S90*(1+Summary!$E$71)</f>
        <v>7.9482584984539351</v>
      </c>
      <c r="U90" s="907">
        <f>T90*(1+Summary!$E$71)</f>
        <v>8.1867062534075536</v>
      </c>
      <c r="V90" s="907">
        <f>U90*(1+Summary!$E$71)</f>
        <v>8.4323074410097814</v>
      </c>
      <c r="W90" s="907">
        <f>V90*(1+Summary!$E$71)</f>
        <v>8.6852766642400745</v>
      </c>
      <c r="X90" s="907">
        <f>W90*(1+Summary!$E$71)</f>
        <v>8.9458349641672772</v>
      </c>
      <c r="Y90" s="907">
        <f>X90*(1+Summary!$E$71)</f>
        <v>9.2142100130922966</v>
      </c>
      <c r="Z90" s="907">
        <f>Y90*(1+Summary!$E$71)</f>
        <v>9.4906363134850658</v>
      </c>
      <c r="AA90" s="907">
        <f>Z90*(1+Summary!$E$71)</f>
        <v>9.7753554028896179</v>
      </c>
    </row>
    <row r="91" spans="1:27">
      <c r="A91" s="1432" t="s">
        <v>823</v>
      </c>
      <c r="B91" s="887"/>
      <c r="C91" s="887"/>
      <c r="D91"/>
      <c r="E91" s="910">
        <v>5.1016846782301526</v>
      </c>
      <c r="F91" s="907">
        <f>E91*(1+Summary!$E$71)</f>
        <v>5.2547352185770571</v>
      </c>
      <c r="G91" s="907">
        <f>F91*(1+Summary!$E$71)</f>
        <v>5.4123772751343688</v>
      </c>
      <c r="H91" s="907">
        <f>G91*(1+Summary!$E$71)</f>
        <v>5.5747485933884002</v>
      </c>
      <c r="I91" s="907">
        <f>H91*(1+Summary!$E$71)</f>
        <v>5.7419910511900527</v>
      </c>
      <c r="J91" s="907">
        <f>I91*(1+Summary!$E$71)</f>
        <v>5.9142507827257544</v>
      </c>
      <c r="K91" s="907">
        <f>J91*(1+Summary!$E$71)</f>
        <v>6.0916783062075268</v>
      </c>
      <c r="L91" s="907">
        <f>K91*(1+Summary!$E$71)</f>
        <v>6.2744286553937529</v>
      </c>
      <c r="M91" s="907">
        <f>L91*(1+Summary!$E$71)</f>
        <v>6.462661515055566</v>
      </c>
      <c r="N91" s="907">
        <f>M91*(1+Summary!$E$71)</f>
        <v>6.6565413605072328</v>
      </c>
      <c r="O91" s="907">
        <f>N91*(1+Summary!$E$71)</f>
        <v>6.8562376013224497</v>
      </c>
      <c r="P91" s="907">
        <f>O91*(1+Summary!$E$71)</f>
        <v>7.061924729362123</v>
      </c>
      <c r="Q91" s="907">
        <f>P91*(1+Summary!$E$71)</f>
        <v>7.2737824712429866</v>
      </c>
      <c r="R91" s="907">
        <f>Q91*(1+Summary!$E$71)</f>
        <v>7.4919959453802765</v>
      </c>
      <c r="S91" s="907">
        <f>R91*(1+Summary!$E$71)</f>
        <v>7.7167558237416847</v>
      </c>
      <c r="T91" s="907">
        <f>S91*(1+Summary!$E$71)</f>
        <v>7.9482584984539351</v>
      </c>
      <c r="U91" s="907">
        <f>T91*(1+Summary!$E$71)</f>
        <v>8.1867062534075536</v>
      </c>
      <c r="V91" s="907">
        <f>U91*(1+Summary!$E$71)</f>
        <v>8.4323074410097814</v>
      </c>
      <c r="W91" s="907">
        <f>V91*(1+Summary!$E$71)</f>
        <v>8.6852766642400745</v>
      </c>
      <c r="X91" s="907">
        <f>W91*(1+Summary!$E$71)</f>
        <v>8.9458349641672772</v>
      </c>
      <c r="Y91" s="907">
        <f>X91*(1+Summary!$E$71)</f>
        <v>9.2142100130922966</v>
      </c>
      <c r="Z91" s="907">
        <f>Y91*(1+Summary!$E$71)</f>
        <v>9.4906363134850658</v>
      </c>
      <c r="AA91" s="907">
        <f>Z91*(1+Summary!$E$71)</f>
        <v>9.7753554028896179</v>
      </c>
    </row>
    <row r="92" spans="1:27">
      <c r="A92" s="1432" t="s">
        <v>824</v>
      </c>
      <c r="B92" s="887"/>
      <c r="C92" s="887"/>
      <c r="D92"/>
      <c r="E92" s="910">
        <v>5.1016846782301526</v>
      </c>
      <c r="F92" s="907">
        <f>E92*(1+Summary!$E$71)</f>
        <v>5.2547352185770571</v>
      </c>
      <c r="G92" s="907">
        <f>F92*(1+Summary!$E$71)</f>
        <v>5.4123772751343688</v>
      </c>
      <c r="H92" s="907">
        <f>G92*(1+Summary!$E$71)</f>
        <v>5.5747485933884002</v>
      </c>
      <c r="I92" s="907">
        <f>H92*(1+Summary!$E$71)</f>
        <v>5.7419910511900527</v>
      </c>
      <c r="J92" s="907">
        <f>I92*(1+Summary!$E$71)</f>
        <v>5.9142507827257544</v>
      </c>
      <c r="K92" s="907">
        <f>J92*(1+Summary!$E$71)</f>
        <v>6.0916783062075268</v>
      </c>
      <c r="L92" s="907">
        <f>K92*(1+Summary!$E$71)</f>
        <v>6.2744286553937529</v>
      </c>
      <c r="M92" s="907">
        <f>L92*(1+Summary!$E$71)</f>
        <v>6.462661515055566</v>
      </c>
      <c r="N92" s="907">
        <f>M92*(1+Summary!$E$71)</f>
        <v>6.6565413605072328</v>
      </c>
      <c r="O92" s="907">
        <f>N92*(1+Summary!$E$71)</f>
        <v>6.8562376013224497</v>
      </c>
      <c r="P92" s="907">
        <f>O92*(1+Summary!$E$71)</f>
        <v>7.061924729362123</v>
      </c>
      <c r="Q92" s="907">
        <f>P92*(1+Summary!$E$71)</f>
        <v>7.2737824712429866</v>
      </c>
      <c r="R92" s="907">
        <f>Q92*(1+Summary!$E$71)</f>
        <v>7.4919959453802765</v>
      </c>
      <c r="S92" s="907">
        <f>R92*(1+Summary!$E$71)</f>
        <v>7.7167558237416847</v>
      </c>
      <c r="T92" s="907">
        <f>S92*(1+Summary!$E$71)</f>
        <v>7.9482584984539351</v>
      </c>
      <c r="U92" s="907">
        <f>T92*(1+Summary!$E$71)</f>
        <v>8.1867062534075536</v>
      </c>
      <c r="V92" s="907">
        <f>U92*(1+Summary!$E$71)</f>
        <v>8.4323074410097814</v>
      </c>
      <c r="W92" s="907">
        <f>V92*(1+Summary!$E$71)</f>
        <v>8.6852766642400745</v>
      </c>
      <c r="X92" s="907">
        <f>W92*(1+Summary!$E$71)</f>
        <v>8.9458349641672772</v>
      </c>
      <c r="Y92" s="907">
        <f>X92*(1+Summary!$E$71)</f>
        <v>9.2142100130922966</v>
      </c>
      <c r="Z92" s="907">
        <f>Y92*(1+Summary!$E$71)</f>
        <v>9.4906363134850658</v>
      </c>
      <c r="AA92" s="907">
        <f>Z92*(1+Summary!$E$71)</f>
        <v>9.7753554028896179</v>
      </c>
    </row>
    <row r="93" spans="1:27">
      <c r="A93" s="1432" t="s">
        <v>18</v>
      </c>
      <c r="B93" s="887"/>
      <c r="C93" s="887"/>
      <c r="D93"/>
      <c r="E93" s="910">
        <v>10.203369356460305</v>
      </c>
      <c r="F93" s="907">
        <f>E93*(1+Summary!$E$71)</f>
        <v>10.509470437154114</v>
      </c>
      <c r="G93" s="907">
        <f>F93*(1+Summary!$E$71)</f>
        <v>10.824754550268738</v>
      </c>
      <c r="H93" s="907">
        <f>G93*(1+Summary!$E$71)</f>
        <v>11.1494971867768</v>
      </c>
      <c r="I93" s="907">
        <f>H93*(1+Summary!$E$71)</f>
        <v>11.483982102380105</v>
      </c>
      <c r="J93" s="907">
        <f>I93*(1+Summary!$E$71)</f>
        <v>11.828501565451509</v>
      </c>
      <c r="K93" s="907">
        <f>J93*(1+Summary!$E$71)</f>
        <v>12.183356612415054</v>
      </c>
      <c r="L93" s="907">
        <f>K93*(1+Summary!$E$71)</f>
        <v>12.548857310787506</v>
      </c>
      <c r="M93" s="907">
        <f>L93*(1+Summary!$E$71)</f>
        <v>12.925323030111132</v>
      </c>
      <c r="N93" s="907">
        <f>M93*(1+Summary!$E$71)</f>
        <v>13.313082721014466</v>
      </c>
      <c r="O93" s="907">
        <f>N93*(1+Summary!$E$71)</f>
        <v>13.712475202644899</v>
      </c>
      <c r="P93" s="907">
        <f>O93*(1+Summary!$E$71)</f>
        <v>14.123849458724246</v>
      </c>
      <c r="Q93" s="907">
        <f>P93*(1+Summary!$E$71)</f>
        <v>14.547564942485973</v>
      </c>
      <c r="R93" s="907">
        <f>Q93*(1+Summary!$E$71)</f>
        <v>14.983991890760553</v>
      </c>
      <c r="S93" s="907">
        <f>R93*(1+Summary!$E$71)</f>
        <v>15.433511647483369</v>
      </c>
      <c r="T93" s="907">
        <f>S93*(1+Summary!$E$71)</f>
        <v>15.89651699690787</v>
      </c>
      <c r="U93" s="907">
        <f>T93*(1+Summary!$E$71)</f>
        <v>16.373412506815107</v>
      </c>
      <c r="V93" s="907">
        <f>U93*(1+Summary!$E$71)</f>
        <v>16.864614882019563</v>
      </c>
      <c r="W93" s="907">
        <f>V93*(1+Summary!$E$71)</f>
        <v>17.370553328480149</v>
      </c>
      <c r="X93" s="907">
        <f>W93*(1+Summary!$E$71)</f>
        <v>17.891669928334554</v>
      </c>
      <c r="Y93" s="907">
        <f>X93*(1+Summary!$E$71)</f>
        <v>18.428420026184593</v>
      </c>
      <c r="Z93" s="907">
        <f>Y93*(1+Summary!$E$71)</f>
        <v>18.981272626970132</v>
      </c>
      <c r="AA93" s="907">
        <f>Z93*(1+Summary!$E$71)</f>
        <v>19.550710805779236</v>
      </c>
    </row>
    <row r="94" spans="1:27">
      <c r="A94" s="1432" t="s">
        <v>825</v>
      </c>
      <c r="B94" s="887"/>
      <c r="C94" s="887"/>
      <c r="D94"/>
      <c r="E94" s="910">
        <v>5.1016846782301526</v>
      </c>
      <c r="F94" s="907">
        <f>E94*(1+Summary!$E$71)</f>
        <v>5.2547352185770571</v>
      </c>
      <c r="G94" s="907">
        <f>F94*(1+Summary!$E$71)</f>
        <v>5.4123772751343688</v>
      </c>
      <c r="H94" s="907">
        <f>G94*(1+Summary!$E$71)</f>
        <v>5.5747485933884002</v>
      </c>
      <c r="I94" s="907">
        <f>H94*(1+Summary!$E$71)</f>
        <v>5.7419910511900527</v>
      </c>
      <c r="J94" s="907">
        <f>I94*(1+Summary!$E$71)</f>
        <v>5.9142507827257544</v>
      </c>
      <c r="K94" s="907">
        <f>J94*(1+Summary!$E$71)</f>
        <v>6.0916783062075268</v>
      </c>
      <c r="L94" s="907">
        <f>K94*(1+Summary!$E$71)</f>
        <v>6.2744286553937529</v>
      </c>
      <c r="M94" s="907">
        <f>L94*(1+Summary!$E$71)</f>
        <v>6.462661515055566</v>
      </c>
      <c r="N94" s="907">
        <f>M94*(1+Summary!$E$71)</f>
        <v>6.6565413605072328</v>
      </c>
      <c r="O94" s="907">
        <f>N94*(1+Summary!$E$71)</f>
        <v>6.8562376013224497</v>
      </c>
      <c r="P94" s="907">
        <f>O94*(1+Summary!$E$71)</f>
        <v>7.061924729362123</v>
      </c>
      <c r="Q94" s="907">
        <f>P94*(1+Summary!$E$71)</f>
        <v>7.2737824712429866</v>
      </c>
      <c r="R94" s="907">
        <f>Q94*(1+Summary!$E$71)</f>
        <v>7.4919959453802765</v>
      </c>
      <c r="S94" s="907">
        <f>R94*(1+Summary!$E$71)</f>
        <v>7.7167558237416847</v>
      </c>
      <c r="T94" s="907">
        <f>S94*(1+Summary!$E$71)</f>
        <v>7.9482584984539351</v>
      </c>
      <c r="U94" s="907">
        <f>T94*(1+Summary!$E$71)</f>
        <v>8.1867062534075536</v>
      </c>
      <c r="V94" s="907">
        <f>U94*(1+Summary!$E$71)</f>
        <v>8.4323074410097814</v>
      </c>
      <c r="W94" s="907">
        <f>V94*(1+Summary!$E$71)</f>
        <v>8.6852766642400745</v>
      </c>
      <c r="X94" s="907">
        <f>W94*(1+Summary!$E$71)</f>
        <v>8.9458349641672772</v>
      </c>
      <c r="Y94" s="907">
        <f>X94*(1+Summary!$E$71)</f>
        <v>9.2142100130922966</v>
      </c>
      <c r="Z94" s="907">
        <f>Y94*(1+Summary!$E$71)</f>
        <v>9.4906363134850658</v>
      </c>
      <c r="AA94" s="907">
        <f>Z94*(1+Summary!$E$71)</f>
        <v>9.7753554028896179</v>
      </c>
    </row>
    <row r="95" spans="1:27">
      <c r="A95" s="906" t="s">
        <v>462</v>
      </c>
      <c r="B95" s="887"/>
      <c r="C95" s="887"/>
      <c r="D95"/>
      <c r="E95" s="1324">
        <v>639.95210422825051</v>
      </c>
      <c r="F95" s="1324">
        <v>622.9406264116293</v>
      </c>
      <c r="G95" s="1324">
        <v>613.54815466248454</v>
      </c>
      <c r="H95" s="1324">
        <v>605.40478951010346</v>
      </c>
      <c r="I95" s="1324">
        <v>591.60393868590836</v>
      </c>
      <c r="J95" s="1324">
        <v>585.39047660424819</v>
      </c>
      <c r="K95" s="1324">
        <v>571.71035319862881</v>
      </c>
      <c r="L95" s="1324">
        <v>575.34740678751643</v>
      </c>
      <c r="M95" s="1324">
        <v>563.23341634691894</v>
      </c>
      <c r="N95" s="1324">
        <v>547.44489010430573</v>
      </c>
      <c r="O95" s="1324">
        <v>531.74150402641578</v>
      </c>
      <c r="P95" s="1324">
        <v>527.0890401848269</v>
      </c>
      <c r="Q95" s="1324">
        <v>511.40212678696008</v>
      </c>
      <c r="R95" s="1324">
        <v>495.95920426913369</v>
      </c>
      <c r="S95" s="1324">
        <v>489.52779050531768</v>
      </c>
      <c r="T95" s="1324">
        <v>472.532976719847</v>
      </c>
      <c r="U95" s="1324">
        <v>478.23968239957094</v>
      </c>
      <c r="V95" s="1324">
        <v>484.40992815100299</v>
      </c>
      <c r="W95" s="1324">
        <v>491.00749675270697</v>
      </c>
      <c r="X95" s="1324">
        <v>498.52550897023713</v>
      </c>
      <c r="Y95" s="1324">
        <v>507.24297237521364</v>
      </c>
      <c r="Z95" s="1324">
        <v>516.83580219041403</v>
      </c>
      <c r="AA95" s="1324">
        <v>527.28543571530099</v>
      </c>
    </row>
    <row r="96" spans="1:27">
      <c r="A96" s="887"/>
      <c r="B96" s="887"/>
      <c r="C96" s="887"/>
      <c r="D96"/>
    </row>
    <row r="97" spans="1:27">
      <c r="A97" s="919" t="s">
        <v>465</v>
      </c>
      <c r="B97" s="887"/>
      <c r="C97" s="887"/>
      <c r="D97"/>
      <c r="E97" s="909">
        <f t="shared" ref="E97:AA97" si="8">E60+E66+E95</f>
        <v>10182.636125204288</v>
      </c>
      <c r="F97" s="909">
        <f t="shared" si="8"/>
        <v>10993.350199105042</v>
      </c>
      <c r="G97" s="909">
        <f t="shared" si="8"/>
        <v>10523.410982525231</v>
      </c>
      <c r="H97" s="909">
        <f t="shared" si="8"/>
        <v>10420.659680417495</v>
      </c>
      <c r="I97" s="909">
        <f t="shared" si="8"/>
        <v>10333.96154274658</v>
      </c>
      <c r="J97" s="909">
        <f t="shared" si="8"/>
        <v>10137.166706851824</v>
      </c>
      <c r="K97" s="909">
        <f t="shared" si="8"/>
        <v>10456.914064813947</v>
      </c>
      <c r="L97" s="909">
        <f t="shared" si="8"/>
        <v>10619.671022193948</v>
      </c>
      <c r="M97" s="909">
        <f t="shared" si="8"/>
        <v>10754.088693679258</v>
      </c>
      <c r="N97" s="909">
        <f t="shared" si="8"/>
        <v>10777.383228617569</v>
      </c>
      <c r="O97" s="909">
        <f t="shared" si="8"/>
        <v>11843.339723740286</v>
      </c>
      <c r="P97" s="909">
        <f t="shared" si="8"/>
        <v>12023.146333612109</v>
      </c>
      <c r="Q97" s="909">
        <f t="shared" si="8"/>
        <v>11805.355311667092</v>
      </c>
      <c r="R97" s="909">
        <f t="shared" si="8"/>
        <v>12013.339454945562</v>
      </c>
      <c r="S97" s="909">
        <f t="shared" si="8"/>
        <v>12292.539999290928</v>
      </c>
      <c r="T97" s="909">
        <f t="shared" si="8"/>
        <v>12522.942008636956</v>
      </c>
      <c r="U97" s="909">
        <f t="shared" si="8"/>
        <v>12693.490373993431</v>
      </c>
      <c r="V97" s="909">
        <f t="shared" si="8"/>
        <v>12987.715875722455</v>
      </c>
      <c r="W97" s="909">
        <f t="shared" si="8"/>
        <v>13291.497083810122</v>
      </c>
      <c r="X97" s="909">
        <f t="shared" si="8"/>
        <v>13656.004091996245</v>
      </c>
      <c r="Y97" s="909">
        <f t="shared" si="8"/>
        <v>14097.120583666016</v>
      </c>
      <c r="Z97" s="909">
        <f t="shared" si="8"/>
        <v>14417.851116939495</v>
      </c>
      <c r="AA97" s="909">
        <f t="shared" si="8"/>
        <v>12885.371420413016</v>
      </c>
    </row>
    <row r="98" spans="1:27">
      <c r="A98" s="13"/>
      <c r="B98" s="13"/>
      <c r="C98" s="13"/>
      <c r="D98"/>
      <c r="E98" s="909"/>
      <c r="F98" s="909"/>
      <c r="G98" s="909"/>
      <c r="H98" s="909"/>
      <c r="I98" s="909"/>
      <c r="J98" s="909"/>
      <c r="K98" s="909"/>
      <c r="L98" s="909"/>
      <c r="M98" s="909"/>
      <c r="N98" s="909"/>
      <c r="O98" s="909"/>
      <c r="P98" s="909"/>
      <c r="Q98" s="909"/>
      <c r="R98" s="909"/>
      <c r="S98" s="909"/>
      <c r="T98" s="909"/>
      <c r="U98" s="909"/>
      <c r="V98" s="909"/>
      <c r="W98" s="909"/>
      <c r="X98" s="909"/>
      <c r="Y98" s="909"/>
      <c r="Z98" s="909"/>
      <c r="AA98" s="909"/>
    </row>
    <row r="99" spans="1:27">
      <c r="A99" s="13"/>
      <c r="B99" s="13"/>
      <c r="C99" s="13"/>
      <c r="D99"/>
    </row>
    <row r="100" spans="1:27">
      <c r="A100" s="13"/>
      <c r="B100" s="13"/>
      <c r="C100" s="13"/>
      <c r="D100"/>
    </row>
    <row r="101" spans="1:27">
      <c r="A101" s="13"/>
      <c r="B101" s="13"/>
      <c r="C101" s="13"/>
      <c r="D101"/>
    </row>
    <row r="102" spans="1:27">
      <c r="D102"/>
    </row>
  </sheetData>
  <pageMargins left="0.75" right="0.75" top="1" bottom="1" header="0.5" footer="0.5"/>
  <pageSetup scale="49" orientation="landscape" r:id="rId1"/>
  <headerFooter alignWithMargins="0"/>
  <rowBreaks count="1" manualBreakCount="1">
    <brk id="40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S333"/>
  <sheetViews>
    <sheetView showGridLines="0" topLeftCell="I1" zoomScale="75" workbookViewId="0">
      <selection activeCell="R31" sqref="R31"/>
    </sheetView>
  </sheetViews>
  <sheetFormatPr defaultColWidth="9.109375" defaultRowHeight="15"/>
  <cols>
    <col min="1" max="1" width="28.5546875" style="983" customWidth="1"/>
    <col min="2" max="2" width="16.6640625" style="983" hidden="1" customWidth="1"/>
    <col min="3" max="4" width="16.88671875" style="983" customWidth="1"/>
    <col min="5" max="6" width="16.6640625" style="983" customWidth="1"/>
    <col min="7" max="8" width="16.88671875" style="983" customWidth="1"/>
    <col min="9" max="10" width="18.6640625" style="983" customWidth="1"/>
    <col min="11" max="11" width="13.6640625" style="983" customWidth="1"/>
    <col min="12" max="12" width="12.109375" style="983" customWidth="1"/>
    <col min="13" max="13" width="12.5546875" style="983" customWidth="1"/>
    <col min="14" max="14" width="13" style="983" customWidth="1"/>
    <col min="15" max="15" width="11.6640625" style="983" customWidth="1"/>
    <col min="16" max="16" width="12.109375" style="983" customWidth="1"/>
    <col min="17" max="17" width="12" style="983" customWidth="1"/>
    <col min="18" max="18" width="12.44140625" style="983" customWidth="1"/>
    <col min="19" max="19" width="12.109375" style="983" customWidth="1"/>
    <col min="20" max="20" width="10.109375" style="983" customWidth="1"/>
    <col min="21" max="21" width="10" style="983" customWidth="1"/>
    <col min="22" max="16384" width="9.109375" style="983"/>
  </cols>
  <sheetData>
    <row r="1" spans="1:19" ht="17.399999999999999">
      <c r="C1" s="1033" t="s">
        <v>528</v>
      </c>
    </row>
    <row r="2" spans="1:19">
      <c r="C2" s="1024">
        <f ca="1">TODAY()</f>
        <v>36769</v>
      </c>
    </row>
    <row r="3" spans="1:19" s="984" customFormat="1" ht="15.6" thickBot="1">
      <c r="A3" s="983"/>
      <c r="B3" s="983"/>
      <c r="C3" s="983"/>
      <c r="D3" s="983"/>
      <c r="E3" s="983"/>
      <c r="F3" s="983"/>
      <c r="G3" s="983"/>
      <c r="H3" s="983"/>
      <c r="I3" s="984" t="s">
        <v>787</v>
      </c>
      <c r="J3" s="984" t="s">
        <v>787</v>
      </c>
      <c r="N3" s="984" t="s">
        <v>787</v>
      </c>
    </row>
    <row r="4" spans="1:19" ht="15.6">
      <c r="B4" s="1154" t="s">
        <v>497</v>
      </c>
      <c r="C4" s="1054" t="s">
        <v>540</v>
      </c>
      <c r="D4" s="1079" t="s">
        <v>543</v>
      </c>
      <c r="E4" s="1065" t="s">
        <v>495</v>
      </c>
      <c r="F4" s="1065" t="s">
        <v>495</v>
      </c>
      <c r="G4" s="1065" t="s">
        <v>581</v>
      </c>
      <c r="H4" s="1063" t="s">
        <v>581</v>
      </c>
      <c r="I4" s="1120" t="s">
        <v>478</v>
      </c>
      <c r="J4" s="1111" t="s">
        <v>478</v>
      </c>
    </row>
    <row r="5" spans="1:19" ht="15.6">
      <c r="B5" s="1155" t="s">
        <v>519</v>
      </c>
      <c r="C5" s="1169" t="s">
        <v>541</v>
      </c>
      <c r="D5" s="1080" t="s">
        <v>541</v>
      </c>
      <c r="E5" s="1066" t="s">
        <v>572</v>
      </c>
      <c r="F5" s="1066" t="s">
        <v>573</v>
      </c>
      <c r="G5" s="1066" t="s">
        <v>572</v>
      </c>
      <c r="H5" s="1064" t="s">
        <v>573</v>
      </c>
      <c r="I5" s="1121" t="s">
        <v>572</v>
      </c>
      <c r="J5" s="1112" t="s">
        <v>573</v>
      </c>
    </row>
    <row r="6" spans="1:19" ht="15.6">
      <c r="B6" s="1156"/>
      <c r="C6" s="1055"/>
      <c r="D6" s="985"/>
      <c r="E6" s="1089" t="s">
        <v>787</v>
      </c>
      <c r="F6" s="1089" t="s">
        <v>787</v>
      </c>
      <c r="G6" s="1067" t="s">
        <v>787</v>
      </c>
      <c r="H6" s="984" t="s">
        <v>787</v>
      </c>
      <c r="I6" s="1122"/>
      <c r="J6" s="1093"/>
      <c r="M6" s="1113" t="s">
        <v>583</v>
      </c>
    </row>
    <row r="7" spans="1:19" ht="15.6">
      <c r="A7" s="986" t="s">
        <v>480</v>
      </c>
      <c r="B7" s="1157"/>
      <c r="C7" s="1056"/>
      <c r="D7" s="987"/>
      <c r="E7" s="1089" t="s">
        <v>787</v>
      </c>
      <c r="F7" s="1089" t="s">
        <v>787</v>
      </c>
      <c r="G7" s="1067"/>
      <c r="H7" s="984"/>
      <c r="I7" s="1123"/>
      <c r="J7" s="1094"/>
    </row>
    <row r="8" spans="1:19">
      <c r="B8" s="1156"/>
      <c r="C8" s="1055"/>
      <c r="D8" s="985"/>
      <c r="E8" s="1067"/>
      <c r="F8" s="1067"/>
      <c r="G8" s="1067"/>
      <c r="H8" s="984"/>
      <c r="I8" s="1123"/>
      <c r="J8" s="1094"/>
      <c r="M8" s="1024">
        <v>34150</v>
      </c>
      <c r="N8" s="1024">
        <v>34515</v>
      </c>
      <c r="O8" s="1024">
        <v>34880</v>
      </c>
      <c r="P8" s="1024">
        <v>35246</v>
      </c>
      <c r="Q8" s="1024">
        <v>35611</v>
      </c>
      <c r="R8" s="1024">
        <v>35976</v>
      </c>
      <c r="S8" s="1024">
        <v>36341</v>
      </c>
    </row>
    <row r="9" spans="1:19">
      <c r="B9" s="1156"/>
      <c r="C9" s="1055"/>
      <c r="D9" s="985"/>
      <c r="E9" s="1067"/>
      <c r="F9" s="1067"/>
      <c r="G9" s="1067"/>
      <c r="H9" s="984"/>
      <c r="I9" s="1123"/>
      <c r="J9" s="1094"/>
    </row>
    <row r="10" spans="1:19" ht="15.6">
      <c r="A10" s="983" t="s">
        <v>473</v>
      </c>
      <c r="B10" s="988" t="s">
        <v>475</v>
      </c>
      <c r="C10" s="1057" t="s">
        <v>534</v>
      </c>
      <c r="D10" s="1107" t="s">
        <v>475</v>
      </c>
      <c r="E10" s="1068" t="s">
        <v>475</v>
      </c>
      <c r="F10" s="1068" t="s">
        <v>475</v>
      </c>
      <c r="G10" s="1068" t="s">
        <v>475</v>
      </c>
      <c r="H10" s="989" t="s">
        <v>475</v>
      </c>
      <c r="I10" s="1124" t="s">
        <v>520</v>
      </c>
      <c r="J10" s="1095" t="s">
        <v>520</v>
      </c>
      <c r="L10" s="1187" t="s">
        <v>558</v>
      </c>
      <c r="M10" s="1116">
        <v>-513</v>
      </c>
      <c r="N10" s="1116">
        <v>-12516</v>
      </c>
      <c r="O10" s="1116">
        <v>-1405</v>
      </c>
      <c r="P10" s="1116">
        <v>-2855</v>
      </c>
      <c r="Q10" s="1116">
        <v>-939</v>
      </c>
      <c r="R10" s="1116">
        <v>-1086</v>
      </c>
      <c r="S10" s="1116">
        <v>0</v>
      </c>
    </row>
    <row r="11" spans="1:19">
      <c r="A11" s="983" t="s">
        <v>551</v>
      </c>
      <c r="B11" s="988" t="s">
        <v>474</v>
      </c>
      <c r="C11" s="1057" t="s">
        <v>474</v>
      </c>
      <c r="D11" s="991" t="s">
        <v>474</v>
      </c>
      <c r="E11" s="1068" t="s">
        <v>474</v>
      </c>
      <c r="F11" s="1068" t="s">
        <v>474</v>
      </c>
      <c r="G11" s="1068" t="s">
        <v>474</v>
      </c>
      <c r="H11" s="989" t="s">
        <v>474</v>
      </c>
      <c r="I11" s="1125" t="s">
        <v>474</v>
      </c>
      <c r="J11" s="1095" t="s">
        <v>474</v>
      </c>
      <c r="L11" s="1187" t="s">
        <v>564</v>
      </c>
      <c r="M11" s="1116">
        <v>0</v>
      </c>
      <c r="N11" s="1116">
        <v>0</v>
      </c>
      <c r="O11" s="1116">
        <v>0</v>
      </c>
      <c r="P11" s="1116">
        <v>0</v>
      </c>
      <c r="Q11" s="1116">
        <v>0</v>
      </c>
      <c r="R11" s="1116">
        <v>0</v>
      </c>
      <c r="S11" s="1116" t="e">
        <f>Summary!#REF!+Summary!#REF!</f>
        <v>#REF!</v>
      </c>
    </row>
    <row r="12" spans="1:19" ht="16.8">
      <c r="A12" s="983" t="s">
        <v>538</v>
      </c>
      <c r="B12" s="988" t="s">
        <v>508</v>
      </c>
      <c r="C12" s="988" t="s">
        <v>508</v>
      </c>
      <c r="D12" s="1068" t="s">
        <v>508</v>
      </c>
      <c r="E12" s="1069" t="s">
        <v>508</v>
      </c>
      <c r="F12" s="1069" t="s">
        <v>508</v>
      </c>
      <c r="G12" s="1092" t="s">
        <v>501</v>
      </c>
      <c r="H12" s="989" t="s">
        <v>501</v>
      </c>
      <c r="I12" s="1125" t="s">
        <v>501</v>
      </c>
      <c r="J12" s="1095" t="s">
        <v>501</v>
      </c>
      <c r="L12" s="1187" t="s">
        <v>559</v>
      </c>
      <c r="M12" s="1117">
        <v>0</v>
      </c>
      <c r="N12" s="1117">
        <v>0</v>
      </c>
      <c r="O12" s="1117">
        <v>0</v>
      </c>
      <c r="P12" s="1117">
        <v>0</v>
      </c>
      <c r="Q12" s="1117">
        <v>0</v>
      </c>
      <c r="R12" s="1117">
        <v>0</v>
      </c>
      <c r="S12" s="1117">
        <v>-1600</v>
      </c>
    </row>
    <row r="13" spans="1:19" ht="15.6">
      <c r="A13" s="983" t="s">
        <v>539</v>
      </c>
      <c r="B13" s="988" t="s">
        <v>507</v>
      </c>
      <c r="C13" s="988" t="s">
        <v>501</v>
      </c>
      <c r="D13" s="1092" t="s">
        <v>507</v>
      </c>
      <c r="E13" s="1068" t="s">
        <v>507</v>
      </c>
      <c r="F13" s="1068" t="s">
        <v>507</v>
      </c>
      <c r="G13" s="1138" t="s">
        <v>502</v>
      </c>
      <c r="H13" s="995" t="s">
        <v>502</v>
      </c>
      <c r="I13" s="1125" t="s">
        <v>522</v>
      </c>
      <c r="J13" s="1095" t="s">
        <v>522</v>
      </c>
      <c r="M13" s="1116"/>
      <c r="N13" s="1116"/>
      <c r="O13" s="1116"/>
      <c r="P13" s="1116"/>
      <c r="Q13" s="1116"/>
      <c r="R13" s="1116"/>
      <c r="S13" s="1116"/>
    </row>
    <row r="14" spans="1:19">
      <c r="B14" s="988"/>
      <c r="C14" s="1170"/>
      <c r="D14" s="1081"/>
      <c r="E14" s="1069"/>
      <c r="F14" s="1069"/>
      <c r="G14" s="1069"/>
      <c r="H14" s="995"/>
      <c r="I14" s="1125"/>
      <c r="J14" s="1095"/>
      <c r="M14" s="1116">
        <f t="shared" ref="M14:S14" si="0">SUM(M10:M12)</f>
        <v>-513</v>
      </c>
      <c r="N14" s="1116">
        <f t="shared" si="0"/>
        <v>-12516</v>
      </c>
      <c r="O14" s="1116">
        <f t="shared" si="0"/>
        <v>-1405</v>
      </c>
      <c r="P14" s="1116">
        <f t="shared" si="0"/>
        <v>-2855</v>
      </c>
      <c r="Q14" s="1116">
        <f t="shared" si="0"/>
        <v>-939</v>
      </c>
      <c r="R14" s="1116">
        <f t="shared" si="0"/>
        <v>-1086</v>
      </c>
      <c r="S14" s="1116" t="e">
        <f t="shared" si="0"/>
        <v>#REF!</v>
      </c>
    </row>
    <row r="15" spans="1:19">
      <c r="A15" s="990" t="s">
        <v>857</v>
      </c>
      <c r="B15" s="1158">
        <v>1.4999999999999999E-2</v>
      </c>
      <c r="C15" s="1058">
        <v>1.4999999999999999E-2</v>
      </c>
      <c r="D15" s="1082">
        <v>1.4999999999999999E-2</v>
      </c>
      <c r="E15" s="1077">
        <v>1.4999999999999999E-2</v>
      </c>
      <c r="F15" s="1077">
        <v>1.4999999999999999E-2</v>
      </c>
      <c r="G15" s="1077">
        <v>1.4999999999999999E-2</v>
      </c>
      <c r="H15" s="1003">
        <v>1.4999999999999999E-2</v>
      </c>
      <c r="I15" s="1126">
        <v>1.4999999999999999E-2</v>
      </c>
      <c r="J15" s="1096">
        <v>1.4999999999999999E-2</v>
      </c>
      <c r="R15" s="1116">
        <f>SUM(M14:R14)</f>
        <v>-19314</v>
      </c>
      <c r="S15" s="1116" t="e">
        <f>S14</f>
        <v>#REF!</v>
      </c>
    </row>
    <row r="16" spans="1:19" ht="15.6">
      <c r="A16" s="983" t="s">
        <v>484</v>
      </c>
      <c r="B16" s="988">
        <v>7800</v>
      </c>
      <c r="C16" s="1057">
        <v>8300</v>
      </c>
      <c r="D16" s="1092">
        <v>7800</v>
      </c>
      <c r="E16" s="1068">
        <v>7800</v>
      </c>
      <c r="F16" s="1068">
        <v>7800</v>
      </c>
      <c r="G16" s="1068">
        <v>7800</v>
      </c>
      <c r="H16" s="991">
        <v>7800</v>
      </c>
      <c r="I16" s="1124">
        <v>7954</v>
      </c>
      <c r="J16" s="1095">
        <v>7954</v>
      </c>
      <c r="L16" s="1114" t="s">
        <v>182</v>
      </c>
      <c r="M16" s="1115" t="e">
        <f>XIRR(M14:S14,M8:S8)</f>
        <v>#REF!</v>
      </c>
    </row>
    <row r="17" spans="1:16" ht="15.6">
      <c r="B17" s="1156"/>
      <c r="C17" s="1055"/>
      <c r="D17" s="985"/>
      <c r="E17" s="1067"/>
      <c r="F17" s="1067"/>
      <c r="G17" s="1067"/>
      <c r="H17" s="984"/>
      <c r="I17" s="1127" t="s">
        <v>521</v>
      </c>
      <c r="J17" s="1097" t="s">
        <v>521</v>
      </c>
      <c r="M17" s="1115" t="e">
        <f>XIRR(R15:S15,R8:S8)</f>
        <v>#REF!</v>
      </c>
    </row>
    <row r="18" spans="1:16" ht="15.6">
      <c r="A18" s="983" t="s">
        <v>527</v>
      </c>
      <c r="B18" s="988" t="s">
        <v>525</v>
      </c>
      <c r="C18" s="1057" t="s">
        <v>525</v>
      </c>
      <c r="D18" s="991" t="s">
        <v>525</v>
      </c>
      <c r="E18" s="1092" t="s">
        <v>899</v>
      </c>
      <c r="F18" s="1068" t="s">
        <v>899</v>
      </c>
      <c r="G18" s="1068" t="s">
        <v>899</v>
      </c>
      <c r="H18" s="989" t="s">
        <v>899</v>
      </c>
      <c r="I18" s="1125" t="s">
        <v>899</v>
      </c>
      <c r="J18" s="1095" t="s">
        <v>899</v>
      </c>
    </row>
    <row r="19" spans="1:16">
      <c r="A19" s="990" t="s">
        <v>466</v>
      </c>
      <c r="B19" s="988" t="s">
        <v>503</v>
      </c>
      <c r="C19" s="1057" t="s">
        <v>23</v>
      </c>
      <c r="D19" s="991" t="s">
        <v>518</v>
      </c>
      <c r="E19" s="1068" t="s">
        <v>518</v>
      </c>
      <c r="F19" s="1068" t="s">
        <v>518</v>
      </c>
      <c r="G19" s="1068" t="s">
        <v>518</v>
      </c>
      <c r="H19" s="989" t="s">
        <v>518</v>
      </c>
      <c r="I19" s="1125" t="s">
        <v>518</v>
      </c>
      <c r="J19" s="1095" t="s">
        <v>518</v>
      </c>
    </row>
    <row r="20" spans="1:16">
      <c r="A20" s="990" t="s">
        <v>482</v>
      </c>
      <c r="B20" s="1159">
        <v>0.03</v>
      </c>
      <c r="C20" s="1057" t="s">
        <v>23</v>
      </c>
      <c r="D20" s="1083">
        <v>0.01</v>
      </c>
      <c r="E20" s="1090">
        <v>0.01</v>
      </c>
      <c r="F20" s="1090">
        <v>0.01</v>
      </c>
      <c r="G20" s="1090">
        <v>0.01</v>
      </c>
      <c r="H20" s="1038">
        <v>0.01</v>
      </c>
      <c r="I20" s="1128">
        <v>0.01</v>
      </c>
      <c r="J20" s="1098">
        <v>0.01</v>
      </c>
    </row>
    <row r="21" spans="1:16" ht="15.6" thickBot="1">
      <c r="A21" s="990" t="s">
        <v>544</v>
      </c>
      <c r="B21" s="1159" t="s">
        <v>545</v>
      </c>
      <c r="C21" s="1057" t="s">
        <v>23</v>
      </c>
      <c r="D21" s="1083" t="s">
        <v>545</v>
      </c>
      <c r="E21" s="1083" t="s">
        <v>545</v>
      </c>
      <c r="F21" s="1083" t="s">
        <v>545</v>
      </c>
      <c r="G21" s="1090" t="s">
        <v>545</v>
      </c>
      <c r="H21" s="1083" t="s">
        <v>545</v>
      </c>
      <c r="I21" s="1038" t="s">
        <v>545</v>
      </c>
      <c r="J21" s="1098" t="s">
        <v>545</v>
      </c>
      <c r="M21" s="868" t="s">
        <v>526</v>
      </c>
      <c r="N21"/>
      <c r="O21"/>
      <c r="P21"/>
    </row>
    <row r="22" spans="1:16">
      <c r="B22" s="1156"/>
      <c r="C22" s="1055"/>
      <c r="D22" s="985"/>
      <c r="E22" s="1067"/>
      <c r="F22" s="1067"/>
      <c r="G22" s="1067"/>
      <c r="H22" s="984"/>
      <c r="I22" s="1123"/>
      <c r="J22" s="1094"/>
      <c r="M22" s="1025" t="s">
        <v>569</v>
      </c>
      <c r="N22" s="871"/>
      <c r="O22" s="871"/>
      <c r="P22" s="1026">
        <v>195579.13982506286</v>
      </c>
    </row>
    <row r="23" spans="1:16" ht="15.6">
      <c r="A23" s="983" t="s">
        <v>485</v>
      </c>
      <c r="B23" s="1160">
        <v>68</v>
      </c>
      <c r="C23" s="1140">
        <v>73.5</v>
      </c>
      <c r="D23" s="1076">
        <v>73.5</v>
      </c>
      <c r="E23" s="1076">
        <v>73.5</v>
      </c>
      <c r="F23" s="1076">
        <v>73.5</v>
      </c>
      <c r="G23" s="1076">
        <v>73.5</v>
      </c>
      <c r="H23" s="1085">
        <v>73.5</v>
      </c>
      <c r="I23" s="992">
        <v>73.5</v>
      </c>
      <c r="J23" s="1106">
        <v>73.5</v>
      </c>
      <c r="M23" s="874" t="s">
        <v>567</v>
      </c>
      <c r="N23" s="872"/>
      <c r="O23" s="1032"/>
      <c r="P23" s="1027">
        <v>-95299.681544600957</v>
      </c>
    </row>
    <row r="24" spans="1:16" ht="15.6">
      <c r="A24" s="983" t="s">
        <v>479</v>
      </c>
      <c r="B24" s="1161">
        <v>3.86</v>
      </c>
      <c r="C24" s="1171">
        <v>9.36</v>
      </c>
      <c r="D24" s="1084">
        <v>9.36</v>
      </c>
      <c r="E24" s="1071">
        <v>9.36</v>
      </c>
      <c r="F24" s="1071">
        <v>9.36</v>
      </c>
      <c r="G24" s="1071">
        <v>9.36</v>
      </c>
      <c r="H24" s="993">
        <v>9.36</v>
      </c>
      <c r="I24" s="1129">
        <v>9.36</v>
      </c>
      <c r="J24" s="1099">
        <v>9.36</v>
      </c>
      <c r="M24" s="874" t="s">
        <v>509</v>
      </c>
      <c r="N24" s="872"/>
      <c r="O24" s="1031">
        <v>100279458.28046177</v>
      </c>
      <c r="P24" s="1028">
        <v>100279.4582804619</v>
      </c>
    </row>
    <row r="25" spans="1:16">
      <c r="B25" s="1160"/>
      <c r="C25" s="1055"/>
      <c r="D25" s="1085"/>
      <c r="E25" s="1076"/>
      <c r="F25" s="1076"/>
      <c r="G25" s="1076"/>
      <c r="H25" s="992"/>
      <c r="I25" s="1123"/>
      <c r="J25" s="1094"/>
      <c r="M25" s="874" t="s">
        <v>510</v>
      </c>
      <c r="N25" s="872"/>
      <c r="O25" s="872"/>
      <c r="P25" s="1029">
        <v>-14000</v>
      </c>
    </row>
    <row r="26" spans="1:16" ht="15.6">
      <c r="A26" s="983" t="s">
        <v>486</v>
      </c>
      <c r="B26" s="1161">
        <v>4.5</v>
      </c>
      <c r="C26" s="1171">
        <v>0</v>
      </c>
      <c r="D26" s="1108">
        <v>4.5</v>
      </c>
      <c r="E26" s="1071">
        <v>4.5</v>
      </c>
      <c r="F26" s="1071">
        <v>4.5</v>
      </c>
      <c r="G26" s="1071">
        <v>4.5</v>
      </c>
      <c r="H26" s="993">
        <v>4.5</v>
      </c>
      <c r="I26" s="1130">
        <v>22.5</v>
      </c>
      <c r="J26" s="1099">
        <v>22.5</v>
      </c>
      <c r="M26" s="874" t="s">
        <v>568</v>
      </c>
      <c r="N26" s="872"/>
      <c r="O26" s="872"/>
      <c r="P26" s="1028">
        <v>86279.458280461899</v>
      </c>
    </row>
    <row r="27" spans="1:16" ht="15.6">
      <c r="A27" s="983" t="s">
        <v>487</v>
      </c>
      <c r="B27" s="1161">
        <v>3.93</v>
      </c>
      <c r="C27" s="1059">
        <v>3.54</v>
      </c>
      <c r="D27" s="1108">
        <v>3.65</v>
      </c>
      <c r="E27" s="1071">
        <v>3.65</v>
      </c>
      <c r="F27" s="1091">
        <v>3.88</v>
      </c>
      <c r="G27" s="1071">
        <v>3.65</v>
      </c>
      <c r="H27" s="1139">
        <v>3.94</v>
      </c>
      <c r="I27" s="1130">
        <v>5.17</v>
      </c>
      <c r="J27" s="1100">
        <v>5.79</v>
      </c>
      <c r="M27" s="874" t="s">
        <v>511</v>
      </c>
      <c r="N27" s="872"/>
      <c r="O27" s="872"/>
      <c r="P27" s="1028">
        <v>-71000</v>
      </c>
    </row>
    <row r="28" spans="1:16">
      <c r="A28" s="983" t="s">
        <v>488</v>
      </c>
      <c r="B28" s="1161">
        <v>0.56000000000000005</v>
      </c>
      <c r="C28" s="1059">
        <v>0.53</v>
      </c>
      <c r="D28" s="1084">
        <v>0.53</v>
      </c>
      <c r="E28" s="1071">
        <v>0.53</v>
      </c>
      <c r="F28" s="1071">
        <v>0.53</v>
      </c>
      <c r="G28" s="1071">
        <v>0.53</v>
      </c>
      <c r="H28" s="993">
        <v>0.53</v>
      </c>
      <c r="I28" s="1129">
        <v>0.53</v>
      </c>
      <c r="J28" s="1099">
        <v>0.53</v>
      </c>
      <c r="M28" s="874" t="s">
        <v>565</v>
      </c>
      <c r="N28" s="872"/>
      <c r="O28" s="872"/>
      <c r="P28" s="1028">
        <v>-2500</v>
      </c>
    </row>
    <row r="29" spans="1:16">
      <c r="B29" s="1156"/>
      <c r="C29" s="1055"/>
      <c r="D29" s="985"/>
      <c r="E29" s="1067"/>
      <c r="F29" s="1067"/>
      <c r="G29" s="1067"/>
      <c r="H29" s="984"/>
      <c r="I29" s="1123"/>
      <c r="J29" s="1094"/>
      <c r="M29" s="874" t="s">
        <v>566</v>
      </c>
      <c r="N29" s="872"/>
      <c r="O29" s="1034">
        <v>75</v>
      </c>
      <c r="P29" s="1027">
        <v>-6866.6286933915462</v>
      </c>
    </row>
    <row r="30" spans="1:16" ht="15.6" thickBot="1">
      <c r="A30" s="983" t="s">
        <v>529</v>
      </c>
      <c r="B30" s="988" t="s">
        <v>536</v>
      </c>
      <c r="C30" s="1172" t="s">
        <v>536</v>
      </c>
      <c r="D30" s="1072" t="s">
        <v>536</v>
      </c>
      <c r="E30" s="1072" t="s">
        <v>536</v>
      </c>
      <c r="F30" s="1072" t="s">
        <v>574</v>
      </c>
      <c r="G30" s="1072" t="s">
        <v>536</v>
      </c>
      <c r="H30" s="1136" t="s">
        <v>574</v>
      </c>
      <c r="I30" s="1131" t="s">
        <v>536</v>
      </c>
      <c r="J30" s="1101" t="s">
        <v>574</v>
      </c>
      <c r="M30" s="875" t="s">
        <v>512</v>
      </c>
      <c r="N30" s="873"/>
      <c r="O30" s="873"/>
      <c r="P30" s="1030">
        <v>5912.8295870703523</v>
      </c>
    </row>
    <row r="31" spans="1:16">
      <c r="A31" s="983" t="s">
        <v>775</v>
      </c>
      <c r="B31" s="1162">
        <v>36271</v>
      </c>
      <c r="C31" s="1060">
        <f>CURVES!$E$3</f>
        <v>36508</v>
      </c>
      <c r="D31" s="1086">
        <f>CURVES!$E$3</f>
        <v>36508</v>
      </c>
      <c r="E31" s="1073">
        <f>CURVES!$E$3</f>
        <v>36508</v>
      </c>
      <c r="F31" s="1073">
        <f>CURVES!$E$3</f>
        <v>36508</v>
      </c>
      <c r="G31" s="1073">
        <f>CURVES!$E$3</f>
        <v>36508</v>
      </c>
      <c r="H31" s="994">
        <f>CURVES!$E$3</f>
        <v>36508</v>
      </c>
      <c r="I31" s="1132">
        <f>CURVES!$E$3</f>
        <v>36508</v>
      </c>
      <c r="J31" s="1102">
        <f>CURVES!$E$3</f>
        <v>36508</v>
      </c>
    </row>
    <row r="32" spans="1:16">
      <c r="A32" s="983" t="s">
        <v>550</v>
      </c>
      <c r="B32" s="988" t="s">
        <v>701</v>
      </c>
      <c r="C32" s="1057" t="s">
        <v>701</v>
      </c>
      <c r="D32" s="991" t="s">
        <v>701</v>
      </c>
      <c r="E32" s="1069" t="s">
        <v>701</v>
      </c>
      <c r="F32" s="1069" t="s">
        <v>701</v>
      </c>
      <c r="G32" s="1068" t="s">
        <v>701</v>
      </c>
      <c r="H32" s="989" t="s">
        <v>701</v>
      </c>
      <c r="I32" s="1125" t="s">
        <v>701</v>
      </c>
      <c r="J32" s="1095" t="s">
        <v>701</v>
      </c>
    </row>
    <row r="33" spans="1:10">
      <c r="A33" s="983" t="s">
        <v>549</v>
      </c>
      <c r="B33" s="1163">
        <v>0.02</v>
      </c>
      <c r="C33" s="1061">
        <v>0.02</v>
      </c>
      <c r="D33" s="1087">
        <v>0.02</v>
      </c>
      <c r="E33" s="1074">
        <v>0.02</v>
      </c>
      <c r="F33" s="1074">
        <v>0.02</v>
      </c>
      <c r="G33" s="1074">
        <v>0.02</v>
      </c>
      <c r="H33" s="997">
        <v>0.02</v>
      </c>
      <c r="I33" s="1133">
        <v>0.02</v>
      </c>
      <c r="J33" s="1103">
        <v>0.02</v>
      </c>
    </row>
    <row r="34" spans="1:10">
      <c r="B34" s="1164"/>
      <c r="C34" s="1062"/>
      <c r="D34" s="1088"/>
      <c r="E34" s="1075"/>
      <c r="F34" s="1075"/>
      <c r="G34" s="1075"/>
      <c r="H34" s="996"/>
      <c r="I34" s="1134"/>
      <c r="J34" s="1104"/>
    </row>
    <row r="35" spans="1:10" ht="15.6">
      <c r="A35" s="983" t="s">
        <v>547</v>
      </c>
      <c r="B35" s="1165" t="s">
        <v>542</v>
      </c>
      <c r="C35" s="1173" t="s">
        <v>542</v>
      </c>
      <c r="D35" s="1078" t="s">
        <v>542</v>
      </c>
      <c r="E35" s="1078" t="s">
        <v>542</v>
      </c>
      <c r="F35" s="1078" t="s">
        <v>542</v>
      </c>
      <c r="G35" s="1078" t="s">
        <v>542</v>
      </c>
      <c r="H35" s="1137" t="s">
        <v>542</v>
      </c>
      <c r="I35" s="1137" t="s">
        <v>542</v>
      </c>
      <c r="J35" s="1105" t="s">
        <v>542</v>
      </c>
    </row>
    <row r="36" spans="1:10" ht="15.6">
      <c r="A36" s="983" t="s">
        <v>496</v>
      </c>
      <c r="B36" s="1160">
        <v>64</v>
      </c>
      <c r="C36" s="1140">
        <v>60.5</v>
      </c>
      <c r="D36" s="1110">
        <v>66.400000000000006</v>
      </c>
      <c r="E36" s="1076">
        <v>66.400000000000006</v>
      </c>
      <c r="F36" s="1076">
        <v>66.400000000000006</v>
      </c>
      <c r="G36" s="1076">
        <v>66.400000000000006</v>
      </c>
      <c r="H36" s="992">
        <v>66.400000000000006</v>
      </c>
      <c r="I36" s="1135">
        <v>82.5</v>
      </c>
      <c r="J36" s="1106">
        <v>82.5</v>
      </c>
    </row>
    <row r="37" spans="1:10">
      <c r="A37" s="983" t="s">
        <v>745</v>
      </c>
      <c r="B37" s="1163">
        <v>7.4999999999999997E-2</v>
      </c>
      <c r="C37" s="1061">
        <v>7.4999999999999997E-2</v>
      </c>
      <c r="D37" s="1087">
        <v>7.4999999999999997E-2</v>
      </c>
      <c r="E37" s="1074">
        <v>7.4999999999999997E-2</v>
      </c>
      <c r="F37" s="1074">
        <v>7.4999999999999997E-2</v>
      </c>
      <c r="G37" s="1074">
        <v>7.4999999999999997E-2</v>
      </c>
      <c r="H37" s="997">
        <v>7.4999999999999997E-2</v>
      </c>
      <c r="I37" s="1133">
        <v>7.4999999999999997E-2</v>
      </c>
      <c r="J37" s="1103">
        <v>7.4999999999999997E-2</v>
      </c>
    </row>
    <row r="38" spans="1:10" ht="15.6">
      <c r="A38" s="983" t="s">
        <v>537</v>
      </c>
      <c r="B38" s="988">
        <v>15</v>
      </c>
      <c r="C38" s="1174">
        <v>17</v>
      </c>
      <c r="D38" s="991">
        <v>17</v>
      </c>
      <c r="E38" s="1068">
        <v>17</v>
      </c>
      <c r="F38" s="1068">
        <v>17</v>
      </c>
      <c r="G38" s="1068">
        <v>17</v>
      </c>
      <c r="H38" s="991">
        <v>17</v>
      </c>
      <c r="I38" s="1125">
        <v>17</v>
      </c>
      <c r="J38" s="1095">
        <v>17</v>
      </c>
    </row>
    <row r="39" spans="1:10">
      <c r="B39" s="1156"/>
      <c r="C39" s="1055"/>
      <c r="D39" s="985"/>
      <c r="E39" s="1067"/>
      <c r="F39" s="1067"/>
      <c r="G39" s="1067"/>
      <c r="H39" s="984"/>
      <c r="I39" s="1123"/>
      <c r="J39" s="1094"/>
    </row>
    <row r="40" spans="1:10" ht="15.6">
      <c r="A40" s="986" t="s">
        <v>505</v>
      </c>
      <c r="B40" s="1156"/>
      <c r="C40" s="1055"/>
      <c r="D40" s="985"/>
      <c r="E40" s="1067"/>
      <c r="F40" s="1067"/>
      <c r="G40" s="1067"/>
      <c r="H40" s="984"/>
      <c r="I40" s="1123"/>
      <c r="J40" s="1094"/>
    </row>
    <row r="41" spans="1:10" ht="15.6">
      <c r="A41" s="986"/>
      <c r="B41" s="1156"/>
      <c r="C41" s="1055"/>
      <c r="D41" s="985"/>
      <c r="E41" s="1067"/>
      <c r="F41" s="1067"/>
      <c r="G41" s="1067"/>
      <c r="H41" s="984"/>
      <c r="I41" s="1123"/>
      <c r="J41" s="1094"/>
    </row>
    <row r="42" spans="1:10" ht="15.6">
      <c r="A42" s="983" t="s">
        <v>548</v>
      </c>
      <c r="B42" s="1166">
        <v>14.5</v>
      </c>
      <c r="C42" s="1140">
        <v>16.7</v>
      </c>
      <c r="D42" s="1110">
        <v>17.600000000000001</v>
      </c>
      <c r="E42" s="1070">
        <v>17.600000000000001</v>
      </c>
      <c r="F42" s="1070">
        <v>17.600000000000001</v>
      </c>
      <c r="G42" s="1070">
        <v>17.600000000000001</v>
      </c>
      <c r="H42" s="1141">
        <v>17.600000000000001</v>
      </c>
      <c r="I42" s="1135">
        <v>21.2</v>
      </c>
      <c r="J42" s="1109">
        <v>21.2</v>
      </c>
    </row>
    <row r="43" spans="1:10" ht="15.6">
      <c r="A43" s="983" t="s">
        <v>576</v>
      </c>
      <c r="B43" s="1166">
        <v>2.1</v>
      </c>
      <c r="C43" s="1140">
        <v>-1.9</v>
      </c>
      <c r="D43" s="1110">
        <v>1.4</v>
      </c>
      <c r="E43" s="1070">
        <v>2.8</v>
      </c>
      <c r="F43" s="1070">
        <v>4.3</v>
      </c>
      <c r="G43" s="1070">
        <v>3.5</v>
      </c>
      <c r="H43" s="1141">
        <v>4.5</v>
      </c>
      <c r="I43" s="1135">
        <v>7.4</v>
      </c>
      <c r="J43" s="1109">
        <v>8</v>
      </c>
    </row>
    <row r="44" spans="1:10" ht="15.6">
      <c r="A44" s="983" t="s">
        <v>464</v>
      </c>
      <c r="B44" s="1167">
        <v>0.12</v>
      </c>
      <c r="C44" s="1142">
        <v>0.1037</v>
      </c>
      <c r="D44" s="1144">
        <v>0.13200000000000001</v>
      </c>
      <c r="E44" s="1143">
        <v>0.14399999999999999</v>
      </c>
      <c r="F44" s="1143">
        <v>0.151</v>
      </c>
      <c r="G44" s="1143">
        <v>0.151</v>
      </c>
      <c r="H44" s="1145">
        <v>0.152</v>
      </c>
      <c r="I44" s="1146">
        <v>0.17499999999999999</v>
      </c>
      <c r="J44" s="1147">
        <v>0.16700000000000001</v>
      </c>
    </row>
    <row r="45" spans="1:10" ht="16.2" thickBot="1">
      <c r="A45" s="983" t="s">
        <v>481</v>
      </c>
      <c r="B45" s="1168" t="s">
        <v>523</v>
      </c>
      <c r="C45" s="1148" t="s">
        <v>578</v>
      </c>
      <c r="D45" s="1150" t="s">
        <v>577</v>
      </c>
      <c r="E45" s="1149" t="s">
        <v>575</v>
      </c>
      <c r="F45" s="1149" t="s">
        <v>535</v>
      </c>
      <c r="G45" s="1149" t="s">
        <v>579</v>
      </c>
      <c r="H45" s="1151" t="s">
        <v>535</v>
      </c>
      <c r="I45" s="1152" t="s">
        <v>546</v>
      </c>
      <c r="J45" s="1153" t="s">
        <v>580</v>
      </c>
    </row>
    <row r="48" spans="1:10">
      <c r="A48" s="1113" t="s">
        <v>553</v>
      </c>
    </row>
    <row r="49" spans="1:19">
      <c r="A49" s="983" t="s">
        <v>552</v>
      </c>
    </row>
    <row r="50" spans="1:19">
      <c r="A50" s="983" t="s">
        <v>563</v>
      </c>
    </row>
    <row r="52" spans="1:19">
      <c r="A52" s="1113" t="s">
        <v>554</v>
      </c>
    </row>
    <row r="53" spans="1:19" ht="15.6">
      <c r="A53" s="983" t="s">
        <v>555</v>
      </c>
      <c r="E53"/>
      <c r="F53"/>
      <c r="K53" s="998"/>
      <c r="L53" s="999" t="s">
        <v>787</v>
      </c>
      <c r="M53" s="984"/>
      <c r="N53" s="1001" t="s">
        <v>787</v>
      </c>
      <c r="O53" s="984"/>
      <c r="P53" s="1000" t="s">
        <v>787</v>
      </c>
      <c r="Q53" s="984"/>
      <c r="R53" s="1001" t="s">
        <v>787</v>
      </c>
    </row>
    <row r="54" spans="1:19" ht="15.6">
      <c r="A54" s="983" t="s">
        <v>557</v>
      </c>
      <c r="E54" s="984"/>
      <c r="F54" s="984"/>
      <c r="G54" s="984"/>
      <c r="H54" s="984"/>
      <c r="I54" s="984"/>
      <c r="J54" s="984"/>
      <c r="O54" s="984"/>
      <c r="Q54" s="984"/>
      <c r="S54" s="1002"/>
    </row>
    <row r="55" spans="1:19" ht="15.6">
      <c r="A55" s="983" t="s">
        <v>556</v>
      </c>
      <c r="E55" s="1001"/>
      <c r="F55" s="1001"/>
      <c r="G55" s="999"/>
      <c r="H55" s="999"/>
      <c r="O55" s="997"/>
      <c r="Q55" s="984"/>
      <c r="S55" s="984"/>
    </row>
    <row r="56" spans="1:19">
      <c r="E56" s="992"/>
      <c r="F56" s="992"/>
      <c r="G56" s="992"/>
      <c r="H56" s="992"/>
      <c r="O56" s="984"/>
      <c r="Q56" s="984"/>
      <c r="S56" s="984"/>
    </row>
    <row r="57" spans="1:19">
      <c r="E57" s="1003"/>
      <c r="F57" s="1003"/>
      <c r="G57" s="1003"/>
      <c r="H57" s="1003"/>
      <c r="S57" s="984"/>
    </row>
    <row r="58" spans="1:19">
      <c r="K58" s="1003"/>
      <c r="L58" s="1003"/>
      <c r="M58" s="1003"/>
    </row>
    <row r="59" spans="1:19">
      <c r="E59" s="1003"/>
      <c r="F59" s="1003"/>
      <c r="G59" s="1003"/>
      <c r="H59" s="1003"/>
      <c r="I59" s="1003"/>
      <c r="J59" s="1003"/>
    </row>
    <row r="95" spans="3:4">
      <c r="C95" s="1024"/>
      <c r="D95" s="1024"/>
    </row>
    <row r="96" spans="3:4">
      <c r="C96" s="1024"/>
      <c r="D96" s="1024"/>
    </row>
    <row r="97" spans="3:4">
      <c r="C97" s="1024"/>
      <c r="D97" s="1024"/>
    </row>
    <row r="98" spans="3:4">
      <c r="C98" s="1024"/>
      <c r="D98" s="1024"/>
    </row>
    <row r="99" spans="3:4">
      <c r="C99" s="1024"/>
      <c r="D99" s="1024"/>
    </row>
    <row r="100" spans="3:4">
      <c r="C100" s="1024"/>
      <c r="D100" s="1024"/>
    </row>
    <row r="101" spans="3:4">
      <c r="C101" s="1024"/>
      <c r="D101" s="1024"/>
    </row>
    <row r="102" spans="3:4">
      <c r="C102" s="1024"/>
      <c r="D102" s="1024"/>
    </row>
    <row r="103" spans="3:4">
      <c r="C103" s="1024"/>
      <c r="D103" s="1024"/>
    </row>
    <row r="104" spans="3:4">
      <c r="C104" s="1024"/>
      <c r="D104" s="1024"/>
    </row>
    <row r="105" spans="3:4">
      <c r="C105" s="1024"/>
      <c r="D105" s="1024"/>
    </row>
    <row r="106" spans="3:4">
      <c r="C106" s="1024"/>
      <c r="D106" s="1024"/>
    </row>
    <row r="107" spans="3:4">
      <c r="C107" s="1024"/>
      <c r="D107" s="1024"/>
    </row>
    <row r="108" spans="3:4">
      <c r="C108" s="1024"/>
      <c r="D108" s="1024"/>
    </row>
    <row r="109" spans="3:4">
      <c r="C109" s="1024"/>
      <c r="D109" s="1024"/>
    </row>
    <row r="110" spans="3:4">
      <c r="C110" s="1024"/>
      <c r="D110" s="1024"/>
    </row>
    <row r="111" spans="3:4">
      <c r="C111" s="1024"/>
      <c r="D111" s="1024"/>
    </row>
    <row r="112" spans="3:4">
      <c r="C112" s="1024"/>
      <c r="D112" s="1024"/>
    </row>
    <row r="113" spans="3:4">
      <c r="C113" s="1024"/>
      <c r="D113" s="1024"/>
    </row>
    <row r="114" spans="3:4">
      <c r="C114" s="1024"/>
      <c r="D114" s="1024"/>
    </row>
    <row r="115" spans="3:4">
      <c r="C115" s="1024"/>
      <c r="D115" s="1024"/>
    </row>
    <row r="116" spans="3:4">
      <c r="C116" s="1024"/>
      <c r="D116" s="1024"/>
    </row>
    <row r="117" spans="3:4">
      <c r="C117" s="1024"/>
      <c r="D117" s="1024"/>
    </row>
    <row r="118" spans="3:4">
      <c r="C118" s="1024"/>
      <c r="D118" s="1024"/>
    </row>
    <row r="119" spans="3:4">
      <c r="C119" s="1024"/>
      <c r="D119" s="1024"/>
    </row>
    <row r="120" spans="3:4">
      <c r="C120" s="1024"/>
      <c r="D120" s="1024"/>
    </row>
    <row r="121" spans="3:4">
      <c r="C121" s="1024"/>
      <c r="D121" s="1024"/>
    </row>
    <row r="122" spans="3:4">
      <c r="C122" s="1024"/>
      <c r="D122" s="1024"/>
    </row>
    <row r="123" spans="3:4">
      <c r="C123" s="1024"/>
      <c r="D123" s="1024"/>
    </row>
    <row r="124" spans="3:4">
      <c r="C124" s="1024"/>
      <c r="D124" s="1024"/>
    </row>
    <row r="125" spans="3:4">
      <c r="C125" s="1024"/>
      <c r="D125" s="1024"/>
    </row>
    <row r="126" spans="3:4">
      <c r="C126" s="1024"/>
      <c r="D126" s="1024"/>
    </row>
    <row r="127" spans="3:4">
      <c r="C127" s="1024"/>
      <c r="D127" s="1024"/>
    </row>
    <row r="128" spans="3:4">
      <c r="C128" s="1024"/>
      <c r="D128" s="1024"/>
    </row>
    <row r="129" spans="3:4">
      <c r="C129" s="1024"/>
      <c r="D129" s="1024"/>
    </row>
    <row r="130" spans="3:4">
      <c r="C130" s="1024"/>
      <c r="D130" s="1024"/>
    </row>
    <row r="131" spans="3:4">
      <c r="C131" s="1024"/>
      <c r="D131" s="1024"/>
    </row>
    <row r="132" spans="3:4">
      <c r="C132" s="1024"/>
      <c r="D132" s="1024"/>
    </row>
    <row r="133" spans="3:4">
      <c r="C133" s="1024"/>
      <c r="D133" s="1024"/>
    </row>
    <row r="134" spans="3:4">
      <c r="C134" s="1024"/>
      <c r="D134" s="1024"/>
    </row>
    <row r="135" spans="3:4">
      <c r="C135" s="1024"/>
      <c r="D135" s="1024"/>
    </row>
    <row r="136" spans="3:4">
      <c r="C136" s="1024"/>
      <c r="D136" s="1024"/>
    </row>
    <row r="137" spans="3:4">
      <c r="C137" s="1024"/>
      <c r="D137" s="1024"/>
    </row>
    <row r="138" spans="3:4">
      <c r="C138" s="1024"/>
      <c r="D138" s="1024"/>
    </row>
    <row r="139" spans="3:4">
      <c r="C139" s="1024"/>
      <c r="D139" s="1024"/>
    </row>
    <row r="140" spans="3:4">
      <c r="C140" s="1024"/>
      <c r="D140" s="1024"/>
    </row>
    <row r="141" spans="3:4">
      <c r="C141" s="1024"/>
      <c r="D141" s="1024"/>
    </row>
    <row r="142" spans="3:4">
      <c r="C142" s="1024"/>
      <c r="D142" s="1024"/>
    </row>
    <row r="143" spans="3:4">
      <c r="C143" s="1024"/>
      <c r="D143" s="1024"/>
    </row>
    <row r="144" spans="3:4">
      <c r="C144" s="1024"/>
      <c r="D144" s="1024"/>
    </row>
    <row r="145" spans="3:4">
      <c r="C145" s="1024"/>
      <c r="D145" s="1024"/>
    </row>
    <row r="146" spans="3:4">
      <c r="C146" s="1024"/>
      <c r="D146" s="1024"/>
    </row>
    <row r="147" spans="3:4">
      <c r="C147" s="1024"/>
      <c r="D147" s="1024"/>
    </row>
    <row r="148" spans="3:4">
      <c r="C148" s="1024"/>
      <c r="D148" s="1024"/>
    </row>
    <row r="149" spans="3:4">
      <c r="C149" s="1024"/>
      <c r="D149" s="1024"/>
    </row>
    <row r="150" spans="3:4">
      <c r="C150" s="1024"/>
      <c r="D150" s="1024"/>
    </row>
    <row r="151" spans="3:4">
      <c r="C151" s="1024"/>
      <c r="D151" s="1024"/>
    </row>
    <row r="152" spans="3:4">
      <c r="C152" s="1024"/>
      <c r="D152" s="1024"/>
    </row>
    <row r="153" spans="3:4">
      <c r="C153" s="1024"/>
      <c r="D153" s="1024"/>
    </row>
    <row r="154" spans="3:4">
      <c r="C154" s="1024"/>
      <c r="D154" s="1024"/>
    </row>
    <row r="155" spans="3:4">
      <c r="C155" s="1024"/>
      <c r="D155" s="1024"/>
    </row>
    <row r="156" spans="3:4">
      <c r="C156" s="1024"/>
      <c r="D156" s="1024"/>
    </row>
    <row r="157" spans="3:4">
      <c r="C157" s="1024"/>
      <c r="D157" s="1024"/>
    </row>
    <row r="158" spans="3:4">
      <c r="C158" s="1024"/>
      <c r="D158" s="1024"/>
    </row>
    <row r="159" spans="3:4">
      <c r="C159" s="1024"/>
      <c r="D159" s="1024"/>
    </row>
    <row r="160" spans="3:4">
      <c r="C160" s="1024"/>
      <c r="D160" s="1024"/>
    </row>
    <row r="161" spans="3:4">
      <c r="C161" s="1024"/>
      <c r="D161" s="1024"/>
    </row>
    <row r="162" spans="3:4">
      <c r="C162" s="1024"/>
      <c r="D162" s="1024"/>
    </row>
    <row r="163" spans="3:4">
      <c r="C163" s="1024"/>
      <c r="D163" s="1024"/>
    </row>
    <row r="164" spans="3:4">
      <c r="C164" s="1024"/>
      <c r="D164" s="1024"/>
    </row>
    <row r="165" spans="3:4">
      <c r="C165" s="1024"/>
      <c r="D165" s="1024"/>
    </row>
    <row r="166" spans="3:4">
      <c r="C166" s="1024"/>
      <c r="D166" s="1024"/>
    </row>
    <row r="167" spans="3:4">
      <c r="C167" s="1024"/>
      <c r="D167" s="1024"/>
    </row>
    <row r="168" spans="3:4">
      <c r="C168" s="1024"/>
      <c r="D168" s="1024"/>
    </row>
    <row r="169" spans="3:4">
      <c r="C169" s="1024"/>
      <c r="D169" s="1024"/>
    </row>
    <row r="170" spans="3:4">
      <c r="C170" s="1024"/>
      <c r="D170" s="1024"/>
    </row>
    <row r="171" spans="3:4">
      <c r="C171" s="1024"/>
      <c r="D171" s="1024"/>
    </row>
    <row r="172" spans="3:4">
      <c r="C172" s="1024"/>
      <c r="D172" s="1024"/>
    </row>
    <row r="173" spans="3:4">
      <c r="C173" s="1024"/>
      <c r="D173" s="1024"/>
    </row>
    <row r="174" spans="3:4">
      <c r="C174" s="1024"/>
      <c r="D174" s="1024"/>
    </row>
    <row r="175" spans="3:4">
      <c r="C175" s="1024"/>
      <c r="D175" s="1024"/>
    </row>
    <row r="176" spans="3:4">
      <c r="C176" s="1024"/>
      <c r="D176" s="1024"/>
    </row>
    <row r="177" spans="3:4">
      <c r="C177" s="1024"/>
      <c r="D177" s="1024"/>
    </row>
    <row r="178" spans="3:4">
      <c r="C178" s="1024"/>
      <c r="D178" s="1024"/>
    </row>
    <row r="179" spans="3:4">
      <c r="C179" s="1024"/>
      <c r="D179" s="1024"/>
    </row>
    <row r="180" spans="3:4">
      <c r="C180" s="1024"/>
      <c r="D180" s="1024"/>
    </row>
    <row r="181" spans="3:4">
      <c r="C181" s="1024"/>
      <c r="D181" s="1024"/>
    </row>
    <row r="182" spans="3:4">
      <c r="C182" s="1024"/>
      <c r="D182" s="1024"/>
    </row>
    <row r="183" spans="3:4">
      <c r="C183" s="1024"/>
      <c r="D183" s="1024"/>
    </row>
    <row r="184" spans="3:4">
      <c r="C184" s="1024"/>
      <c r="D184" s="1024"/>
    </row>
    <row r="185" spans="3:4">
      <c r="C185" s="1024"/>
      <c r="D185" s="1024"/>
    </row>
    <row r="186" spans="3:4">
      <c r="C186" s="1024"/>
      <c r="D186" s="1024"/>
    </row>
    <row r="187" spans="3:4">
      <c r="C187" s="1024"/>
      <c r="D187" s="1024"/>
    </row>
    <row r="188" spans="3:4">
      <c r="C188" s="1024"/>
      <c r="D188" s="1024"/>
    </row>
    <row r="189" spans="3:4">
      <c r="C189" s="1024"/>
      <c r="D189" s="1024"/>
    </row>
    <row r="190" spans="3:4">
      <c r="C190" s="1024"/>
      <c r="D190" s="1024"/>
    </row>
    <row r="191" spans="3:4">
      <c r="C191" s="1024"/>
      <c r="D191" s="1024"/>
    </row>
    <row r="192" spans="3:4">
      <c r="C192" s="1024"/>
      <c r="D192" s="1024"/>
    </row>
    <row r="193" spans="3:4">
      <c r="C193" s="1024"/>
      <c r="D193" s="1024"/>
    </row>
    <row r="194" spans="3:4">
      <c r="C194" s="1024"/>
      <c r="D194" s="1024"/>
    </row>
    <row r="195" spans="3:4">
      <c r="C195" s="1024"/>
      <c r="D195" s="1024"/>
    </row>
    <row r="196" spans="3:4">
      <c r="C196" s="1024"/>
      <c r="D196" s="1024"/>
    </row>
    <row r="197" spans="3:4">
      <c r="C197" s="1024"/>
      <c r="D197" s="1024"/>
    </row>
    <row r="198" spans="3:4">
      <c r="C198" s="1024"/>
      <c r="D198" s="1024"/>
    </row>
    <row r="199" spans="3:4">
      <c r="C199" s="1024"/>
      <c r="D199" s="1024"/>
    </row>
    <row r="200" spans="3:4">
      <c r="C200" s="1024"/>
      <c r="D200" s="1024"/>
    </row>
    <row r="201" spans="3:4">
      <c r="C201" s="1024"/>
      <c r="D201" s="1024"/>
    </row>
    <row r="202" spans="3:4">
      <c r="C202" s="1024"/>
      <c r="D202" s="1024"/>
    </row>
    <row r="203" spans="3:4">
      <c r="C203" s="1024"/>
      <c r="D203" s="1024"/>
    </row>
    <row r="204" spans="3:4">
      <c r="C204" s="1024"/>
      <c r="D204" s="1024"/>
    </row>
    <row r="205" spans="3:4">
      <c r="C205" s="1024"/>
      <c r="D205" s="1024"/>
    </row>
    <row r="206" spans="3:4">
      <c r="C206" s="1024"/>
      <c r="D206" s="1024"/>
    </row>
    <row r="207" spans="3:4">
      <c r="C207" s="1024"/>
      <c r="D207" s="1024"/>
    </row>
    <row r="208" spans="3:4">
      <c r="C208" s="1024"/>
      <c r="D208" s="1024"/>
    </row>
    <row r="209" spans="3:4">
      <c r="C209" s="1024"/>
      <c r="D209" s="1024"/>
    </row>
    <row r="210" spans="3:4">
      <c r="C210" s="1024"/>
      <c r="D210" s="1024"/>
    </row>
    <row r="211" spans="3:4">
      <c r="C211" s="1024"/>
      <c r="D211" s="1024"/>
    </row>
    <row r="212" spans="3:4">
      <c r="C212" s="1024"/>
      <c r="D212" s="1024"/>
    </row>
    <row r="213" spans="3:4">
      <c r="C213" s="1024"/>
      <c r="D213" s="1024"/>
    </row>
    <row r="214" spans="3:4">
      <c r="C214" s="1024"/>
      <c r="D214" s="1024"/>
    </row>
    <row r="215" spans="3:4">
      <c r="C215" s="1024"/>
      <c r="D215" s="1024"/>
    </row>
    <row r="216" spans="3:4">
      <c r="C216" s="1024"/>
      <c r="D216" s="1024"/>
    </row>
    <row r="217" spans="3:4">
      <c r="C217" s="1024"/>
      <c r="D217" s="1024"/>
    </row>
    <row r="218" spans="3:4">
      <c r="C218" s="1024"/>
      <c r="D218" s="1024"/>
    </row>
    <row r="219" spans="3:4">
      <c r="C219" s="1024"/>
      <c r="D219" s="1024"/>
    </row>
    <row r="220" spans="3:4">
      <c r="C220" s="1024"/>
      <c r="D220" s="1024"/>
    </row>
    <row r="221" spans="3:4">
      <c r="C221" s="1024"/>
      <c r="D221" s="1024"/>
    </row>
    <row r="222" spans="3:4">
      <c r="C222" s="1024"/>
      <c r="D222" s="1024"/>
    </row>
    <row r="223" spans="3:4">
      <c r="C223" s="1024"/>
      <c r="D223" s="1024"/>
    </row>
    <row r="224" spans="3:4">
      <c r="C224" s="1024"/>
      <c r="D224" s="1024"/>
    </row>
    <row r="225" spans="3:4">
      <c r="C225" s="1024"/>
      <c r="D225" s="1024"/>
    </row>
    <row r="226" spans="3:4">
      <c r="C226" s="1024"/>
      <c r="D226" s="1024"/>
    </row>
    <row r="227" spans="3:4">
      <c r="C227" s="1024"/>
      <c r="D227" s="1024"/>
    </row>
    <row r="228" spans="3:4">
      <c r="C228" s="1024"/>
      <c r="D228" s="1024"/>
    </row>
    <row r="229" spans="3:4">
      <c r="C229" s="1024"/>
      <c r="D229" s="1024"/>
    </row>
    <row r="230" spans="3:4">
      <c r="C230" s="1024"/>
      <c r="D230" s="1024"/>
    </row>
    <row r="231" spans="3:4">
      <c r="C231" s="1024"/>
      <c r="D231" s="1024"/>
    </row>
    <row r="232" spans="3:4">
      <c r="C232" s="1024"/>
      <c r="D232" s="1024"/>
    </row>
    <row r="233" spans="3:4">
      <c r="C233" s="1024"/>
      <c r="D233" s="1024"/>
    </row>
    <row r="234" spans="3:4">
      <c r="C234" s="1024"/>
      <c r="D234" s="1024"/>
    </row>
    <row r="235" spans="3:4">
      <c r="C235" s="1024"/>
      <c r="D235" s="1024"/>
    </row>
    <row r="236" spans="3:4">
      <c r="C236" s="1024"/>
      <c r="D236" s="1024"/>
    </row>
    <row r="237" spans="3:4">
      <c r="C237" s="1024"/>
      <c r="D237" s="1024"/>
    </row>
    <row r="238" spans="3:4">
      <c r="C238" s="1024"/>
      <c r="D238" s="1024"/>
    </row>
    <row r="239" spans="3:4">
      <c r="C239" s="1024"/>
      <c r="D239" s="1024"/>
    </row>
    <row r="240" spans="3:4">
      <c r="C240" s="1024"/>
      <c r="D240" s="1024"/>
    </row>
    <row r="241" spans="3:4">
      <c r="C241" s="1024"/>
      <c r="D241" s="1024"/>
    </row>
    <row r="242" spans="3:4">
      <c r="C242" s="1024"/>
      <c r="D242" s="1024"/>
    </row>
    <row r="243" spans="3:4">
      <c r="C243" s="1024"/>
      <c r="D243" s="1024"/>
    </row>
    <row r="244" spans="3:4">
      <c r="C244" s="1024"/>
      <c r="D244" s="1024"/>
    </row>
    <row r="245" spans="3:4">
      <c r="C245" s="1024"/>
      <c r="D245" s="1024"/>
    </row>
    <row r="246" spans="3:4">
      <c r="C246" s="1024"/>
      <c r="D246" s="1024"/>
    </row>
    <row r="247" spans="3:4">
      <c r="C247" s="1024"/>
      <c r="D247" s="1024"/>
    </row>
    <row r="248" spans="3:4">
      <c r="C248" s="1024"/>
      <c r="D248" s="1024"/>
    </row>
    <row r="249" spans="3:4">
      <c r="C249" s="1024"/>
      <c r="D249" s="1024"/>
    </row>
    <row r="250" spans="3:4">
      <c r="C250" s="1024"/>
      <c r="D250" s="1024"/>
    </row>
    <row r="251" spans="3:4">
      <c r="C251" s="1024"/>
      <c r="D251" s="1024"/>
    </row>
    <row r="252" spans="3:4">
      <c r="C252" s="1024"/>
      <c r="D252" s="1024"/>
    </row>
    <row r="253" spans="3:4">
      <c r="C253" s="1024"/>
      <c r="D253" s="1024"/>
    </row>
    <row r="254" spans="3:4">
      <c r="C254" s="1024"/>
      <c r="D254" s="1024"/>
    </row>
    <row r="255" spans="3:4">
      <c r="C255" s="1024"/>
      <c r="D255" s="1024"/>
    </row>
    <row r="256" spans="3:4">
      <c r="C256" s="1024"/>
      <c r="D256" s="1024"/>
    </row>
    <row r="257" spans="3:4">
      <c r="C257" s="1024"/>
      <c r="D257" s="1024"/>
    </row>
    <row r="258" spans="3:4">
      <c r="C258" s="1024"/>
      <c r="D258" s="1024"/>
    </row>
    <row r="259" spans="3:4">
      <c r="C259" s="1024"/>
      <c r="D259" s="1024"/>
    </row>
    <row r="260" spans="3:4">
      <c r="C260" s="1024"/>
      <c r="D260" s="1024"/>
    </row>
    <row r="261" spans="3:4">
      <c r="C261" s="1024"/>
      <c r="D261" s="1024"/>
    </row>
    <row r="262" spans="3:4">
      <c r="C262" s="1024"/>
      <c r="D262" s="1024"/>
    </row>
    <row r="263" spans="3:4">
      <c r="C263" s="1024"/>
      <c r="D263" s="1024"/>
    </row>
    <row r="264" spans="3:4">
      <c r="C264" s="1024"/>
      <c r="D264" s="1024"/>
    </row>
    <row r="265" spans="3:4">
      <c r="C265" s="1024"/>
      <c r="D265" s="1024"/>
    </row>
    <row r="266" spans="3:4">
      <c r="C266" s="1024"/>
      <c r="D266" s="1024"/>
    </row>
    <row r="267" spans="3:4">
      <c r="C267" s="1024"/>
      <c r="D267" s="1024"/>
    </row>
    <row r="268" spans="3:4">
      <c r="C268" s="1024"/>
      <c r="D268" s="1024"/>
    </row>
    <row r="269" spans="3:4">
      <c r="C269" s="1024"/>
      <c r="D269" s="1024"/>
    </row>
    <row r="270" spans="3:4">
      <c r="C270" s="1024"/>
      <c r="D270" s="1024"/>
    </row>
    <row r="271" spans="3:4">
      <c r="C271" s="1024"/>
      <c r="D271" s="1024"/>
    </row>
    <row r="272" spans="3:4">
      <c r="C272" s="1024"/>
      <c r="D272" s="1024"/>
    </row>
    <row r="273" spans="3:4">
      <c r="C273" s="1024"/>
      <c r="D273" s="1024"/>
    </row>
    <row r="274" spans="3:4">
      <c r="C274" s="1024"/>
      <c r="D274" s="1024"/>
    </row>
    <row r="275" spans="3:4">
      <c r="C275" s="1024"/>
      <c r="D275" s="1024"/>
    </row>
    <row r="276" spans="3:4">
      <c r="C276" s="1024"/>
      <c r="D276" s="1024"/>
    </row>
    <row r="277" spans="3:4">
      <c r="C277" s="1024"/>
      <c r="D277" s="1024"/>
    </row>
    <row r="278" spans="3:4">
      <c r="C278" s="1024"/>
      <c r="D278" s="1024"/>
    </row>
    <row r="279" spans="3:4">
      <c r="C279" s="1024"/>
      <c r="D279" s="1024"/>
    </row>
    <row r="280" spans="3:4">
      <c r="C280" s="1024"/>
      <c r="D280" s="1024"/>
    </row>
    <row r="281" spans="3:4">
      <c r="C281" s="1024"/>
      <c r="D281" s="1024"/>
    </row>
    <row r="282" spans="3:4">
      <c r="C282" s="1024"/>
      <c r="D282" s="1024"/>
    </row>
    <row r="283" spans="3:4">
      <c r="C283" s="1024"/>
      <c r="D283" s="1024"/>
    </row>
    <row r="284" spans="3:4">
      <c r="C284" s="1024"/>
      <c r="D284" s="1024"/>
    </row>
    <row r="285" spans="3:4">
      <c r="C285" s="1024"/>
      <c r="D285" s="1024"/>
    </row>
    <row r="286" spans="3:4">
      <c r="C286" s="1024"/>
      <c r="D286" s="1024"/>
    </row>
    <row r="287" spans="3:4">
      <c r="C287" s="1024"/>
      <c r="D287" s="1024"/>
    </row>
    <row r="288" spans="3:4">
      <c r="C288" s="1024"/>
      <c r="D288" s="1024"/>
    </row>
    <row r="289" spans="3:4">
      <c r="C289" s="1024"/>
      <c r="D289" s="1024"/>
    </row>
    <row r="290" spans="3:4">
      <c r="C290" s="1024"/>
      <c r="D290" s="1024"/>
    </row>
    <row r="291" spans="3:4">
      <c r="C291" s="1024"/>
      <c r="D291" s="1024"/>
    </row>
    <row r="292" spans="3:4">
      <c r="C292" s="1024"/>
      <c r="D292" s="1024"/>
    </row>
    <row r="293" spans="3:4">
      <c r="C293" s="1024"/>
      <c r="D293" s="1024"/>
    </row>
    <row r="294" spans="3:4">
      <c r="C294" s="1024"/>
      <c r="D294" s="1024"/>
    </row>
    <row r="295" spans="3:4">
      <c r="C295" s="1024"/>
      <c r="D295" s="1024"/>
    </row>
    <row r="296" spans="3:4">
      <c r="C296" s="1024"/>
      <c r="D296" s="1024"/>
    </row>
    <row r="297" spans="3:4">
      <c r="C297" s="1024"/>
      <c r="D297" s="1024"/>
    </row>
    <row r="298" spans="3:4">
      <c r="C298" s="1024"/>
      <c r="D298" s="1024"/>
    </row>
    <row r="299" spans="3:4">
      <c r="C299" s="1024"/>
      <c r="D299" s="1024"/>
    </row>
    <row r="300" spans="3:4">
      <c r="C300" s="1024"/>
      <c r="D300" s="1024"/>
    </row>
    <row r="301" spans="3:4">
      <c r="C301" s="1024"/>
      <c r="D301" s="1024"/>
    </row>
    <row r="302" spans="3:4">
      <c r="C302" s="1024"/>
      <c r="D302" s="1024"/>
    </row>
    <row r="303" spans="3:4">
      <c r="C303" s="1024"/>
      <c r="D303" s="1024"/>
    </row>
    <row r="304" spans="3:4">
      <c r="C304" s="1024"/>
      <c r="D304" s="1024"/>
    </row>
    <row r="305" spans="3:4">
      <c r="C305" s="1024"/>
      <c r="D305" s="1024"/>
    </row>
    <row r="306" spans="3:4">
      <c r="C306" s="1024"/>
      <c r="D306" s="1024"/>
    </row>
    <row r="307" spans="3:4">
      <c r="C307" s="1024"/>
      <c r="D307" s="1024"/>
    </row>
    <row r="308" spans="3:4">
      <c r="C308" s="1024"/>
      <c r="D308" s="1024"/>
    </row>
    <row r="309" spans="3:4">
      <c r="C309" s="1024"/>
      <c r="D309" s="1024"/>
    </row>
    <row r="310" spans="3:4">
      <c r="C310" s="1024"/>
      <c r="D310" s="1024"/>
    </row>
    <row r="311" spans="3:4">
      <c r="C311" s="1024"/>
      <c r="D311" s="1024"/>
    </row>
    <row r="312" spans="3:4">
      <c r="C312" s="1024"/>
      <c r="D312" s="1024"/>
    </row>
    <row r="313" spans="3:4">
      <c r="C313" s="1024"/>
      <c r="D313" s="1024"/>
    </row>
    <row r="314" spans="3:4">
      <c r="C314" s="1024"/>
      <c r="D314" s="1024"/>
    </row>
    <row r="315" spans="3:4">
      <c r="C315" s="1024"/>
      <c r="D315" s="1024"/>
    </row>
    <row r="316" spans="3:4">
      <c r="C316" s="1024"/>
      <c r="D316" s="1024"/>
    </row>
    <row r="317" spans="3:4">
      <c r="C317" s="1024"/>
      <c r="D317" s="1024"/>
    </row>
    <row r="318" spans="3:4">
      <c r="C318" s="1024"/>
      <c r="D318" s="1024"/>
    </row>
    <row r="319" spans="3:4">
      <c r="C319" s="1024"/>
      <c r="D319" s="1024"/>
    </row>
    <row r="320" spans="3:4">
      <c r="C320" s="1024"/>
      <c r="D320" s="1024"/>
    </row>
    <row r="321" spans="3:4">
      <c r="C321" s="1024"/>
      <c r="D321" s="1024"/>
    </row>
    <row r="322" spans="3:4">
      <c r="C322" s="1024"/>
      <c r="D322" s="1024"/>
    </row>
    <row r="323" spans="3:4">
      <c r="C323" s="1024"/>
      <c r="D323" s="1024"/>
    </row>
    <row r="324" spans="3:4">
      <c r="C324" s="1024"/>
      <c r="D324" s="1024"/>
    </row>
    <row r="325" spans="3:4">
      <c r="C325" s="1024"/>
      <c r="D325" s="1024"/>
    </row>
    <row r="326" spans="3:4">
      <c r="C326" s="1024"/>
      <c r="D326" s="1024"/>
    </row>
    <row r="327" spans="3:4">
      <c r="C327" s="1024"/>
      <c r="D327" s="1024"/>
    </row>
    <row r="328" spans="3:4">
      <c r="C328" s="1024"/>
      <c r="D328" s="1024"/>
    </row>
    <row r="329" spans="3:4">
      <c r="C329" s="1024"/>
      <c r="D329" s="1024"/>
    </row>
    <row r="330" spans="3:4">
      <c r="C330" s="1024"/>
      <c r="D330" s="1024"/>
    </row>
    <row r="331" spans="3:4">
      <c r="C331" s="1024"/>
      <c r="D331" s="1024"/>
    </row>
    <row r="332" spans="3:4">
      <c r="C332" s="1024"/>
      <c r="D332" s="1024"/>
    </row>
    <row r="333" spans="3:4">
      <c r="C333" s="1024"/>
      <c r="D333" s="1024"/>
    </row>
  </sheetData>
  <pageMargins left="0.75" right="0.75" top="1" bottom="1" header="0.5" footer="0.5"/>
  <pageSetup scale="55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87</vt:i4>
      </vt:variant>
    </vt:vector>
  </HeadingPairs>
  <TitlesOfParts>
    <vt:vector size="98" baseType="lpstr">
      <vt:lpstr>Summary</vt:lpstr>
      <vt:lpstr>SharingAgrmt</vt:lpstr>
      <vt:lpstr>CCFMODEL</vt:lpstr>
      <vt:lpstr>CALC</vt:lpstr>
      <vt:lpstr>CURVES</vt:lpstr>
      <vt:lpstr>O&amp;M</vt:lpstr>
      <vt:lpstr>Sensitivities</vt:lpstr>
      <vt:lpstr>Iterbox</vt:lpstr>
      <vt:lpstr>InpBox</vt:lpstr>
      <vt:lpstr>GoToBox</vt:lpstr>
      <vt:lpstr>PrintBox</vt:lpstr>
      <vt:lpstr>AMORT</vt:lpstr>
      <vt:lpstr>ASSET_SALES</vt:lpstr>
      <vt:lpstr>AvailDays</vt:lpstr>
      <vt:lpstr>BasisTable</vt:lpstr>
      <vt:lpstr>BigTable</vt:lpstr>
      <vt:lpstr>BS</vt:lpstr>
      <vt:lpstr>CAP_TFF_FEES</vt:lpstr>
      <vt:lpstr>CAP1</vt:lpstr>
      <vt:lpstr>CAP2</vt:lpstr>
      <vt:lpstr>CapPrice</vt:lpstr>
      <vt:lpstr>CASH</vt:lpstr>
      <vt:lpstr>CASH1</vt:lpstr>
      <vt:lpstr>CASH2</vt:lpstr>
      <vt:lpstr>CASHA</vt:lpstr>
      <vt:lpstr>CASHB</vt:lpstr>
      <vt:lpstr>CASHC</vt:lpstr>
      <vt:lpstr>CashFlowDates</vt:lpstr>
      <vt:lpstr>CCFMODEL!curr2</vt:lpstr>
      <vt:lpstr>Debt_Sched</vt:lpstr>
      <vt:lpstr>DEBTSCHED_THRU_TAXAS</vt:lpstr>
      <vt:lpstr>DEFREV</vt:lpstr>
      <vt:lpstr>DEFREV1</vt:lpstr>
      <vt:lpstr>DEFREV2</vt:lpstr>
      <vt:lpstr>DEFREVA</vt:lpstr>
      <vt:lpstr>DEFREVB</vt:lpstr>
      <vt:lpstr>DILUTION</vt:lpstr>
      <vt:lpstr>DiscountedCashFlows</vt:lpstr>
      <vt:lpstr>FASB</vt:lpstr>
      <vt:lpstr>FINFEE1A</vt:lpstr>
      <vt:lpstr>FINFEE2A</vt:lpstr>
      <vt:lpstr>FundsFlow</vt:lpstr>
      <vt:lpstr>GasFirstMonth</vt:lpstr>
      <vt:lpstr>GasTable</vt:lpstr>
      <vt:lpstr>Holidays</vt:lpstr>
      <vt:lpstr>INCTAX</vt:lpstr>
      <vt:lpstr>INPUT</vt:lpstr>
      <vt:lpstr>INT</vt:lpstr>
      <vt:lpstr>INTEXP</vt:lpstr>
      <vt:lpstr>INTEXP1</vt:lpstr>
      <vt:lpstr>INTEXP1A</vt:lpstr>
      <vt:lpstr>INTEXP2</vt:lpstr>
      <vt:lpstr>INTEXP2A</vt:lpstr>
      <vt:lpstr>INTINC</vt:lpstr>
      <vt:lpstr>INTINC1</vt:lpstr>
      <vt:lpstr>INTINC1A</vt:lpstr>
      <vt:lpstr>INTINC2</vt:lpstr>
      <vt:lpstr>INTINC2A</vt:lpstr>
      <vt:lpstr>IS</vt:lpstr>
      <vt:lpstr>iterprec</vt:lpstr>
      <vt:lpstr>iterx</vt:lpstr>
      <vt:lpstr>K</vt:lpstr>
      <vt:lpstr>KA</vt:lpstr>
      <vt:lpstr>KB</vt:lpstr>
      <vt:lpstr>LastDateOfMonthlyVol</vt:lpstr>
      <vt:lpstr>OPCO</vt:lpstr>
      <vt:lpstr>OPENBS</vt:lpstr>
      <vt:lpstr>OPENBS_WC</vt:lpstr>
      <vt:lpstr>Other_Inc</vt:lpstr>
      <vt:lpstr>CCFMODEL!output</vt:lpstr>
      <vt:lpstr>PlannedOutages</vt:lpstr>
      <vt:lpstr>PositionRegion</vt:lpstr>
      <vt:lpstr>PriceTable</vt:lpstr>
      <vt:lpstr>CALC!Print_Area</vt:lpstr>
      <vt:lpstr>CCFMODEL!Print_Area</vt:lpstr>
      <vt:lpstr>Sensitivities!Print_Area</vt:lpstr>
      <vt:lpstr>SharingAgrmt!Print_Area</vt:lpstr>
      <vt:lpstr>Summary!Print_Area</vt:lpstr>
      <vt:lpstr>CALC!Print_Titles</vt:lpstr>
      <vt:lpstr>CCFMODEL!Print_Titles</vt:lpstr>
      <vt:lpstr>Sensitivities!Print_Titles</vt:lpstr>
      <vt:lpstr>SharingAgrmt!Print_Titles</vt:lpstr>
      <vt:lpstr>PV_RACCapPrice</vt:lpstr>
      <vt:lpstr>REPAY</vt:lpstr>
      <vt:lpstr>S_U</vt:lpstr>
      <vt:lpstr>CCFMODEL!stub</vt:lpstr>
      <vt:lpstr>TAX</vt:lpstr>
      <vt:lpstr>TDATE</vt:lpstr>
      <vt:lpstr>CCFMODEL!TIT</vt:lpstr>
      <vt:lpstr>TRANSACTION_FEES</vt:lpstr>
      <vt:lpstr>val</vt:lpstr>
      <vt:lpstr>ValDate</vt:lpstr>
      <vt:lpstr>VolTableMonthlyOffPeak</vt:lpstr>
      <vt:lpstr>VolTableMonthlyPeak</vt:lpstr>
      <vt:lpstr>VolTableYearlyOffPeak</vt:lpstr>
      <vt:lpstr>VolTableYearlyPeak</vt:lpstr>
      <vt:lpstr>waitime</vt:lpstr>
      <vt:lpstr>WC</vt:lpstr>
    </vt:vector>
  </TitlesOfParts>
  <Manager>Julie W. Lim</Manager>
  <Company>Enron Capital &amp; Trade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Las Vegas Cogeneration</dc:title>
  <dc:subject>Acquisition</dc:subject>
  <dc:creator>Julie W. Lim</dc:creator>
  <cp:lastModifiedBy>Havlíček Jan</cp:lastModifiedBy>
  <cp:lastPrinted>2000-08-31T13:52:20Z</cp:lastPrinted>
  <dcterms:created xsi:type="dcterms:W3CDTF">1997-06-16T16:38:16Z</dcterms:created>
  <dcterms:modified xsi:type="dcterms:W3CDTF">2023-09-10T11:54:07Z</dcterms:modified>
  <cp:category>Gilbert - Portland Origination</cp:category>
</cp:coreProperties>
</file>